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917" activeTab="1"/>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'3Tru'!$J$3:$J$16</definedName>
    <definedName name="_xlnm._FilterDatabase" localSheetId="25" hidden="1">'4BT'!$J$3:$J$13</definedName>
    <definedName name="_xlnm._FilterDatabase" localSheetId="26" hidden="1">'5Neo'!$I$3:$I$33</definedName>
    <definedName name="_xlnm._FilterDatabase" localSheetId="27" hidden="1">'6PK'!$J$3:$J$79</definedName>
    <definedName name="_xlnm._FilterDatabase" localSheetId="28" hidden="1">'7day'!$I$3:$I$24</definedName>
    <definedName name="_xlnm._FilterDatabase" localSheetId="29" hidden="1">'8TB'!$B$1:$I$26</definedName>
    <definedName name="_xlnm._FilterDatabase" localSheetId="30" hidden="1">'9TD'!$G$8:$G$43</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chitiet!$A$10:$S$2369</definedName>
    <definedName name="_xlnm._FilterDatabase" localSheetId="14" hidden="1">CT_tram!$A$24:$N$2736</definedName>
    <definedName name="_xlnm._FilterDatabase" localSheetId="0" hidden="1">DG!$A$1:$J$1520</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pp3p1m!$A$10:$GK$112</definedName>
    <definedName name="_xlnm._FilterDatabase" localSheetId="10" hidden="1">ppht!$A$6:$DV$341</definedName>
    <definedName name="_xlnm._FilterDatabase" localSheetId="9" hidden="1">'ppht NC'!$A$5:$CW$411</definedName>
    <definedName name="_xlnm._FilterDatabase" localSheetId="33" hidden="1">Solieu!$A$126:$A$153</definedName>
    <definedName name="_xlnm._FilterDatabase" localSheetId="21" hidden="1">TongHopKL!$A$1:$L$270</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DuToan">TongHopKL!$H:$H</definedName>
    <definedName name="DZ">chitiet!$B:$P</definedName>
    <definedName name="KhoiLuong">TongHopKL!$B:$I</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CT_tram!$D$19:$L$2755</definedName>
    <definedName name="_xlnm.Print_Area" localSheetId="0">DG!$A$1:$D$1178</definedName>
    <definedName name="_xlnm.Print_Area" localSheetId="22">'Hoan cong VL-NC-MTC'!$D$1:$K$303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BA">CT_tram!$B:$I</definedName>
    <definedName name="tdllHTDL" localSheetId="9">'ppht NC'!$BP$4:$BT$310</definedName>
    <definedName name="tdllHTHH" localSheetId="9">'ppht NC'!$BP$4:$BT$312</definedName>
    <definedName name="ThiCong">TongHopKL!$I:$I</definedName>
    <definedName name="wrn.chi._.tiÆt." localSheetId="37" hidden="1">{#N/A,#N/A,FALSE,"Chi tiÆt"}</definedName>
    <definedName name="wrn.chi._.tiÆt." hidden="1">{#N/A,#N/A,FALSE,"Chi tiÆt"}</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8" i="26" l="1"/>
  <c r="L9" i="26"/>
  <c r="L10" i="26"/>
  <c r="L11" i="26"/>
  <c r="L12" i="26"/>
  <c r="L13" i="26"/>
  <c r="L14" i="26"/>
  <c r="L15" i="26"/>
  <c r="L16" i="26"/>
  <c r="L17" i="26"/>
  <c r="L18" i="26"/>
  <c r="L5" i="26"/>
  <c r="L6" i="26"/>
  <c r="L7" i="26"/>
  <c r="L4" i="26"/>
  <c r="L2" i="26"/>
  <c r="I3" i="26" l="1"/>
  <c r="I7" i="26"/>
  <c r="I9" i="26"/>
  <c r="I10" i="26"/>
  <c r="I11" i="26"/>
  <c r="I12" i="26"/>
  <c r="I13" i="26"/>
  <c r="I14" i="26"/>
  <c r="I15" i="26"/>
  <c r="I16" i="26"/>
  <c r="I18" i="26"/>
  <c r="I19" i="26"/>
  <c r="I20" i="26"/>
  <c r="I21" i="26"/>
  <c r="H3" i="26"/>
  <c r="H5" i="26"/>
  <c r="H7" i="26"/>
  <c r="H8" i="26"/>
  <c r="H9" i="26"/>
  <c r="H10" i="26"/>
  <c r="H11" i="26"/>
  <c r="H12" i="26"/>
  <c r="H13" i="26"/>
  <c r="H14" i="26"/>
  <c r="H15" i="26"/>
  <c r="H16" i="26"/>
  <c r="H18" i="26"/>
  <c r="H19" i="26"/>
  <c r="H20" i="26"/>
  <c r="H21" i="26"/>
  <c r="H22" i="26"/>
  <c r="H23" i="26"/>
  <c r="G3" i="26"/>
  <c r="G4" i="26"/>
  <c r="G5" i="26"/>
  <c r="G6" i="26"/>
  <c r="G7" i="26"/>
  <c r="G8" i="26"/>
  <c r="G9" i="26"/>
  <c r="G10" i="26"/>
  <c r="G11" i="26"/>
  <c r="G12" i="26"/>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G83" i="26"/>
  <c r="G84" i="26"/>
  <c r="G85" i="26"/>
  <c r="G86" i="26"/>
  <c r="G87" i="26"/>
  <c r="G88" i="26"/>
  <c r="G89" i="26"/>
  <c r="G90" i="26"/>
  <c r="G91" i="26"/>
  <c r="G92" i="26"/>
  <c r="G93" i="26"/>
  <c r="G94" i="26"/>
  <c r="G95" i="26"/>
  <c r="G96" i="26"/>
  <c r="G97" i="26"/>
  <c r="G98" i="26"/>
  <c r="G99" i="26"/>
  <c r="G100" i="26"/>
  <c r="G101" i="26"/>
  <c r="G102" i="26"/>
  <c r="G103" i="26"/>
  <c r="G104" i="26"/>
  <c r="G105" i="26"/>
  <c r="G106" i="26"/>
  <c r="G107" i="26"/>
  <c r="G108" i="26"/>
  <c r="G109" i="26"/>
  <c r="G110" i="26"/>
  <c r="G111" i="26"/>
  <c r="G112" i="26"/>
  <c r="G113" i="26"/>
  <c r="G114" i="26"/>
  <c r="G115" i="26"/>
  <c r="G116" i="26"/>
  <c r="G117" i="26"/>
  <c r="G118" i="26"/>
  <c r="G119" i="26"/>
  <c r="G120" i="26"/>
  <c r="G121" i="26"/>
  <c r="G122" i="26"/>
  <c r="G123" i="26"/>
  <c r="G124" i="26"/>
  <c r="G125" i="26"/>
  <c r="G126" i="26"/>
  <c r="G127" i="26"/>
  <c r="G128" i="26"/>
  <c r="G129" i="26"/>
  <c r="G130" i="26"/>
  <c r="G131" i="26"/>
  <c r="G132" i="26"/>
  <c r="G133" i="26"/>
  <c r="G134" i="26"/>
  <c r="G2" i="26"/>
  <c r="K14" i="114"/>
  <c r="K15" i="114"/>
  <c r="H14" i="114"/>
  <c r="I14" i="114"/>
  <c r="J14" i="114"/>
  <c r="H15" i="114"/>
  <c r="I15" i="114"/>
  <c r="J15" i="114"/>
  <c r="K13" i="114"/>
  <c r="H13" i="114"/>
  <c r="I13" i="114"/>
  <c r="J13" i="114"/>
  <c r="K12" i="114"/>
  <c r="H12" i="114"/>
  <c r="I12" i="114"/>
  <c r="J12" i="114"/>
  <c r="K11" i="114"/>
  <c r="H11" i="114"/>
  <c r="I11" i="114"/>
  <c r="J11" i="114"/>
  <c r="K9" i="114"/>
  <c r="K10" i="114"/>
  <c r="H9" i="114"/>
  <c r="I9" i="114"/>
  <c r="J9" i="114"/>
  <c r="H10" i="114"/>
  <c r="I10" i="114"/>
  <c r="J10" i="114"/>
  <c r="K8" i="114"/>
  <c r="H8" i="114"/>
  <c r="I8" i="114"/>
  <c r="J8" i="114"/>
  <c r="K7" i="114"/>
  <c r="H7" i="114"/>
  <c r="I7" i="114"/>
  <c r="J7" i="114"/>
  <c r="H33" i="113"/>
  <c r="I33" i="113"/>
  <c r="J33" i="113"/>
  <c r="K33" i="113"/>
  <c r="H34" i="113"/>
  <c r="I34" i="113"/>
  <c r="J34" i="113"/>
  <c r="K34" i="113"/>
  <c r="H30" i="113"/>
  <c r="I30" i="113"/>
  <c r="J30" i="113"/>
  <c r="K30" i="113"/>
  <c r="H31" i="113"/>
  <c r="I31" i="113"/>
  <c r="J31" i="113"/>
  <c r="K31" i="113"/>
  <c r="H32" i="113"/>
  <c r="I32" i="113"/>
  <c r="J32" i="113"/>
  <c r="K32" i="113"/>
  <c r="H9" i="113"/>
  <c r="I9" i="113"/>
  <c r="J9" i="113"/>
  <c r="K9" i="113"/>
  <c r="G23" i="113"/>
  <c r="H18" i="113"/>
  <c r="I18" i="113"/>
  <c r="G24" i="113"/>
  <c r="D24" i="113"/>
  <c r="D23" i="113"/>
  <c r="I3" i="111"/>
  <c r="I4" i="111"/>
  <c r="I5" i="111"/>
  <c r="I6" i="111"/>
  <c r="I7" i="111"/>
  <c r="I8" i="111"/>
  <c r="I9" i="111"/>
  <c r="I10" i="111"/>
  <c r="I11" i="111"/>
  <c r="I12" i="111"/>
  <c r="I13" i="111"/>
  <c r="I14" i="111"/>
  <c r="I15" i="111"/>
  <c r="I16" i="111"/>
  <c r="I17" i="111"/>
  <c r="I18" i="111"/>
  <c r="I19" i="111"/>
  <c r="I20" i="111"/>
  <c r="I21" i="111"/>
  <c r="I22" i="111"/>
  <c r="I23" i="111"/>
  <c r="I24" i="111"/>
  <c r="I2" i="111"/>
  <c r="D21" i="111"/>
  <c r="D22" i="111"/>
  <c r="D23" i="111"/>
  <c r="D24" i="111"/>
  <c r="E5" i="110"/>
  <c r="B20" i="97"/>
  <c r="J20" i="97" s="1"/>
  <c r="J202" i="97"/>
  <c r="K202" i="97" s="1"/>
  <c r="J203" i="97"/>
  <c r="K203" i="97" s="1"/>
  <c r="K5" i="110"/>
  <c r="J5" i="110"/>
  <c r="AW15" i="96"/>
  <c r="AT15" i="96"/>
  <c r="AW14" i="96"/>
  <c r="AT14" i="96"/>
  <c r="AW13" i="96"/>
  <c r="AT13" i="96"/>
  <c r="AT12" i="96"/>
  <c r="AW12" i="96" s="1"/>
  <c r="AT11" i="96"/>
  <c r="AW11" i="96" s="1"/>
  <c r="AT10" i="96"/>
  <c r="AW10" i="96" s="1"/>
  <c r="AT9" i="96"/>
  <c r="AW9" i="96" s="1"/>
  <c r="AT8" i="96"/>
  <c r="AW8" i="96" s="1"/>
  <c r="AT7" i="96"/>
  <c r="AW7" i="96" s="1"/>
  <c r="AT6" i="96"/>
  <c r="AW6" i="96" s="1"/>
  <c r="AW5" i="96"/>
  <c r="AW2" i="96" s="1"/>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E5" i="106"/>
  <c r="E6" i="106"/>
  <c r="E7" i="106"/>
  <c r="E8" i="106"/>
  <c r="E9" i="106"/>
  <c r="E10" i="106"/>
  <c r="E11" i="106"/>
  <c r="E12" i="106"/>
  <c r="E13" i="106"/>
  <c r="E14" i="106"/>
  <c r="E15" i="106"/>
  <c r="E4" i="106"/>
  <c r="D5" i="106"/>
  <c r="D6" i="106"/>
  <c r="D7" i="106"/>
  <c r="D8" i="106"/>
  <c r="D9" i="106"/>
  <c r="D10" i="106"/>
  <c r="D11" i="106"/>
  <c r="D12" i="106"/>
  <c r="D13" i="106"/>
  <c r="D14" i="106"/>
  <c r="D15" i="106"/>
  <c r="D4" i="106"/>
  <c r="F12" i="105"/>
  <c r="F13" i="105"/>
  <c r="E11" i="105"/>
  <c r="E12" i="105"/>
  <c r="E13" i="105"/>
  <c r="F5" i="105"/>
  <c r="F6" i="105"/>
  <c r="F7" i="105"/>
  <c r="F8" i="105"/>
  <c r="F9" i="105"/>
  <c r="F10" i="105"/>
  <c r="F11" i="105"/>
  <c r="F4" i="105"/>
  <c r="E5" i="105"/>
  <c r="E6" i="105"/>
  <c r="E7" i="105"/>
  <c r="E8" i="105"/>
  <c r="E9" i="105"/>
  <c r="E10" i="105"/>
  <c r="E4" i="105"/>
  <c r="B98" i="97"/>
  <c r="C98" i="97"/>
  <c r="D98" i="97"/>
  <c r="B96" i="97"/>
  <c r="C96" i="97"/>
  <c r="D96" i="97"/>
  <c r="H96" i="97"/>
  <c r="B49" i="97"/>
  <c r="C49" i="97"/>
  <c r="D49" i="97"/>
  <c r="H49" i="97"/>
  <c r="B160" i="97"/>
  <c r="C160" i="97"/>
  <c r="D160" i="97"/>
  <c r="B155" i="97"/>
  <c r="C155" i="97"/>
  <c r="D155" i="97"/>
  <c r="B47" i="97"/>
  <c r="C47" i="97"/>
  <c r="E47" i="97"/>
  <c r="B48" i="97"/>
  <c r="C48" i="97"/>
  <c r="D48" i="97"/>
  <c r="E48" i="97"/>
  <c r="F48" i="97"/>
  <c r="H48" i="97"/>
  <c r="B11" i="97"/>
  <c r="J11" i="97" s="1"/>
  <c r="C11" i="97"/>
  <c r="D11" i="97"/>
  <c r="E11" i="97"/>
  <c r="H11" i="97"/>
  <c r="C74" i="97"/>
  <c r="D74" i="97"/>
  <c r="E74" i="97"/>
  <c r="H74" i="97"/>
  <c r="C77" i="97"/>
  <c r="D77" i="97"/>
  <c r="E77" i="97"/>
  <c r="H77" i="97"/>
  <c r="C60" i="97"/>
  <c r="D60" i="97"/>
  <c r="E60" i="97"/>
  <c r="C62" i="97"/>
  <c r="D62" i="97"/>
  <c r="E62" i="97"/>
  <c r="B115" i="97"/>
  <c r="C115" i="97"/>
  <c r="D115" i="97"/>
  <c r="E115" i="97"/>
  <c r="H115" i="97"/>
  <c r="C58" i="97"/>
  <c r="D58" i="97"/>
  <c r="E58" i="97"/>
  <c r="H58" i="97"/>
  <c r="C85" i="97"/>
  <c r="D85" i="97"/>
  <c r="E85" i="97"/>
  <c r="H85" i="97"/>
  <c r="C83" i="97"/>
  <c r="D83" i="97"/>
  <c r="E83" i="97"/>
  <c r="H83" i="97"/>
  <c r="B108" i="97"/>
  <c r="C108" i="97"/>
  <c r="D108" i="97"/>
  <c r="E108" i="97"/>
  <c r="H108" i="97"/>
  <c r="B106" i="97"/>
  <c r="C106" i="97"/>
  <c r="D106" i="97"/>
  <c r="E106" i="97"/>
  <c r="H106" i="97"/>
  <c r="B99" i="97"/>
  <c r="C99" i="97"/>
  <c r="D99" i="97"/>
  <c r="H99" i="97"/>
  <c r="B97" i="97"/>
  <c r="C97" i="97"/>
  <c r="D97" i="97"/>
  <c r="H97" i="97"/>
  <c r="B91" i="97"/>
  <c r="J91" i="97" s="1"/>
  <c r="C91" i="97"/>
  <c r="D91" i="97"/>
  <c r="H91" i="97"/>
  <c r="B50" i="97"/>
  <c r="C50" i="97"/>
  <c r="D50" i="97"/>
  <c r="H50" i="97"/>
  <c r="B161" i="97"/>
  <c r="C161" i="97"/>
  <c r="D161" i="97"/>
  <c r="B156" i="97"/>
  <c r="C156" i="97"/>
  <c r="D156" i="97"/>
  <c r="B114" i="97"/>
  <c r="C114" i="97"/>
  <c r="D114" i="97"/>
  <c r="H114" i="97"/>
  <c r="B56" i="97"/>
  <c r="C56" i="97"/>
  <c r="D56" i="97"/>
  <c r="H56" i="97"/>
  <c r="C57" i="97"/>
  <c r="D57" i="97"/>
  <c r="H57" i="97"/>
  <c r="C84" i="97"/>
  <c r="D84" i="97"/>
  <c r="H84" i="97"/>
  <c r="C82" i="97"/>
  <c r="D82" i="97"/>
  <c r="H82" i="97"/>
  <c r="B107" i="97"/>
  <c r="C107" i="97"/>
  <c r="D107" i="97"/>
  <c r="H107" i="97"/>
  <c r="B105" i="97"/>
  <c r="C105" i="97"/>
  <c r="D105" i="97"/>
  <c r="H105" i="97"/>
  <c r="B95" i="97"/>
  <c r="J95" i="97" s="1"/>
  <c r="C95" i="97"/>
  <c r="D95" i="97"/>
  <c r="H95" i="97"/>
  <c r="B90" i="97"/>
  <c r="J90" i="97" s="1"/>
  <c r="C90" i="97"/>
  <c r="D90" i="97"/>
  <c r="H90" i="97"/>
  <c r="C61" i="97"/>
  <c r="D61" i="97"/>
  <c r="C76" i="97"/>
  <c r="D76" i="97"/>
  <c r="B10" i="97"/>
  <c r="J10" i="97" s="1"/>
  <c r="C10" i="97"/>
  <c r="D10" i="97"/>
  <c r="H10" i="97"/>
  <c r="B13" i="97"/>
  <c r="J13" i="97" s="1"/>
  <c r="C13" i="97"/>
  <c r="D13" i="97"/>
  <c r="H13" i="97"/>
  <c r="B14" i="97"/>
  <c r="J14" i="97" s="1"/>
  <c r="C14" i="97"/>
  <c r="D14" i="97"/>
  <c r="H14" i="97"/>
  <c r="B75" i="97"/>
  <c r="C75" i="97"/>
  <c r="D75" i="97"/>
  <c r="H75" i="97"/>
  <c r="B154" i="97"/>
  <c r="C154" i="97"/>
  <c r="D154" i="97"/>
  <c r="H154" i="97"/>
  <c r="B145" i="97"/>
  <c r="C145" i="97"/>
  <c r="D145" i="97"/>
  <c r="B149" i="97"/>
  <c r="C149" i="97"/>
  <c r="D149" i="97"/>
  <c r="H149" i="97"/>
  <c r="B142" i="97"/>
  <c r="C142" i="97"/>
  <c r="D142" i="97"/>
  <c r="B192" i="97"/>
  <c r="C192" i="97"/>
  <c r="E192" i="97"/>
  <c r="F192" i="97"/>
  <c r="G192" i="97"/>
  <c r="B193" i="97"/>
  <c r="C193" i="97"/>
  <c r="D193" i="97"/>
  <c r="E193" i="97"/>
  <c r="F193" i="97"/>
  <c r="G193" i="97"/>
  <c r="H193" i="97"/>
  <c r="B129" i="97"/>
  <c r="C129" i="97"/>
  <c r="D129" i="97"/>
  <c r="B59" i="97"/>
  <c r="C59" i="97"/>
  <c r="D59" i="97"/>
  <c r="B46" i="97"/>
  <c r="C46" i="97"/>
  <c r="D46" i="97"/>
  <c r="E46" i="97"/>
  <c r="B194" i="97"/>
  <c r="C194" i="97"/>
  <c r="E194" i="97"/>
  <c r="F194" i="97"/>
  <c r="G194" i="97"/>
  <c r="B195" i="97"/>
  <c r="C195" i="97"/>
  <c r="D195" i="97"/>
  <c r="E195" i="97"/>
  <c r="F195" i="97"/>
  <c r="G195" i="97"/>
  <c r="H195" i="97"/>
  <c r="B16" i="97"/>
  <c r="J16" i="97" s="1"/>
  <c r="C16" i="97"/>
  <c r="D16" i="97"/>
  <c r="H16" i="97"/>
  <c r="B103" i="97"/>
  <c r="J103" i="97" s="1"/>
  <c r="C103" i="97"/>
  <c r="D103" i="97"/>
  <c r="B101" i="97"/>
  <c r="J101" i="97" s="1"/>
  <c r="C101" i="97"/>
  <c r="D101" i="97"/>
  <c r="B52" i="97"/>
  <c r="J52" i="97" s="1"/>
  <c r="C52" i="97"/>
  <c r="D52" i="97"/>
  <c r="B64" i="97"/>
  <c r="C64" i="97"/>
  <c r="D64" i="97"/>
  <c r="B67" i="97"/>
  <c r="C67" i="97"/>
  <c r="D67" i="97"/>
  <c r="B68" i="97"/>
  <c r="C68" i="97"/>
  <c r="D68" i="97"/>
  <c r="B157" i="97"/>
  <c r="C157" i="97"/>
  <c r="D157" i="97"/>
  <c r="B196" i="97"/>
  <c r="C196" i="97"/>
  <c r="E196" i="97"/>
  <c r="F196" i="97"/>
  <c r="G196" i="97"/>
  <c r="B197" i="97"/>
  <c r="C197" i="97"/>
  <c r="D197" i="97"/>
  <c r="E197" i="97"/>
  <c r="F197" i="97"/>
  <c r="G197" i="97"/>
  <c r="H197" i="97"/>
  <c r="B113" i="97"/>
  <c r="C113" i="97"/>
  <c r="D113" i="97"/>
  <c r="H113" i="97"/>
  <c r="B92" i="97"/>
  <c r="J92" i="97" s="1"/>
  <c r="C92" i="97"/>
  <c r="D92" i="97"/>
  <c r="H92" i="97"/>
  <c r="B188" i="97"/>
  <c r="C188" i="97"/>
  <c r="E188" i="97"/>
  <c r="F188" i="97"/>
  <c r="G188" i="97"/>
  <c r="B189" i="97"/>
  <c r="C189" i="97"/>
  <c r="D189" i="97"/>
  <c r="E189" i="97"/>
  <c r="F189" i="97"/>
  <c r="G189" i="97"/>
  <c r="H189" i="97"/>
  <c r="B71" i="97"/>
  <c r="C71" i="97"/>
  <c r="D71" i="97"/>
  <c r="H71" i="97"/>
  <c r="B73" i="97"/>
  <c r="C73" i="97"/>
  <c r="D73" i="97"/>
  <c r="H73" i="97"/>
  <c r="B51" i="97"/>
  <c r="J51" i="97" s="1"/>
  <c r="C51" i="97"/>
  <c r="D51" i="97"/>
  <c r="B23" i="97"/>
  <c r="J23" i="97" s="1"/>
  <c r="C23" i="97"/>
  <c r="D23" i="97"/>
  <c r="B30" i="97"/>
  <c r="J30" i="97" s="1"/>
  <c r="C30" i="97"/>
  <c r="D30" i="97"/>
  <c r="H30" i="97"/>
  <c r="B37" i="97"/>
  <c r="J37" i="97" s="1"/>
  <c r="C37" i="97"/>
  <c r="D37" i="97"/>
  <c r="H37" i="97"/>
  <c r="B167" i="97"/>
  <c r="C167" i="97"/>
  <c r="D167" i="97"/>
  <c r="B190" i="97"/>
  <c r="C190" i="97"/>
  <c r="E190" i="97"/>
  <c r="F190" i="97"/>
  <c r="G190" i="97"/>
  <c r="B191" i="97"/>
  <c r="C191" i="97"/>
  <c r="D191" i="97"/>
  <c r="E191" i="97"/>
  <c r="F191" i="97"/>
  <c r="G191" i="97"/>
  <c r="H191" i="97"/>
  <c r="B18" i="97"/>
  <c r="J18" i="97" s="1"/>
  <c r="C18" i="97"/>
  <c r="D18" i="97"/>
  <c r="H18" i="97"/>
  <c r="B12" i="97"/>
  <c r="J12" i="97" s="1"/>
  <c r="C12" i="97"/>
  <c r="D12" i="97"/>
  <c r="H12" i="97"/>
  <c r="B81" i="97"/>
  <c r="J81" i="97" s="1"/>
  <c r="C81" i="97"/>
  <c r="D81" i="97"/>
  <c r="H81" i="97"/>
  <c r="B186" i="97"/>
  <c r="C186" i="97"/>
  <c r="E186" i="97"/>
  <c r="F186" i="97"/>
  <c r="G186" i="97"/>
  <c r="B187" i="97"/>
  <c r="C187" i="97"/>
  <c r="D187" i="97"/>
  <c r="E187" i="97"/>
  <c r="F187" i="97"/>
  <c r="G187" i="97"/>
  <c r="H187" i="97"/>
  <c r="B88" i="97"/>
  <c r="C88" i="97"/>
  <c r="D88" i="97"/>
  <c r="B40" i="97"/>
  <c r="J40" i="97" s="1"/>
  <c r="C40" i="97"/>
  <c r="D40" i="97"/>
  <c r="B29" i="97"/>
  <c r="J29" i="97" s="1"/>
  <c r="C29" i="97"/>
  <c r="D29" i="97"/>
  <c r="B178" i="97"/>
  <c r="C178" i="97"/>
  <c r="B147" i="97"/>
  <c r="C147" i="97"/>
  <c r="B2" i="97"/>
  <c r="C2" i="97"/>
  <c r="H2" i="97"/>
  <c r="B5" i="97"/>
  <c r="C5" i="97"/>
  <c r="B65" i="97"/>
  <c r="C65" i="97"/>
  <c r="H65" i="97"/>
  <c r="C6" i="97"/>
  <c r="B7" i="97"/>
  <c r="C7" i="97"/>
  <c r="B4" i="97"/>
  <c r="B66" i="97"/>
  <c r="D66" i="97"/>
  <c r="B176" i="97"/>
  <c r="E176" i="97"/>
  <c r="F176" i="97"/>
  <c r="G176" i="97"/>
  <c r="B163" i="97"/>
  <c r="D163" i="97"/>
  <c r="B158" i="97"/>
  <c r="B162" i="97"/>
  <c r="B152" i="97"/>
  <c r="B55" i="97"/>
  <c r="J55" i="97" s="1"/>
  <c r="D55" i="97"/>
  <c r="E55" i="97"/>
  <c r="B151" i="97"/>
  <c r="B78" i="97"/>
  <c r="D78" i="97"/>
  <c r="E78" i="97"/>
  <c r="B63" i="97"/>
  <c r="D63" i="97"/>
  <c r="E63" i="97"/>
  <c r="B15" i="97"/>
  <c r="J15" i="97" s="1"/>
  <c r="D15" i="97"/>
  <c r="E15" i="97"/>
  <c r="B100" i="97"/>
  <c r="J100" i="97" s="1"/>
  <c r="B104" i="97"/>
  <c r="J104" i="97" s="1"/>
  <c r="B128" i="97"/>
  <c r="B126" i="97"/>
  <c r="B94" i="97"/>
  <c r="J94" i="97" s="1"/>
  <c r="E94" i="97"/>
  <c r="B185" i="97"/>
  <c r="E185" i="97"/>
  <c r="F185" i="97"/>
  <c r="G185" i="97"/>
  <c r="B87" i="97"/>
  <c r="J87" i="97" s="1"/>
  <c r="D87" i="97"/>
  <c r="E87" i="97"/>
  <c r="B139" i="97"/>
  <c r="E139" i="97"/>
  <c r="F139" i="97"/>
  <c r="G139" i="97"/>
  <c r="B9" i="97"/>
  <c r="J9" i="97" s="1"/>
  <c r="D9" i="97"/>
  <c r="E9" i="97"/>
  <c r="B110" i="97"/>
  <c r="J110" i="97" s="1"/>
  <c r="D110" i="97"/>
  <c r="E110" i="97"/>
  <c r="B175" i="97"/>
  <c r="E175" i="97"/>
  <c r="F175" i="97"/>
  <c r="G175" i="97"/>
  <c r="B8" i="97"/>
  <c r="J8" i="97" s="1"/>
  <c r="D8" i="97"/>
  <c r="E8" i="97"/>
  <c r="B79" i="97"/>
  <c r="J79" i="97" s="1"/>
  <c r="D79" i="97"/>
  <c r="E79" i="97"/>
  <c r="B173" i="97"/>
  <c r="D173" i="97"/>
  <c r="E173" i="97"/>
  <c r="F173" i="97"/>
  <c r="G173" i="97"/>
  <c r="B102" i="97"/>
  <c r="J102" i="97" s="1"/>
  <c r="D102" i="97"/>
  <c r="E102" i="97"/>
  <c r="B54" i="97"/>
  <c r="J54" i="97" s="1"/>
  <c r="D54" i="97"/>
  <c r="E54" i="97"/>
  <c r="B150" i="97"/>
  <c r="E150" i="97"/>
  <c r="F150" i="97"/>
  <c r="G150" i="97"/>
  <c r="B116" i="97"/>
  <c r="J116" i="97" s="1"/>
  <c r="D116" i="97"/>
  <c r="E116" i="97"/>
  <c r="B28" i="97"/>
  <c r="J28" i="97" s="1"/>
  <c r="D28" i="97"/>
  <c r="E28" i="97"/>
  <c r="B17" i="97"/>
  <c r="J17" i="97" s="1"/>
  <c r="E17" i="97"/>
  <c r="B146" i="97"/>
  <c r="E146" i="97"/>
  <c r="F146" i="97"/>
  <c r="G146" i="97"/>
  <c r="B184" i="97"/>
  <c r="C184" i="97"/>
  <c r="E184" i="97"/>
  <c r="F184" i="97"/>
  <c r="G184" i="97"/>
  <c r="B174" i="97"/>
  <c r="D174" i="97"/>
  <c r="E174" i="97"/>
  <c r="F174" i="97"/>
  <c r="G174" i="97"/>
  <c r="B127" i="97"/>
  <c r="D127" i="97"/>
  <c r="E127" i="97"/>
  <c r="B111" i="97"/>
  <c r="D111" i="97"/>
  <c r="B201" i="97"/>
  <c r="D201" i="97"/>
  <c r="B172" i="97"/>
  <c r="D172" i="97"/>
  <c r="B21" i="97"/>
  <c r="J21" i="97" s="1"/>
  <c r="D21" i="97"/>
  <c r="E21" i="97"/>
  <c r="B69" i="97"/>
  <c r="D69" i="97"/>
  <c r="E69" i="97"/>
  <c r="B130" i="97"/>
  <c r="D130" i="97"/>
  <c r="E130" i="97"/>
  <c r="B109" i="97"/>
  <c r="J109" i="97" s="1"/>
  <c r="D109" i="97"/>
  <c r="E109" i="97"/>
  <c r="B159" i="97"/>
  <c r="D159" i="97"/>
  <c r="B140" i="97"/>
  <c r="D140" i="97"/>
  <c r="E140" i="97"/>
  <c r="F140" i="97"/>
  <c r="G140" i="97"/>
  <c r="B53" i="97"/>
  <c r="J53" i="97" s="1"/>
  <c r="D53" i="97"/>
  <c r="E53" i="97"/>
  <c r="B125" i="97"/>
  <c r="J125" i="97" s="1"/>
  <c r="D125" i="97"/>
  <c r="E125" i="97"/>
  <c r="B89" i="97"/>
  <c r="J89" i="97" s="1"/>
  <c r="D89" i="97"/>
  <c r="E89" i="97"/>
  <c r="B72" i="97"/>
  <c r="D72" i="97"/>
  <c r="E72" i="97"/>
  <c r="B22" i="97"/>
  <c r="J22" i="97" s="1"/>
  <c r="D22" i="97"/>
  <c r="E22" i="97"/>
  <c r="B24" i="97"/>
  <c r="J24" i="97" s="1"/>
  <c r="D24" i="97"/>
  <c r="E24" i="97"/>
  <c r="B36" i="97"/>
  <c r="J36" i="97" s="1"/>
  <c r="D36" i="97"/>
  <c r="E36" i="97"/>
  <c r="B166" i="97"/>
  <c r="D166" i="97"/>
  <c r="E166" i="97"/>
  <c r="B183" i="97"/>
  <c r="D183" i="97"/>
  <c r="E183" i="97"/>
  <c r="F183" i="97"/>
  <c r="G183" i="97"/>
  <c r="B70" i="97"/>
  <c r="D70" i="97"/>
  <c r="E70" i="97"/>
  <c r="B32" i="97"/>
  <c r="J32" i="97" s="1"/>
  <c r="D32" i="97"/>
  <c r="E32" i="97"/>
  <c r="B27" i="97"/>
  <c r="J27" i="97" s="1"/>
  <c r="D27" i="97"/>
  <c r="E27" i="97"/>
  <c r="B35" i="97"/>
  <c r="J35" i="97" s="1"/>
  <c r="D35" i="97"/>
  <c r="E35" i="97"/>
  <c r="B180" i="97"/>
  <c r="D180" i="97"/>
  <c r="E180" i="97"/>
  <c r="F180" i="97"/>
  <c r="G180" i="97"/>
  <c r="B122" i="97"/>
  <c r="D122" i="97"/>
  <c r="E122" i="97"/>
  <c r="B118" i="97"/>
  <c r="D118" i="97"/>
  <c r="E118" i="97"/>
  <c r="B26" i="97"/>
  <c r="J26" i="97" s="1"/>
  <c r="D26" i="97"/>
  <c r="E26" i="97"/>
  <c r="B34" i="97"/>
  <c r="J34" i="97" s="1"/>
  <c r="D34" i="97"/>
  <c r="E34" i="97"/>
  <c r="B179" i="97"/>
  <c r="D179" i="97"/>
  <c r="E179" i="97"/>
  <c r="F179" i="97"/>
  <c r="G179" i="97"/>
  <c r="B121" i="97"/>
  <c r="D121" i="97"/>
  <c r="E121" i="97"/>
  <c r="B117" i="97"/>
  <c r="D117" i="97"/>
  <c r="E117" i="97"/>
  <c r="B182" i="97"/>
  <c r="D182" i="97"/>
  <c r="E182" i="97"/>
  <c r="F182" i="97"/>
  <c r="G182" i="97"/>
  <c r="B124" i="97"/>
  <c r="D124" i="97"/>
  <c r="E124" i="97"/>
  <c r="B120" i="97"/>
  <c r="D120" i="97"/>
  <c r="E120" i="97"/>
  <c r="B41" i="97"/>
  <c r="J41" i="97" s="1"/>
  <c r="D41" i="97"/>
  <c r="E41" i="97"/>
  <c r="B44" i="97"/>
  <c r="J44" i="97" s="1"/>
  <c r="D44" i="97"/>
  <c r="E44" i="97"/>
  <c r="B43" i="97"/>
  <c r="J43" i="97" s="1"/>
  <c r="D43" i="97"/>
  <c r="E43" i="97"/>
  <c r="B33" i="97"/>
  <c r="J33" i="97" s="1"/>
  <c r="D33" i="97"/>
  <c r="E33" i="97"/>
  <c r="B165" i="97"/>
  <c r="D165" i="97"/>
  <c r="B25" i="97"/>
  <c r="J25" i="97" s="1"/>
  <c r="D25" i="97"/>
  <c r="E25" i="97"/>
  <c r="B31" i="97"/>
  <c r="J31" i="97" s="1"/>
  <c r="D31" i="97"/>
  <c r="E31" i="97"/>
  <c r="B39" i="97"/>
  <c r="J39" i="97" s="1"/>
  <c r="D39" i="97"/>
  <c r="E39" i="97"/>
  <c r="B164" i="97"/>
  <c r="D164" i="97"/>
  <c r="B181" i="97"/>
  <c r="D181" i="97"/>
  <c r="E181" i="97"/>
  <c r="F181" i="97"/>
  <c r="G181" i="97"/>
  <c r="B123" i="97"/>
  <c r="D123" i="97"/>
  <c r="E123" i="97"/>
  <c r="B119" i="97"/>
  <c r="D119" i="97"/>
  <c r="E119" i="97"/>
  <c r="B138" i="97"/>
  <c r="D138" i="97"/>
  <c r="B137" i="97"/>
  <c r="D137" i="97"/>
  <c r="E137" i="97"/>
  <c r="F137" i="97"/>
  <c r="G137" i="97"/>
  <c r="B3" i="97"/>
  <c r="D3" i="97"/>
  <c r="E3" i="97"/>
  <c r="B112" i="97"/>
  <c r="D112" i="97"/>
  <c r="E112" i="97"/>
  <c r="B153" i="97"/>
  <c r="B144" i="97"/>
  <c r="B148" i="97"/>
  <c r="D148" i="97"/>
  <c r="B141" i="97"/>
  <c r="D141" i="97"/>
  <c r="B177" i="97"/>
  <c r="D177" i="97"/>
  <c r="E177" i="97"/>
  <c r="F177" i="97"/>
  <c r="G177" i="97"/>
  <c r="B19" i="97"/>
  <c r="J19" i="97" s="1"/>
  <c r="D19" i="97"/>
  <c r="E19" i="97"/>
  <c r="B80" i="97"/>
  <c r="J80" i="97" s="1"/>
  <c r="D80" i="97"/>
  <c r="E80" i="97"/>
  <c r="B93" i="97"/>
  <c r="J93" i="97" s="1"/>
  <c r="D93" i="97"/>
  <c r="E93" i="97"/>
  <c r="B143" i="97"/>
  <c r="D143" i="97"/>
  <c r="B131" i="97"/>
  <c r="D131" i="97"/>
  <c r="B132" i="97"/>
  <c r="D132" i="97"/>
  <c r="B133" i="97"/>
  <c r="D133" i="97"/>
  <c r="B198" i="97"/>
  <c r="D198" i="97"/>
  <c r="B171" i="97"/>
  <c r="D171" i="97"/>
  <c r="B38" i="97"/>
  <c r="J38" i="97" s="1"/>
  <c r="D38" i="97"/>
  <c r="B42" i="97"/>
  <c r="J42" i="97" s="1"/>
  <c r="D42" i="97"/>
  <c r="B45" i="97"/>
  <c r="J45" i="97" s="1"/>
  <c r="D45" i="97"/>
  <c r="B199" i="97"/>
  <c r="D199" i="97"/>
  <c r="B169" i="97"/>
  <c r="D169" i="97"/>
  <c r="E169" i="97"/>
  <c r="F169" i="97"/>
  <c r="G169" i="97"/>
  <c r="B134" i="97"/>
  <c r="D134" i="97"/>
  <c r="B135" i="97"/>
  <c r="D135" i="97"/>
  <c r="B136" i="97"/>
  <c r="D136" i="97"/>
  <c r="B86" i="97"/>
  <c r="D86" i="97"/>
  <c r="B168" i="97"/>
  <c r="D168" i="97"/>
  <c r="E168" i="97"/>
  <c r="F168" i="97"/>
  <c r="G168" i="97"/>
  <c r="B200" i="97"/>
  <c r="D200" i="97"/>
  <c r="E200" i="97"/>
  <c r="B170" i="97"/>
  <c r="D170" i="97"/>
  <c r="I897" i="23"/>
  <c r="A897" i="23" s="1"/>
  <c r="I909" i="23"/>
  <c r="A909" i="23" s="1"/>
  <c r="I908" i="23"/>
  <c r="A908" i="23" s="1"/>
  <c r="I910" i="23"/>
  <c r="A910" i="23" s="1"/>
  <c r="G910" i="23"/>
  <c r="G95" i="97" s="1"/>
  <c r="F910" i="23"/>
  <c r="F95" i="97" s="1"/>
  <c r="E910" i="23"/>
  <c r="E95" i="97" s="1"/>
  <c r="I904" i="23"/>
  <c r="A904" i="23" s="1"/>
  <c r="G885" i="23"/>
  <c r="G101" i="97" s="1"/>
  <c r="F885" i="23"/>
  <c r="F101" i="97" s="1"/>
  <c r="E885" i="23"/>
  <c r="E101" i="97" s="1"/>
  <c r="I862" i="23"/>
  <c r="A862" i="23" s="1"/>
  <c r="G862" i="23"/>
  <c r="G12" i="97" s="1"/>
  <c r="F862" i="23"/>
  <c r="F12" i="97" s="1"/>
  <c r="E862" i="23"/>
  <c r="E12" i="97" s="1"/>
  <c r="I856" i="23"/>
  <c r="A856" i="23" s="1"/>
  <c r="G856" i="23"/>
  <c r="G30" i="97" s="1"/>
  <c r="F856" i="23"/>
  <c r="F30" i="97" s="1"/>
  <c r="E856" i="23"/>
  <c r="E30" i="97" s="1"/>
  <c r="I2" i="96"/>
  <c r="H1757" i="1"/>
  <c r="H17" i="97" s="1"/>
  <c r="T1162" i="1"/>
  <c r="Q1162" i="1"/>
  <c r="N1162" i="1"/>
  <c r="M1162" i="1"/>
  <c r="J1162" i="1"/>
  <c r="I1162" i="1"/>
  <c r="G1162" i="1"/>
  <c r="F1162" i="1"/>
  <c r="T1176" i="1"/>
  <c r="Q1176" i="1"/>
  <c r="N1176" i="1"/>
  <c r="M1176" i="1"/>
  <c r="J1176" i="1"/>
  <c r="I1176" i="1"/>
  <c r="G1176" i="1"/>
  <c r="F1176" i="1"/>
  <c r="J226" i="15"/>
  <c r="E226" i="15"/>
  <c r="T1098" i="1"/>
  <c r="J1098" i="1"/>
  <c r="I1098" i="1"/>
  <c r="G1098" i="1"/>
  <c r="G22" i="97" s="1"/>
  <c r="F1098" i="1"/>
  <c r="F22" i="97" s="1"/>
  <c r="T627" i="1"/>
  <c r="O627" i="1"/>
  <c r="N627" i="1"/>
  <c r="M627" i="1"/>
  <c r="J627" i="1"/>
  <c r="I627" i="1"/>
  <c r="G627" i="1"/>
  <c r="F627" i="1"/>
  <c r="J1517" i="15"/>
  <c r="J1516" i="15"/>
  <c r="T363" i="1"/>
  <c r="T361" i="1"/>
  <c r="T360" i="1"/>
  <c r="EN1" i="4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AD2" i="96"/>
  <c r="AC2" i="96"/>
  <c r="I30" i="97" l="1"/>
  <c r="I75" i="97"/>
  <c r="I105" i="97"/>
  <c r="I56" i="97"/>
  <c r="I12" i="97"/>
  <c r="I107" i="97"/>
  <c r="I95" i="97"/>
  <c r="H103" i="26"/>
  <c r="I103" i="26"/>
  <c r="J103" i="26"/>
  <c r="K103" i="26"/>
  <c r="H127" i="26"/>
  <c r="I127" i="26"/>
  <c r="J127" i="26"/>
  <c r="K127" i="26"/>
  <c r="K128" i="26"/>
  <c r="H129" i="26"/>
  <c r="I129" i="26"/>
  <c r="J129" i="26"/>
  <c r="K129" i="26"/>
  <c r="K132" i="26"/>
  <c r="K134" i="26"/>
  <c r="H124" i="26"/>
  <c r="H125" i="26"/>
  <c r="H126" i="26"/>
  <c r="H128" i="26"/>
  <c r="H130" i="26"/>
  <c r="H131" i="26"/>
  <c r="H132" i="26"/>
  <c r="H133" i="26"/>
  <c r="H134" i="26"/>
  <c r="O8" i="26"/>
  <c r="J83" i="15"/>
  <c r="E83" i="15"/>
  <c r="J1505" i="15"/>
  <c r="J195" i="15"/>
  <c r="E195" i="15"/>
  <c r="J370" i="15"/>
  <c r="E370" i="15"/>
  <c r="J369" i="15"/>
  <c r="E369" i="15"/>
  <c r="A402" i="15"/>
  <c r="J402" i="15" s="1"/>
  <c r="G23" i="114"/>
  <c r="G22" i="114"/>
  <c r="G21" i="114"/>
  <c r="D5" i="110"/>
  <c r="D6" i="110"/>
  <c r="G13" i="114"/>
  <c r="G14" i="114"/>
  <c r="G15" i="114"/>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2" i="15"/>
  <c r="D21" i="114"/>
  <c r="D11" i="113"/>
  <c r="D23" i="114"/>
  <c r="D22" i="114"/>
  <c r="D12" i="113"/>
  <c r="D10" i="113"/>
  <c r="D9" i="113"/>
  <c r="G9" i="113"/>
  <c r="G17" i="113" s="1"/>
  <c r="D13" i="113"/>
  <c r="J138" i="15"/>
  <c r="E138" i="15"/>
  <c r="A5" i="105"/>
  <c r="A6" i="105"/>
  <c r="A7" i="105"/>
  <c r="A8" i="105"/>
  <c r="A9" i="105"/>
  <c r="A10" i="105"/>
  <c r="A11" i="105"/>
  <c r="A12" i="105"/>
  <c r="A13" i="105"/>
  <c r="A4" i="105"/>
  <c r="H4" i="106"/>
  <c r="H5" i="106"/>
  <c r="J89" i="15" l="1"/>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71" i="15"/>
  <c r="J372" i="15"/>
  <c r="J373" i="15"/>
  <c r="J374" i="15"/>
  <c r="J375" i="15"/>
  <c r="J376" i="15"/>
  <c r="J377" i="15"/>
  <c r="J378" i="15"/>
  <c r="J379" i="15"/>
  <c r="J380" i="15"/>
  <c r="J381" i="15"/>
  <c r="J382" i="15"/>
  <c r="J383" i="15"/>
  <c r="J384" i="15"/>
  <c r="J385" i="15"/>
  <c r="J386" i="15"/>
  <c r="J387" i="15"/>
  <c r="J388" i="15"/>
  <c r="J389" i="15"/>
  <c r="J390" i="15"/>
  <c r="J391" i="15"/>
  <c r="J396" i="15"/>
  <c r="J397" i="15"/>
  <c r="J398" i="15"/>
  <c r="J399"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6" i="15"/>
  <c r="J1507" i="15"/>
  <c r="J1508" i="15"/>
  <c r="J1509" i="15"/>
  <c r="J1510" i="15"/>
  <c r="J1511" i="15"/>
  <c r="J1512" i="15"/>
  <c r="J1513" i="15"/>
  <c r="J1514" i="15"/>
  <c r="J151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H282" i="120"/>
  <c r="F282" i="120"/>
  <c r="F281" i="120"/>
  <c r="H281" i="120" s="1"/>
  <c r="H280" i="120"/>
  <c r="G280" i="120"/>
  <c r="F280" i="120"/>
  <c r="H279" i="120"/>
  <c r="F279" i="120"/>
  <c r="G278" i="120"/>
  <c r="H278" i="120" s="1"/>
  <c r="F278" i="120"/>
  <c r="H277" i="120"/>
  <c r="F277" i="120"/>
  <c r="F274" i="120"/>
  <c r="H274" i="120" s="1"/>
  <c r="H273" i="120"/>
  <c r="F273" i="120"/>
  <c r="F272" i="120"/>
  <c r="H272" i="120" s="1"/>
  <c r="H271" i="120"/>
  <c r="F271" i="120"/>
  <c r="F270" i="120"/>
  <c r="H270" i="120" s="1"/>
  <c r="H269" i="120"/>
  <c r="F269" i="120"/>
  <c r="F268" i="120"/>
  <c r="H268" i="120" s="1"/>
  <c r="H267" i="120"/>
  <c r="F267" i="120"/>
  <c r="F266" i="120"/>
  <c r="H266" i="120" s="1"/>
  <c r="H265" i="120"/>
  <c r="F265" i="120"/>
  <c r="F264" i="120"/>
  <c r="H264" i="120" s="1"/>
  <c r="H263" i="120"/>
  <c r="F263" i="120"/>
  <c r="F262" i="120"/>
  <c r="H262" i="120" s="1"/>
  <c r="H261" i="120"/>
  <c r="F261" i="120"/>
  <c r="F260" i="120"/>
  <c r="H260" i="120" s="1"/>
  <c r="H259" i="120"/>
  <c r="F259" i="120"/>
  <c r="F258" i="120"/>
  <c r="H258" i="120" s="1"/>
  <c r="F257" i="120"/>
  <c r="F256" i="120"/>
  <c r="H256" i="120" s="1"/>
  <c r="F255" i="120"/>
  <c r="H255" i="120" s="1"/>
  <c r="F254" i="120"/>
  <c r="H254" i="120" s="1"/>
  <c r="H253" i="120"/>
  <c r="F253" i="120"/>
  <c r="F252" i="120"/>
  <c r="H252" i="120" s="1"/>
  <c r="F251" i="120"/>
  <c r="H251" i="120" s="1"/>
  <c r="F250" i="120"/>
  <c r="H250" i="120" s="1"/>
  <c r="H249" i="120"/>
  <c r="F249" i="120"/>
  <c r="F248" i="120"/>
  <c r="H248" i="120" s="1"/>
  <c r="F247" i="120"/>
  <c r="H247" i="120" s="1"/>
  <c r="F246" i="120"/>
  <c r="H246" i="120" s="1"/>
  <c r="H245" i="120"/>
  <c r="F245" i="120"/>
  <c r="F244" i="120"/>
  <c r="H244" i="120" s="1"/>
  <c r="F243" i="120"/>
  <c r="H243" i="120" s="1"/>
  <c r="F242" i="120"/>
  <c r="H242" i="120" s="1"/>
  <c r="H241" i="120"/>
  <c r="F241" i="120"/>
  <c r="F240" i="120"/>
  <c r="H240" i="120" s="1"/>
  <c r="F239" i="120"/>
  <c r="H239" i="120" s="1"/>
  <c r="F238" i="120"/>
  <c r="H238" i="120" s="1"/>
  <c r="H237" i="120"/>
  <c r="F237" i="120"/>
  <c r="F236" i="120"/>
  <c r="H236" i="120" s="1"/>
  <c r="F235" i="120"/>
  <c r="H235" i="120" s="1"/>
  <c r="F234" i="120"/>
  <c r="H234" i="120" s="1"/>
  <c r="H233" i="120"/>
  <c r="F233" i="120"/>
  <c r="F232" i="120"/>
  <c r="H232" i="120" s="1"/>
  <c r="F231" i="120"/>
  <c r="H231" i="120" s="1"/>
  <c r="F230" i="120"/>
  <c r="H230" i="120" s="1"/>
  <c r="H229" i="120"/>
  <c r="F229" i="120"/>
  <c r="F228" i="120"/>
  <c r="H228" i="120" s="1"/>
  <c r="F227" i="120"/>
  <c r="H227" i="120" s="1"/>
  <c r="F226" i="120"/>
  <c r="H226" i="120" s="1"/>
  <c r="H225" i="120"/>
  <c r="F225" i="120"/>
  <c r="F224" i="120"/>
  <c r="H224" i="120" s="1"/>
  <c r="F223" i="120"/>
  <c r="H223" i="120" s="1"/>
  <c r="F222" i="120"/>
  <c r="H222" i="120" s="1"/>
  <c r="H221" i="120"/>
  <c r="F221" i="120"/>
  <c r="F220" i="120"/>
  <c r="H220" i="120" s="1"/>
  <c r="F219" i="120"/>
  <c r="H219" i="120" s="1"/>
  <c r="F218" i="120"/>
  <c r="F217" i="120"/>
  <c r="H217" i="120" s="1"/>
  <c r="H216" i="120"/>
  <c r="F216" i="120"/>
  <c r="F215" i="120"/>
  <c r="H215" i="120" s="1"/>
  <c r="H214" i="120"/>
  <c r="F214" i="120"/>
  <c r="F213" i="120"/>
  <c r="H212" i="120"/>
  <c r="F212" i="120"/>
  <c r="F211" i="120"/>
  <c r="H211" i="120" s="1"/>
  <c r="F210" i="120"/>
  <c r="H210" i="120" s="1"/>
  <c r="F209" i="120"/>
  <c r="H209" i="120" s="1"/>
  <c r="F208" i="120"/>
  <c r="H207" i="120"/>
  <c r="F207" i="120"/>
  <c r="F206" i="120"/>
  <c r="H206" i="120" s="1"/>
  <c r="H205" i="120"/>
  <c r="F205" i="120"/>
  <c r="F204" i="120"/>
  <c r="H204" i="120" s="1"/>
  <c r="H203" i="120"/>
  <c r="F203" i="120"/>
  <c r="F202" i="120"/>
  <c r="H202" i="120" s="1"/>
  <c r="H201" i="120"/>
  <c r="F201" i="120"/>
  <c r="F200" i="120"/>
  <c r="H200" i="120" s="1"/>
  <c r="H199" i="120"/>
  <c r="F199" i="120"/>
  <c r="F198" i="120"/>
  <c r="H198" i="120" s="1"/>
  <c r="H197" i="120"/>
  <c r="F197" i="120"/>
  <c r="F196" i="120"/>
  <c r="H196" i="120" s="1"/>
  <c r="H195" i="120"/>
  <c r="F195" i="120"/>
  <c r="F194" i="120"/>
  <c r="F193" i="120"/>
  <c r="H193" i="120" s="1"/>
  <c r="F192" i="120"/>
  <c r="H192" i="120" s="1"/>
  <c r="H191" i="120"/>
  <c r="F191" i="120"/>
  <c r="F190" i="120"/>
  <c r="H190" i="120" s="1"/>
  <c r="F189" i="120"/>
  <c r="H188" i="120"/>
  <c r="F188" i="120"/>
  <c r="F187" i="120"/>
  <c r="H186" i="120"/>
  <c r="F186" i="120"/>
  <c r="F185" i="120"/>
  <c r="H185" i="120" s="1"/>
  <c r="F184" i="120"/>
  <c r="H184" i="120" s="1"/>
  <c r="F183" i="120"/>
  <c r="H183" i="120" s="1"/>
  <c r="H182" i="120"/>
  <c r="F182" i="120"/>
  <c r="F181" i="120"/>
  <c r="H181" i="120" s="1"/>
  <c r="F180" i="120"/>
  <c r="H180" i="120" s="1"/>
  <c r="F179" i="120"/>
  <c r="H179" i="120" s="1"/>
  <c r="H178" i="120"/>
  <c r="F178" i="120"/>
  <c r="F175" i="120"/>
  <c r="H175" i="120" s="1"/>
  <c r="F174" i="120"/>
  <c r="H174" i="120" s="1"/>
  <c r="F173" i="120"/>
  <c r="H173" i="120" s="1"/>
  <c r="H172" i="120"/>
  <c r="F172" i="120"/>
  <c r="F171" i="120"/>
  <c r="H171" i="120" s="1"/>
  <c r="F170" i="120"/>
  <c r="H170" i="120" s="1"/>
  <c r="F169" i="120"/>
  <c r="H169" i="120" s="1"/>
  <c r="H168" i="120"/>
  <c r="F168" i="120"/>
  <c r="F167" i="120"/>
  <c r="H167" i="120" s="1"/>
  <c r="F166" i="120"/>
  <c r="H166" i="120" s="1"/>
  <c r="F165" i="120"/>
  <c r="H165" i="120" s="1"/>
  <c r="H164" i="120"/>
  <c r="F164" i="120"/>
  <c r="F163" i="120"/>
  <c r="H163" i="120" s="1"/>
  <c r="F162" i="120"/>
  <c r="H162" i="120" s="1"/>
  <c r="F161" i="120"/>
  <c r="H161" i="120" s="1"/>
  <c r="H160" i="120"/>
  <c r="F160" i="120"/>
  <c r="F159" i="120"/>
  <c r="H159" i="120" s="1"/>
  <c r="F158" i="120"/>
  <c r="H158" i="120" s="1"/>
  <c r="F157" i="120"/>
  <c r="H157" i="120" s="1"/>
  <c r="H156" i="120"/>
  <c r="F156" i="120"/>
  <c r="F155" i="120"/>
  <c r="H155" i="120" s="1"/>
  <c r="F154" i="120"/>
  <c r="H154" i="120" s="1"/>
  <c r="F153" i="120"/>
  <c r="H153" i="120" s="1"/>
  <c r="H151" i="120"/>
  <c r="F151" i="120"/>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H138" i="120"/>
  <c r="F138" i="120"/>
  <c r="F137" i="120"/>
  <c r="H137" i="120" s="1"/>
  <c r="F136" i="120"/>
  <c r="H136" i="120" s="1"/>
  <c r="F135" i="120"/>
  <c r="H135" i="120" s="1"/>
  <c r="H134" i="120"/>
  <c r="F134" i="120"/>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H122" i="120"/>
  <c r="F122" i="120"/>
  <c r="F121" i="120"/>
  <c r="H121" i="120" s="1"/>
  <c r="F120" i="120"/>
  <c r="H120" i="120" s="1"/>
  <c r="F119" i="120"/>
  <c r="H119" i="120" s="1"/>
  <c r="H118" i="120"/>
  <c r="F118" i="120"/>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H105" i="120"/>
  <c r="F105" i="120"/>
  <c r="F104" i="120"/>
  <c r="H104" i="120" s="1"/>
  <c r="H103" i="120"/>
  <c r="F103" i="120"/>
  <c r="F102" i="120"/>
  <c r="H102" i="120" s="1"/>
  <c r="H101" i="120"/>
  <c r="F101" i="120"/>
  <c r="F100" i="120"/>
  <c r="H100" i="120" s="1"/>
  <c r="H99" i="120"/>
  <c r="F99" i="120"/>
  <c r="F98" i="120"/>
  <c r="H98" i="120" s="1"/>
  <c r="F97" i="120"/>
  <c r="F95" i="120"/>
  <c r="H95" i="120" s="1"/>
  <c r="F94" i="120"/>
  <c r="H94" i="120" s="1"/>
  <c r="F93" i="120"/>
  <c r="H93" i="120" s="1"/>
  <c r="H92" i="120"/>
  <c r="F92" i="120"/>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H77" i="120"/>
  <c r="F77" i="120"/>
  <c r="F76" i="120"/>
  <c r="H75" i="120"/>
  <c r="F75" i="120"/>
  <c r="F74" i="120"/>
  <c r="H74" i="120" s="1"/>
  <c r="F73" i="120"/>
  <c r="H73" i="120" s="1"/>
  <c r="F72" i="120"/>
  <c r="H72" i="120" s="1"/>
  <c r="H71" i="120"/>
  <c r="F71" i="120"/>
  <c r="F70" i="120"/>
  <c r="H70" i="120" s="1"/>
  <c r="F69" i="120"/>
  <c r="H68" i="120"/>
  <c r="F68" i="120"/>
  <c r="F67" i="120"/>
  <c r="H67" i="120" s="1"/>
  <c r="H66" i="120"/>
  <c r="F66" i="120"/>
  <c r="F65" i="120"/>
  <c r="H65" i="120" s="1"/>
  <c r="H64" i="120"/>
  <c r="F64" i="120"/>
  <c r="F63" i="120"/>
  <c r="H63" i="120" s="1"/>
  <c r="H60" i="120"/>
  <c r="F60" i="120"/>
  <c r="F59" i="120"/>
  <c r="H59" i="120" s="1"/>
  <c r="H58" i="120"/>
  <c r="F58" i="120"/>
  <c r="F57" i="120"/>
  <c r="H56" i="120"/>
  <c r="F56" i="120"/>
  <c r="F55" i="120"/>
  <c r="H55" i="120" s="1"/>
  <c r="F54" i="120"/>
  <c r="H54" i="120" s="1"/>
  <c r="F53" i="120"/>
  <c r="F51" i="120"/>
  <c r="H51" i="120" s="1"/>
  <c r="H50" i="120"/>
  <c r="F50" i="120"/>
  <c r="F49" i="120"/>
  <c r="H49" i="120" s="1"/>
  <c r="H48" i="120"/>
  <c r="F48" i="120"/>
  <c r="F47" i="120"/>
  <c r="H47" i="120" s="1"/>
  <c r="H46" i="120"/>
  <c r="F46" i="120"/>
  <c r="F45" i="120"/>
  <c r="H45" i="120" s="1"/>
  <c r="H44" i="120"/>
  <c r="F44" i="120"/>
  <c r="F43" i="120"/>
  <c r="H43" i="120" s="1"/>
  <c r="H42" i="120"/>
  <c r="F42" i="120"/>
  <c r="F41" i="120"/>
  <c r="H41" i="120" s="1"/>
  <c r="H40" i="120"/>
  <c r="F40" i="120"/>
  <c r="F39" i="120"/>
  <c r="H39" i="120" s="1"/>
  <c r="H38" i="120"/>
  <c r="F38" i="120"/>
  <c r="F37" i="120"/>
  <c r="F36" i="120"/>
  <c r="H36" i="120" s="1"/>
  <c r="F35" i="120"/>
  <c r="H35" i="120" s="1"/>
  <c r="H34" i="120"/>
  <c r="F34" i="120"/>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H10" i="120"/>
  <c r="F10" i="120"/>
  <c r="H276" i="120" l="1"/>
  <c r="H284" i="120" s="1"/>
  <c r="H285" i="120" s="1"/>
  <c r="H1891" i="1"/>
  <c r="H1892" i="1"/>
  <c r="H1890" i="1"/>
  <c r="H29" i="113"/>
  <c r="I29" i="113"/>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8"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6" i="15"/>
  <c r="A1176" i="15"/>
  <c r="C1175" i="15"/>
  <c r="A1175" i="15"/>
  <c r="C1174" i="15"/>
  <c r="A1174" i="15"/>
  <c r="C1173" i="15"/>
  <c r="A1173" i="15"/>
  <c r="C1177" i="15"/>
  <c r="A1171" i="15"/>
  <c r="A1172" i="15"/>
  <c r="A1177" i="15"/>
  <c r="C1172" i="15"/>
  <c r="C1171" i="15"/>
  <c r="I987" i="23"/>
  <c r="A987" i="23" s="1"/>
  <c r="I982" i="23"/>
  <c r="A982" i="23" s="1"/>
  <c r="I981" i="23"/>
  <c r="A981" i="23" s="1"/>
  <c r="I980" i="23"/>
  <c r="I979" i="23"/>
  <c r="A979" i="23" s="1"/>
  <c r="A980" i="23" s="1"/>
  <c r="D979" i="23"/>
  <c r="E61" i="15"/>
  <c r="H1879" i="1"/>
  <c r="H63" i="97" s="1"/>
  <c r="H1878" i="1"/>
  <c r="H78" i="97" s="1"/>
  <c r="T1879" i="1"/>
  <c r="T1878" i="1"/>
  <c r="C394" i="15"/>
  <c r="A394" i="15"/>
  <c r="A393" i="15"/>
  <c r="C392" i="15"/>
  <c r="A392" i="15"/>
  <c r="C395" i="15"/>
  <c r="A395" i="15"/>
  <c r="C404" i="15"/>
  <c r="A404" i="15"/>
  <c r="A403" i="15"/>
  <c r="A401" i="15"/>
  <c r="C400" i="15"/>
  <c r="A400" i="15"/>
  <c r="C405" i="15"/>
  <c r="A405" i="15"/>
  <c r="J405" i="15" s="1"/>
  <c r="E399" i="15"/>
  <c r="R884" i="1"/>
  <c r="R883" i="1"/>
  <c r="R882" i="1"/>
  <c r="R881" i="1"/>
  <c r="R880" i="1"/>
  <c r="R879" i="1"/>
  <c r="Q884" i="1"/>
  <c r="Q883" i="1"/>
  <c r="Q882" i="1"/>
  <c r="Q881" i="1"/>
  <c r="Q880" i="1"/>
  <c r="Q879" i="1"/>
  <c r="R873" i="1"/>
  <c r="Q873" i="1"/>
  <c r="R872" i="1"/>
  <c r="Q872" i="1"/>
  <c r="R871" i="1"/>
  <c r="Q871" i="1"/>
  <c r="R870" i="1"/>
  <c r="Q870" i="1"/>
  <c r="R869" i="1"/>
  <c r="Q869" i="1"/>
  <c r="I868" i="1"/>
  <c r="J868" i="1"/>
  <c r="M868" i="1"/>
  <c r="N868" i="1"/>
  <c r="O868" i="1"/>
  <c r="Q868" i="1"/>
  <c r="R868" i="1"/>
  <c r="I635" i="1"/>
  <c r="J635" i="1"/>
  <c r="M635" i="1"/>
  <c r="N635" i="1"/>
  <c r="O635" i="1"/>
  <c r="Q635" i="1"/>
  <c r="R635"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2" i="1"/>
  <c r="J642" i="1"/>
  <c r="M642" i="1"/>
  <c r="N642" i="1"/>
  <c r="O642" i="1"/>
  <c r="Q642" i="1"/>
  <c r="R642" i="1"/>
  <c r="I643" i="1"/>
  <c r="J643" i="1"/>
  <c r="M643" i="1"/>
  <c r="N643" i="1"/>
  <c r="O643" i="1"/>
  <c r="Q643" i="1"/>
  <c r="R643" i="1"/>
  <c r="I644" i="1"/>
  <c r="J644" i="1"/>
  <c r="M644" i="1"/>
  <c r="N644" i="1"/>
  <c r="O644" i="1"/>
  <c r="Q644" i="1"/>
  <c r="R644" i="1"/>
  <c r="T644" i="1"/>
  <c r="T643" i="1"/>
  <c r="T642" i="1"/>
  <c r="T641" i="1"/>
  <c r="D641" i="1"/>
  <c r="I641" i="1" s="1"/>
  <c r="T640" i="1"/>
  <c r="D640" i="1"/>
  <c r="J640" i="1" s="1"/>
  <c r="T639" i="1"/>
  <c r="G639" i="1"/>
  <c r="F639" i="1"/>
  <c r="T638" i="1"/>
  <c r="T637" i="1"/>
  <c r="G637" i="1"/>
  <c r="F637" i="1"/>
  <c r="T636" i="1"/>
  <c r="G636" i="1"/>
  <c r="F636" i="1"/>
  <c r="T635" i="1"/>
  <c r="G635" i="1"/>
  <c r="F635"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E1" i="41"/>
  <c r="GK1" i="41"/>
  <c r="DF3" i="41"/>
  <c r="DF2" i="41" s="1"/>
  <c r="DE3" i="41"/>
  <c r="DE2" i="41" s="1"/>
  <c r="DB3" i="41"/>
  <c r="DB2" i="41" s="1"/>
  <c r="CW3" i="41"/>
  <c r="CW2" i="41" s="1"/>
  <c r="CV3" i="41"/>
  <c r="CV2" i="41" s="1"/>
  <c r="CS3" i="41"/>
  <c r="CS2" i="41" s="1"/>
  <c r="CR3" i="41"/>
  <c r="CR2" i="41" s="1"/>
  <c r="T888" i="1"/>
  <c r="D888" i="1"/>
  <c r="C888" i="1"/>
  <c r="T887" i="1"/>
  <c r="C887" i="1"/>
  <c r="T886" i="1"/>
  <c r="C886" i="1"/>
  <c r="T885" i="1"/>
  <c r="C885" i="1"/>
  <c r="T884" i="1"/>
  <c r="N884" i="1"/>
  <c r="M884" i="1"/>
  <c r="J884" i="1"/>
  <c r="I884" i="1"/>
  <c r="G884" i="1"/>
  <c r="F884" i="1"/>
  <c r="T883" i="1"/>
  <c r="N883" i="1"/>
  <c r="M883" i="1"/>
  <c r="J883" i="1"/>
  <c r="I883" i="1"/>
  <c r="G883" i="1"/>
  <c r="F883" i="1"/>
  <c r="T882" i="1"/>
  <c r="N882" i="1"/>
  <c r="M882" i="1"/>
  <c r="J882" i="1"/>
  <c r="I882" i="1"/>
  <c r="G882" i="1"/>
  <c r="F882" i="1"/>
  <c r="T881" i="1"/>
  <c r="N881" i="1"/>
  <c r="M881" i="1"/>
  <c r="J881" i="1"/>
  <c r="I881" i="1"/>
  <c r="G881" i="1"/>
  <c r="F881" i="1"/>
  <c r="T880" i="1"/>
  <c r="J880" i="1"/>
  <c r="I880" i="1"/>
  <c r="N880" i="1"/>
  <c r="T879" i="1"/>
  <c r="N879" i="1"/>
  <c r="CI114" i="41"/>
  <c r="CJ114" i="41"/>
  <c r="CK114" i="41"/>
  <c r="CL114" i="41"/>
  <c r="CM114" i="41"/>
  <c r="CN114" i="41"/>
  <c r="CO114" i="41"/>
  <c r="CP114" i="41"/>
  <c r="CQ114" i="41"/>
  <c r="CR114" i="41"/>
  <c r="CS114" i="41"/>
  <c r="F800" i="1" l="1"/>
  <c r="J206" i="97"/>
  <c r="J210" i="97"/>
  <c r="J214" i="97"/>
  <c r="J218" i="97"/>
  <c r="J222" i="97"/>
  <c r="J226" i="97"/>
  <c r="J230" i="97"/>
  <c r="J234" i="97"/>
  <c r="J238" i="97"/>
  <c r="J242" i="97"/>
  <c r="J246" i="97"/>
  <c r="J250" i="97"/>
  <c r="J254" i="97"/>
  <c r="J258" i="97"/>
  <c r="J262" i="97"/>
  <c r="J266" i="97"/>
  <c r="J270" i="97"/>
  <c r="F855" i="1"/>
  <c r="J207" i="97"/>
  <c r="J211" i="97"/>
  <c r="J215" i="97"/>
  <c r="J219" i="97"/>
  <c r="J223" i="97"/>
  <c r="J227" i="97"/>
  <c r="J231" i="97"/>
  <c r="J235" i="97"/>
  <c r="J239" i="97"/>
  <c r="J243" i="97"/>
  <c r="J247" i="97"/>
  <c r="J251" i="97"/>
  <c r="J255" i="97"/>
  <c r="J259" i="97"/>
  <c r="J263" i="97"/>
  <c r="J267" i="97"/>
  <c r="F856" i="1"/>
  <c r="J204" i="97"/>
  <c r="J208" i="97"/>
  <c r="J212" i="97"/>
  <c r="J216" i="97"/>
  <c r="J220" i="97"/>
  <c r="J224" i="97"/>
  <c r="J228" i="97"/>
  <c r="J232" i="97"/>
  <c r="J236" i="97"/>
  <c r="J240" i="97"/>
  <c r="J244" i="97"/>
  <c r="J248" i="97"/>
  <c r="K248" i="97" s="1"/>
  <c r="J252" i="97"/>
  <c r="J256" i="97"/>
  <c r="J260" i="97"/>
  <c r="J264" i="97"/>
  <c r="J268" i="97"/>
  <c r="J205" i="97"/>
  <c r="J209" i="97"/>
  <c r="J213" i="97"/>
  <c r="J217" i="97"/>
  <c r="J221" i="97"/>
  <c r="J225" i="97"/>
  <c r="J229" i="97"/>
  <c r="J233" i="97"/>
  <c r="J237" i="97"/>
  <c r="J241" i="97"/>
  <c r="J245" i="97"/>
  <c r="J249" i="97"/>
  <c r="K249" i="97" s="1"/>
  <c r="J253" i="97"/>
  <c r="J257" i="97"/>
  <c r="J261" i="97"/>
  <c r="J265" i="97"/>
  <c r="J269" i="97"/>
  <c r="J170" i="97"/>
  <c r="J86" i="97"/>
  <c r="J124" i="97"/>
  <c r="J184" i="97"/>
  <c r="J138" i="97"/>
  <c r="J185" i="97"/>
  <c r="J152" i="97"/>
  <c r="J146" i="97"/>
  <c r="J178" i="97"/>
  <c r="J68" i="97"/>
  <c r="J56" i="97"/>
  <c r="J200" i="97"/>
  <c r="J131" i="97"/>
  <c r="J181" i="97"/>
  <c r="J180" i="97"/>
  <c r="J159" i="97"/>
  <c r="J78" i="97"/>
  <c r="J186" i="97"/>
  <c r="J157" i="97"/>
  <c r="J47" i="97"/>
  <c r="J113" i="97"/>
  <c r="J59" i="97"/>
  <c r="J99" i="97"/>
  <c r="J198" i="97"/>
  <c r="J153" i="97"/>
  <c r="J130" i="97"/>
  <c r="J173" i="97"/>
  <c r="J65" i="97"/>
  <c r="J145" i="97"/>
  <c r="J107" i="97"/>
  <c r="J49" i="97"/>
  <c r="J96" i="97"/>
  <c r="J137" i="97"/>
  <c r="J134" i="97"/>
  <c r="J69" i="97"/>
  <c r="J176" i="97"/>
  <c r="J191" i="97"/>
  <c r="J142" i="97"/>
  <c r="J171" i="97"/>
  <c r="J182" i="97"/>
  <c r="J175" i="97"/>
  <c r="J192" i="97"/>
  <c r="J64" i="97"/>
  <c r="J50" i="97"/>
  <c r="J143" i="97"/>
  <c r="J111" i="97"/>
  <c r="J194" i="97"/>
  <c r="J75" i="97"/>
  <c r="J165" i="97"/>
  <c r="J122" i="97"/>
  <c r="J127" i="97"/>
  <c r="J147" i="97"/>
  <c r="J167" i="97"/>
  <c r="J155" i="97"/>
  <c r="J118" i="97"/>
  <c r="J126" i="97"/>
  <c r="J88" i="97"/>
  <c r="J188" i="97"/>
  <c r="J195" i="97"/>
  <c r="J97" i="97"/>
  <c r="J141" i="97"/>
  <c r="J174" i="97"/>
  <c r="J46" i="97"/>
  <c r="J160" i="97"/>
  <c r="J136" i="97"/>
  <c r="J135" i="97"/>
  <c r="J117" i="97"/>
  <c r="J168" i="97"/>
  <c r="J183" i="97"/>
  <c r="J128" i="97"/>
  <c r="J163" i="97"/>
  <c r="J150" i="97"/>
  <c r="J187" i="97"/>
  <c r="J193" i="97"/>
  <c r="J114" i="97"/>
  <c r="J199" i="97"/>
  <c r="J177" i="97"/>
  <c r="J120" i="97"/>
  <c r="J70" i="97"/>
  <c r="J201" i="97"/>
  <c r="J4" i="97"/>
  <c r="J190" i="97"/>
  <c r="J129" i="97"/>
  <c r="J73" i="97"/>
  <c r="J196" i="97"/>
  <c r="J161" i="97"/>
  <c r="J48" i="97"/>
  <c r="J132" i="97"/>
  <c r="J164" i="97"/>
  <c r="J172" i="97"/>
  <c r="J139" i="97"/>
  <c r="J67" i="97"/>
  <c r="J154" i="97"/>
  <c r="J156" i="97"/>
  <c r="J112" i="97"/>
  <c r="J179" i="97"/>
  <c r="J63" i="97"/>
  <c r="J158" i="97"/>
  <c r="J108" i="97"/>
  <c r="J148" i="97"/>
  <c r="J166" i="97"/>
  <c r="J5" i="97"/>
  <c r="J189" i="97"/>
  <c r="J71" i="97"/>
  <c r="J98" i="97"/>
  <c r="J121" i="97"/>
  <c r="J162" i="97"/>
  <c r="J106" i="97"/>
  <c r="J123" i="97"/>
  <c r="J144" i="97"/>
  <c r="J151" i="97"/>
  <c r="J66" i="97"/>
  <c r="J149" i="97"/>
  <c r="J133" i="97"/>
  <c r="J119" i="97"/>
  <c r="J72" i="97"/>
  <c r="J197" i="97"/>
  <c r="J115" i="97"/>
  <c r="J169" i="97"/>
  <c r="J140" i="97"/>
  <c r="J7" i="97"/>
  <c r="J105" i="97"/>
  <c r="J3" i="97"/>
  <c r="G897" i="23"/>
  <c r="G75" i="97" s="1"/>
  <c r="F909" i="23"/>
  <c r="F105" i="97" s="1"/>
  <c r="E908" i="23"/>
  <c r="E107" i="97" s="1"/>
  <c r="E909" i="23"/>
  <c r="E105" i="97" s="1"/>
  <c r="F897" i="23"/>
  <c r="F75" i="97" s="1"/>
  <c r="G909" i="23"/>
  <c r="G105" i="97" s="1"/>
  <c r="G908" i="23"/>
  <c r="G107" i="97" s="1"/>
  <c r="E897" i="23"/>
  <c r="E75" i="97" s="1"/>
  <c r="F908" i="23"/>
  <c r="F107" i="97" s="1"/>
  <c r="F904" i="23"/>
  <c r="F56" i="97" s="1"/>
  <c r="G904" i="23"/>
  <c r="G56" i="97" s="1"/>
  <c r="E904" i="23"/>
  <c r="E56" i="97" s="1"/>
  <c r="F370" i="1"/>
  <c r="F199" i="97" s="1"/>
  <c r="F364" i="1"/>
  <c r="F133" i="97" s="1"/>
  <c r="F360" i="1"/>
  <c r="F86" i="97" s="1"/>
  <c r="F362" i="1"/>
  <c r="F131" i="97" s="1"/>
  <c r="F361" i="1"/>
  <c r="F363" i="1"/>
  <c r="F132" i="97" s="1"/>
  <c r="G361" i="1"/>
  <c r="E360" i="1"/>
  <c r="E86" i="97" s="1"/>
  <c r="G360" i="1"/>
  <c r="G86" i="97" s="1"/>
  <c r="G363" i="1"/>
  <c r="G132" i="97" s="1"/>
  <c r="E361" i="1"/>
  <c r="E363" i="1"/>
  <c r="E132" i="97" s="1"/>
  <c r="J2" i="97"/>
  <c r="D5" i="26"/>
  <c r="AO2" i="96"/>
  <c r="AN2" i="96"/>
  <c r="E982" i="23"/>
  <c r="F1147" i="23"/>
  <c r="F1123" i="23"/>
  <c r="F1125" i="23"/>
  <c r="F1148" i="23"/>
  <c r="E403" i="15"/>
  <c r="J403" i="15"/>
  <c r="E393" i="15"/>
  <c r="J393" i="15"/>
  <c r="G1125" i="23"/>
  <c r="G1148" i="23"/>
  <c r="E1173" i="15"/>
  <c r="J1173" i="15"/>
  <c r="G1123" i="23"/>
  <c r="E1174" i="15"/>
  <c r="J1174" i="15"/>
  <c r="E1077" i="23"/>
  <c r="F1077" i="23"/>
  <c r="E1124" i="23"/>
  <c r="E1147" i="23"/>
  <c r="E404" i="15"/>
  <c r="J404" i="15"/>
  <c r="G1077" i="23"/>
  <c r="F1124" i="23"/>
  <c r="E401" i="15"/>
  <c r="J401" i="15"/>
  <c r="E392" i="15"/>
  <c r="J392" i="15"/>
  <c r="D24" i="109"/>
  <c r="E25" i="109"/>
  <c r="D25" i="109"/>
  <c r="E24" i="109"/>
  <c r="E394" i="15"/>
  <c r="J394" i="15"/>
  <c r="E400" i="15"/>
  <c r="J400" i="15"/>
  <c r="E395" i="15"/>
  <c r="J395" i="15"/>
  <c r="E1172" i="15"/>
  <c r="J1172" i="15"/>
  <c r="G1147" i="23"/>
  <c r="E1177" i="15"/>
  <c r="J1177" i="15"/>
  <c r="E1175" i="15"/>
  <c r="J1175" i="15"/>
  <c r="G1124" i="23"/>
  <c r="E1171" i="15"/>
  <c r="J1171" i="15"/>
  <c r="E1176" i="15"/>
  <c r="J1176" i="15"/>
  <c r="E1123" i="23"/>
  <c r="E1125" i="23"/>
  <c r="E1148" i="23"/>
  <c r="I995" i="23"/>
  <c r="A995" i="23" s="1"/>
  <c r="E985" i="23"/>
  <c r="G88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0" i="1"/>
  <c r="G982" i="23"/>
  <c r="G886" i="1"/>
  <c r="F1879" i="1"/>
  <c r="F63" i="97" s="1"/>
  <c r="E885" i="1"/>
  <c r="E886" i="1"/>
  <c r="G641" i="1"/>
  <c r="G1879" i="1"/>
  <c r="G63" i="97" s="1"/>
  <c r="G885" i="1"/>
  <c r="F886" i="1"/>
  <c r="E888" i="1"/>
  <c r="F638" i="1"/>
  <c r="F640" i="1"/>
  <c r="E642" i="1"/>
  <c r="F885" i="1"/>
  <c r="F888" i="1"/>
  <c r="G638" i="1"/>
  <c r="G640" i="1"/>
  <c r="F642" i="1"/>
  <c r="E887" i="1"/>
  <c r="G888" i="1"/>
  <c r="G642" i="1"/>
  <c r="F1878" i="1"/>
  <c r="F78" i="97" s="1"/>
  <c r="F879" i="1"/>
  <c r="F887" i="1"/>
  <c r="G1878" i="1"/>
  <c r="G78" i="97" s="1"/>
  <c r="G879" i="1"/>
  <c r="G887" i="1"/>
  <c r="E641" i="1"/>
  <c r="E643" i="1"/>
  <c r="F641" i="1"/>
  <c r="G643" i="1"/>
  <c r="E644" i="1"/>
  <c r="F644" i="1"/>
  <c r="G644" i="1"/>
  <c r="F643" i="1"/>
  <c r="F880" i="1"/>
  <c r="F933" i="1"/>
  <c r="F121" i="97" s="1"/>
  <c r="F934" i="1"/>
  <c r="F117" i="97" s="1"/>
  <c r="F943" i="1"/>
  <c r="F122" i="97" s="1"/>
  <c r="F944" i="1"/>
  <c r="F118" i="97" s="1"/>
  <c r="F869" i="1"/>
  <c r="I640" i="1"/>
  <c r="Q641" i="1"/>
  <c r="O641" i="1"/>
  <c r="R640" i="1"/>
  <c r="Q640" i="1"/>
  <c r="N641" i="1"/>
  <c r="O640" i="1"/>
  <c r="M641" i="1"/>
  <c r="N640" i="1"/>
  <c r="M640" i="1"/>
  <c r="J641" i="1"/>
  <c r="R641" i="1"/>
  <c r="I879" i="1"/>
  <c r="M880" i="1"/>
  <c r="J879" i="1"/>
  <c r="D887" i="1"/>
  <c r="D886" i="1" s="1"/>
  <c r="M879" i="1"/>
  <c r="G2" i="114"/>
  <c r="F2" i="114"/>
  <c r="K13" i="109" l="1"/>
  <c r="D6" i="26"/>
  <c r="AP2" i="96"/>
  <c r="K255" i="97"/>
  <c r="K260" i="97"/>
  <c r="K270" i="97"/>
  <c r="K253" i="97"/>
  <c r="K265" i="97"/>
  <c r="K269" i="97"/>
  <c r="K264" i="97"/>
  <c r="K266" i="97"/>
  <c r="K250" i="97"/>
  <c r="K251" i="97"/>
  <c r="K261" i="97"/>
  <c r="K257" i="97"/>
  <c r="K259" i="97"/>
  <c r="K262" i="97"/>
  <c r="K254" i="97"/>
  <c r="K263" i="97"/>
  <c r="K267" i="97"/>
  <c r="K258" i="97"/>
  <c r="K256" i="97"/>
  <c r="K268" i="97"/>
  <c r="K252" i="97"/>
  <c r="K9" i="109"/>
  <c r="K10" i="109"/>
  <c r="K11" i="109"/>
  <c r="K12" i="109"/>
  <c r="K5" i="109"/>
  <c r="K8" i="109"/>
  <c r="K6" i="109"/>
  <c r="K4" i="109"/>
  <c r="K7" i="109"/>
  <c r="F7" i="107"/>
  <c r="G7" i="107" s="1"/>
  <c r="F9" i="107"/>
  <c r="G9" i="107" s="1"/>
  <c r="F10" i="107"/>
  <c r="G10" i="107" s="1"/>
  <c r="F8" i="107"/>
  <c r="G8" i="107" s="1"/>
  <c r="M5" i="109" l="1"/>
  <c r="M12" i="109"/>
  <c r="M13" i="109"/>
  <c r="M11" i="109"/>
  <c r="M7" i="109"/>
  <c r="M10" i="109"/>
  <c r="M4" i="109"/>
  <c r="M9" i="109"/>
  <c r="M6" i="109"/>
  <c r="M8" i="109"/>
  <c r="K147" i="97"/>
  <c r="K158" i="97"/>
  <c r="K176" i="97"/>
  <c r="K189" i="97"/>
  <c r="K188" i="97"/>
  <c r="K187" i="97"/>
  <c r="K178" i="97"/>
  <c r="K163" i="97"/>
  <c r="K186" i="97"/>
  <c r="K153" i="97"/>
  <c r="K162"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236" i="97"/>
  <c r="K169" i="97"/>
  <c r="K222" i="97"/>
  <c r="K224" i="97"/>
  <c r="K185" i="97"/>
  <c r="AC3" i="96"/>
  <c r="H1902" i="1"/>
  <c r="H55" i="97" s="1"/>
  <c r="GN3" i="41"/>
  <c r="GN2" i="41" s="1"/>
  <c r="GO3" i="41"/>
  <c r="GO2" i="41" s="1"/>
  <c r="GP3" i="41"/>
  <c r="GP2" i="41" s="1"/>
  <c r="GQ3" i="41"/>
  <c r="GR3" i="41"/>
  <c r="GR2" i="41" s="1"/>
  <c r="GS3" i="41"/>
  <c r="GS2" i="41" s="1"/>
  <c r="GT3" i="41"/>
  <c r="GT2" i="41" s="1"/>
  <c r="GU3" i="41"/>
  <c r="GU2" i="41" s="1"/>
  <c r="GV3" i="41"/>
  <c r="GV2" i="41" s="1"/>
  <c r="GW3" i="41"/>
  <c r="GW2" i="41" s="1"/>
  <c r="F1876" i="1"/>
  <c r="F15" i="97" s="1"/>
  <c r="D1830" i="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H1876" i="1"/>
  <c r="H15" i="97" s="1"/>
  <c r="R948" i="1"/>
  <c r="Q948" i="1"/>
  <c r="R947" i="1"/>
  <c r="Q947" i="1"/>
  <c r="R946" i="1"/>
  <c r="Q946" i="1"/>
  <c r="R944" i="1"/>
  <c r="Q944" i="1"/>
  <c r="I943" i="1"/>
  <c r="J943" i="1"/>
  <c r="M943" i="1"/>
  <c r="N943" i="1"/>
  <c r="O943" i="1"/>
  <c r="Q943" i="1"/>
  <c r="R943" i="1"/>
  <c r="R937" i="1"/>
  <c r="Q937" i="1"/>
  <c r="R936" i="1"/>
  <c r="Q936" i="1"/>
  <c r="R934" i="1"/>
  <c r="Q934" i="1"/>
  <c r="I933" i="1"/>
  <c r="J933" i="1"/>
  <c r="M933" i="1"/>
  <c r="N933" i="1"/>
  <c r="O933" i="1"/>
  <c r="Q933" i="1"/>
  <c r="R933" i="1"/>
  <c r="D629" i="1"/>
  <c r="D153" i="97" s="1"/>
  <c r="D10" i="26" l="1"/>
  <c r="AT2" i="96"/>
  <c r="GQ2" i="41"/>
  <c r="G1636" i="23"/>
  <c r="F1636" i="23"/>
  <c r="E1636" i="23"/>
  <c r="E1637" i="23"/>
  <c r="F1637" i="23"/>
  <c r="G1637" i="23"/>
  <c r="H1637" i="23"/>
  <c r="G1638" i="23"/>
  <c r="F1638" i="23"/>
  <c r="E1638" i="23"/>
  <c r="G1606" i="23"/>
  <c r="F1606" i="23"/>
  <c r="E1606" i="23"/>
  <c r="G1600" i="23"/>
  <c r="F1600" i="23"/>
  <c r="E1600" i="23"/>
  <c r="AU2" i="96" l="1"/>
  <c r="D11" i="26"/>
  <c r="AV2" i="96" s="1"/>
  <c r="K165" i="97"/>
  <c r="K175" i="97"/>
  <c r="K193" i="97"/>
  <c r="K192" i="97"/>
  <c r="D43" i="113"/>
  <c r="C7" i="26"/>
  <c r="C6" i="26"/>
  <c r="C5" i="26"/>
  <c r="C4" i="26"/>
  <c r="C3" i="26"/>
  <c r="CB2" i="18" l="1"/>
  <c r="CC2" i="18"/>
  <c r="CD2" i="18"/>
  <c r="CE2" i="18"/>
  <c r="CF2" i="18"/>
  <c r="CB3" i="18"/>
  <c r="CC3" i="18"/>
  <c r="CD3" i="18"/>
  <c r="CE3" i="18"/>
  <c r="CF3" i="18"/>
  <c r="T1752" i="1"/>
  <c r="T1753" i="1"/>
  <c r="T1756" i="1"/>
  <c r="T1757" i="1"/>
  <c r="T1758" i="1"/>
  <c r="T1759" i="1"/>
  <c r="T1760" i="1"/>
  <c r="T1761" i="1"/>
  <c r="T1762" i="1"/>
  <c r="T1763" i="1"/>
  <c r="T1764" i="1"/>
  <c r="T1765" i="1"/>
  <c r="T1766" i="1"/>
  <c r="T1767" i="1"/>
  <c r="T1768" i="1"/>
  <c r="T1769" i="1"/>
  <c r="T1770" i="1"/>
  <c r="T1771" i="1"/>
  <c r="T1772" i="1"/>
  <c r="R1772" i="1" s="1"/>
  <c r="Q1772" i="1" s="1"/>
  <c r="P1772" i="1" s="1"/>
  <c r="O1772" i="1" s="1"/>
  <c r="N1772" i="1" s="1"/>
  <c r="M1772" i="1" s="1"/>
  <c r="L1772" i="1" s="1"/>
  <c r="K1772" i="1" s="1"/>
  <c r="J1772" i="1" s="1"/>
  <c r="I1772" i="1" s="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50" i="1"/>
  <c r="T1851" i="1"/>
  <c r="T1852" i="1"/>
  <c r="T1853" i="1"/>
  <c r="T1854" i="1"/>
  <c r="T1855" i="1"/>
  <c r="T1856" i="1"/>
  <c r="T1857" i="1"/>
  <c r="T1858" i="1"/>
  <c r="T1859" i="1"/>
  <c r="T1860" i="1"/>
  <c r="T1861" i="1"/>
  <c r="T1863" i="1"/>
  <c r="T1864" i="1"/>
  <c r="T1865" i="1"/>
  <c r="T1866" i="1"/>
  <c r="T1867" i="1"/>
  <c r="T1870" i="1"/>
  <c r="T1872" i="1"/>
  <c r="T1874" i="1"/>
  <c r="T1875" i="1"/>
  <c r="T1876" i="1"/>
  <c r="T1877" i="1"/>
  <c r="T1880" i="1"/>
  <c r="T1882" i="1"/>
  <c r="T1883" i="1"/>
  <c r="T1884" i="1"/>
  <c r="T1885" i="1"/>
  <c r="T1886" i="1"/>
  <c r="T1887" i="1"/>
  <c r="T1888" i="1"/>
  <c r="T1889" i="1"/>
  <c r="T1890" i="1"/>
  <c r="T1891" i="1"/>
  <c r="T1892" i="1"/>
  <c r="T1893" i="1"/>
  <c r="T1894" i="1"/>
  <c r="T1895" i="1"/>
  <c r="T1896" i="1"/>
  <c r="T1897" i="1"/>
  <c r="T1899" i="1"/>
  <c r="T1900"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7" i="1" l="1"/>
  <c r="C1877" i="1" s="1"/>
  <c r="I1877" i="1"/>
  <c r="D244" i="115"/>
  <c r="G26" i="113"/>
  <c r="C240" i="115"/>
  <c r="G25" i="113"/>
  <c r="C239" i="115"/>
  <c r="H156" i="97"/>
  <c r="H161" i="97"/>
  <c r="G934" i="23"/>
  <c r="G91" i="97" s="1"/>
  <c r="F934" i="23"/>
  <c r="F91" i="97" s="1"/>
  <c r="E934" i="23"/>
  <c r="E91" i="97" s="1"/>
  <c r="E911" i="23"/>
  <c r="E90" i="97" s="1"/>
  <c r="H60" i="97"/>
  <c r="H62" i="97"/>
  <c r="G937" i="23"/>
  <c r="G156" i="97" s="1"/>
  <c r="F937" i="23"/>
  <c r="F156" i="97" s="1"/>
  <c r="E937" i="23"/>
  <c r="E156" i="97" s="1"/>
  <c r="G936" i="23"/>
  <c r="G161" i="97" s="1"/>
  <c r="F936" i="23"/>
  <c r="F161" i="97" s="1"/>
  <c r="E936" i="23"/>
  <c r="E161" i="97" s="1"/>
  <c r="G935" i="23"/>
  <c r="G50" i="97" s="1"/>
  <c r="F935" i="23"/>
  <c r="F50" i="97" s="1"/>
  <c r="E935" i="23"/>
  <c r="E50" i="97" s="1"/>
  <c r="G933" i="23"/>
  <c r="G97" i="97" s="1"/>
  <c r="F933" i="23"/>
  <c r="F97" i="97" s="1"/>
  <c r="E933" i="23"/>
  <c r="E97" i="97" s="1"/>
  <c r="G932" i="23"/>
  <c r="G99" i="97" s="1"/>
  <c r="F932" i="23"/>
  <c r="F99" i="97" s="1"/>
  <c r="E932" i="23"/>
  <c r="E99" i="97" s="1"/>
  <c r="B929" i="23"/>
  <c r="B928" i="23"/>
  <c r="B85" i="97" s="1"/>
  <c r="J85" i="97" s="1"/>
  <c r="B927" i="23"/>
  <c r="B58" i="97" s="1"/>
  <c r="J58" i="97" s="1"/>
  <c r="B925" i="23"/>
  <c r="B924" i="23"/>
  <c r="B923" i="23"/>
  <c r="B77" i="97" s="1"/>
  <c r="J77" i="97" s="1"/>
  <c r="B922" i="23"/>
  <c r="B74" i="97" s="1"/>
  <c r="J74" i="97" s="1"/>
  <c r="G931" i="23"/>
  <c r="G106" i="97" s="1"/>
  <c r="F931" i="23"/>
  <c r="F106" i="97" s="1"/>
  <c r="G930" i="23"/>
  <c r="G108" i="97" s="1"/>
  <c r="F930" i="23"/>
  <c r="F108" i="97" s="1"/>
  <c r="G926" i="23"/>
  <c r="G115" i="97" s="1"/>
  <c r="F926" i="23"/>
  <c r="F115" i="97" s="1"/>
  <c r="G921" i="23"/>
  <c r="G11" i="97" s="1"/>
  <c r="F921" i="23"/>
  <c r="F11" i="97" s="1"/>
  <c r="G920" i="23"/>
  <c r="F920" i="23"/>
  <c r="G919" i="23"/>
  <c r="G48" i="97" s="1"/>
  <c r="G918" i="23"/>
  <c r="G47" i="97" s="1"/>
  <c r="F918" i="23"/>
  <c r="F47" i="97" s="1"/>
  <c r="H917" i="23"/>
  <c r="H155" i="97" s="1"/>
  <c r="B907" i="23"/>
  <c r="B82" i="97" s="1"/>
  <c r="J82" i="97" s="1"/>
  <c r="B906" i="23"/>
  <c r="B84" i="97" s="1"/>
  <c r="J84" i="97" s="1"/>
  <c r="B912" i="23"/>
  <c r="E1111" i="15"/>
  <c r="B905" i="23"/>
  <c r="F902" i="23"/>
  <c r="B901" i="23"/>
  <c r="B61" i="97" s="1"/>
  <c r="J61" i="97" s="1"/>
  <c r="B900" i="23"/>
  <c r="B899" i="23"/>
  <c r="B76" i="97" s="1"/>
  <c r="J76" i="97" s="1"/>
  <c r="B898" i="23"/>
  <c r="G894" i="23"/>
  <c r="G10" i="97" s="1"/>
  <c r="F894" i="23"/>
  <c r="F10" i="97" s="1"/>
  <c r="E894" i="23"/>
  <c r="E10" i="97" s="1"/>
  <c r="F893" i="23"/>
  <c r="F895" i="23"/>
  <c r="F13" i="97" s="1"/>
  <c r="E1017" i="15"/>
  <c r="G837" i="23"/>
  <c r="G29" i="97" s="1"/>
  <c r="F837" i="23"/>
  <c r="F29" i="97" s="1"/>
  <c r="E837" i="23"/>
  <c r="E29" i="97" s="1"/>
  <c r="H828" i="23"/>
  <c r="G828" i="23"/>
  <c r="F828" i="23"/>
  <c r="E828" i="23"/>
  <c r="H822" i="23"/>
  <c r="H1927" i="1"/>
  <c r="H1928" i="1"/>
  <c r="H1930" i="1"/>
  <c r="H1921" i="1"/>
  <c r="H1922" i="1"/>
  <c r="H2005" i="1"/>
  <c r="H2031" i="1"/>
  <c r="G1934" i="1"/>
  <c r="F1934" i="1"/>
  <c r="E1934" i="1"/>
  <c r="G1933" i="1"/>
  <c r="F1933" i="1"/>
  <c r="E1933" i="1"/>
  <c r="M1796" i="1"/>
  <c r="M1795" i="1"/>
  <c r="I779" i="1"/>
  <c r="J779" i="1"/>
  <c r="M779" i="1"/>
  <c r="N779" i="1"/>
  <c r="O779"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B825" i="23"/>
  <c r="B6" i="97" s="1"/>
  <c r="J6" i="97" s="1"/>
  <c r="C2" i="41"/>
  <c r="FA114" i="41"/>
  <c r="FA3" i="41"/>
  <c r="FB114" i="41"/>
  <c r="FB3" i="41"/>
  <c r="FC114" i="41"/>
  <c r="FC3" i="41"/>
  <c r="FC2" i="41" s="1"/>
  <c r="F925" i="23" l="1"/>
  <c r="F62" i="97" s="1"/>
  <c r="B62" i="97"/>
  <c r="J62" i="97" s="1"/>
  <c r="K29" i="97"/>
  <c r="K40" i="97"/>
  <c r="K52" i="97"/>
  <c r="K50" i="97"/>
  <c r="K51" i="97"/>
  <c r="F905" i="23"/>
  <c r="F57" i="97" s="1"/>
  <c r="B57" i="97"/>
  <c r="F924" i="23"/>
  <c r="F60" i="97" s="1"/>
  <c r="B60" i="97"/>
  <c r="J60" i="97" s="1"/>
  <c r="G929" i="23"/>
  <c r="G83" i="97" s="1"/>
  <c r="B83" i="97"/>
  <c r="J83" i="97" s="1"/>
  <c r="FA2" i="41"/>
  <c r="F929" i="23"/>
  <c r="F83" i="97" s="1"/>
  <c r="G922" i="23"/>
  <c r="G74" i="97" s="1"/>
  <c r="G923" i="23"/>
  <c r="G77" i="97" s="1"/>
  <c r="F923" i="23"/>
  <c r="F77" i="97" s="1"/>
  <c r="G906" i="23"/>
  <c r="G84" i="97" s="1"/>
  <c r="G924" i="23"/>
  <c r="G60" i="97" s="1"/>
  <c r="G927" i="23"/>
  <c r="G58" i="97" s="1"/>
  <c r="F928" i="23"/>
  <c r="F85" i="97" s="1"/>
  <c r="G928" i="23"/>
  <c r="G85" i="97" s="1"/>
  <c r="G925" i="23"/>
  <c r="G62" i="97" s="1"/>
  <c r="F911" i="23"/>
  <c r="F90" i="97" s="1"/>
  <c r="G911" i="23"/>
  <c r="G90" i="97" s="1"/>
  <c r="F927" i="23"/>
  <c r="F58" i="97" s="1"/>
  <c r="E906" i="23"/>
  <c r="E84" i="97" s="1"/>
  <c r="F922" i="23"/>
  <c r="F74" i="97" s="1"/>
  <c r="F906" i="23"/>
  <c r="F84" i="97" s="1"/>
  <c r="FB2" i="41"/>
  <c r="K13" i="97" l="1"/>
  <c r="K20" i="97"/>
  <c r="K17" i="97"/>
  <c r="K7" i="97"/>
  <c r="J57" i="97"/>
  <c r="K5" i="97"/>
  <c r="K4" i="97"/>
  <c r="K2" i="97"/>
  <c r="K3" i="97"/>
  <c r="K123" i="97"/>
  <c r="K6" i="97"/>
  <c r="K83" i="97"/>
  <c r="K132" i="97"/>
  <c r="K66" i="97"/>
  <c r="K135" i="97"/>
  <c r="K111" i="97"/>
  <c r="K65" i="97"/>
  <c r="K71" i="97"/>
  <c r="K88" i="97"/>
  <c r="K112" i="97"/>
  <c r="K91" i="97"/>
  <c r="K73" i="97"/>
  <c r="G507" i="23"/>
  <c r="F507" i="23"/>
  <c r="E507" i="23"/>
  <c r="G506" i="23"/>
  <c r="F506" i="23"/>
  <c r="E506" i="23"/>
  <c r="G505" i="23"/>
  <c r="F505" i="23"/>
  <c r="E505" i="23"/>
  <c r="G480" i="23"/>
  <c r="F480" i="23"/>
  <c r="E480" i="23"/>
  <c r="G479" i="23"/>
  <c r="F479" i="23"/>
  <c r="E479" i="23"/>
  <c r="G2029" i="1" l="1"/>
  <c r="F2029" i="1"/>
  <c r="D613" i="1"/>
  <c r="L10" i="18"/>
  <c r="P2029"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7" i="1"/>
  <c r="Q747" i="1"/>
  <c r="I746" i="1"/>
  <c r="J746" i="1"/>
  <c r="M746" i="1"/>
  <c r="N746" i="1"/>
  <c r="O746" i="1"/>
  <c r="Q746" i="1"/>
  <c r="R746" i="1"/>
  <c r="K137" i="97"/>
  <c r="K240" i="97"/>
  <c r="K190" i="97"/>
  <c r="K179" i="97"/>
  <c r="K110" i="97"/>
  <c r="K161" i="97"/>
  <c r="K78" i="97"/>
  <c r="K218" i="97"/>
  <c r="K154" i="97"/>
  <c r="K196" i="97"/>
  <c r="K53" i="97"/>
  <c r="K214" i="97"/>
  <c r="K210" i="97"/>
  <c r="K59" i="97"/>
  <c r="K182" i="97"/>
  <c r="K241" i="97"/>
  <c r="K41" i="97"/>
  <c r="K230" i="97"/>
  <c r="K140" i="97"/>
  <c r="K227" i="97"/>
  <c r="K35" i="97"/>
  <c r="K211" i="97"/>
  <c r="K184" i="97"/>
  <c r="K61" i="97"/>
  <c r="K33" i="97"/>
  <c r="K118" i="97"/>
  <c r="K219" i="97"/>
  <c r="K22" i="97"/>
  <c r="K160" i="97"/>
  <c r="K237" i="97"/>
  <c r="K46" i="97"/>
  <c r="K105" i="97"/>
  <c r="K43" i="97"/>
  <c r="K104" i="97"/>
  <c r="K31" i="97"/>
  <c r="K85" i="97"/>
  <c r="K63" i="97"/>
  <c r="K74" i="97"/>
  <c r="K217" i="97"/>
  <c r="K142" i="97"/>
  <c r="K48" i="97"/>
  <c r="K229" i="97"/>
  <c r="K84" i="97"/>
  <c r="K130" i="97"/>
  <c r="K96" i="97"/>
  <c r="K206" i="97"/>
  <c r="K98" i="97"/>
  <c r="K26" i="97"/>
  <c r="K194" i="97"/>
  <c r="K95" i="97"/>
  <c r="K221" i="97"/>
  <c r="K157" i="97"/>
  <c r="K67" i="97"/>
  <c r="K117" i="97"/>
  <c r="K231" i="97"/>
  <c r="K108" i="97"/>
  <c r="K89" i="97"/>
  <c r="K156" i="97"/>
  <c r="K181" i="97"/>
  <c r="K37" i="97"/>
  <c r="K120" i="97"/>
  <c r="K36" i="97"/>
  <c r="K23" i="97"/>
  <c r="K198" i="97"/>
  <c r="K101" i="97"/>
  <c r="K167" i="97"/>
  <c r="K10" i="97"/>
  <c r="K19" i="97"/>
  <c r="K70" i="97"/>
  <c r="K220" i="97"/>
  <c r="K86" i="97"/>
  <c r="K152" i="97"/>
  <c r="K107" i="97"/>
  <c r="K170" i="97"/>
  <c r="K42" i="97"/>
  <c r="K15" i="97"/>
  <c r="K82" i="97"/>
  <c r="K146" i="97"/>
  <c r="K103" i="97"/>
  <c r="K87" i="97"/>
  <c r="K81" i="97"/>
  <c r="K80" i="97"/>
  <c r="K28" i="97"/>
  <c r="K207" i="97"/>
  <c r="K223" i="97"/>
  <c r="K128" i="97"/>
  <c r="K44" i="97"/>
  <c r="K57" i="97"/>
  <c r="K99" i="97"/>
  <c r="K166" i="97"/>
  <c r="K183" i="97"/>
  <c r="K25" i="97"/>
  <c r="K208" i="97"/>
  <c r="K168" i="97"/>
  <c r="K234" i="97"/>
  <c r="K126" i="97"/>
  <c r="K69" i="97"/>
  <c r="K121" i="97"/>
  <c r="K232" i="97"/>
  <c r="K233" i="97"/>
  <c r="K197" i="97"/>
  <c r="K151" i="97"/>
  <c r="K79" i="97"/>
  <c r="K93" i="97"/>
  <c r="K173" i="97"/>
  <c r="K77" i="97"/>
  <c r="K145" i="97"/>
  <c r="K138" i="97"/>
  <c r="K102" i="97"/>
  <c r="K49" i="97"/>
  <c r="K8" i="97"/>
  <c r="K114" i="97"/>
  <c r="K129" i="97"/>
  <c r="K235" i="97"/>
  <c r="K144" i="97"/>
  <c r="K148" i="97"/>
  <c r="K56" i="97"/>
  <c r="K68" i="97"/>
  <c r="K209" i="97"/>
  <c r="K47" i="97"/>
  <c r="E2314" i="1"/>
  <c r="F2314" i="1"/>
  <c r="C154" i="33" s="1"/>
  <c r="G2314" i="1"/>
  <c r="D154" i="33" s="1"/>
  <c r="P2309" i="1"/>
  <c r="D2309" i="1"/>
  <c r="E2310" i="1"/>
  <c r="F2310" i="1"/>
  <c r="C152" i="33" s="1"/>
  <c r="G2310" i="1"/>
  <c r="D152" i="33" s="1"/>
  <c r="E2311" i="1"/>
  <c r="F2311" i="1"/>
  <c r="G2311" i="1"/>
  <c r="E2040" i="1"/>
  <c r="F2040" i="1"/>
  <c r="G2040" i="1"/>
  <c r="E2035" i="1"/>
  <c r="F2035" i="1"/>
  <c r="G2035" i="1"/>
  <c r="E2033" i="1"/>
  <c r="F2033" i="1"/>
  <c r="G2033" i="1"/>
  <c r="E1955" i="1"/>
  <c r="D2034" i="1" s="1"/>
  <c r="H2034" i="1" s="1"/>
  <c r="P2034" i="1" s="1"/>
  <c r="C2034" i="1" s="1"/>
  <c r="F2028" i="1"/>
  <c r="G2028" i="1"/>
  <c r="E2022" i="1"/>
  <c r="F2022" i="1"/>
  <c r="C144" i="33" s="1"/>
  <c r="G2022" i="1"/>
  <c r="D144" i="33" s="1"/>
  <c r="F2023" i="1"/>
  <c r="C145" i="33" s="1"/>
  <c r="G2023" i="1"/>
  <c r="D145" i="33" s="1"/>
  <c r="E2020" i="1"/>
  <c r="F2020" i="1"/>
  <c r="G2020" i="1"/>
  <c r="D143" i="33" s="1"/>
  <c r="F2006" i="1"/>
  <c r="G2006" i="1"/>
  <c r="D129" i="33" s="1"/>
  <c r="F1996" i="1"/>
  <c r="C119" i="33" s="1"/>
  <c r="G1996" i="1"/>
  <c r="D119" i="33" s="1"/>
  <c r="F1992" i="1"/>
  <c r="C115" i="33" s="1"/>
  <c r="F1993" i="1"/>
  <c r="C116" i="33" s="1"/>
  <c r="F1994" i="1"/>
  <c r="C117" i="33" s="1"/>
  <c r="F1966" i="1"/>
  <c r="F1967" i="1"/>
  <c r="F1968" i="1"/>
  <c r="F1969" i="1"/>
  <c r="F1956" i="1"/>
  <c r="G1956" i="1"/>
  <c r="F1957" i="1"/>
  <c r="G1957" i="1"/>
  <c r="F1411" i="1"/>
  <c r="F127" i="97" s="1"/>
  <c r="G1411" i="1"/>
  <c r="G127" i="97" s="1"/>
  <c r="E1412" i="1"/>
  <c r="E111" i="97" s="1"/>
  <c r="F1412" i="1"/>
  <c r="F111" i="97" s="1"/>
  <c r="G1412" i="1"/>
  <c r="G111" i="97" s="1"/>
  <c r="E1413" i="1"/>
  <c r="E201" i="97" s="1"/>
  <c r="F1413" i="1"/>
  <c r="F201" i="97" s="1"/>
  <c r="G1413" i="1"/>
  <c r="G201" i="97" s="1"/>
  <c r="E1414" i="1"/>
  <c r="E172" i="97" s="1"/>
  <c r="F1414" i="1"/>
  <c r="F172" i="97" s="1"/>
  <c r="G1414" i="1"/>
  <c r="G172" i="97" s="1"/>
  <c r="F1173" i="1"/>
  <c r="F53" i="97" s="1"/>
  <c r="G1173" i="1"/>
  <c r="G53" i="97" s="1"/>
  <c r="F1174" i="1"/>
  <c r="F125" i="97" s="1"/>
  <c r="G1174" i="1"/>
  <c r="G125" i="97" s="1"/>
  <c r="F1175" i="1"/>
  <c r="F89" i="97" s="1"/>
  <c r="G1175" i="1"/>
  <c r="G89" i="97" s="1"/>
  <c r="F1177" i="1"/>
  <c r="F21" i="97" s="1"/>
  <c r="G1177" i="1"/>
  <c r="G21" i="97" s="1"/>
  <c r="F1178" i="1"/>
  <c r="F69" i="97" s="1"/>
  <c r="G1178" i="1"/>
  <c r="G69" i="97" s="1"/>
  <c r="F1179" i="1"/>
  <c r="F130" i="97" s="1"/>
  <c r="G1179" i="1"/>
  <c r="G130" i="97" s="1"/>
  <c r="F1180" i="1"/>
  <c r="F109" i="97" s="1"/>
  <c r="G1180" i="1"/>
  <c r="G109" i="97" s="1"/>
  <c r="E1181" i="1"/>
  <c r="E159" i="97" s="1"/>
  <c r="F1181" i="1"/>
  <c r="F159" i="97" s="1"/>
  <c r="G1181" i="1"/>
  <c r="G159" i="97" s="1"/>
  <c r="F1088" i="1"/>
  <c r="G1088" i="1"/>
  <c r="F1089" i="1"/>
  <c r="G1089" i="1"/>
  <c r="F1090" i="1"/>
  <c r="G1090" i="1"/>
  <c r="F1091" i="1"/>
  <c r="G1091" i="1"/>
  <c r="F1092" i="1"/>
  <c r="G1092" i="1"/>
  <c r="F1093" i="1"/>
  <c r="G1093" i="1"/>
  <c r="F746" i="1"/>
  <c r="G746" i="1"/>
  <c r="F747" i="1"/>
  <c r="G747" i="1"/>
  <c r="F245" i="1"/>
  <c r="F200" i="97" s="1"/>
  <c r="G245" i="1"/>
  <c r="G200" i="97" s="1"/>
  <c r="E246" i="1"/>
  <c r="E170" i="97" s="1"/>
  <c r="F246" i="1"/>
  <c r="F170" i="97" s="1"/>
  <c r="G246" i="1"/>
  <c r="G170"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1"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3" i="1"/>
  <c r="F2313" i="1"/>
  <c r="E2313" i="1"/>
  <c r="CV94" i="18"/>
  <c r="CU94" i="18"/>
  <c r="CT94" i="18"/>
  <c r="CR94" i="18"/>
  <c r="D2023" i="1" s="1"/>
  <c r="H2023" i="1" s="1"/>
  <c r="I1088" i="1"/>
  <c r="J1088" i="1"/>
  <c r="M1088" i="1"/>
  <c r="N1088" i="1"/>
  <c r="O1088" i="1"/>
  <c r="Q1088" i="1"/>
  <c r="R1088" i="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J1831" i="1"/>
  <c r="M1831" i="1"/>
  <c r="N1831" i="1"/>
  <c r="O1831" i="1"/>
  <c r="D1773" i="1"/>
  <c r="K1773" i="1" s="1"/>
  <c r="D1774" i="1"/>
  <c r="K1774" i="1" s="1"/>
  <c r="D1776" i="1"/>
  <c r="D1777" i="1"/>
  <c r="K1777" i="1" s="1"/>
  <c r="D1779" i="1"/>
  <c r="K1779" i="1" s="1"/>
  <c r="D1780" i="1"/>
  <c r="K1780" i="1" s="1"/>
  <c r="D1781" i="1"/>
  <c r="K1781" i="1" s="1"/>
  <c r="K1785" i="1"/>
  <c r="D1787" i="1"/>
  <c r="K1787" i="1" s="1"/>
  <c r="D1788" i="1"/>
  <c r="K1788" i="1" s="1"/>
  <c r="D1789" i="1"/>
  <c r="K1789" i="1" s="1"/>
  <c r="D1791" i="1"/>
  <c r="K1791" i="1" s="1"/>
  <c r="D1792" i="1"/>
  <c r="K1792" i="1" s="1"/>
  <c r="D1793" i="1"/>
  <c r="K1793" i="1" s="1"/>
  <c r="D1802" i="1"/>
  <c r="K1802" i="1" s="1"/>
  <c r="D1803" i="1"/>
  <c r="K1803" i="1" s="1"/>
  <c r="K1804" i="1"/>
  <c r="D1806" i="1"/>
  <c r="K1806" i="1" s="1"/>
  <c r="D1807" i="1"/>
  <c r="K1807" i="1" s="1"/>
  <c r="D1808" i="1"/>
  <c r="D1809" i="1"/>
  <c r="K1809" i="1" s="1"/>
  <c r="D1810" i="1"/>
  <c r="K1810" i="1" s="1"/>
  <c r="K1812" i="1"/>
  <c r="D1813" i="1"/>
  <c r="K1813" i="1" s="1"/>
  <c r="K1820" i="1"/>
  <c r="D1822" i="1"/>
  <c r="K1822" i="1" s="1"/>
  <c r="D1823" i="1"/>
  <c r="K1823" i="1" s="1"/>
  <c r="D1824" i="1"/>
  <c r="D1825" i="1"/>
  <c r="K1825" i="1" s="1"/>
  <c r="K1826" i="1"/>
  <c r="K182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54"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1" i="1"/>
  <c r="G1901" i="1"/>
  <c r="F1877" i="1"/>
  <c r="G1877" i="1"/>
  <c r="EC114" i="41"/>
  <c r="F1873" i="1"/>
  <c r="F100" i="97" s="1"/>
  <c r="G1873" i="1"/>
  <c r="G100" i="97" s="1"/>
  <c r="EB114" i="41"/>
  <c r="F1871" i="1"/>
  <c r="F104" i="97" s="1"/>
  <c r="G1871" i="1"/>
  <c r="G104" i="97" s="1"/>
  <c r="F1868" i="1"/>
  <c r="F128" i="97" s="1"/>
  <c r="G1868" i="1"/>
  <c r="G128" i="97" s="1"/>
  <c r="F1869" i="1"/>
  <c r="F126" i="97" s="1"/>
  <c r="G1869" i="1"/>
  <c r="G126" i="97" s="1"/>
  <c r="F1862" i="1"/>
  <c r="G1862" i="1"/>
  <c r="B3" i="41"/>
  <c r="EX114" i="41"/>
  <c r="B114" i="41"/>
  <c r="G1867" i="1"/>
  <c r="F1867" i="1"/>
  <c r="E1867" i="1"/>
  <c r="G1866" i="1"/>
  <c r="F1866" i="1"/>
  <c r="E1866" i="1"/>
  <c r="I1816" i="1"/>
  <c r="J1816" i="1"/>
  <c r="L1816" i="1"/>
  <c r="M1816" i="1"/>
  <c r="N1816" i="1"/>
  <c r="O1816" i="1"/>
  <c r="Q1816" i="1"/>
  <c r="R1816" i="1"/>
  <c r="I1815" i="1"/>
  <c r="J1815" i="1"/>
  <c r="L1815" i="1"/>
  <c r="M1815" i="1"/>
  <c r="N1815" i="1"/>
  <c r="O1815" i="1"/>
  <c r="Q1815" i="1"/>
  <c r="R1815" i="1"/>
  <c r="G1817" i="1"/>
  <c r="F1817" i="1"/>
  <c r="F124" i="97"/>
  <c r="F954" i="1"/>
  <c r="E391" i="15"/>
  <c r="E398" i="15"/>
  <c r="EG3" i="41"/>
  <c r="EG114" i="41"/>
  <c r="B3" i="78"/>
  <c r="E18" i="113"/>
  <c r="E29" i="113" s="1"/>
  <c r="J1095" i="1"/>
  <c r="I109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3"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D5" i="107"/>
  <c r="C87" i="115" s="1"/>
  <c r="D6" i="107"/>
  <c r="C88" i="115" s="1"/>
  <c r="D7" i="107"/>
  <c r="C89" i="115" s="1"/>
  <c r="D8" i="107"/>
  <c r="C90" i="115" s="1"/>
  <c r="D9" i="107"/>
  <c r="C91" i="115" s="1"/>
  <c r="D10" i="107"/>
  <c r="C92" i="115" s="1"/>
  <c r="D4" i="107"/>
  <c r="C86" i="115" s="1"/>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81" i="1"/>
  <c r="P2281" i="1" s="1"/>
  <c r="C2281" i="1" s="1"/>
  <c r="G2281" i="1"/>
  <c r="F2281" i="1"/>
  <c r="E2281" i="1"/>
  <c r="H2280" i="1"/>
  <c r="P2280" i="1" s="1"/>
  <c r="C2280" i="1" s="1"/>
  <c r="G2280" i="1"/>
  <c r="F2280" i="1"/>
  <c r="E2280" i="1"/>
  <c r="D6" i="113"/>
  <c r="E78" i="109"/>
  <c r="D78" i="109"/>
  <c r="C195" i="115" s="1"/>
  <c r="E77" i="109"/>
  <c r="D77" i="109"/>
  <c r="C194" i="115" s="1"/>
  <c r="E76" i="109"/>
  <c r="D76" i="109"/>
  <c r="C193" i="115" s="1"/>
  <c r="E75" i="109"/>
  <c r="D75" i="109"/>
  <c r="C192" i="115" s="1"/>
  <c r="E74" i="109"/>
  <c r="D74" i="109"/>
  <c r="E73" i="109"/>
  <c r="D73" i="109"/>
  <c r="E72" i="109"/>
  <c r="D72" i="109"/>
  <c r="E71" i="109"/>
  <c r="D71" i="109"/>
  <c r="E66" i="109"/>
  <c r="E191" i="115" s="1"/>
  <c r="D66" i="109"/>
  <c r="C191" i="115" s="1"/>
  <c r="E65" i="109"/>
  <c r="E190" i="115" s="1"/>
  <c r="D65" i="109"/>
  <c r="C190" i="115" s="1"/>
  <c r="E64" i="109"/>
  <c r="E189" i="115" s="1"/>
  <c r="D64" i="109"/>
  <c r="C189" i="115" s="1"/>
  <c r="E63" i="109"/>
  <c r="E188" i="115" s="1"/>
  <c r="D63" i="109"/>
  <c r="C188" i="115" s="1"/>
  <c r="E62" i="109"/>
  <c r="E187" i="115" s="1"/>
  <c r="D62" i="109"/>
  <c r="C187" i="115" s="1"/>
  <c r="A2" i="91"/>
  <c r="H77" i="109"/>
  <c r="F2102" i="1"/>
  <c r="F2060" i="1"/>
  <c r="G2060" i="1"/>
  <c r="F2059"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5" i="15"/>
  <c r="G131" i="23"/>
  <c r="F131" i="23"/>
  <c r="E131" i="23"/>
  <c r="E464" i="15"/>
  <c r="B107" i="23"/>
  <c r="B105" i="23"/>
  <c r="G105" i="23" s="1"/>
  <c r="E1262" i="15"/>
  <c r="G2021" i="1"/>
  <c r="F2021" i="1"/>
  <c r="E2021"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36" i="1"/>
  <c r="Q835" i="1"/>
  <c r="Q834" i="1"/>
  <c r="R997" i="1"/>
  <c r="R998" i="1"/>
  <c r="R999" i="1"/>
  <c r="R1000" i="1"/>
  <c r="Q997" i="1"/>
  <c r="Q998" i="1"/>
  <c r="Q999" i="1"/>
  <c r="Q1000" i="1"/>
  <c r="R990" i="1"/>
  <c r="R991" i="1"/>
  <c r="C197" i="115"/>
  <c r="D197" i="115"/>
  <c r="D58" i="109"/>
  <c r="C183" i="115" s="1"/>
  <c r="E58" i="109"/>
  <c r="E183" i="115" s="1"/>
  <c r="H58" i="109"/>
  <c r="D59" i="109"/>
  <c r="C184" i="115" s="1"/>
  <c r="E59" i="109"/>
  <c r="E184" i="115" s="1"/>
  <c r="H59" i="109"/>
  <c r="D60" i="109"/>
  <c r="C185" i="115" s="1"/>
  <c r="E60" i="109"/>
  <c r="E185" i="115" s="1"/>
  <c r="H60" i="109"/>
  <c r="D61" i="109"/>
  <c r="C186" i="115" s="1"/>
  <c r="E61" i="109"/>
  <c r="E186" i="115" s="1"/>
  <c r="H61" i="109"/>
  <c r="D79" i="109"/>
  <c r="C196" i="115" s="1"/>
  <c r="E79" i="109"/>
  <c r="H79" i="109"/>
  <c r="E5" i="109"/>
  <c r="E126" i="115" s="1"/>
  <c r="E6" i="109"/>
  <c r="E127" i="115" s="1"/>
  <c r="E7" i="109"/>
  <c r="E128" i="115" s="1"/>
  <c r="E8" i="109"/>
  <c r="E129" i="115" s="1"/>
  <c r="E11" i="109"/>
  <c r="E132" i="115" s="1"/>
  <c r="E12" i="109"/>
  <c r="E133" i="115" s="1"/>
  <c r="E13" i="109"/>
  <c r="E134" i="115" s="1"/>
  <c r="E135" i="115"/>
  <c r="E136" i="115"/>
  <c r="E137" i="115"/>
  <c r="E138" i="115"/>
  <c r="E14" i="109"/>
  <c r="E139" i="115" s="1"/>
  <c r="E15" i="109"/>
  <c r="E140" i="115" s="1"/>
  <c r="E16" i="109"/>
  <c r="E141" i="115" s="1"/>
  <c r="E17" i="109"/>
  <c r="E142" i="115" s="1"/>
  <c r="E18" i="109"/>
  <c r="E143" i="115" s="1"/>
  <c r="E144" i="115"/>
  <c r="E19" i="109"/>
  <c r="E145" i="115" s="1"/>
  <c r="E146" i="115"/>
  <c r="E20" i="109"/>
  <c r="E147" i="115" s="1"/>
  <c r="E21" i="109"/>
  <c r="E148" i="115" s="1"/>
  <c r="E22" i="109"/>
  <c r="E149" i="115" s="1"/>
  <c r="E23" i="109"/>
  <c r="E150" i="115" s="1"/>
  <c r="E26" i="109"/>
  <c r="E151" i="115" s="1"/>
  <c r="E27" i="109"/>
  <c r="E152" i="115" s="1"/>
  <c r="E28" i="109"/>
  <c r="E153" i="115" s="1"/>
  <c r="E29" i="109"/>
  <c r="E154" i="115" s="1"/>
  <c r="E30" i="109"/>
  <c r="E155" i="115" s="1"/>
  <c r="E31" i="109"/>
  <c r="E156" i="115" s="1"/>
  <c r="E32" i="109"/>
  <c r="E157" i="115" s="1"/>
  <c r="E33" i="109"/>
  <c r="E158" i="115" s="1"/>
  <c r="E34" i="109"/>
  <c r="E159" i="115" s="1"/>
  <c r="E35" i="109"/>
  <c r="E160" i="115" s="1"/>
  <c r="E36" i="109"/>
  <c r="E161" i="115" s="1"/>
  <c r="E37" i="109"/>
  <c r="E162" i="115" s="1"/>
  <c r="E38" i="109"/>
  <c r="E163" i="115" s="1"/>
  <c r="E39" i="109"/>
  <c r="E164" i="115" s="1"/>
  <c r="E40" i="109"/>
  <c r="E165" i="115" s="1"/>
  <c r="E41" i="109"/>
  <c r="E166" i="115" s="1"/>
  <c r="E42" i="109"/>
  <c r="E167" i="115" s="1"/>
  <c r="E43" i="109"/>
  <c r="E168" i="115" s="1"/>
  <c r="E44" i="109"/>
  <c r="E169" i="115" s="1"/>
  <c r="E45" i="109"/>
  <c r="E170" i="115" s="1"/>
  <c r="E46" i="109"/>
  <c r="E171" i="115" s="1"/>
  <c r="E47" i="109"/>
  <c r="E172" i="115" s="1"/>
  <c r="E48" i="109"/>
  <c r="E173" i="115" s="1"/>
  <c r="E49" i="109"/>
  <c r="E174" i="115" s="1"/>
  <c r="E50" i="109"/>
  <c r="E175" i="115" s="1"/>
  <c r="E51" i="109"/>
  <c r="E176" i="115" s="1"/>
  <c r="E52" i="109"/>
  <c r="E177" i="115" s="1"/>
  <c r="E53" i="109"/>
  <c r="E178" i="115" s="1"/>
  <c r="E54" i="109"/>
  <c r="E179" i="115" s="1"/>
  <c r="E55" i="109"/>
  <c r="E180" i="115" s="1"/>
  <c r="E56" i="109"/>
  <c r="E181" i="115" s="1"/>
  <c r="E57"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C135" i="115"/>
  <c r="C136" i="115"/>
  <c r="C137" i="115"/>
  <c r="C138" i="115"/>
  <c r="D14" i="109"/>
  <c r="C139" i="115" s="1"/>
  <c r="H14" i="109"/>
  <c r="D15" i="109"/>
  <c r="C140" i="115" s="1"/>
  <c r="H15" i="109"/>
  <c r="D16" i="109"/>
  <c r="C141" i="115" s="1"/>
  <c r="H16" i="109"/>
  <c r="D17" i="109"/>
  <c r="C142" i="115" s="1"/>
  <c r="H17" i="109"/>
  <c r="D18" i="109"/>
  <c r="C143" i="115" s="1"/>
  <c r="H18" i="109"/>
  <c r="C144" i="115"/>
  <c r="D19" i="109"/>
  <c r="C145" i="115" s="1"/>
  <c r="H19" i="109"/>
  <c r="C146" i="115"/>
  <c r="D20" i="109"/>
  <c r="C147" i="115" s="1"/>
  <c r="H20" i="109"/>
  <c r="D21" i="109"/>
  <c r="C148" i="115" s="1"/>
  <c r="H21" i="109"/>
  <c r="D22" i="109"/>
  <c r="C149" i="115" s="1"/>
  <c r="H22" i="109"/>
  <c r="D23" i="109"/>
  <c r="C150" i="115" s="1"/>
  <c r="H23" i="109"/>
  <c r="D26" i="109"/>
  <c r="C151" i="115" s="1"/>
  <c r="H26" i="109"/>
  <c r="D27" i="109"/>
  <c r="C152" i="115" s="1"/>
  <c r="H27" i="109"/>
  <c r="D28" i="109"/>
  <c r="C153" i="115" s="1"/>
  <c r="H28" i="109"/>
  <c r="D29" i="109"/>
  <c r="C154" i="115" s="1"/>
  <c r="H29" i="109"/>
  <c r="D30" i="109"/>
  <c r="C155" i="115" s="1"/>
  <c r="H30" i="109"/>
  <c r="D31" i="109"/>
  <c r="C156" i="115" s="1"/>
  <c r="H31" i="109"/>
  <c r="D32" i="109"/>
  <c r="C157" i="115" s="1"/>
  <c r="H32" i="109"/>
  <c r="D33" i="109"/>
  <c r="C158" i="115" s="1"/>
  <c r="H33" i="109"/>
  <c r="D34" i="109"/>
  <c r="C159" i="115" s="1"/>
  <c r="H34" i="109"/>
  <c r="D35" i="109"/>
  <c r="C160" i="115" s="1"/>
  <c r="H35" i="109"/>
  <c r="D36" i="109"/>
  <c r="C161" i="115" s="1"/>
  <c r="H36" i="109"/>
  <c r="D37" i="109"/>
  <c r="C162" i="115" s="1"/>
  <c r="H37" i="109"/>
  <c r="D38" i="109"/>
  <c r="C163" i="115" s="1"/>
  <c r="H38" i="109"/>
  <c r="D39" i="109"/>
  <c r="C164" i="115" s="1"/>
  <c r="H39" i="109"/>
  <c r="D40" i="109"/>
  <c r="C165" i="115" s="1"/>
  <c r="H40" i="109"/>
  <c r="D41" i="109"/>
  <c r="C166" i="115" s="1"/>
  <c r="H41" i="109"/>
  <c r="D42" i="109"/>
  <c r="C167" i="115" s="1"/>
  <c r="H42" i="109"/>
  <c r="D43" i="109"/>
  <c r="C168" i="115" s="1"/>
  <c r="H43" i="109"/>
  <c r="D44" i="109"/>
  <c r="C169" i="115" s="1"/>
  <c r="H44" i="109"/>
  <c r="D45" i="109"/>
  <c r="C170" i="115" s="1"/>
  <c r="H45" i="109"/>
  <c r="D46" i="109"/>
  <c r="C171" i="115" s="1"/>
  <c r="H46" i="109"/>
  <c r="D47" i="109"/>
  <c r="C172" i="115" s="1"/>
  <c r="H47" i="109"/>
  <c r="D48" i="109"/>
  <c r="C173" i="115" s="1"/>
  <c r="H48" i="109"/>
  <c r="D49" i="109"/>
  <c r="C174" i="115" s="1"/>
  <c r="H49" i="109"/>
  <c r="D50" i="109"/>
  <c r="C175" i="115" s="1"/>
  <c r="H50" i="109"/>
  <c r="D51" i="109"/>
  <c r="C176" i="115" s="1"/>
  <c r="H51" i="109"/>
  <c r="D52" i="109"/>
  <c r="C177" i="115" s="1"/>
  <c r="H52" i="109"/>
  <c r="D53" i="109"/>
  <c r="C178" i="115" s="1"/>
  <c r="H53" i="109"/>
  <c r="D54" i="109"/>
  <c r="C179" i="115" s="1"/>
  <c r="H54" i="109"/>
  <c r="D55" i="109"/>
  <c r="C180" i="115" s="1"/>
  <c r="H55" i="109"/>
  <c r="D56" i="109"/>
  <c r="C181" i="115" s="1"/>
  <c r="H56" i="109"/>
  <c r="D57" i="109"/>
  <c r="C182" i="115" s="1"/>
  <c r="H57"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3" i="15"/>
  <c r="E990" i="15"/>
  <c r="H2552" i="23"/>
  <c r="H2641" i="23" s="1"/>
  <c r="H2646" i="23" s="1"/>
  <c r="H2364" i="23"/>
  <c r="H2490" i="23" s="1"/>
  <c r="H2492" i="23" s="1"/>
  <c r="H2139" i="23"/>
  <c r="H1901" i="23"/>
  <c r="H1682" i="23"/>
  <c r="H1687" i="23" s="1"/>
  <c r="H1780" i="23" s="1"/>
  <c r="H1785" i="23" s="1"/>
  <c r="H1445" i="23"/>
  <c r="H1496" i="23" s="1"/>
  <c r="H1135" i="23"/>
  <c r="H1060" i="23"/>
  <c r="D822" i="23"/>
  <c r="D2" i="97" s="1"/>
  <c r="H794" i="23"/>
  <c r="H808" i="23" s="1"/>
  <c r="H160" i="23"/>
  <c r="E265" i="15"/>
  <c r="E311"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3" i="1" s="1"/>
  <c r="BP94" i="18"/>
  <c r="D1977" i="1" s="1"/>
  <c r="BQ94" i="18"/>
  <c r="BR94" i="18"/>
  <c r="BS94" i="18"/>
  <c r="D1970" i="1" s="1"/>
  <c r="BT94" i="18"/>
  <c r="D1987" i="1" s="1"/>
  <c r="D1988" i="1" s="1"/>
  <c r="H1988" i="1" s="1"/>
  <c r="BU94" i="18"/>
  <c r="D1991" i="1" s="1"/>
  <c r="D1995" i="1" s="1"/>
  <c r="BV94" i="18"/>
  <c r="D1981" i="1" s="1"/>
  <c r="BW94" i="18"/>
  <c r="D1997" i="1" s="1"/>
  <c r="D1999" i="1" s="1"/>
  <c r="BX94" i="18"/>
  <c r="D1958" i="1" s="1"/>
  <c r="BY94" i="18"/>
  <c r="D1961" i="1" s="1"/>
  <c r="BZ94" i="18"/>
  <c r="D1965" i="1" s="1"/>
  <c r="CA94" i="18"/>
  <c r="CC94" i="18"/>
  <c r="D2006" i="1" s="1"/>
  <c r="H2006" i="1" s="1"/>
  <c r="CD94" i="18"/>
  <c r="D2007" i="1" s="1"/>
  <c r="H2007" i="1" s="1"/>
  <c r="CE94" i="18"/>
  <c r="D2008" i="1" s="1"/>
  <c r="H2008" i="1" s="1"/>
  <c r="CF94" i="18"/>
  <c r="D2009" i="1" s="1"/>
  <c r="CG94" i="18"/>
  <c r="D2010" i="1" s="1"/>
  <c r="H2010" i="1" s="1"/>
  <c r="CH94" i="18"/>
  <c r="D2011" i="1" s="1"/>
  <c r="H2011" i="1" s="1"/>
  <c r="CI94" i="18"/>
  <c r="D2012" i="1" s="1"/>
  <c r="H2012" i="1" s="1"/>
  <c r="CJ94" i="18"/>
  <c r="D2013" i="1" s="1"/>
  <c r="H2013" i="1" s="1"/>
  <c r="CK94" i="18"/>
  <c r="D2014" i="1" s="1"/>
  <c r="CL94" i="18"/>
  <c r="D2015" i="1" s="1"/>
  <c r="H2015" i="1" s="1"/>
  <c r="CM94" i="18"/>
  <c r="D2016" i="1" s="1"/>
  <c r="H2016" i="1" s="1"/>
  <c r="CN94" i="18"/>
  <c r="D2017" i="1" s="1"/>
  <c r="H2017" i="1" s="1"/>
  <c r="CO94" i="18"/>
  <c r="CP94" i="18"/>
  <c r="CQ94" i="18"/>
  <c r="CW94" i="18"/>
  <c r="D2025" i="1" s="1"/>
  <c r="H2025" i="1" s="1"/>
  <c r="J94" i="18"/>
  <c r="B94" i="18"/>
  <c r="D94" i="18" s="1"/>
  <c r="B66" i="117"/>
  <c r="F1935" i="1"/>
  <c r="E184"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K119" i="97" s="1"/>
  <c r="B874" i="23"/>
  <c r="E874" i="23" s="1"/>
  <c r="E149" i="97" s="1"/>
  <c r="B671" i="23"/>
  <c r="E671" i="23" s="1"/>
  <c r="B670" i="23"/>
  <c r="G670" i="23" s="1"/>
  <c r="B495" i="23"/>
  <c r="B494" i="23"/>
  <c r="K54" i="97" s="1"/>
  <c r="B411" i="23"/>
  <c r="E411" i="23" s="1"/>
  <c r="B410" i="23"/>
  <c r="F410" i="23" s="1"/>
  <c r="B332" i="23"/>
  <c r="G332" i="23" s="1"/>
  <c r="B331" i="23"/>
  <c r="E331" i="23" s="1"/>
  <c r="B237" i="23"/>
  <c r="E237" i="23" s="1"/>
  <c r="B236" i="23"/>
  <c r="G236" i="23" s="1"/>
  <c r="B153" i="23"/>
  <c r="K58" i="97" s="1"/>
  <c r="B152" i="23"/>
  <c r="K155" i="97" s="1"/>
  <c r="E17" i="23"/>
  <c r="H2247" i="1"/>
  <c r="P2247" i="1" s="1"/>
  <c r="F2267" i="1"/>
  <c r="F2265" i="1"/>
  <c r="F1932" i="1"/>
  <c r="F1930"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41" i="1"/>
  <c r="E231" i="15"/>
  <c r="E1066" i="15"/>
  <c r="E308" i="15"/>
  <c r="D615"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T114" i="41"/>
  <c r="CU114" i="41"/>
  <c r="CV114" i="41"/>
  <c r="CW114" i="41"/>
  <c r="CX114" i="41"/>
  <c r="CY114" i="41"/>
  <c r="CZ114" i="41"/>
  <c r="DA114" i="41"/>
  <c r="DB114" i="41"/>
  <c r="DC114" i="41"/>
  <c r="D1797" i="1" s="1"/>
  <c r="D1925" i="1" s="1"/>
  <c r="DD114" i="41"/>
  <c r="DE114" i="41"/>
  <c r="DF114" i="41"/>
  <c r="DG114" i="41"/>
  <c r="DH114" i="41"/>
  <c r="DI114" i="41"/>
  <c r="DJ114" i="41"/>
  <c r="DK114" i="41"/>
  <c r="DL114" i="41"/>
  <c r="DM114" i="41"/>
  <c r="DN114" i="41"/>
  <c r="DO114" i="41"/>
  <c r="DP114" i="41"/>
  <c r="DQ114" i="41"/>
  <c r="D1782" i="1" s="1"/>
  <c r="DR114" i="41"/>
  <c r="DS114" i="41"/>
  <c r="DT114" i="41"/>
  <c r="DU114" i="41"/>
  <c r="DV114" i="41"/>
  <c r="DW114" i="41"/>
  <c r="DX114" i="41"/>
  <c r="DY114" i="41"/>
  <c r="DZ114" i="41"/>
  <c r="EA114" i="41"/>
  <c r="ED114" i="41"/>
  <c r="EE114" i="41"/>
  <c r="EF114" i="41"/>
  <c r="EH114" i="41"/>
  <c r="EI114" i="41"/>
  <c r="EJ114" i="41"/>
  <c r="EK114" i="41"/>
  <c r="EL114" i="41"/>
  <c r="EM114" i="41"/>
  <c r="EN114" i="41"/>
  <c r="EO114" i="41"/>
  <c r="EP114" i="41"/>
  <c r="EQ114" i="41"/>
  <c r="ER114" i="41"/>
  <c r="ES114" i="41"/>
  <c r="ET114" i="41"/>
  <c r="EU114" i="41"/>
  <c r="EV114" i="41"/>
  <c r="EW114" i="41"/>
  <c r="EY114" i="41"/>
  <c r="EZ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F975" i="23"/>
  <c r="F974" i="23"/>
  <c r="F973" i="23"/>
  <c r="G1161" i="23"/>
  <c r="F1161" i="23"/>
  <c r="E1161" i="23"/>
  <c r="G1160" i="23"/>
  <c r="F1160" i="23"/>
  <c r="E1160" i="23"/>
  <c r="G1159" i="23"/>
  <c r="F1159" i="23"/>
  <c r="E1159" i="23"/>
  <c r="F1141" i="23"/>
  <c r="F1142" i="23"/>
  <c r="F1117" i="23"/>
  <c r="F1049" i="23"/>
  <c r="F1044" i="23"/>
  <c r="F1048" i="23"/>
  <c r="F2626" i="23"/>
  <c r="D941" i="23"/>
  <c r="E462" i="15"/>
  <c r="G1014" i="23"/>
  <c r="F1014" i="23"/>
  <c r="E1014" i="23"/>
  <c r="G1013" i="23"/>
  <c r="F1013" i="23"/>
  <c r="E1013" i="23"/>
  <c r="G1012" i="23"/>
  <c r="F1012" i="23"/>
  <c r="E1012" i="23"/>
  <c r="G1011" i="23"/>
  <c r="F1011" i="23"/>
  <c r="E1011" i="23"/>
  <c r="C66" i="117"/>
  <c r="H943" i="23"/>
  <c r="H1074" i="23" s="1"/>
  <c r="H1081" i="23" s="1"/>
  <c r="B945" i="23"/>
  <c r="F1937" i="1"/>
  <c r="G2367" i="1"/>
  <c r="G2366" i="1"/>
  <c r="G2365" i="1"/>
  <c r="G2364" i="1"/>
  <c r="G2184" i="1"/>
  <c r="G2183" i="1"/>
  <c r="G2182" i="1"/>
  <c r="G2048" i="1"/>
  <c r="G2047" i="1"/>
  <c r="G2046" i="1"/>
  <c r="G1489" i="1"/>
  <c r="G1488" i="1"/>
  <c r="G1480" i="1"/>
  <c r="G1479" i="1"/>
  <c r="G1471" i="1"/>
  <c r="G1470" i="1"/>
  <c r="G1462" i="1"/>
  <c r="G1461" i="1"/>
  <c r="G1453" i="1"/>
  <c r="G1452" i="1"/>
  <c r="G1444" i="1"/>
  <c r="G1443" i="1"/>
  <c r="G1435" i="1"/>
  <c r="G1434" i="1"/>
  <c r="G1426" i="1"/>
  <c r="G1425" i="1"/>
  <c r="G1417" i="1"/>
  <c r="G1416" i="1"/>
  <c r="G1409" i="1"/>
  <c r="G1408" i="1"/>
  <c r="G1401" i="1"/>
  <c r="G1389" i="1"/>
  <c r="G1377" i="1"/>
  <c r="G1364" i="1"/>
  <c r="G1350" i="1"/>
  <c r="G1334" i="1"/>
  <c r="G1321" i="1"/>
  <c r="G1307" i="1"/>
  <c r="G1292" i="1"/>
  <c r="G1279" i="1"/>
  <c r="G1265" i="1"/>
  <c r="G1250" i="1"/>
  <c r="G1237" i="1"/>
  <c r="G1229" i="1"/>
  <c r="G1221" i="1"/>
  <c r="G1212" i="1"/>
  <c r="G1201" i="1"/>
  <c r="G1192" i="1"/>
  <c r="G1183" i="1"/>
  <c r="G1171" i="1"/>
  <c r="G1157" i="1"/>
  <c r="G1154" i="1"/>
  <c r="G1145" i="1"/>
  <c r="G1134" i="1"/>
  <c r="G1125" i="1"/>
  <c r="G1114" i="1"/>
  <c r="G1110" i="1"/>
  <c r="G1086" i="1"/>
  <c r="G1085" i="1"/>
  <c r="G1079" i="1"/>
  <c r="G1078" i="1"/>
  <c r="G1071" i="1"/>
  <c r="G1070" i="1"/>
  <c r="G1061" i="1"/>
  <c r="G1060" i="1"/>
  <c r="G1051" i="1"/>
  <c r="G1050" i="1"/>
  <c r="G1041" i="1"/>
  <c r="G1040" i="1"/>
  <c r="G1032" i="1"/>
  <c r="G1031" i="1"/>
  <c r="G1022" i="1"/>
  <c r="G1021" i="1"/>
  <c r="G1012" i="1"/>
  <c r="G1011" i="1"/>
  <c r="G987" i="1"/>
  <c r="G986" i="1"/>
  <c r="G979" i="1"/>
  <c r="G978" i="1"/>
  <c r="G972" i="1"/>
  <c r="G971" i="1"/>
  <c r="G961" i="1"/>
  <c r="G960" i="1"/>
  <c r="G952" i="1"/>
  <c r="G951" i="1"/>
  <c r="G941" i="1"/>
  <c r="G940" i="1"/>
  <c r="G931" i="1"/>
  <c r="G930" i="1"/>
  <c r="G921" i="1"/>
  <c r="G920" i="1"/>
  <c r="G912" i="1"/>
  <c r="G911" i="1"/>
  <c r="G907" i="1"/>
  <c r="G906" i="1"/>
  <c r="G897" i="1"/>
  <c r="G896" i="1"/>
  <c r="G877" i="1"/>
  <c r="G876" i="1"/>
  <c r="G864" i="1"/>
  <c r="G863" i="1"/>
  <c r="G853" i="1"/>
  <c r="G852" i="1"/>
  <c r="G848" i="1"/>
  <c r="G847" i="1"/>
  <c r="G839" i="1"/>
  <c r="G838" i="1"/>
  <c r="G828" i="1"/>
  <c r="G827" i="1"/>
  <c r="G817" i="1"/>
  <c r="G816" i="1"/>
  <c r="G808" i="1"/>
  <c r="G807" i="1"/>
  <c r="G797" i="1"/>
  <c r="G796" i="1"/>
  <c r="G787" i="1"/>
  <c r="G786" i="1"/>
  <c r="G776" i="1"/>
  <c r="G775" i="1"/>
  <c r="G769" i="1"/>
  <c r="G768" i="1"/>
  <c r="G758" i="1"/>
  <c r="G757" i="1"/>
  <c r="G751" i="1"/>
  <c r="G750" i="1"/>
  <c r="G742" i="1"/>
  <c r="G741" i="1"/>
  <c r="G735" i="1"/>
  <c r="G729" i="1"/>
  <c r="G725" i="1"/>
  <c r="G724" i="1"/>
  <c r="G718" i="1"/>
  <c r="G717" i="1"/>
  <c r="G711" i="1"/>
  <c r="G710" i="1"/>
  <c r="G704" i="1"/>
  <c r="G703" i="1"/>
  <c r="G696" i="1"/>
  <c r="G672" i="1"/>
  <c r="G664" i="1"/>
  <c r="G654" i="1"/>
  <c r="G633" i="1"/>
  <c r="G621"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7"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67" i="1"/>
  <c r="F2366" i="1"/>
  <c r="F2365" i="1"/>
  <c r="F2364" i="1"/>
  <c r="F2184" i="1"/>
  <c r="F2183" i="1"/>
  <c r="F2182" i="1"/>
  <c r="F2048" i="1"/>
  <c r="F2047" i="1"/>
  <c r="F2046" i="1"/>
  <c r="F1489" i="1"/>
  <c r="F1488" i="1"/>
  <c r="F1480" i="1"/>
  <c r="F1479" i="1"/>
  <c r="F1471" i="1"/>
  <c r="F1470" i="1"/>
  <c r="F1462" i="1"/>
  <c r="F1461" i="1"/>
  <c r="F1453" i="1"/>
  <c r="F1452" i="1"/>
  <c r="F1444" i="1"/>
  <c r="F1443" i="1"/>
  <c r="F1435" i="1"/>
  <c r="F1434" i="1"/>
  <c r="F1426" i="1"/>
  <c r="F1425" i="1"/>
  <c r="F1417" i="1"/>
  <c r="F1416" i="1"/>
  <c r="F1409" i="1"/>
  <c r="F1408" i="1"/>
  <c r="F1401" i="1"/>
  <c r="F1389" i="1"/>
  <c r="F1377" i="1"/>
  <c r="F1364" i="1"/>
  <c r="F1350" i="1"/>
  <c r="F1334" i="1"/>
  <c r="F1321" i="1"/>
  <c r="F1307" i="1"/>
  <c r="F1292" i="1"/>
  <c r="F1279" i="1"/>
  <c r="F1265" i="1"/>
  <c r="F1250" i="1"/>
  <c r="F1237" i="1"/>
  <c r="F1229" i="1"/>
  <c r="F1221" i="1"/>
  <c r="F1212" i="1"/>
  <c r="F1201" i="1"/>
  <c r="F1192" i="1"/>
  <c r="F1183" i="1"/>
  <c r="F1171" i="1"/>
  <c r="F1157" i="1"/>
  <c r="F1154" i="1"/>
  <c r="F1145" i="1"/>
  <c r="F1134" i="1"/>
  <c r="F1125" i="1"/>
  <c r="F1114" i="1"/>
  <c r="F1110" i="1"/>
  <c r="F1086" i="1"/>
  <c r="F1085" i="1"/>
  <c r="F1079" i="1"/>
  <c r="F1078" i="1"/>
  <c r="F1071" i="1"/>
  <c r="F1070" i="1"/>
  <c r="F1061" i="1"/>
  <c r="F1060" i="1"/>
  <c r="F1051" i="1"/>
  <c r="F1050" i="1"/>
  <c r="F1041" i="1"/>
  <c r="F1040" i="1"/>
  <c r="F1032" i="1"/>
  <c r="F1031" i="1"/>
  <c r="F1022" i="1"/>
  <c r="F1021" i="1"/>
  <c r="F1012" i="1"/>
  <c r="F1011" i="1"/>
  <c r="F987" i="1"/>
  <c r="F986" i="1"/>
  <c r="F979" i="1"/>
  <c r="F978" i="1"/>
  <c r="F972" i="1"/>
  <c r="F971" i="1"/>
  <c r="F961" i="1"/>
  <c r="F960" i="1"/>
  <c r="F952" i="1"/>
  <c r="F951" i="1"/>
  <c r="F941" i="1"/>
  <c r="F940" i="1"/>
  <c r="F931" i="1"/>
  <c r="F930" i="1"/>
  <c r="F921" i="1"/>
  <c r="F920" i="1"/>
  <c r="F912" i="1"/>
  <c r="F911" i="1"/>
  <c r="F907" i="1"/>
  <c r="F906" i="1"/>
  <c r="F897" i="1"/>
  <c r="F896" i="1"/>
  <c r="F877" i="1"/>
  <c r="F876" i="1"/>
  <c r="F864" i="1"/>
  <c r="F863" i="1"/>
  <c r="F853" i="1"/>
  <c r="F852" i="1"/>
  <c r="F848" i="1"/>
  <c r="F847" i="1"/>
  <c r="F839" i="1"/>
  <c r="F838" i="1"/>
  <c r="F828" i="1"/>
  <c r="F827" i="1"/>
  <c r="F817" i="1"/>
  <c r="F816" i="1"/>
  <c r="F808" i="1"/>
  <c r="F807" i="1"/>
  <c r="F797" i="1"/>
  <c r="F796" i="1"/>
  <c r="F787" i="1"/>
  <c r="F786" i="1"/>
  <c r="F776" i="1"/>
  <c r="F775" i="1"/>
  <c r="F769" i="1"/>
  <c r="F768" i="1"/>
  <c r="F758" i="1"/>
  <c r="F757" i="1"/>
  <c r="F751" i="1"/>
  <c r="F750" i="1"/>
  <c r="F742" i="1"/>
  <c r="F741" i="1"/>
  <c r="F735" i="1"/>
  <c r="F729" i="1"/>
  <c r="F725" i="1"/>
  <c r="F724" i="1"/>
  <c r="F718" i="1"/>
  <c r="F717" i="1"/>
  <c r="F711" i="1"/>
  <c r="F710" i="1"/>
  <c r="F704" i="1"/>
  <c r="F703" i="1"/>
  <c r="F696" i="1"/>
  <c r="F672" i="1"/>
  <c r="F664" i="1"/>
  <c r="F654" i="1"/>
  <c r="F633" i="1"/>
  <c r="F621"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67" i="1"/>
  <c r="E2366" i="1"/>
  <c r="E2365" i="1"/>
  <c r="E2364" i="1"/>
  <c r="E2184" i="1"/>
  <c r="E2183" i="1"/>
  <c r="E2182" i="1"/>
  <c r="E2048" i="1"/>
  <c r="E2047" i="1"/>
  <c r="E2046" i="1"/>
  <c r="E1489" i="1"/>
  <c r="E1488" i="1"/>
  <c r="E1480" i="1"/>
  <c r="E1479" i="1"/>
  <c r="E1471" i="1"/>
  <c r="E1470" i="1"/>
  <c r="E1462" i="1"/>
  <c r="E1461" i="1"/>
  <c r="E1453" i="1"/>
  <c r="E1452" i="1"/>
  <c r="E1444" i="1"/>
  <c r="E1443" i="1"/>
  <c r="E1435" i="1"/>
  <c r="E1434" i="1"/>
  <c r="E1426" i="1"/>
  <c r="E1425" i="1"/>
  <c r="E1417" i="1"/>
  <c r="E1416" i="1"/>
  <c r="E1409" i="1"/>
  <c r="E1408" i="1"/>
  <c r="E1401" i="1"/>
  <c r="E1389" i="1"/>
  <c r="E1377" i="1"/>
  <c r="E1364" i="1"/>
  <c r="E1350" i="1"/>
  <c r="E1334" i="1"/>
  <c r="E1321" i="1"/>
  <c r="E1307" i="1"/>
  <c r="E1292" i="1"/>
  <c r="E1279" i="1"/>
  <c r="E1265" i="1"/>
  <c r="E1250" i="1"/>
  <c r="E1237" i="1"/>
  <c r="E1229" i="1"/>
  <c r="E1221" i="1"/>
  <c r="E1212" i="1"/>
  <c r="E1201" i="1"/>
  <c r="E1192" i="1"/>
  <c r="E1183" i="1"/>
  <c r="E1171" i="1"/>
  <c r="E1157" i="1"/>
  <c r="E1154" i="1"/>
  <c r="E1145" i="1"/>
  <c r="E1134" i="1"/>
  <c r="E1125" i="1"/>
  <c r="E1114" i="1"/>
  <c r="E1110" i="1"/>
  <c r="E1086" i="1"/>
  <c r="E1085" i="1"/>
  <c r="E1079" i="1"/>
  <c r="E1078" i="1"/>
  <c r="E1071" i="1"/>
  <c r="E1070" i="1"/>
  <c r="E1061" i="1"/>
  <c r="E1060" i="1"/>
  <c r="E1051" i="1"/>
  <c r="E1050" i="1"/>
  <c r="E1041" i="1"/>
  <c r="E1040" i="1"/>
  <c r="E1032" i="1"/>
  <c r="E1031" i="1"/>
  <c r="E1022" i="1"/>
  <c r="E1021" i="1"/>
  <c r="E1012" i="1"/>
  <c r="E1011" i="1"/>
  <c r="E987" i="1"/>
  <c r="E986" i="1"/>
  <c r="E979" i="1"/>
  <c r="E978" i="1"/>
  <c r="E972" i="1"/>
  <c r="E971" i="1"/>
  <c r="E961" i="1"/>
  <c r="E960" i="1"/>
  <c r="E952" i="1"/>
  <c r="E951" i="1"/>
  <c r="E941" i="1"/>
  <c r="E940" i="1"/>
  <c r="E931" i="1"/>
  <c r="E930" i="1"/>
  <c r="E921" i="1"/>
  <c r="E920" i="1"/>
  <c r="E912" i="1"/>
  <c r="E911" i="1"/>
  <c r="E907" i="1"/>
  <c r="E906" i="1"/>
  <c r="E897" i="1"/>
  <c r="E896" i="1"/>
  <c r="E877" i="1"/>
  <c r="E876" i="1"/>
  <c r="E864" i="1"/>
  <c r="E863" i="1"/>
  <c r="E853" i="1"/>
  <c r="E852" i="1"/>
  <c r="E848" i="1"/>
  <c r="E847" i="1"/>
  <c r="E839" i="1"/>
  <c r="E838" i="1"/>
  <c r="E828" i="1"/>
  <c r="E827" i="1"/>
  <c r="E817" i="1"/>
  <c r="E816" i="1"/>
  <c r="E808" i="1"/>
  <c r="E807" i="1"/>
  <c r="E797" i="1"/>
  <c r="E796" i="1"/>
  <c r="E787" i="1"/>
  <c r="E786" i="1"/>
  <c r="E776" i="1"/>
  <c r="E775" i="1"/>
  <c r="E769" i="1"/>
  <c r="E768" i="1"/>
  <c r="E758" i="1"/>
  <c r="E757" i="1"/>
  <c r="E751" i="1"/>
  <c r="E750" i="1"/>
  <c r="E742" i="1"/>
  <c r="E741" i="1"/>
  <c r="E735" i="1"/>
  <c r="E729" i="1"/>
  <c r="E725" i="1"/>
  <c r="E724" i="1"/>
  <c r="E718" i="1"/>
  <c r="E717" i="1"/>
  <c r="E711" i="1"/>
  <c r="E710" i="1"/>
  <c r="E704" i="1"/>
  <c r="E703" i="1"/>
  <c r="E696" i="1"/>
  <c r="E672" i="1"/>
  <c r="E664" i="1"/>
  <c r="E654" i="1"/>
  <c r="E633" i="1"/>
  <c r="E621"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7" i="15"/>
  <c r="E1268" i="15"/>
  <c r="E1269" i="15"/>
  <c r="E1270" i="15"/>
  <c r="E1271" i="15"/>
  <c r="E1272" i="15"/>
  <c r="E1273" i="15"/>
  <c r="E1274" i="15"/>
  <c r="E1275" i="15"/>
  <c r="E1276" i="15"/>
  <c r="E1277" i="15"/>
  <c r="H801" i="23"/>
  <c r="H802" i="23"/>
  <c r="F613" i="1"/>
  <c r="F1815" i="1"/>
  <c r="F9" i="97" s="1"/>
  <c r="L133" i="78"/>
  <c r="B3" i="16"/>
  <c r="Q1412" i="1"/>
  <c r="Q1413" i="1"/>
  <c r="Q1414" i="1"/>
  <c r="Q1411" i="1"/>
  <c r="Q1174" i="1"/>
  <c r="Q1175" i="1"/>
  <c r="Q1177" i="1"/>
  <c r="Q1178" i="1"/>
  <c r="Q1179" i="1"/>
  <c r="Q1180" i="1"/>
  <c r="Q1181" i="1"/>
  <c r="Q1182" i="1"/>
  <c r="Q1173" i="1"/>
  <c r="Q801" i="1"/>
  <c r="Q802" i="1"/>
  <c r="Q803" i="1"/>
  <c r="Q804" i="1"/>
  <c r="Q805" i="1"/>
  <c r="A193" i="23"/>
  <c r="H332" i="23"/>
  <c r="A938" i="23"/>
  <c r="F710" i="23"/>
  <c r="F2296" i="1"/>
  <c r="F2297"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G155" i="97" s="1"/>
  <c r="F917" i="23"/>
  <c r="F155" i="97" s="1"/>
  <c r="E917" i="23"/>
  <c r="E155" i="97" s="1"/>
  <c r="G916" i="23"/>
  <c r="G160" i="97" s="1"/>
  <c r="F916" i="23"/>
  <c r="F160" i="97" s="1"/>
  <c r="E916" i="23"/>
  <c r="E160" i="97" s="1"/>
  <c r="G915" i="23"/>
  <c r="G49" i="97" s="1"/>
  <c r="F915" i="23"/>
  <c r="F49" i="97" s="1"/>
  <c r="E915" i="23"/>
  <c r="E49" i="97" s="1"/>
  <c r="G914" i="23"/>
  <c r="G96" i="97" s="1"/>
  <c r="F914" i="23"/>
  <c r="F96" i="97" s="1"/>
  <c r="E914" i="23"/>
  <c r="E96" i="97" s="1"/>
  <c r="G913" i="23"/>
  <c r="G98" i="97" s="1"/>
  <c r="F913" i="23"/>
  <c r="F98" i="97" s="1"/>
  <c r="E913" i="23"/>
  <c r="E98" i="97" s="1"/>
  <c r="G912" i="23"/>
  <c r="F912" i="23"/>
  <c r="E912" i="23"/>
  <c r="G907" i="23"/>
  <c r="G82" i="97" s="1"/>
  <c r="F907" i="23"/>
  <c r="F82" i="97" s="1"/>
  <c r="E907" i="23"/>
  <c r="E82" i="97" s="1"/>
  <c r="G905" i="23"/>
  <c r="G57" i="97" s="1"/>
  <c r="E905" i="23"/>
  <c r="E57" i="97" s="1"/>
  <c r="G903" i="23"/>
  <c r="G114" i="97" s="1"/>
  <c r="F903" i="23"/>
  <c r="F114" i="97" s="1"/>
  <c r="E903" i="23"/>
  <c r="E114" i="97" s="1"/>
  <c r="G902" i="23"/>
  <c r="E902" i="23"/>
  <c r="G901" i="23"/>
  <c r="G61" i="97" s="1"/>
  <c r="F901" i="23"/>
  <c r="F61" i="97" s="1"/>
  <c r="E901" i="23"/>
  <c r="E61" i="97" s="1"/>
  <c r="G900" i="23"/>
  <c r="F900" i="23"/>
  <c r="E900" i="23"/>
  <c r="G899" i="23"/>
  <c r="G76" i="97" s="1"/>
  <c r="F899" i="23"/>
  <c r="F76" i="97" s="1"/>
  <c r="E899" i="23"/>
  <c r="E76" i="97" s="1"/>
  <c r="G898" i="23"/>
  <c r="F898" i="23"/>
  <c r="E898" i="23"/>
  <c r="G896" i="23"/>
  <c r="G14" i="97" s="1"/>
  <c r="F896" i="23"/>
  <c r="F14" i="97" s="1"/>
  <c r="E896" i="23"/>
  <c r="E14" i="97" s="1"/>
  <c r="G895" i="23"/>
  <c r="G13" i="97" s="1"/>
  <c r="E895" i="23"/>
  <c r="E13" i="97" s="1"/>
  <c r="G893" i="23"/>
  <c r="E893" i="23"/>
  <c r="G890" i="23"/>
  <c r="G157" i="97" s="1"/>
  <c r="F890" i="23"/>
  <c r="F157" i="97" s="1"/>
  <c r="E890" i="23"/>
  <c r="E157" i="97" s="1"/>
  <c r="G889" i="23"/>
  <c r="G68" i="97" s="1"/>
  <c r="F889" i="23"/>
  <c r="F68" i="97" s="1"/>
  <c r="E889" i="23"/>
  <c r="E68" i="97" s="1"/>
  <c r="G888" i="23"/>
  <c r="G67" i="97" s="1"/>
  <c r="F888" i="23"/>
  <c r="F67" i="97" s="1"/>
  <c r="E888" i="23"/>
  <c r="E67" i="97" s="1"/>
  <c r="G887" i="23"/>
  <c r="G64" i="97" s="1"/>
  <c r="F887" i="23"/>
  <c r="F64" i="97" s="1"/>
  <c r="E887" i="23"/>
  <c r="E64" i="97" s="1"/>
  <c r="G886" i="23"/>
  <c r="G52" i="97" s="1"/>
  <c r="F886" i="23"/>
  <c r="F52" i="97" s="1"/>
  <c r="E886" i="23"/>
  <c r="E52" i="97" s="1"/>
  <c r="G884" i="23"/>
  <c r="G103" i="97" s="1"/>
  <c r="F884" i="23"/>
  <c r="F103" i="97" s="1"/>
  <c r="E884" i="23"/>
  <c r="E103" i="97" s="1"/>
  <c r="G883" i="23"/>
  <c r="G16" i="97" s="1"/>
  <c r="F883" i="23"/>
  <c r="F16" i="97" s="1"/>
  <c r="E883" i="23"/>
  <c r="E16" i="97" s="1"/>
  <c r="G880" i="23"/>
  <c r="G46" i="97" s="1"/>
  <c r="F880" i="23"/>
  <c r="F46" i="97" s="1"/>
  <c r="G879" i="23"/>
  <c r="G59" i="97" s="1"/>
  <c r="F879" i="23"/>
  <c r="F59" i="97" s="1"/>
  <c r="E879" i="23"/>
  <c r="E59" i="97" s="1"/>
  <c r="G878" i="23"/>
  <c r="G129" i="97" s="1"/>
  <c r="F878" i="23"/>
  <c r="F129" i="97" s="1"/>
  <c r="E878" i="23"/>
  <c r="E129" i="97" s="1"/>
  <c r="G873" i="23"/>
  <c r="G145" i="97" s="1"/>
  <c r="F873" i="23"/>
  <c r="F145" i="97" s="1"/>
  <c r="E873" i="23"/>
  <c r="E145" i="97" s="1"/>
  <c r="G872" i="23"/>
  <c r="G154" i="97" s="1"/>
  <c r="F872" i="23"/>
  <c r="F154" i="97" s="1"/>
  <c r="E872" i="23"/>
  <c r="E154" i="97" s="1"/>
  <c r="G871" i="23"/>
  <c r="E871" i="23"/>
  <c r="G870" i="23"/>
  <c r="F870" i="23"/>
  <c r="E870" i="23"/>
  <c r="G869" i="23"/>
  <c r="F869" i="23"/>
  <c r="E869" i="23"/>
  <c r="G868" i="23"/>
  <c r="F868" i="23"/>
  <c r="E868" i="23"/>
  <c r="G867" i="23"/>
  <c r="G92" i="97" s="1"/>
  <c r="F867" i="23"/>
  <c r="F92" i="97" s="1"/>
  <c r="E867" i="23"/>
  <c r="E92" i="97" s="1"/>
  <c r="G866" i="23"/>
  <c r="G113" i="97" s="1"/>
  <c r="F866" i="23"/>
  <c r="F113" i="97" s="1"/>
  <c r="E866" i="23"/>
  <c r="E113" i="97" s="1"/>
  <c r="G865" i="23"/>
  <c r="F865" i="23"/>
  <c r="E865" i="23"/>
  <c r="G864" i="23"/>
  <c r="F864" i="23"/>
  <c r="E864" i="23"/>
  <c r="G863" i="23"/>
  <c r="G81" i="97" s="1"/>
  <c r="F863" i="23"/>
  <c r="F81" i="97" s="1"/>
  <c r="E863" i="23"/>
  <c r="E81" i="97" s="1"/>
  <c r="G861" i="23"/>
  <c r="G18" i="97" s="1"/>
  <c r="F861" i="23"/>
  <c r="F18" i="97" s="1"/>
  <c r="E861" i="23"/>
  <c r="E18" i="97" s="1"/>
  <c r="G858" i="23"/>
  <c r="G167" i="97" s="1"/>
  <c r="F858" i="23"/>
  <c r="F167" i="97" s="1"/>
  <c r="E858" i="23"/>
  <c r="E167" i="97" s="1"/>
  <c r="G857" i="23"/>
  <c r="G37" i="97" s="1"/>
  <c r="F857" i="23"/>
  <c r="F37" i="97" s="1"/>
  <c r="E857" i="23"/>
  <c r="E37" i="97" s="1"/>
  <c r="G855" i="23"/>
  <c r="G23" i="97" s="1"/>
  <c r="F855" i="23"/>
  <c r="F23" i="97" s="1"/>
  <c r="E855" i="23"/>
  <c r="E23" i="97" s="1"/>
  <c r="G854" i="23"/>
  <c r="G51" i="97" s="1"/>
  <c r="F854" i="23"/>
  <c r="F51" i="97" s="1"/>
  <c r="E854" i="23"/>
  <c r="E51" i="97" s="1"/>
  <c r="G853" i="23"/>
  <c r="G73" i="97" s="1"/>
  <c r="F853" i="23"/>
  <c r="F73" i="97" s="1"/>
  <c r="E853" i="23"/>
  <c r="E73" i="97" s="1"/>
  <c r="G852" i="23"/>
  <c r="G71" i="97" s="1"/>
  <c r="F852" i="23"/>
  <c r="F71" i="97" s="1"/>
  <c r="E852" i="23"/>
  <c r="E71" i="97" s="1"/>
  <c r="G847" i="23"/>
  <c r="F847" i="23"/>
  <c r="E847" i="23"/>
  <c r="G846" i="23"/>
  <c r="F846" i="23"/>
  <c r="E846" i="23"/>
  <c r="G843" i="23"/>
  <c r="F843" i="23"/>
  <c r="G842" i="23"/>
  <c r="F842" i="23"/>
  <c r="G841" i="23"/>
  <c r="F841" i="23"/>
  <c r="E841" i="23"/>
  <c r="G838" i="23"/>
  <c r="F838" i="23"/>
  <c r="E838" i="23"/>
  <c r="G836" i="23"/>
  <c r="G40" i="97" s="1"/>
  <c r="F836" i="23"/>
  <c r="F40" i="97" s="1"/>
  <c r="E836" i="23"/>
  <c r="E40" i="97" s="1"/>
  <c r="G835" i="23"/>
  <c r="G88" i="97" s="1"/>
  <c r="F835" i="23"/>
  <c r="F88" i="97" s="1"/>
  <c r="E835" i="23"/>
  <c r="E88" i="97" s="1"/>
  <c r="G830" i="23"/>
  <c r="G147" i="97" s="1"/>
  <c r="F830" i="23"/>
  <c r="F147" i="97" s="1"/>
  <c r="E830" i="23"/>
  <c r="E147" i="97" s="1"/>
  <c r="G827" i="23"/>
  <c r="F827" i="23"/>
  <c r="E827" i="23"/>
  <c r="G826" i="23"/>
  <c r="G7" i="97" s="1"/>
  <c r="F826" i="23"/>
  <c r="F7" i="97" s="1"/>
  <c r="E826" i="23"/>
  <c r="E7" i="97" s="1"/>
  <c r="G824" i="23"/>
  <c r="G65" i="97" s="1"/>
  <c r="F824" i="23"/>
  <c r="F65" i="97" s="1"/>
  <c r="E824" i="23"/>
  <c r="E65" i="97" s="1"/>
  <c r="G823" i="23"/>
  <c r="G5" i="97" s="1"/>
  <c r="F823" i="23"/>
  <c r="F5" i="97" s="1"/>
  <c r="E823" i="23"/>
  <c r="E5" i="97" s="1"/>
  <c r="G822" i="23"/>
  <c r="G2" i="97" s="1"/>
  <c r="F822" i="23"/>
  <c r="F2" i="97" s="1"/>
  <c r="E822" i="23"/>
  <c r="E2" i="97" s="1"/>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2" i="15"/>
  <c r="E1113" i="15"/>
  <c r="E1114" i="15"/>
  <c r="E1115" i="15"/>
  <c r="E1116"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3" i="15"/>
  <c r="E1264" i="15"/>
  <c r="E1265" i="15"/>
  <c r="E1266"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9" i="15"/>
  <c r="E310"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71" i="15"/>
  <c r="E372" i="15"/>
  <c r="E373" i="15"/>
  <c r="E374" i="15"/>
  <c r="E375" i="15"/>
  <c r="E376" i="15"/>
  <c r="E377" i="15"/>
  <c r="E378" i="15"/>
  <c r="E379" i="15"/>
  <c r="E380" i="15"/>
  <c r="E381" i="15"/>
  <c r="E382" i="15"/>
  <c r="E383" i="15"/>
  <c r="E384" i="15"/>
  <c r="E385" i="15"/>
  <c r="E386" i="15"/>
  <c r="E387" i="15"/>
  <c r="E388" i="15"/>
  <c r="E389" i="15"/>
  <c r="E390" i="15"/>
  <c r="E396" i="15"/>
  <c r="E397"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9" i="15"/>
  <c r="E460" i="15"/>
  <c r="E461"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E232" i="15"/>
  <c r="E233" i="15"/>
  <c r="E234" i="15"/>
  <c r="E235" i="15"/>
  <c r="D2315" i="1"/>
  <c r="C2315" i="1" s="1"/>
  <c r="C2320" i="1"/>
  <c r="C2233" i="1"/>
  <c r="C1629" i="1"/>
  <c r="D620" i="1"/>
  <c r="D616" i="1"/>
  <c r="N616" i="1" s="1"/>
  <c r="Q365" i="1"/>
  <c r="Q359" i="1"/>
  <c r="Q358" i="1"/>
  <c r="Q357" i="1"/>
  <c r="P2002" i="1"/>
  <c r="P2132" i="1"/>
  <c r="C2132" i="1" s="1"/>
  <c r="P2133" i="1"/>
  <c r="C2133" i="1" s="1"/>
  <c r="P2134" i="1"/>
  <c r="C2134" i="1" s="1"/>
  <c r="P2135" i="1"/>
  <c r="C2135" i="1" s="1"/>
  <c r="P2136" i="1"/>
  <c r="C2136" i="1" s="1"/>
  <c r="P2137" i="1"/>
  <c r="C2137" i="1" s="1"/>
  <c r="P2140" i="1"/>
  <c r="C214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72" i="1"/>
  <c r="C2172" i="1" s="1"/>
  <c r="P2173" i="1"/>
  <c r="C2173" i="1" s="1"/>
  <c r="P2174" i="1"/>
  <c r="C2174" i="1" s="1"/>
  <c r="P2175" i="1"/>
  <c r="C2175" i="1" s="1"/>
  <c r="P2176" i="1"/>
  <c r="C2176" i="1" s="1"/>
  <c r="P2177" i="1"/>
  <c r="C2177" i="1" s="1"/>
  <c r="P2178" i="1"/>
  <c r="C2178" i="1" s="1"/>
  <c r="P2179" i="1"/>
  <c r="C2179" i="1" s="1"/>
  <c r="P2180" i="1"/>
  <c r="C2180" i="1" s="1"/>
  <c r="P2181" i="1"/>
  <c r="C2181" i="1" s="1"/>
  <c r="P2182" i="1"/>
  <c r="C2182" i="1" s="1"/>
  <c r="P2183" i="1"/>
  <c r="C2183" i="1" s="1"/>
  <c r="P2184" i="1"/>
  <c r="C2184" i="1" s="1"/>
  <c r="P2361" i="1"/>
  <c r="C2361" i="1" s="1"/>
  <c r="P2362" i="1"/>
  <c r="C2362" i="1" s="1"/>
  <c r="P2363" i="1"/>
  <c r="C2363" i="1" s="1"/>
  <c r="P2364" i="1"/>
  <c r="C2364" i="1" s="1"/>
  <c r="P2365" i="1"/>
  <c r="C2365" i="1" s="1"/>
  <c r="P2366" i="1"/>
  <c r="C2366" i="1" s="1"/>
  <c r="P2367" i="1"/>
  <c r="C2367" i="1" s="1"/>
  <c r="P1829" i="1"/>
  <c r="C1829" i="1" s="1"/>
  <c r="P1830" i="1"/>
  <c r="C1830"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595" i="1"/>
  <c r="C1595" i="1" s="1"/>
  <c r="P1596" i="1"/>
  <c r="C1596" i="1" s="1"/>
  <c r="P1597" i="1"/>
  <c r="C1597" i="1" s="1"/>
  <c r="P1598" i="1"/>
  <c r="C1598" i="1" s="1"/>
  <c r="P1599" i="1"/>
  <c r="C1599" i="1" s="1"/>
  <c r="P1601" i="1"/>
  <c r="C1601"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4" i="1"/>
  <c r="C1614" i="1" s="1"/>
  <c r="P1615" i="1"/>
  <c r="C1615" i="1" s="1"/>
  <c r="P1616" i="1"/>
  <c r="C1616" i="1" s="1"/>
  <c r="P1617" i="1"/>
  <c r="C1617" i="1" s="1"/>
  <c r="P1618" i="1"/>
  <c r="C1618" i="1" s="1"/>
  <c r="P1619" i="1"/>
  <c r="C1619" i="1" s="1"/>
  <c r="P1620" i="1"/>
  <c r="C1620" i="1" s="1"/>
  <c r="P1621" i="1"/>
  <c r="C1621" i="1" s="1"/>
  <c r="P1622" i="1"/>
  <c r="C1622" i="1" s="1"/>
  <c r="P1623" i="1"/>
  <c r="C1623" i="1" s="1"/>
  <c r="R1404" i="1"/>
  <c r="R1405" i="1"/>
  <c r="R1406" i="1"/>
  <c r="R1403" i="1"/>
  <c r="R1160" i="1"/>
  <c r="R1161" i="1"/>
  <c r="R1164" i="1"/>
  <c r="R1165" i="1"/>
  <c r="R1159" i="1"/>
  <c r="Q857" i="1"/>
  <c r="Q858" i="1"/>
  <c r="Q859" i="1"/>
  <c r="Q860" i="1"/>
  <c r="Q861" i="1"/>
  <c r="H852" i="1"/>
  <c r="C852" i="1" s="1"/>
  <c r="H853" i="1"/>
  <c r="C853" i="1" s="1"/>
  <c r="H850" i="1"/>
  <c r="C850" i="1" s="1"/>
  <c r="R801" i="1"/>
  <c r="R802" i="1"/>
  <c r="R803" i="1"/>
  <c r="R804" i="1"/>
  <c r="R805"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69" i="1"/>
  <c r="C670" i="1"/>
  <c r="C671" i="1"/>
  <c r="C672" i="1"/>
  <c r="C680" i="1"/>
  <c r="C681" i="1"/>
  <c r="C691" i="1"/>
  <c r="C692" i="1"/>
  <c r="C693" i="1"/>
  <c r="C694" i="1"/>
  <c r="C695" i="1"/>
  <c r="C696" i="1"/>
  <c r="C701" i="1"/>
  <c r="C702" i="1"/>
  <c r="C703" i="1"/>
  <c r="C704" i="1"/>
  <c r="C709" i="1"/>
  <c r="C710" i="1"/>
  <c r="C711" i="1"/>
  <c r="C716" i="1"/>
  <c r="C717" i="1"/>
  <c r="C718" i="1"/>
  <c r="C723" i="1"/>
  <c r="C724" i="1"/>
  <c r="C725" i="1"/>
  <c r="C728" i="1"/>
  <c r="C729" i="1"/>
  <c r="C735" i="1"/>
  <c r="C739" i="1"/>
  <c r="C740" i="1"/>
  <c r="C741" i="1"/>
  <c r="C742" i="1"/>
  <c r="C744" i="1"/>
  <c r="C748" i="1"/>
  <c r="C749" i="1"/>
  <c r="C750" i="1"/>
  <c r="C751" i="1"/>
  <c r="C756" i="1"/>
  <c r="C757" i="1"/>
  <c r="C758" i="1"/>
  <c r="C762" i="1"/>
  <c r="C766" i="1"/>
  <c r="C767" i="1"/>
  <c r="C768" i="1"/>
  <c r="C769" i="1"/>
  <c r="C773" i="1"/>
  <c r="C774" i="1"/>
  <c r="C775" i="1"/>
  <c r="C776" i="1"/>
  <c r="C794" i="1"/>
  <c r="C795" i="1"/>
  <c r="C796" i="1"/>
  <c r="C797" i="1"/>
  <c r="C806" i="1"/>
  <c r="C807" i="1"/>
  <c r="C808" i="1"/>
  <c r="C814" i="1"/>
  <c r="C815" i="1"/>
  <c r="C816" i="1"/>
  <c r="C817" i="1"/>
  <c r="C825" i="1"/>
  <c r="C826" i="1"/>
  <c r="C827" i="1"/>
  <c r="C828" i="1"/>
  <c r="C832" i="1"/>
  <c r="C833" i="1"/>
  <c r="C837" i="1"/>
  <c r="C838" i="1"/>
  <c r="C839" i="1"/>
  <c r="C862" i="1"/>
  <c r="C863" i="1"/>
  <c r="C864" i="1"/>
  <c r="C865" i="1"/>
  <c r="C866" i="1"/>
  <c r="C874" i="1"/>
  <c r="C875" i="1"/>
  <c r="C876" i="1"/>
  <c r="C877" i="1"/>
  <c r="C894" i="1"/>
  <c r="C895" i="1"/>
  <c r="C896" i="1"/>
  <c r="C897" i="1"/>
  <c r="C904" i="1"/>
  <c r="C905" i="1"/>
  <c r="C906" i="1"/>
  <c r="C907" i="1"/>
  <c r="C909" i="1"/>
  <c r="C910" i="1"/>
  <c r="C911" i="1"/>
  <c r="C912" i="1"/>
  <c r="C918" i="1"/>
  <c r="C919" i="1"/>
  <c r="C920" i="1"/>
  <c r="C921" i="1"/>
  <c r="C928" i="1"/>
  <c r="C929" i="1"/>
  <c r="C930" i="1"/>
  <c r="C931" i="1"/>
  <c r="C938" i="1"/>
  <c r="C939" i="1"/>
  <c r="C940" i="1"/>
  <c r="C941" i="1"/>
  <c r="C949" i="1"/>
  <c r="C950" i="1"/>
  <c r="C951" i="1"/>
  <c r="C952" i="1"/>
  <c r="C959" i="1"/>
  <c r="C960" i="1"/>
  <c r="C961" i="1"/>
  <c r="C970" i="1"/>
  <c r="C971" i="1"/>
  <c r="C972" i="1"/>
  <c r="C978" i="1"/>
  <c r="C979" i="1"/>
  <c r="C986" i="1"/>
  <c r="C987" i="1"/>
  <c r="C993" i="1"/>
  <c r="C994" i="1"/>
  <c r="C1001" i="1"/>
  <c r="C1002" i="1"/>
  <c r="C1009" i="1"/>
  <c r="C1010" i="1"/>
  <c r="C1011" i="1"/>
  <c r="C1012" i="1"/>
  <c r="C1019" i="1"/>
  <c r="C1020" i="1"/>
  <c r="C1021" i="1"/>
  <c r="C1022" i="1"/>
  <c r="C1029" i="1"/>
  <c r="C1030" i="1"/>
  <c r="C1031" i="1"/>
  <c r="C1032" i="1"/>
  <c r="C1038" i="1"/>
  <c r="C1039" i="1"/>
  <c r="C1040" i="1"/>
  <c r="C1041" i="1"/>
  <c r="C1048" i="1"/>
  <c r="C1049" i="1"/>
  <c r="C1050" i="1"/>
  <c r="C1051" i="1"/>
  <c r="C1058" i="1"/>
  <c r="C1059" i="1"/>
  <c r="C1060" i="1"/>
  <c r="C1061" i="1"/>
  <c r="C1068" i="1"/>
  <c r="C1069" i="1"/>
  <c r="C1070" i="1"/>
  <c r="C1071" i="1"/>
  <c r="C1076" i="1"/>
  <c r="C1077" i="1"/>
  <c r="C1078" i="1"/>
  <c r="C1079" i="1"/>
  <c r="C1083" i="1"/>
  <c r="C1084" i="1"/>
  <c r="C1085" i="1"/>
  <c r="C1086" i="1"/>
  <c r="C1110" i="1"/>
  <c r="C1123" i="1"/>
  <c r="C1124" i="1"/>
  <c r="C1125" i="1"/>
  <c r="C1133" i="1"/>
  <c r="C1134" i="1"/>
  <c r="C1143" i="1"/>
  <c r="C1144" i="1"/>
  <c r="C1145" i="1"/>
  <c r="C1153" i="1"/>
  <c r="C1154" i="1"/>
  <c r="C1183" i="1"/>
  <c r="C1191" i="1"/>
  <c r="C1192" i="1"/>
  <c r="C1200" i="1"/>
  <c r="C1201" i="1"/>
  <c r="C1210" i="1"/>
  <c r="C1211" i="1"/>
  <c r="C1212" i="1"/>
  <c r="C1220" i="1"/>
  <c r="C1221" i="1"/>
  <c r="C1228" i="1"/>
  <c r="C1229" i="1"/>
  <c r="C1236" i="1"/>
  <c r="C1237" i="1"/>
  <c r="C1248" i="1"/>
  <c r="C1249" i="1"/>
  <c r="C1250" i="1"/>
  <c r="C1262" i="1"/>
  <c r="C1263" i="1"/>
  <c r="C1264" i="1"/>
  <c r="C1265" i="1"/>
  <c r="C1277" i="1"/>
  <c r="C1278" i="1"/>
  <c r="C1279" i="1"/>
  <c r="C1290" i="1"/>
  <c r="C1291" i="1"/>
  <c r="C1292" i="1"/>
  <c r="C1304" i="1"/>
  <c r="C1305" i="1"/>
  <c r="C1306" i="1"/>
  <c r="C1307" i="1"/>
  <c r="C1319" i="1"/>
  <c r="C1320" i="1"/>
  <c r="C1321" i="1"/>
  <c r="C1332" i="1"/>
  <c r="C1333" i="1"/>
  <c r="C1334" i="1"/>
  <c r="C1347" i="1"/>
  <c r="C1348" i="1"/>
  <c r="C1349" i="1"/>
  <c r="C1350" i="1"/>
  <c r="C1362" i="1"/>
  <c r="C1363" i="1"/>
  <c r="C1364" i="1"/>
  <c r="C1375" i="1"/>
  <c r="C1376" i="1"/>
  <c r="C1377" i="1"/>
  <c r="C1387" i="1"/>
  <c r="C1388" i="1"/>
  <c r="C1389" i="1"/>
  <c r="C1399" i="1"/>
  <c r="C1400" i="1"/>
  <c r="C1401" i="1"/>
  <c r="C1407" i="1"/>
  <c r="C1408" i="1"/>
  <c r="C1409" i="1"/>
  <c r="C1415" i="1"/>
  <c r="C1416" i="1"/>
  <c r="C1417" i="1"/>
  <c r="C1422" i="1"/>
  <c r="C1423" i="1"/>
  <c r="C1424" i="1"/>
  <c r="C1425" i="1"/>
  <c r="C1426" i="1"/>
  <c r="C1431" i="1"/>
  <c r="C1432" i="1"/>
  <c r="C1433" i="1"/>
  <c r="C1434" i="1"/>
  <c r="C1435" i="1"/>
  <c r="C1440" i="1"/>
  <c r="C1441" i="1"/>
  <c r="C1442" i="1"/>
  <c r="C1443" i="1"/>
  <c r="C1444" i="1"/>
  <c r="C1449" i="1"/>
  <c r="C1450" i="1"/>
  <c r="C1451" i="1"/>
  <c r="C1452" i="1"/>
  <c r="C1453" i="1"/>
  <c r="C1458" i="1"/>
  <c r="C1459" i="1"/>
  <c r="C1460" i="1"/>
  <c r="C1461" i="1"/>
  <c r="C1462" i="1"/>
  <c r="C1467" i="1"/>
  <c r="C1468" i="1"/>
  <c r="C1469" i="1"/>
  <c r="C1470" i="1"/>
  <c r="C1471" i="1"/>
  <c r="C1476" i="1"/>
  <c r="C1477" i="1"/>
  <c r="C1478" i="1"/>
  <c r="C1479" i="1"/>
  <c r="C1480" i="1"/>
  <c r="C1485" i="1"/>
  <c r="C1486" i="1"/>
  <c r="C1487" i="1"/>
  <c r="C1488" i="1"/>
  <c r="C1489" i="1"/>
  <c r="R246" i="1"/>
  <c r="R245" i="1"/>
  <c r="Q754" i="1"/>
  <c r="Q755" i="1"/>
  <c r="Q753" i="1"/>
  <c r="Q956" i="1"/>
  <c r="Q957" i="1"/>
  <c r="Q958" i="1"/>
  <c r="Q246" i="1"/>
  <c r="Q245" i="1"/>
  <c r="F900" i="1"/>
  <c r="F891" i="1"/>
  <c r="F120" i="97"/>
  <c r="F842" i="1"/>
  <c r="F833" i="1"/>
  <c r="F832" i="1"/>
  <c r="F831" i="1"/>
  <c r="F119" i="97"/>
  <c r="F955"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G2355" i="1"/>
  <c r="F2355" i="1"/>
  <c r="G2354" i="1"/>
  <c r="F2354" i="1"/>
  <c r="G2353" i="1"/>
  <c r="F2353" i="1"/>
  <c r="G2352" i="1"/>
  <c r="F2352" i="1"/>
  <c r="G2351" i="1"/>
  <c r="F2351" i="1"/>
  <c r="G2350" i="1"/>
  <c r="F2350" i="1"/>
  <c r="G2348" i="1"/>
  <c r="F2348" i="1"/>
  <c r="E2348" i="1"/>
  <c r="G2347" i="1"/>
  <c r="F2347" i="1"/>
  <c r="E2347" i="1"/>
  <c r="G2346" i="1"/>
  <c r="F2346" i="1"/>
  <c r="E2346" i="1"/>
  <c r="G2345" i="1"/>
  <c r="F2345" i="1"/>
  <c r="G2344" i="1"/>
  <c r="F2344" i="1"/>
  <c r="G2343" i="1"/>
  <c r="F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19" i="1"/>
  <c r="F2319" i="1"/>
  <c r="E2319" i="1"/>
  <c r="G2318" i="1"/>
  <c r="F2318" i="1"/>
  <c r="E2318" i="1"/>
  <c r="G2317" i="1"/>
  <c r="F2317" i="1"/>
  <c r="E2317" i="1"/>
  <c r="G2316" i="1"/>
  <c r="F2316" i="1"/>
  <c r="E2316" i="1"/>
  <c r="G2312" i="1"/>
  <c r="D153" i="33" s="1"/>
  <c r="F2312" i="1"/>
  <c r="C153" i="33" s="1"/>
  <c r="E2312" i="1"/>
  <c r="G2308" i="1"/>
  <c r="F2308" i="1"/>
  <c r="E2308" i="1"/>
  <c r="G2307" i="1"/>
  <c r="F2307" i="1"/>
  <c r="E2307" i="1"/>
  <c r="G2306" i="1"/>
  <c r="F2306" i="1"/>
  <c r="E2306" i="1"/>
  <c r="G2305" i="1"/>
  <c r="F2305" i="1"/>
  <c r="E2305" i="1"/>
  <c r="G2304" i="1"/>
  <c r="F2304" i="1"/>
  <c r="E2304" i="1"/>
  <c r="G2303" i="1"/>
  <c r="F2303" i="1"/>
  <c r="E2303" i="1"/>
  <c r="G2302" i="1"/>
  <c r="F2302" i="1"/>
  <c r="E2302" i="1"/>
  <c r="G2301" i="1"/>
  <c r="F2301" i="1"/>
  <c r="E2301" i="1"/>
  <c r="G2300" i="1"/>
  <c r="F2300" i="1"/>
  <c r="E2300" i="1"/>
  <c r="G2299" i="1"/>
  <c r="F2299" i="1"/>
  <c r="E2299" i="1"/>
  <c r="G2298" i="1"/>
  <c r="F2298" i="1"/>
  <c r="E2298" i="1"/>
  <c r="G2297" i="1"/>
  <c r="E2297" i="1"/>
  <c r="G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3" i="1"/>
  <c r="F2283" i="1"/>
  <c r="E2283" i="1"/>
  <c r="G2282" i="1"/>
  <c r="F2282" i="1"/>
  <c r="E2282" i="1"/>
  <c r="G2279" i="1"/>
  <c r="F2279" i="1"/>
  <c r="E2279" i="1"/>
  <c r="G2278" i="1"/>
  <c r="F2278" i="1"/>
  <c r="E2278" i="1"/>
  <c r="G2277" i="1"/>
  <c r="F2277" i="1"/>
  <c r="E2277" i="1"/>
  <c r="G2276" i="1"/>
  <c r="F2276" i="1"/>
  <c r="E2276" i="1"/>
  <c r="G2275" i="1"/>
  <c r="F2275" i="1"/>
  <c r="E2275" i="1"/>
  <c r="G2274" i="1"/>
  <c r="F2274" i="1"/>
  <c r="E2274" i="1"/>
  <c r="G2272" i="1"/>
  <c r="F2272" i="1"/>
  <c r="E2272" i="1"/>
  <c r="G2271" i="1"/>
  <c r="G66" i="97" s="1"/>
  <c r="F2271" i="1"/>
  <c r="F66" i="97" s="1"/>
  <c r="E2271" i="1"/>
  <c r="E66" i="97" s="1"/>
  <c r="G2268" i="1"/>
  <c r="F2268" i="1"/>
  <c r="E2268" i="1"/>
  <c r="G2266" i="1"/>
  <c r="F2266" i="1"/>
  <c r="E2266" i="1"/>
  <c r="G2264" i="1"/>
  <c r="F2264" i="1"/>
  <c r="E2264" i="1"/>
  <c r="G2262" i="1"/>
  <c r="F2262" i="1"/>
  <c r="E2262" i="1"/>
  <c r="G2261" i="1"/>
  <c r="F2261" i="1"/>
  <c r="E2261" i="1"/>
  <c r="G2260" i="1"/>
  <c r="F2260" i="1"/>
  <c r="E2260" i="1"/>
  <c r="G2259" i="1"/>
  <c r="F2259" i="1"/>
  <c r="E2259" i="1"/>
  <c r="G2258" i="1"/>
  <c r="F2258" i="1"/>
  <c r="E2258" i="1"/>
  <c r="G2257" i="1"/>
  <c r="F2257" i="1"/>
  <c r="E2257" i="1"/>
  <c r="G2253" i="1"/>
  <c r="F2253" i="1"/>
  <c r="E2253" i="1"/>
  <c r="G2251" i="1"/>
  <c r="F2251" i="1"/>
  <c r="E2251" i="1"/>
  <c r="G2250" i="1"/>
  <c r="F2250" i="1"/>
  <c r="E2250" i="1"/>
  <c r="G2249" i="1"/>
  <c r="F2249" i="1"/>
  <c r="E2249" i="1"/>
  <c r="G2248" i="1"/>
  <c r="F2248" i="1"/>
  <c r="E2248" i="1"/>
  <c r="G2247" i="1"/>
  <c r="F2247" i="1"/>
  <c r="E2247" i="1"/>
  <c r="G2246" i="1"/>
  <c r="F2246" i="1"/>
  <c r="E2246" i="1"/>
  <c r="G2242" i="1"/>
  <c r="F2242" i="1"/>
  <c r="E2242" i="1"/>
  <c r="G2240" i="1"/>
  <c r="F2240" i="1"/>
  <c r="E2240" i="1"/>
  <c r="G2239" i="1"/>
  <c r="F2239" i="1"/>
  <c r="E2239" i="1"/>
  <c r="G2238" i="1"/>
  <c r="F2238" i="1"/>
  <c r="E2238" i="1"/>
  <c r="G2237" i="1"/>
  <c r="F2237" i="1"/>
  <c r="E2237" i="1"/>
  <c r="G2236" i="1"/>
  <c r="F2236" i="1"/>
  <c r="E2236" i="1"/>
  <c r="G2235" i="1"/>
  <c r="F2235" i="1"/>
  <c r="E2235" i="1"/>
  <c r="G2234" i="1"/>
  <c r="F2234" i="1"/>
  <c r="E2234"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G2211" i="1"/>
  <c r="F2211" i="1"/>
  <c r="E2211" i="1"/>
  <c r="G2210" i="1"/>
  <c r="F2210" i="1"/>
  <c r="E2210" i="1"/>
  <c r="G2209" i="1"/>
  <c r="F2209" i="1"/>
  <c r="E2209" i="1"/>
  <c r="G2208" i="1"/>
  <c r="F2208" i="1"/>
  <c r="E2208" i="1"/>
  <c r="G2207" i="1"/>
  <c r="F2207" i="1"/>
  <c r="E2207" i="1"/>
  <c r="G2206" i="1"/>
  <c r="F2206" i="1"/>
  <c r="E2206" i="1"/>
  <c r="G2205" i="1"/>
  <c r="F2205" i="1"/>
  <c r="G2204" i="1"/>
  <c r="F2204" i="1"/>
  <c r="E2204" i="1"/>
  <c r="G2203" i="1"/>
  <c r="F2203" i="1"/>
  <c r="G2202" i="1"/>
  <c r="F2202" i="1"/>
  <c r="G2201" i="1"/>
  <c r="F2201" i="1"/>
  <c r="E2201" i="1"/>
  <c r="G2200" i="1"/>
  <c r="F2200" i="1"/>
  <c r="E2200" i="1"/>
  <c r="G2199" i="1"/>
  <c r="F2199" i="1"/>
  <c r="E2199" i="1"/>
  <c r="G2198" i="1"/>
  <c r="F2198" i="1"/>
  <c r="G2197" i="1"/>
  <c r="F2197" i="1"/>
  <c r="E2197" i="1"/>
  <c r="G2196" i="1"/>
  <c r="F2196" i="1"/>
  <c r="G2195" i="1"/>
  <c r="F2195" i="1"/>
  <c r="G2194" i="1"/>
  <c r="F2194" i="1"/>
  <c r="G2193" i="1"/>
  <c r="F2193" i="1"/>
  <c r="G2192" i="1"/>
  <c r="F2192" i="1"/>
  <c r="G2191" i="1"/>
  <c r="F2191" i="1"/>
  <c r="G2190" i="1"/>
  <c r="F2190" i="1"/>
  <c r="G2189" i="1"/>
  <c r="F2189" i="1"/>
  <c r="G2188" i="1"/>
  <c r="F2188" i="1"/>
  <c r="G2187" i="1"/>
  <c r="F2187" i="1"/>
  <c r="G2186" i="1"/>
  <c r="F2186"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48" i="1"/>
  <c r="F2148" i="1"/>
  <c r="E2148" i="1"/>
  <c r="G2147" i="1"/>
  <c r="F2147" i="1"/>
  <c r="E2147" i="1"/>
  <c r="G2146" i="1"/>
  <c r="F2146" i="1"/>
  <c r="E2146" i="1"/>
  <c r="G2145" i="1"/>
  <c r="F2145" i="1"/>
  <c r="E2145" i="1"/>
  <c r="G2144" i="1"/>
  <c r="F2144" i="1"/>
  <c r="E2144" i="1"/>
  <c r="G2143" i="1"/>
  <c r="F2143" i="1"/>
  <c r="E2143" i="1"/>
  <c r="G2142" i="1"/>
  <c r="F2142" i="1"/>
  <c r="E2142" i="1"/>
  <c r="G2141" i="1"/>
  <c r="E2141" i="1"/>
  <c r="G2140" i="1"/>
  <c r="F2140" i="1"/>
  <c r="E2140" i="1"/>
  <c r="G2139" i="1"/>
  <c r="F2139" i="1"/>
  <c r="E2139" i="1"/>
  <c r="G2138" i="1"/>
  <c r="F2138" i="1"/>
  <c r="E2138" i="1"/>
  <c r="G2137" i="1"/>
  <c r="F2137" i="1"/>
  <c r="E2137" i="1"/>
  <c r="G2136" i="1"/>
  <c r="F2136" i="1"/>
  <c r="E2136" i="1"/>
  <c r="G2135" i="1"/>
  <c r="F2135" i="1"/>
  <c r="E2135" i="1"/>
  <c r="G2134" i="1"/>
  <c r="F2134" i="1"/>
  <c r="E2134" i="1"/>
  <c r="G2133" i="1"/>
  <c r="F2133" i="1"/>
  <c r="E2133" i="1"/>
  <c r="G2132" i="1"/>
  <c r="F2132" i="1"/>
  <c r="E2132" i="1"/>
  <c r="G2131" i="1"/>
  <c r="F2131" i="1"/>
  <c r="G2130" i="1"/>
  <c r="F2130" i="1"/>
  <c r="G2129" i="1"/>
  <c r="F2129" i="1"/>
  <c r="G2128" i="1"/>
  <c r="F2128" i="1"/>
  <c r="G2127" i="1"/>
  <c r="F2127" i="1"/>
  <c r="G2126" i="1"/>
  <c r="F2126" i="1"/>
  <c r="G2125" i="1"/>
  <c r="F2125" i="1"/>
  <c r="G2104" i="1"/>
  <c r="F2104" i="1"/>
  <c r="G2103" i="1"/>
  <c r="F2103" i="1"/>
  <c r="G2124" i="1"/>
  <c r="F2124" i="1"/>
  <c r="G2123" i="1"/>
  <c r="F2123" i="1"/>
  <c r="G2122" i="1"/>
  <c r="F2122" i="1"/>
  <c r="G2121" i="1"/>
  <c r="F2121" i="1"/>
  <c r="G2120" i="1"/>
  <c r="F2120" i="1"/>
  <c r="G2119" i="1"/>
  <c r="F2119" i="1"/>
  <c r="G2118" i="1"/>
  <c r="F2118" i="1"/>
  <c r="G2117" i="1"/>
  <c r="F2117" i="1"/>
  <c r="G2116" i="1"/>
  <c r="F2116" i="1"/>
  <c r="E2116" i="1"/>
  <c r="G2115" i="1"/>
  <c r="F2115" i="1"/>
  <c r="E2115" i="1"/>
  <c r="G2114" i="1"/>
  <c r="F2114" i="1"/>
  <c r="E2114" i="1"/>
  <c r="G2113" i="1"/>
  <c r="F2113" i="1"/>
  <c r="E2113" i="1"/>
  <c r="G2112" i="1"/>
  <c r="F2112" i="1"/>
  <c r="G2111" i="1"/>
  <c r="F2111" i="1"/>
  <c r="G2110" i="1"/>
  <c r="F2110" i="1"/>
  <c r="E2110" i="1"/>
  <c r="G2109" i="1"/>
  <c r="F2109" i="1"/>
  <c r="E2109" i="1"/>
  <c r="G2108" i="1"/>
  <c r="F2108" i="1"/>
  <c r="E2108" i="1"/>
  <c r="G2107" i="1"/>
  <c r="F2107" i="1"/>
  <c r="G2106" i="1"/>
  <c r="F2106" i="1"/>
  <c r="G2105" i="1"/>
  <c r="F2105" i="1"/>
  <c r="G2099" i="1"/>
  <c r="F2099" i="1"/>
  <c r="G2098" i="1"/>
  <c r="F2098" i="1"/>
  <c r="G2097" i="1"/>
  <c r="F2097" i="1"/>
  <c r="G2096" i="1"/>
  <c r="F2096" i="1"/>
  <c r="G2095" i="1"/>
  <c r="F2095" i="1"/>
  <c r="G2094" i="1"/>
  <c r="F2094" i="1"/>
  <c r="G2093" i="1"/>
  <c r="F2093" i="1"/>
  <c r="G2092" i="1"/>
  <c r="F2092" i="1"/>
  <c r="G2091" i="1"/>
  <c r="F2091" i="1"/>
  <c r="E2091" i="1"/>
  <c r="G2090" i="1"/>
  <c r="F2090" i="1"/>
  <c r="G2089" i="1"/>
  <c r="F2089" i="1"/>
  <c r="G2088" i="1"/>
  <c r="F2088" i="1"/>
  <c r="G2087" i="1"/>
  <c r="F2087" i="1"/>
  <c r="G2086" i="1"/>
  <c r="F2086" i="1"/>
  <c r="E2086" i="1"/>
  <c r="G2085" i="1"/>
  <c r="F2085" i="1"/>
  <c r="G2084" i="1"/>
  <c r="F2084" i="1"/>
  <c r="G2083" i="1"/>
  <c r="E2083" i="1"/>
  <c r="G2082" i="1"/>
  <c r="F2082" i="1"/>
  <c r="G2081" i="1"/>
  <c r="F2081" i="1"/>
  <c r="G2080" i="1"/>
  <c r="F2080" i="1"/>
  <c r="G2079" i="1"/>
  <c r="F2079" i="1"/>
  <c r="G2101" i="1"/>
  <c r="F2101" i="1"/>
  <c r="G2100" i="1"/>
  <c r="F2100" i="1"/>
  <c r="G2102" i="1"/>
  <c r="G2078" i="1"/>
  <c r="F2078" i="1"/>
  <c r="G2077" i="1"/>
  <c r="F2077" i="1"/>
  <c r="G2076" i="1"/>
  <c r="F2076" i="1"/>
  <c r="G2075" i="1"/>
  <c r="F2075" i="1"/>
  <c r="G2074" i="1"/>
  <c r="F2074" i="1"/>
  <c r="G2073" i="1"/>
  <c r="F2073" i="1"/>
  <c r="G2072" i="1"/>
  <c r="F2072" i="1"/>
  <c r="G2071" i="1"/>
  <c r="F2071" i="1"/>
  <c r="G2070" i="1"/>
  <c r="F2070" i="1"/>
  <c r="G2069" i="1"/>
  <c r="G2068" i="1"/>
  <c r="F2068" i="1"/>
  <c r="G2067" i="1"/>
  <c r="F2067" i="1"/>
  <c r="G2066" i="1"/>
  <c r="F2066" i="1"/>
  <c r="G2065" i="1"/>
  <c r="F2065" i="1"/>
  <c r="G2064" i="1"/>
  <c r="F2064" i="1"/>
  <c r="G2063" i="1"/>
  <c r="F2063" i="1"/>
  <c r="G2062" i="1"/>
  <c r="F2062" i="1"/>
  <c r="G2061" i="1"/>
  <c r="F2061" i="1"/>
  <c r="G2059" i="1"/>
  <c r="G2058" i="1"/>
  <c r="F2058" i="1"/>
  <c r="G2057" i="1"/>
  <c r="F2057" i="1"/>
  <c r="G2056" i="1"/>
  <c r="F2056" i="1"/>
  <c r="G2055" i="1"/>
  <c r="F2055" i="1"/>
  <c r="G2054" i="1"/>
  <c r="F2054" i="1"/>
  <c r="G2053" i="1"/>
  <c r="F2053" i="1"/>
  <c r="G2052" i="1"/>
  <c r="F2052" i="1"/>
  <c r="G2051" i="1"/>
  <c r="F2051" i="1"/>
  <c r="G2050" i="1"/>
  <c r="F2050" i="1"/>
  <c r="G2045" i="1"/>
  <c r="F2045" i="1"/>
  <c r="E2045" i="1"/>
  <c r="G2044" i="1"/>
  <c r="F2044" i="1"/>
  <c r="E2044" i="1"/>
  <c r="G2043" i="1"/>
  <c r="E2043" i="1"/>
  <c r="G2042" i="1"/>
  <c r="F2042" i="1"/>
  <c r="E2042" i="1"/>
  <c r="G2041" i="1"/>
  <c r="F2041" i="1"/>
  <c r="E2041" i="1"/>
  <c r="G2039" i="1"/>
  <c r="F2039" i="1"/>
  <c r="E2039" i="1"/>
  <c r="G2038" i="1"/>
  <c r="F2038" i="1"/>
  <c r="E2038" i="1"/>
  <c r="G2037" i="1"/>
  <c r="F2037" i="1"/>
  <c r="E2037" i="1"/>
  <c r="G2036" i="1"/>
  <c r="F2036" i="1"/>
  <c r="E2036" i="1"/>
  <c r="G2034" i="1"/>
  <c r="F2034" i="1"/>
  <c r="E2034" i="1"/>
  <c r="G2032" i="1"/>
  <c r="F2032" i="1"/>
  <c r="G2031" i="1"/>
  <c r="D150" i="33" s="1"/>
  <c r="F2031" i="1"/>
  <c r="C150" i="33" s="1"/>
  <c r="G2030" i="1"/>
  <c r="F2030" i="1"/>
  <c r="G2027" i="1"/>
  <c r="D148" i="33" s="1"/>
  <c r="F2027" i="1"/>
  <c r="C148" i="33" s="1"/>
  <c r="G2026" i="1"/>
  <c r="D147" i="33" s="1"/>
  <c r="F2026" i="1"/>
  <c r="C147" i="33" s="1"/>
  <c r="G2025" i="1"/>
  <c r="F2025" i="1"/>
  <c r="G2024" i="1"/>
  <c r="D146" i="33" s="1"/>
  <c r="F2024" i="1"/>
  <c r="C146" i="33" s="1"/>
  <c r="G2019" i="1"/>
  <c r="D142" i="33" s="1"/>
  <c r="F2019" i="1"/>
  <c r="C142" i="33" s="1"/>
  <c r="E2019" i="1"/>
  <c r="G2018" i="1"/>
  <c r="D141" i="33" s="1"/>
  <c r="F2018" i="1"/>
  <c r="C141" i="33" s="1"/>
  <c r="E2018" i="1"/>
  <c r="G2017" i="1"/>
  <c r="D140" i="33" s="1"/>
  <c r="F2017" i="1"/>
  <c r="C140" i="33" s="1"/>
  <c r="E2017" i="1"/>
  <c r="G2016" i="1"/>
  <c r="D139" i="33" s="1"/>
  <c r="F2016" i="1"/>
  <c r="C139" i="33" s="1"/>
  <c r="E2016" i="1"/>
  <c r="G2015" i="1"/>
  <c r="D138" i="33" s="1"/>
  <c r="F2015" i="1"/>
  <c r="C138" i="33" s="1"/>
  <c r="E2015" i="1"/>
  <c r="G2014" i="1"/>
  <c r="D137" i="33" s="1"/>
  <c r="F2014" i="1"/>
  <c r="C137" i="33" s="1"/>
  <c r="E2014" i="1"/>
  <c r="G2013" i="1"/>
  <c r="D136" i="33" s="1"/>
  <c r="F2013" i="1"/>
  <c r="C136" i="33" s="1"/>
  <c r="E2013" i="1"/>
  <c r="G2012" i="1"/>
  <c r="D135" i="33" s="1"/>
  <c r="F2012" i="1"/>
  <c r="C135" i="33" s="1"/>
  <c r="G2011" i="1"/>
  <c r="D134" i="33" s="1"/>
  <c r="F2011" i="1"/>
  <c r="C134" i="33" s="1"/>
  <c r="G2010" i="1"/>
  <c r="D133" i="33" s="1"/>
  <c r="F2010" i="1"/>
  <c r="C133" i="33" s="1"/>
  <c r="G2009" i="1"/>
  <c r="D132" i="33" s="1"/>
  <c r="F2009" i="1"/>
  <c r="C132" i="33" s="1"/>
  <c r="G2008" i="1"/>
  <c r="D131" i="33" s="1"/>
  <c r="F2008" i="1"/>
  <c r="C131" i="33" s="1"/>
  <c r="G2007" i="1"/>
  <c r="D130" i="33" s="1"/>
  <c r="F2007" i="1"/>
  <c r="C130" i="33" s="1"/>
  <c r="G2005" i="1"/>
  <c r="D128" i="33" s="1"/>
  <c r="F2005" i="1"/>
  <c r="C128" i="33" s="1"/>
  <c r="G2004" i="1"/>
  <c r="D127" i="33" s="1"/>
  <c r="F2004" i="1"/>
  <c r="C127" i="33" s="1"/>
  <c r="G2003" i="1"/>
  <c r="D126" i="33" s="1"/>
  <c r="F2003" i="1"/>
  <c r="C126" i="33" s="1"/>
  <c r="G2001" i="1"/>
  <c r="D124" i="33" s="1"/>
  <c r="F2001" i="1"/>
  <c r="C124" i="33" s="1"/>
  <c r="G2000" i="1"/>
  <c r="D123" i="33" s="1"/>
  <c r="F2000" i="1"/>
  <c r="C123" i="33" s="1"/>
  <c r="G1999" i="1"/>
  <c r="D122" i="33" s="1"/>
  <c r="F1999" i="1"/>
  <c r="C122" i="33" s="1"/>
  <c r="G1998" i="1"/>
  <c r="D121" i="33" s="1"/>
  <c r="F1998" i="1"/>
  <c r="C121" i="33" s="1"/>
  <c r="F1995" i="1"/>
  <c r="G1990" i="1"/>
  <c r="D113" i="33" s="1"/>
  <c r="F1990" i="1"/>
  <c r="C113" i="33" s="1"/>
  <c r="F1989" i="1"/>
  <c r="C112" i="33" s="1"/>
  <c r="F1988" i="1"/>
  <c r="C111" i="33" s="1"/>
  <c r="G1986" i="1"/>
  <c r="D109" i="33" s="1"/>
  <c r="F1986" i="1"/>
  <c r="C109" i="33" s="1"/>
  <c r="G1985" i="1"/>
  <c r="D108" i="33" s="1"/>
  <c r="F1985" i="1"/>
  <c r="C108" i="33" s="1"/>
  <c r="G1984" i="1"/>
  <c r="D107" i="33" s="1"/>
  <c r="F1984" i="1"/>
  <c r="C107" i="33" s="1"/>
  <c r="G1983" i="1"/>
  <c r="D106" i="33" s="1"/>
  <c r="F1983" i="1"/>
  <c r="C106" i="33" s="1"/>
  <c r="G1982" i="1"/>
  <c r="D105" i="33" s="1"/>
  <c r="F1982" i="1"/>
  <c r="C105" i="33" s="1"/>
  <c r="G1980" i="1"/>
  <c r="F1980" i="1"/>
  <c r="G1979" i="1"/>
  <c r="F1979" i="1"/>
  <c r="G1978" i="1"/>
  <c r="F1978" i="1"/>
  <c r="G1976" i="1"/>
  <c r="F1976" i="1"/>
  <c r="G1975" i="1"/>
  <c r="F1975" i="1"/>
  <c r="G1974" i="1"/>
  <c r="F1974" i="1"/>
  <c r="G1972" i="1"/>
  <c r="D95" i="33" s="1"/>
  <c r="F1972" i="1"/>
  <c r="C95" i="33" s="1"/>
  <c r="G1971" i="1"/>
  <c r="D94" i="33" s="1"/>
  <c r="F1971" i="1"/>
  <c r="C94" i="33" s="1"/>
  <c r="G1964" i="1"/>
  <c r="D87" i="33" s="1"/>
  <c r="F1964" i="1"/>
  <c r="C87" i="33" s="1"/>
  <c r="G1963" i="1"/>
  <c r="D86" i="33" s="1"/>
  <c r="F1963" i="1"/>
  <c r="C86" i="33" s="1"/>
  <c r="G1962" i="1"/>
  <c r="D85" i="33" s="1"/>
  <c r="F1962" i="1"/>
  <c r="C85" i="33" s="1"/>
  <c r="G1960" i="1"/>
  <c r="F1960" i="1"/>
  <c r="G1959" i="1"/>
  <c r="F1959" i="1"/>
  <c r="G1955" i="1"/>
  <c r="D78" i="33" s="1"/>
  <c r="F1955" i="1"/>
  <c r="C78" i="33" s="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E1945" i="1"/>
  <c r="G1944" i="1"/>
  <c r="F1944" i="1"/>
  <c r="E1944" i="1"/>
  <c r="G1943" i="1"/>
  <c r="E1943" i="1"/>
  <c r="G1942" i="1"/>
  <c r="F1942" i="1"/>
  <c r="E1942" i="1"/>
  <c r="G1941" i="1"/>
  <c r="G163" i="97" s="1"/>
  <c r="F1941" i="1"/>
  <c r="F163" i="97" s="1"/>
  <c r="E1941" i="1"/>
  <c r="E163" i="97" s="1"/>
  <c r="G1940" i="1"/>
  <c r="E1940" i="1"/>
  <c r="G1939" i="1"/>
  <c r="E1939" i="1"/>
  <c r="G1938" i="1"/>
  <c r="E1938" i="1"/>
  <c r="G1937" i="1"/>
  <c r="E1937" i="1"/>
  <c r="G1936" i="1"/>
  <c r="E1936" i="1"/>
  <c r="G1929" i="1"/>
  <c r="G158" i="97" s="1"/>
  <c r="F1929" i="1"/>
  <c r="F158" i="97" s="1"/>
  <c r="E1929" i="1"/>
  <c r="E158" i="97" s="1"/>
  <c r="G1928" i="1"/>
  <c r="F1928" i="1"/>
  <c r="E1928" i="1"/>
  <c r="G1927" i="1"/>
  <c r="E1927" i="1"/>
  <c r="G1926" i="1"/>
  <c r="F1926" i="1"/>
  <c r="E1926" i="1"/>
  <c r="G1925" i="1"/>
  <c r="F1925" i="1"/>
  <c r="E1925" i="1"/>
  <c r="G1924" i="1"/>
  <c r="F1924" i="1"/>
  <c r="E1924" i="1"/>
  <c r="G1923" i="1"/>
  <c r="G162" i="97" s="1"/>
  <c r="F1923" i="1"/>
  <c r="F162" i="97" s="1"/>
  <c r="E1923" i="1"/>
  <c r="E162" i="97" s="1"/>
  <c r="G1922" i="1"/>
  <c r="E1922" i="1"/>
  <c r="G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G152" i="97" s="1"/>
  <c r="F1910" i="1"/>
  <c r="F152" i="97" s="1"/>
  <c r="E1910" i="1"/>
  <c r="E152" i="97" s="1"/>
  <c r="G1909" i="1"/>
  <c r="F1909" i="1"/>
  <c r="E1909" i="1"/>
  <c r="G1908" i="1"/>
  <c r="F1908" i="1"/>
  <c r="E1908" i="1"/>
  <c r="G1907" i="1"/>
  <c r="F1907" i="1"/>
  <c r="E1907" i="1"/>
  <c r="G1906" i="1"/>
  <c r="F1906" i="1"/>
  <c r="E1906" i="1"/>
  <c r="G1905" i="1"/>
  <c r="F1905" i="1"/>
  <c r="E1905" i="1"/>
  <c r="G1904" i="1"/>
  <c r="F1904" i="1"/>
  <c r="E1904" i="1"/>
  <c r="G1903" i="1"/>
  <c r="G151" i="97" s="1"/>
  <c r="F1903" i="1"/>
  <c r="F151" i="97" s="1"/>
  <c r="E1903" i="1"/>
  <c r="E151" i="97" s="1"/>
  <c r="G1902" i="1"/>
  <c r="G55" i="97" s="1"/>
  <c r="F1902" i="1"/>
  <c r="F55" i="97" s="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6" i="1"/>
  <c r="G15" i="97" s="1"/>
  <c r="G1875" i="1"/>
  <c r="F1875" i="1"/>
  <c r="G1874" i="1"/>
  <c r="F1874" i="1"/>
  <c r="E1874" i="1"/>
  <c r="E1873" i="1"/>
  <c r="E100" i="97" s="1"/>
  <c r="G1872" i="1"/>
  <c r="F1872" i="1"/>
  <c r="E1872" i="1"/>
  <c r="E1871" i="1"/>
  <c r="E104" i="97" s="1"/>
  <c r="G1870" i="1"/>
  <c r="F1870" i="1"/>
  <c r="E1870" i="1"/>
  <c r="E1869" i="1"/>
  <c r="E126" i="97" s="1"/>
  <c r="E1868" i="1"/>
  <c r="E128" i="97" s="1"/>
  <c r="G1865" i="1"/>
  <c r="F1865" i="1"/>
  <c r="E1865" i="1"/>
  <c r="G1864" i="1"/>
  <c r="F1864" i="1"/>
  <c r="E1864" i="1"/>
  <c r="G1863" i="1"/>
  <c r="F1863" i="1"/>
  <c r="E1863" i="1"/>
  <c r="E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G94" i="97" s="1"/>
  <c r="F1849" i="1"/>
  <c r="F94" i="97" s="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0" i="1"/>
  <c r="F1830" i="1"/>
  <c r="G1829" i="1"/>
  <c r="F1829" i="1"/>
  <c r="F1827" i="1"/>
  <c r="F1826" i="1"/>
  <c r="G1825" i="1"/>
  <c r="F1825" i="1"/>
  <c r="G1824" i="1"/>
  <c r="F1824" i="1"/>
  <c r="G1823" i="1"/>
  <c r="F1823" i="1"/>
  <c r="G1822" i="1"/>
  <c r="F1822" i="1"/>
  <c r="G1820" i="1"/>
  <c r="F1820" i="1"/>
  <c r="G1819" i="1"/>
  <c r="G87" i="97" s="1"/>
  <c r="F1819" i="1"/>
  <c r="F87" i="97" s="1"/>
  <c r="G1818" i="1"/>
  <c r="F1818" i="1"/>
  <c r="G1816" i="1"/>
  <c r="G110" i="97" s="1"/>
  <c r="F1816" i="1"/>
  <c r="F110" i="97" s="1"/>
  <c r="G1815" i="1"/>
  <c r="G9" i="97" s="1"/>
  <c r="G1813" i="1"/>
  <c r="F1813" i="1"/>
  <c r="G1812" i="1"/>
  <c r="F1812" i="1"/>
  <c r="G1810" i="1"/>
  <c r="F1810" i="1"/>
  <c r="G1809" i="1"/>
  <c r="F1809" i="1"/>
  <c r="G1808" i="1"/>
  <c r="F1808" i="1"/>
  <c r="G1807" i="1"/>
  <c r="F1807" i="1"/>
  <c r="G1806" i="1"/>
  <c r="F1806" i="1"/>
  <c r="G1804" i="1"/>
  <c r="F1804" i="1"/>
  <c r="G1803" i="1"/>
  <c r="F1803" i="1"/>
  <c r="G1802" i="1"/>
  <c r="F1802" i="1"/>
  <c r="G1800" i="1"/>
  <c r="F1800" i="1"/>
  <c r="G1799" i="1"/>
  <c r="F1799" i="1"/>
  <c r="G1798" i="1"/>
  <c r="F1798" i="1"/>
  <c r="G1796" i="1"/>
  <c r="G79" i="97" s="1"/>
  <c r="F1796" i="1"/>
  <c r="F79" i="97" s="1"/>
  <c r="G1795" i="1"/>
  <c r="G8" i="97" s="1"/>
  <c r="F1795" i="1"/>
  <c r="F8" i="97" s="1"/>
  <c r="G1793" i="1"/>
  <c r="F1793" i="1"/>
  <c r="G1792" i="1"/>
  <c r="F1792" i="1"/>
  <c r="G1791" i="1"/>
  <c r="F1791" i="1"/>
  <c r="G1789" i="1"/>
  <c r="F1789" i="1"/>
  <c r="G1788" i="1"/>
  <c r="F1788" i="1"/>
  <c r="G1787" i="1"/>
  <c r="F1787" i="1"/>
  <c r="G1785" i="1"/>
  <c r="F1785" i="1"/>
  <c r="G1784" i="1"/>
  <c r="G54" i="97" s="1"/>
  <c r="F1784" i="1"/>
  <c r="F54" i="97" s="1"/>
  <c r="G1783" i="1"/>
  <c r="G102" i="97" s="1"/>
  <c r="F1783" i="1"/>
  <c r="F102" i="97" s="1"/>
  <c r="G1781" i="1"/>
  <c r="F1781" i="1"/>
  <c r="G1780" i="1"/>
  <c r="F1780" i="1"/>
  <c r="G1779" i="1"/>
  <c r="F1779" i="1"/>
  <c r="G1777" i="1"/>
  <c r="F1777" i="1"/>
  <c r="G1776" i="1"/>
  <c r="F1776" i="1"/>
  <c r="G1774" i="1"/>
  <c r="F1774" i="1"/>
  <c r="G1773" i="1"/>
  <c r="F1773" i="1"/>
  <c r="G1771" i="1"/>
  <c r="G28" i="97" s="1"/>
  <c r="F1771" i="1"/>
  <c r="F28" i="97" s="1"/>
  <c r="G1770" i="1"/>
  <c r="G116" i="97" s="1"/>
  <c r="F1770" i="1"/>
  <c r="F116" i="97" s="1"/>
  <c r="G1768" i="1"/>
  <c r="F1768" i="1"/>
  <c r="G1767" i="1"/>
  <c r="F1767" i="1"/>
  <c r="F1766" i="1"/>
  <c r="F1765" i="1"/>
  <c r="G1764" i="1"/>
  <c r="F1764" i="1"/>
  <c r="G1763" i="1"/>
  <c r="F1763" i="1"/>
  <c r="G1762" i="1"/>
  <c r="F1762" i="1"/>
  <c r="G1761" i="1"/>
  <c r="F1761" i="1"/>
  <c r="G1760" i="1"/>
  <c r="F1760" i="1"/>
  <c r="G1759" i="1"/>
  <c r="F1759" i="1"/>
  <c r="G1758" i="1"/>
  <c r="F1758" i="1"/>
  <c r="G1757" i="1"/>
  <c r="G17" i="97" s="1"/>
  <c r="F1757" i="1"/>
  <c r="F17" i="97" s="1"/>
  <c r="G1756" i="1"/>
  <c r="G20" i="97" s="1"/>
  <c r="F1756" i="1"/>
  <c r="F20" i="97" s="1"/>
  <c r="G1755" i="1"/>
  <c r="F1755" i="1"/>
  <c r="G1754" i="1"/>
  <c r="F1754" i="1"/>
  <c r="G1753" i="1"/>
  <c r="F1753" i="1"/>
  <c r="G1752" i="1"/>
  <c r="F1752" i="1"/>
  <c r="G1751" i="1"/>
  <c r="F1751" i="1"/>
  <c r="G1750" i="1"/>
  <c r="F1750"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4" i="1"/>
  <c r="F1674" i="1"/>
  <c r="G1673" i="1"/>
  <c r="F1673" i="1"/>
  <c r="G1671" i="1"/>
  <c r="F1671" i="1"/>
  <c r="G1670" i="1"/>
  <c r="F1670" i="1"/>
  <c r="G1669" i="1"/>
  <c r="F1669" i="1"/>
  <c r="G1668" i="1"/>
  <c r="F1668" i="1"/>
  <c r="G1667" i="1"/>
  <c r="F1667" i="1"/>
  <c r="G1665" i="1"/>
  <c r="F1665" i="1"/>
  <c r="G1664" i="1"/>
  <c r="F1664" i="1"/>
  <c r="G1663" i="1"/>
  <c r="F1663" i="1"/>
  <c r="G1661" i="1"/>
  <c r="F1661" i="1"/>
  <c r="G1660" i="1"/>
  <c r="F1660" i="1"/>
  <c r="G1659" i="1"/>
  <c r="F1659" i="1"/>
  <c r="G1657" i="1"/>
  <c r="F1657" i="1"/>
  <c r="G1656" i="1"/>
  <c r="F1656" i="1"/>
  <c r="G1654" i="1"/>
  <c r="F1654"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8" i="1"/>
  <c r="F1628" i="1"/>
  <c r="E1628" i="1"/>
  <c r="G1627" i="1"/>
  <c r="F1627" i="1"/>
  <c r="E1627" i="1"/>
  <c r="G1626" i="1"/>
  <c r="F1626" i="1"/>
  <c r="E1626" i="1"/>
  <c r="G1625" i="1"/>
  <c r="F1625" i="1"/>
  <c r="E1625" i="1"/>
  <c r="G1624" i="1"/>
  <c r="F1624" i="1"/>
  <c r="E1624" i="1"/>
  <c r="G1623" i="1"/>
  <c r="F1623" i="1"/>
  <c r="E1623" i="1"/>
  <c r="G1622" i="1"/>
  <c r="F1622" i="1"/>
  <c r="E1622" i="1"/>
  <c r="G1621" i="1"/>
  <c r="E1621" i="1"/>
  <c r="G1620" i="1"/>
  <c r="E1620" i="1"/>
  <c r="G1619" i="1"/>
  <c r="E1619" i="1"/>
  <c r="G1618" i="1"/>
  <c r="E1618" i="1"/>
  <c r="G1617" i="1"/>
  <c r="F1617" i="1"/>
  <c r="E1617" i="1"/>
  <c r="G1616" i="1"/>
  <c r="E1616" i="1"/>
  <c r="G1615" i="1"/>
  <c r="E1615" i="1"/>
  <c r="G1614" i="1"/>
  <c r="E1614" i="1"/>
  <c r="G1613" i="1"/>
  <c r="E1613" i="1"/>
  <c r="G1612" i="1"/>
  <c r="F1612" i="1"/>
  <c r="E1612" i="1"/>
  <c r="G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F1596" i="1"/>
  <c r="E1596" i="1"/>
  <c r="G1595" i="1"/>
  <c r="E1595" i="1"/>
  <c r="G1594" i="1"/>
  <c r="D195" i="31" s="1"/>
  <c r="F1594" i="1"/>
  <c r="C195" i="31" s="1"/>
  <c r="G1593" i="1"/>
  <c r="D194" i="31" s="1"/>
  <c r="F1593" i="1"/>
  <c r="C194" i="31" s="1"/>
  <c r="G1592" i="1"/>
  <c r="D193" i="31" s="1"/>
  <c r="F1592" i="1"/>
  <c r="C193" i="31" s="1"/>
  <c r="G1591" i="1"/>
  <c r="D192" i="31" s="1"/>
  <c r="F1591" i="1"/>
  <c r="C192" i="31" s="1"/>
  <c r="G1590" i="1"/>
  <c r="D191" i="31" s="1"/>
  <c r="F1590" i="1"/>
  <c r="C191" i="31" s="1"/>
  <c r="G1589" i="1"/>
  <c r="D190" i="31" s="1"/>
  <c r="F1589" i="1"/>
  <c r="C190" i="31" s="1"/>
  <c r="G1588" i="1"/>
  <c r="D189" i="31" s="1"/>
  <c r="F1588" i="1"/>
  <c r="C189" i="31" s="1"/>
  <c r="G1587" i="1"/>
  <c r="D188" i="31" s="1"/>
  <c r="F1587" i="1"/>
  <c r="C188" i="31" s="1"/>
  <c r="G1586" i="1"/>
  <c r="D187" i="31" s="1"/>
  <c r="F1586" i="1"/>
  <c r="C187" i="31" s="1"/>
  <c r="G1585" i="1"/>
  <c r="D186" i="31" s="1"/>
  <c r="F1585" i="1"/>
  <c r="C186" i="31" s="1"/>
  <c r="G1584" i="1"/>
  <c r="D185" i="31" s="1"/>
  <c r="F1584" i="1"/>
  <c r="C185" i="31" s="1"/>
  <c r="G1583" i="1"/>
  <c r="D184" i="31" s="1"/>
  <c r="F1583" i="1"/>
  <c r="C184" i="31" s="1"/>
  <c r="E1583" i="1"/>
  <c r="G1582" i="1"/>
  <c r="D183" i="31" s="1"/>
  <c r="F1582" i="1"/>
  <c r="C183" i="31" s="1"/>
  <c r="E1582" i="1"/>
  <c r="G1581" i="1"/>
  <c r="D182" i="31" s="1"/>
  <c r="F1581" i="1"/>
  <c r="C182" i="31" s="1"/>
  <c r="E1581" i="1"/>
  <c r="G1580" i="1"/>
  <c r="D181" i="31" s="1"/>
  <c r="F1580" i="1"/>
  <c r="C181" i="31" s="1"/>
  <c r="E1580" i="1"/>
  <c r="G1579" i="1"/>
  <c r="D180" i="31" s="1"/>
  <c r="F1579" i="1"/>
  <c r="C180" i="31" s="1"/>
  <c r="E1579" i="1"/>
  <c r="G1578" i="1"/>
  <c r="D179" i="31" s="1"/>
  <c r="F1578" i="1"/>
  <c r="C179" i="31" s="1"/>
  <c r="E1578" i="1"/>
  <c r="G1577" i="1"/>
  <c r="D178" i="31" s="1"/>
  <c r="F1577" i="1"/>
  <c r="C178" i="31" s="1"/>
  <c r="E1577" i="1"/>
  <c r="G1576" i="1"/>
  <c r="D177" i="31" s="1"/>
  <c r="F1576" i="1"/>
  <c r="C177" i="31" s="1"/>
  <c r="E1576" i="1"/>
  <c r="G1575" i="1"/>
  <c r="D176" i="31" s="1"/>
  <c r="F1575" i="1"/>
  <c r="C176" i="31" s="1"/>
  <c r="E1575" i="1"/>
  <c r="G1574" i="1"/>
  <c r="D175" i="31" s="1"/>
  <c r="F1574" i="1"/>
  <c r="C175" i="31" s="1"/>
  <c r="G1573" i="1"/>
  <c r="D174" i="31" s="1"/>
  <c r="F1573" i="1"/>
  <c r="C174" i="31" s="1"/>
  <c r="G1572" i="1"/>
  <c r="D173" i="31" s="1"/>
  <c r="F1572" i="1"/>
  <c r="C173" i="31" s="1"/>
  <c r="G1571" i="1"/>
  <c r="D172" i="31" s="1"/>
  <c r="F1571" i="1"/>
  <c r="C172" i="31" s="1"/>
  <c r="G1570" i="1"/>
  <c r="F1570" i="1"/>
  <c r="G1569" i="1"/>
  <c r="F1569" i="1"/>
  <c r="G1568" i="1"/>
  <c r="F1568" i="1"/>
  <c r="G1567" i="1"/>
  <c r="D171" i="31" s="1"/>
  <c r="F1567" i="1"/>
  <c r="C171" i="31" s="1"/>
  <c r="G1566" i="1"/>
  <c r="D170" i="31" s="1"/>
  <c r="F1566" i="1"/>
  <c r="C170" i="31" s="1"/>
  <c r="G1565" i="1"/>
  <c r="D169" i="31" s="1"/>
  <c r="F1565" i="1"/>
  <c r="C169" i="31" s="1"/>
  <c r="G1564" i="1"/>
  <c r="D168" i="31" s="1"/>
  <c r="F1564" i="1"/>
  <c r="C168" i="31" s="1"/>
  <c r="G1563" i="1"/>
  <c r="D167" i="31" s="1"/>
  <c r="F1563" i="1"/>
  <c r="C167" i="31" s="1"/>
  <c r="G1562" i="1"/>
  <c r="D166" i="31" s="1"/>
  <c r="F1562" i="1"/>
  <c r="C166" i="31" s="1"/>
  <c r="G1561" i="1"/>
  <c r="D165" i="31" s="1"/>
  <c r="F1561" i="1"/>
  <c r="C165" i="31" s="1"/>
  <c r="G1560" i="1"/>
  <c r="D164" i="31" s="1"/>
  <c r="F1560" i="1"/>
  <c r="C164" i="31" s="1"/>
  <c r="G1559" i="1"/>
  <c r="D163" i="31" s="1"/>
  <c r="F1559" i="1"/>
  <c r="C163" i="31" s="1"/>
  <c r="G1558" i="1"/>
  <c r="D162" i="31" s="1"/>
  <c r="F1558" i="1"/>
  <c r="C162" i="31" s="1"/>
  <c r="G1557" i="1"/>
  <c r="D161" i="31" s="1"/>
  <c r="F1557" i="1"/>
  <c r="C161" i="31" s="1"/>
  <c r="G1556" i="1"/>
  <c r="D160" i="31" s="1"/>
  <c r="F1556" i="1"/>
  <c r="C160" i="31" s="1"/>
  <c r="G1555" i="1"/>
  <c r="D159" i="31" s="1"/>
  <c r="F1555" i="1"/>
  <c r="C159" i="31" s="1"/>
  <c r="G1554" i="1"/>
  <c r="D158" i="31" s="1"/>
  <c r="F1554" i="1"/>
  <c r="C158" i="31" s="1"/>
  <c r="G1553" i="1"/>
  <c r="D157" i="31" s="1"/>
  <c r="F1553" i="1"/>
  <c r="C157" i="31" s="1"/>
  <c r="G1552" i="1"/>
  <c r="D156" i="31" s="1"/>
  <c r="F1552" i="1"/>
  <c r="C156" i="31" s="1"/>
  <c r="G1551" i="1"/>
  <c r="D155" i="31" s="1"/>
  <c r="F1551" i="1"/>
  <c r="C155" i="31" s="1"/>
  <c r="G1549" i="1"/>
  <c r="F1549" i="1"/>
  <c r="G1548" i="1"/>
  <c r="F1548" i="1"/>
  <c r="G1547" i="1"/>
  <c r="F1547" i="1"/>
  <c r="G1546" i="1"/>
  <c r="F1546" i="1"/>
  <c r="G1545" i="1"/>
  <c r="F1545" i="1"/>
  <c r="G1543" i="1"/>
  <c r="F1543" i="1"/>
  <c r="G1542" i="1"/>
  <c r="F1542" i="1"/>
  <c r="G1541" i="1"/>
  <c r="F1541" i="1"/>
  <c r="G1540" i="1"/>
  <c r="F1540" i="1"/>
  <c r="G1538" i="1"/>
  <c r="F1538" i="1"/>
  <c r="G1537" i="1"/>
  <c r="F1537" i="1"/>
  <c r="G1536" i="1"/>
  <c r="F1536" i="1"/>
  <c r="G1535" i="1"/>
  <c r="F1535" i="1"/>
  <c r="G1534" i="1"/>
  <c r="F1534" i="1"/>
  <c r="G1532" i="1"/>
  <c r="F1532" i="1"/>
  <c r="G1531" i="1"/>
  <c r="F1531" i="1"/>
  <c r="G1530" i="1"/>
  <c r="F1530" i="1"/>
  <c r="G1528" i="1"/>
  <c r="F1528" i="1"/>
  <c r="G1527" i="1"/>
  <c r="F1527" i="1"/>
  <c r="G1526" i="1"/>
  <c r="F1526" i="1"/>
  <c r="G1524" i="1"/>
  <c r="F1524" i="1"/>
  <c r="G1523" i="1"/>
  <c r="F1523" i="1"/>
  <c r="G1521" i="1"/>
  <c r="F1521" i="1"/>
  <c r="G1520" i="1"/>
  <c r="F1520" i="1"/>
  <c r="G1519" i="1"/>
  <c r="F1519" i="1"/>
  <c r="G1517" i="1"/>
  <c r="F1517" i="1"/>
  <c r="G1516" i="1"/>
  <c r="F1516" i="1"/>
  <c r="G1515" i="1"/>
  <c r="F1515" i="1"/>
  <c r="G1514" i="1"/>
  <c r="F1514" i="1"/>
  <c r="G1512" i="1"/>
  <c r="F1512" i="1"/>
  <c r="G1511" i="1"/>
  <c r="F1511" i="1"/>
  <c r="G1510" i="1"/>
  <c r="F1510" i="1"/>
  <c r="G1508" i="1"/>
  <c r="F1508" i="1"/>
  <c r="G1507" i="1"/>
  <c r="F1507"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87" i="1"/>
  <c r="F1487" i="1"/>
  <c r="E1487" i="1"/>
  <c r="G1484" i="1"/>
  <c r="F1484" i="1"/>
  <c r="E1484" i="1"/>
  <c r="G1483" i="1"/>
  <c r="F1483" i="1"/>
  <c r="E1483" i="1"/>
  <c r="G1482" i="1"/>
  <c r="F1482" i="1"/>
  <c r="G1478" i="1"/>
  <c r="F1478" i="1"/>
  <c r="E1478" i="1"/>
  <c r="G1475" i="1"/>
  <c r="F1475" i="1"/>
  <c r="E1475" i="1"/>
  <c r="G1474" i="1"/>
  <c r="F1474" i="1"/>
  <c r="E1474" i="1"/>
  <c r="G1473" i="1"/>
  <c r="F1473" i="1"/>
  <c r="G1469" i="1"/>
  <c r="F1469" i="1"/>
  <c r="E1469" i="1"/>
  <c r="G1466" i="1"/>
  <c r="F1466" i="1"/>
  <c r="E1466" i="1"/>
  <c r="G1465" i="1"/>
  <c r="F1465" i="1"/>
  <c r="E1465" i="1"/>
  <c r="G1464" i="1"/>
  <c r="F1464" i="1"/>
  <c r="G1460" i="1"/>
  <c r="F1460" i="1"/>
  <c r="E1460" i="1"/>
  <c r="G1457" i="1"/>
  <c r="F1457" i="1"/>
  <c r="E1457" i="1"/>
  <c r="G1456" i="1"/>
  <c r="F1456" i="1"/>
  <c r="E1456" i="1"/>
  <c r="G1455" i="1"/>
  <c r="F1455" i="1"/>
  <c r="G1451" i="1"/>
  <c r="F1451" i="1"/>
  <c r="E1451" i="1"/>
  <c r="G1448" i="1"/>
  <c r="F1448" i="1"/>
  <c r="E1448" i="1"/>
  <c r="G1447" i="1"/>
  <c r="F1447" i="1"/>
  <c r="E1447" i="1"/>
  <c r="G1446" i="1"/>
  <c r="F1446" i="1"/>
  <c r="G1442" i="1"/>
  <c r="F1442" i="1"/>
  <c r="E1442" i="1"/>
  <c r="G1439" i="1"/>
  <c r="F1439" i="1"/>
  <c r="E1439" i="1"/>
  <c r="G1438" i="1"/>
  <c r="F1438" i="1"/>
  <c r="E1438" i="1"/>
  <c r="G1437" i="1"/>
  <c r="F1437" i="1"/>
  <c r="G1433" i="1"/>
  <c r="F1433" i="1"/>
  <c r="E1433" i="1"/>
  <c r="G1430" i="1"/>
  <c r="F1430" i="1"/>
  <c r="E1430" i="1"/>
  <c r="G1429" i="1"/>
  <c r="F1429" i="1"/>
  <c r="E1429" i="1"/>
  <c r="G1428" i="1"/>
  <c r="F1428" i="1"/>
  <c r="G1424" i="1"/>
  <c r="F1424" i="1"/>
  <c r="E1424" i="1"/>
  <c r="G1421" i="1"/>
  <c r="F1421" i="1"/>
  <c r="E1421" i="1"/>
  <c r="G1420" i="1"/>
  <c r="F1420" i="1"/>
  <c r="E1420" i="1"/>
  <c r="G1419" i="1"/>
  <c r="F1419" i="1"/>
  <c r="G1415" i="1"/>
  <c r="F1415" i="1"/>
  <c r="E1415" i="1"/>
  <c r="G1407" i="1"/>
  <c r="F1407" i="1"/>
  <c r="E1407" i="1"/>
  <c r="G1404" i="1"/>
  <c r="F1404" i="1"/>
  <c r="E1404" i="1"/>
  <c r="G1403" i="1"/>
  <c r="F1403" i="1"/>
  <c r="G1400" i="1"/>
  <c r="F1400" i="1"/>
  <c r="E1400" i="1"/>
  <c r="G1399" i="1"/>
  <c r="F1399" i="1"/>
  <c r="E1399" i="1"/>
  <c r="G1398" i="1"/>
  <c r="F1398" i="1"/>
  <c r="G1397" i="1"/>
  <c r="F1397" i="1"/>
  <c r="G1396" i="1"/>
  <c r="F1396" i="1"/>
  <c r="G1395" i="1"/>
  <c r="F1395" i="1"/>
  <c r="G1393" i="1"/>
  <c r="F1393" i="1"/>
  <c r="G1392" i="1"/>
  <c r="F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70" i="1"/>
  <c r="F1370" i="1"/>
  <c r="G1369" i="1"/>
  <c r="F1369" i="1"/>
  <c r="G1368" i="1"/>
  <c r="F1368" i="1"/>
  <c r="G1367" i="1"/>
  <c r="F1367" i="1"/>
  <c r="G1366" i="1"/>
  <c r="F1366" i="1"/>
  <c r="G1363" i="1"/>
  <c r="F1363" i="1"/>
  <c r="E1363" i="1"/>
  <c r="G1362" i="1"/>
  <c r="F1362" i="1"/>
  <c r="E1362" i="1"/>
  <c r="G1361" i="1"/>
  <c r="F1361" i="1"/>
  <c r="G1360" i="1"/>
  <c r="F1360" i="1"/>
  <c r="G1359" i="1"/>
  <c r="F1359" i="1"/>
  <c r="G1358" i="1"/>
  <c r="F1358" i="1"/>
  <c r="G1357" i="1"/>
  <c r="F1357" i="1"/>
  <c r="G1355" i="1"/>
  <c r="F1355" i="1"/>
  <c r="G1354" i="1"/>
  <c r="F1354" i="1"/>
  <c r="G1353" i="1"/>
  <c r="F1353" i="1"/>
  <c r="G1352" i="1"/>
  <c r="F1352" i="1"/>
  <c r="G1349" i="1"/>
  <c r="F1349" i="1"/>
  <c r="E1349" i="1"/>
  <c r="G1348" i="1"/>
  <c r="F1348" i="1"/>
  <c r="E1348" i="1"/>
  <c r="G1347" i="1"/>
  <c r="F1347" i="1"/>
  <c r="E1347" i="1"/>
  <c r="G1346" i="1"/>
  <c r="F1346" i="1"/>
  <c r="G1345" i="1"/>
  <c r="F1345" i="1"/>
  <c r="G1344" i="1"/>
  <c r="F1344" i="1"/>
  <c r="G1343" i="1"/>
  <c r="F1343" i="1"/>
  <c r="G1342" i="1"/>
  <c r="F1342" i="1"/>
  <c r="G1341" i="1"/>
  <c r="F1341" i="1"/>
  <c r="G1340" i="1"/>
  <c r="F1340" i="1"/>
  <c r="G1338" i="1"/>
  <c r="F1338" i="1"/>
  <c r="G1337" i="1"/>
  <c r="F1337" i="1"/>
  <c r="G1336" i="1"/>
  <c r="F1336" i="1"/>
  <c r="G1333" i="1"/>
  <c r="F1333" i="1"/>
  <c r="E1333" i="1"/>
  <c r="G1332" i="1"/>
  <c r="F1332" i="1"/>
  <c r="E1332" i="1"/>
  <c r="G1331" i="1"/>
  <c r="F1331" i="1"/>
  <c r="G1330" i="1"/>
  <c r="F1330" i="1"/>
  <c r="G1329" i="1"/>
  <c r="F1329" i="1"/>
  <c r="G1328" i="1"/>
  <c r="F1328" i="1"/>
  <c r="G1327" i="1"/>
  <c r="F1327" i="1"/>
  <c r="G1325" i="1"/>
  <c r="F1325" i="1"/>
  <c r="G1324" i="1"/>
  <c r="F1324" i="1"/>
  <c r="G1323" i="1"/>
  <c r="F1323" i="1"/>
  <c r="G1320" i="1"/>
  <c r="F1320" i="1"/>
  <c r="E1320" i="1"/>
  <c r="G1319" i="1"/>
  <c r="F1319" i="1"/>
  <c r="E1319" i="1"/>
  <c r="G1318" i="1"/>
  <c r="F1318" i="1"/>
  <c r="G1317" i="1"/>
  <c r="F1317" i="1"/>
  <c r="G1316" i="1"/>
  <c r="F1316" i="1"/>
  <c r="G1315" i="1"/>
  <c r="F1315" i="1"/>
  <c r="G1314" i="1"/>
  <c r="F1314" i="1"/>
  <c r="G1312" i="1"/>
  <c r="F1312" i="1"/>
  <c r="G1311" i="1"/>
  <c r="F1311" i="1"/>
  <c r="G1310" i="1"/>
  <c r="F1310" i="1"/>
  <c r="G1309" i="1"/>
  <c r="F1309" i="1"/>
  <c r="G1306" i="1"/>
  <c r="F1306" i="1"/>
  <c r="E1306" i="1"/>
  <c r="G1305" i="1"/>
  <c r="F1305" i="1"/>
  <c r="E1305" i="1"/>
  <c r="G1304" i="1"/>
  <c r="F1304" i="1"/>
  <c r="E1304" i="1"/>
  <c r="G1303" i="1"/>
  <c r="F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78" i="1"/>
  <c r="F1278" i="1"/>
  <c r="E1278" i="1"/>
  <c r="G1277" i="1"/>
  <c r="F1277" i="1"/>
  <c r="E1277" i="1"/>
  <c r="G1276" i="1"/>
  <c r="F1276" i="1"/>
  <c r="G1275" i="1"/>
  <c r="F1275" i="1"/>
  <c r="G1274" i="1"/>
  <c r="F1274" i="1"/>
  <c r="G1273" i="1"/>
  <c r="F1273" i="1"/>
  <c r="G1272" i="1"/>
  <c r="F1272" i="1"/>
  <c r="G1270" i="1"/>
  <c r="F1270" i="1"/>
  <c r="G1269" i="1"/>
  <c r="F1269" i="1"/>
  <c r="G1268" i="1"/>
  <c r="F1268" i="1"/>
  <c r="G1267" i="1"/>
  <c r="F1267" i="1"/>
  <c r="G1264" i="1"/>
  <c r="F1264" i="1"/>
  <c r="E1264" i="1"/>
  <c r="G1263" i="1"/>
  <c r="F1263" i="1"/>
  <c r="E1263" i="1"/>
  <c r="G1262" i="1"/>
  <c r="F1262" i="1"/>
  <c r="E1262" i="1"/>
  <c r="G1261" i="1"/>
  <c r="F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6" i="1"/>
  <c r="F1236" i="1"/>
  <c r="E1236" i="1"/>
  <c r="G1235" i="1"/>
  <c r="F1235" i="1"/>
  <c r="G1234" i="1"/>
  <c r="F1234" i="1"/>
  <c r="G1233" i="1"/>
  <c r="F1233" i="1"/>
  <c r="G1232" i="1"/>
  <c r="F1232" i="1"/>
  <c r="G1231" i="1"/>
  <c r="F1231" i="1"/>
  <c r="G1228" i="1"/>
  <c r="F1228" i="1"/>
  <c r="E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E1210" i="1"/>
  <c r="G1209" i="1"/>
  <c r="F1209" i="1"/>
  <c r="G1208" i="1"/>
  <c r="F1208" i="1"/>
  <c r="G1207" i="1"/>
  <c r="F1207" i="1"/>
  <c r="G1206" i="1"/>
  <c r="F1206" i="1"/>
  <c r="G1205" i="1"/>
  <c r="F1205" i="1"/>
  <c r="G1204" i="1"/>
  <c r="F1204" i="1"/>
  <c r="G1203" i="1"/>
  <c r="F1203" i="1"/>
  <c r="G1200" i="1"/>
  <c r="F1200" i="1"/>
  <c r="E1200" i="1"/>
  <c r="G1199" i="1"/>
  <c r="F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70" i="1"/>
  <c r="G1169" i="1"/>
  <c r="G1167" i="1"/>
  <c r="E1167" i="1"/>
  <c r="G1166" i="1"/>
  <c r="F1166" i="1"/>
  <c r="E1166" i="1"/>
  <c r="G1165" i="1"/>
  <c r="F1165" i="1"/>
  <c r="G1164" i="1"/>
  <c r="F1164" i="1"/>
  <c r="G1163" i="1"/>
  <c r="F1163" i="1"/>
  <c r="G1161" i="1"/>
  <c r="F1161" i="1"/>
  <c r="G1160" i="1"/>
  <c r="F1160" i="1"/>
  <c r="G1159" i="1"/>
  <c r="F1159" i="1"/>
  <c r="G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F1133" i="1"/>
  <c r="E1133" i="1"/>
  <c r="G1132" i="1"/>
  <c r="F1132" i="1"/>
  <c r="G1131" i="1"/>
  <c r="F1131" i="1"/>
  <c r="G1130" i="1"/>
  <c r="F1130" i="1"/>
  <c r="G1129" i="1"/>
  <c r="F1129" i="1"/>
  <c r="G1128" i="1"/>
  <c r="F1128" i="1"/>
  <c r="G1127" i="1"/>
  <c r="F1127" i="1"/>
  <c r="G1124" i="1"/>
  <c r="F1124" i="1"/>
  <c r="E1124" i="1"/>
  <c r="G1123" i="1"/>
  <c r="F1123" i="1"/>
  <c r="E1123" i="1"/>
  <c r="G1122" i="1"/>
  <c r="F1122" i="1"/>
  <c r="G1121" i="1"/>
  <c r="F1121" i="1"/>
  <c r="G1120" i="1"/>
  <c r="F1120" i="1"/>
  <c r="G1119" i="1"/>
  <c r="F1119" i="1"/>
  <c r="G1118" i="1"/>
  <c r="F1118" i="1"/>
  <c r="G1117" i="1"/>
  <c r="F1117" i="1"/>
  <c r="G1116" i="1"/>
  <c r="F1116" i="1"/>
  <c r="G1113" i="1"/>
  <c r="G1112" i="1"/>
  <c r="G1109" i="1"/>
  <c r="F1109" i="1"/>
  <c r="E1109" i="1"/>
  <c r="G1108" i="1"/>
  <c r="F1108" i="1"/>
  <c r="G1107" i="1"/>
  <c r="F1107" i="1"/>
  <c r="G1106" i="1"/>
  <c r="F1106" i="1"/>
  <c r="G1105" i="1"/>
  <c r="F1105" i="1"/>
  <c r="G1104" i="1"/>
  <c r="F1104" i="1"/>
  <c r="G1103" i="1"/>
  <c r="F1103" i="1"/>
  <c r="G1084" i="1"/>
  <c r="F1084" i="1"/>
  <c r="G1083" i="1"/>
  <c r="F1083" i="1"/>
  <c r="G1082" i="1"/>
  <c r="F1082" i="1"/>
  <c r="G1081" i="1"/>
  <c r="F1081"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3" i="1"/>
  <c r="F1053" i="1"/>
  <c r="G1049" i="1"/>
  <c r="F1049" i="1"/>
  <c r="G1048" i="1"/>
  <c r="F1048" i="1"/>
  <c r="G1047" i="1"/>
  <c r="F1047" i="1"/>
  <c r="G1046" i="1"/>
  <c r="F1046" i="1"/>
  <c r="G1045" i="1"/>
  <c r="F1045" i="1"/>
  <c r="G1044" i="1"/>
  <c r="F1044" i="1"/>
  <c r="G1043" i="1"/>
  <c r="F1043" i="1"/>
  <c r="G1039" i="1"/>
  <c r="F1039" i="1"/>
  <c r="G1038" i="1"/>
  <c r="F1038" i="1"/>
  <c r="G1037" i="1"/>
  <c r="F1037" i="1"/>
  <c r="G1036" i="1"/>
  <c r="F1036" i="1"/>
  <c r="G1035" i="1"/>
  <c r="F1035" i="1"/>
  <c r="G1034" i="1"/>
  <c r="F1034" i="1"/>
  <c r="G1030" i="1"/>
  <c r="F1030" i="1"/>
  <c r="E1030" i="1"/>
  <c r="G1029" i="1"/>
  <c r="F1029" i="1"/>
  <c r="E1029" i="1"/>
  <c r="G1028" i="1"/>
  <c r="F1028" i="1"/>
  <c r="G1027" i="1"/>
  <c r="F1027" i="1"/>
  <c r="G1026" i="1"/>
  <c r="F1026" i="1"/>
  <c r="G1025" i="1"/>
  <c r="F1025" i="1"/>
  <c r="G1024" i="1"/>
  <c r="F1024" i="1"/>
  <c r="G1020" i="1"/>
  <c r="F1020" i="1"/>
  <c r="G1019" i="1"/>
  <c r="F1019" i="1"/>
  <c r="G1018" i="1"/>
  <c r="F1018" i="1"/>
  <c r="G1017" i="1"/>
  <c r="F1017" i="1"/>
  <c r="G1016" i="1"/>
  <c r="F1016" i="1"/>
  <c r="G1015" i="1"/>
  <c r="F1015" i="1"/>
  <c r="G1014" i="1"/>
  <c r="F1014" i="1"/>
  <c r="G1010" i="1"/>
  <c r="F1010" i="1"/>
  <c r="G1009" i="1"/>
  <c r="F1009" i="1"/>
  <c r="G1008" i="1"/>
  <c r="F1008" i="1"/>
  <c r="G1007" i="1"/>
  <c r="F1007" i="1"/>
  <c r="G1006" i="1"/>
  <c r="G1005" i="1"/>
  <c r="F1005" i="1"/>
  <c r="G1004" i="1"/>
  <c r="F1004" i="1"/>
  <c r="G985" i="1"/>
  <c r="F985" i="1"/>
  <c r="G984" i="1"/>
  <c r="F984" i="1"/>
  <c r="G983" i="1"/>
  <c r="F983" i="1"/>
  <c r="G982" i="1"/>
  <c r="F982" i="1"/>
  <c r="G981" i="1"/>
  <c r="F981" i="1"/>
  <c r="G977" i="1"/>
  <c r="F977" i="1"/>
  <c r="G976" i="1"/>
  <c r="F976" i="1"/>
  <c r="G975" i="1"/>
  <c r="F975" i="1"/>
  <c r="G974" i="1"/>
  <c r="F974" i="1"/>
  <c r="G970" i="1"/>
  <c r="F970" i="1"/>
  <c r="E970" i="1"/>
  <c r="G969" i="1"/>
  <c r="F969" i="1"/>
  <c r="E969" i="1"/>
  <c r="G968" i="1"/>
  <c r="F968" i="1"/>
  <c r="G967" i="1"/>
  <c r="F967" i="1"/>
  <c r="G966" i="1"/>
  <c r="F966" i="1"/>
  <c r="G965" i="1"/>
  <c r="F965" i="1"/>
  <c r="G964" i="1"/>
  <c r="F964" i="1"/>
  <c r="G963" i="1"/>
  <c r="F963" i="1"/>
  <c r="G959" i="1"/>
  <c r="F959" i="1"/>
  <c r="E959" i="1"/>
  <c r="G958" i="1"/>
  <c r="F958" i="1"/>
  <c r="E958" i="1"/>
  <c r="G957" i="1"/>
  <c r="F957" i="1"/>
  <c r="G956" i="1"/>
  <c r="F956" i="1"/>
  <c r="G955" i="1"/>
  <c r="G954" i="1"/>
  <c r="G950" i="1"/>
  <c r="F950" i="1"/>
  <c r="E950" i="1"/>
  <c r="G949" i="1"/>
  <c r="F949" i="1"/>
  <c r="E949" i="1"/>
  <c r="G948" i="1"/>
  <c r="G35" i="97" s="1"/>
  <c r="F948" i="1"/>
  <c r="F35" i="97" s="1"/>
  <c r="G947" i="1"/>
  <c r="G27" i="97" s="1"/>
  <c r="F947" i="1"/>
  <c r="F27" i="97" s="1"/>
  <c r="G946" i="1"/>
  <c r="G32" i="97" s="1"/>
  <c r="F946" i="1"/>
  <c r="F32" i="97" s="1"/>
  <c r="G945" i="1"/>
  <c r="F945" i="1"/>
  <c r="G944" i="1"/>
  <c r="G118" i="97" s="1"/>
  <c r="G943" i="1"/>
  <c r="G122" i="97" s="1"/>
  <c r="G939" i="1"/>
  <c r="F939" i="1"/>
  <c r="E939" i="1"/>
  <c r="G938" i="1"/>
  <c r="F938" i="1"/>
  <c r="E938" i="1"/>
  <c r="G937" i="1"/>
  <c r="G34" i="97" s="1"/>
  <c r="F937" i="1"/>
  <c r="F34" i="97" s="1"/>
  <c r="G936" i="1"/>
  <c r="G26" i="97" s="1"/>
  <c r="F936" i="1"/>
  <c r="F26" i="97" s="1"/>
  <c r="G935" i="1"/>
  <c r="F935" i="1"/>
  <c r="G934" i="1"/>
  <c r="G117" i="97" s="1"/>
  <c r="G933" i="1"/>
  <c r="G121" i="97" s="1"/>
  <c r="G929" i="1"/>
  <c r="F929" i="1"/>
  <c r="E929" i="1"/>
  <c r="G928" i="1"/>
  <c r="F928" i="1"/>
  <c r="E928" i="1"/>
  <c r="G927" i="1"/>
  <c r="F927" i="1"/>
  <c r="G926" i="1"/>
  <c r="F926" i="1"/>
  <c r="G925" i="1"/>
  <c r="F925" i="1"/>
  <c r="G924" i="1"/>
  <c r="F924" i="1"/>
  <c r="G923" i="1"/>
  <c r="F923" i="1"/>
  <c r="G919" i="1"/>
  <c r="F919" i="1"/>
  <c r="E919" i="1"/>
  <c r="G918" i="1"/>
  <c r="F918" i="1"/>
  <c r="E918" i="1"/>
  <c r="G917" i="1"/>
  <c r="F917" i="1"/>
  <c r="G916" i="1"/>
  <c r="F916" i="1"/>
  <c r="G915" i="1"/>
  <c r="F915" i="1"/>
  <c r="G914" i="1"/>
  <c r="F914" i="1"/>
  <c r="G910" i="1"/>
  <c r="F910" i="1"/>
  <c r="E910" i="1"/>
  <c r="G909" i="1"/>
  <c r="F909" i="1"/>
  <c r="E909" i="1"/>
  <c r="G905" i="1"/>
  <c r="F905" i="1"/>
  <c r="E905" i="1"/>
  <c r="G904" i="1"/>
  <c r="F904" i="1"/>
  <c r="E904" i="1"/>
  <c r="G903" i="1"/>
  <c r="F903" i="1"/>
  <c r="G902" i="1"/>
  <c r="F902" i="1"/>
  <c r="G901" i="1"/>
  <c r="F901" i="1"/>
  <c r="G900" i="1"/>
  <c r="G899" i="1"/>
  <c r="F899" i="1"/>
  <c r="G895" i="1"/>
  <c r="F895" i="1"/>
  <c r="E895" i="1"/>
  <c r="G894" i="1"/>
  <c r="F894" i="1"/>
  <c r="E894" i="1"/>
  <c r="G893" i="1"/>
  <c r="F893" i="1"/>
  <c r="G892" i="1"/>
  <c r="F892" i="1"/>
  <c r="G891" i="1"/>
  <c r="G890" i="1"/>
  <c r="F890" i="1"/>
  <c r="G875" i="1"/>
  <c r="F875" i="1"/>
  <c r="E875" i="1"/>
  <c r="G874" i="1"/>
  <c r="F874" i="1"/>
  <c r="E874" i="1"/>
  <c r="G873" i="1"/>
  <c r="F873" i="1"/>
  <c r="G872" i="1"/>
  <c r="F872" i="1"/>
  <c r="G871" i="1"/>
  <c r="F871" i="1"/>
  <c r="G870" i="1"/>
  <c r="F870" i="1"/>
  <c r="G869" i="1"/>
  <c r="G868" i="1"/>
  <c r="F868" i="1"/>
  <c r="G862" i="1"/>
  <c r="F862" i="1"/>
  <c r="E862" i="1"/>
  <c r="G861" i="1"/>
  <c r="G165" i="97" s="1"/>
  <c r="F861" i="1"/>
  <c r="F165" i="97" s="1"/>
  <c r="E861" i="1"/>
  <c r="E165" i="97" s="1"/>
  <c r="G860" i="1"/>
  <c r="G33" i="97" s="1"/>
  <c r="F860" i="1"/>
  <c r="F33" i="97" s="1"/>
  <c r="G859" i="1"/>
  <c r="G43" i="97" s="1"/>
  <c r="F859" i="1"/>
  <c r="F43" i="97" s="1"/>
  <c r="G858" i="1"/>
  <c r="G44" i="97" s="1"/>
  <c r="F858" i="1"/>
  <c r="F44" i="97" s="1"/>
  <c r="G857" i="1"/>
  <c r="G41" i="97" s="1"/>
  <c r="F857" i="1"/>
  <c r="F41" i="97" s="1"/>
  <c r="G856" i="1"/>
  <c r="G120" i="97" s="1"/>
  <c r="G855" i="1"/>
  <c r="G124" i="97" s="1"/>
  <c r="G851" i="1"/>
  <c r="F851" i="1"/>
  <c r="G850" i="1"/>
  <c r="F850" i="1"/>
  <c r="G846" i="1"/>
  <c r="F846" i="1"/>
  <c r="E846" i="1"/>
  <c r="G845" i="1"/>
  <c r="F845" i="1"/>
  <c r="E845" i="1"/>
  <c r="G844" i="1"/>
  <c r="F844" i="1"/>
  <c r="G843" i="1"/>
  <c r="F843" i="1"/>
  <c r="G842" i="1"/>
  <c r="G841" i="1"/>
  <c r="F841" i="1"/>
  <c r="G837" i="1"/>
  <c r="F837" i="1"/>
  <c r="E837" i="1"/>
  <c r="G836" i="1"/>
  <c r="F836" i="1"/>
  <c r="E836" i="1"/>
  <c r="G835" i="1"/>
  <c r="F835" i="1"/>
  <c r="G834" i="1"/>
  <c r="F834" i="1"/>
  <c r="G833" i="1"/>
  <c r="G832" i="1"/>
  <c r="G831" i="1"/>
  <c r="G830" i="1"/>
  <c r="F830" i="1"/>
  <c r="G826" i="1"/>
  <c r="F826" i="1"/>
  <c r="E826" i="1"/>
  <c r="G825" i="1"/>
  <c r="F825" i="1"/>
  <c r="E825" i="1"/>
  <c r="G824" i="1"/>
  <c r="F824" i="1"/>
  <c r="G823" i="1"/>
  <c r="F823" i="1"/>
  <c r="G822" i="1"/>
  <c r="F822" i="1"/>
  <c r="G821" i="1"/>
  <c r="F821" i="1"/>
  <c r="G820" i="1"/>
  <c r="F820" i="1"/>
  <c r="G819" i="1"/>
  <c r="F819" i="1"/>
  <c r="G815" i="1"/>
  <c r="F815" i="1"/>
  <c r="E815" i="1"/>
  <c r="G814" i="1"/>
  <c r="F814" i="1"/>
  <c r="E814" i="1"/>
  <c r="G813" i="1"/>
  <c r="F813" i="1"/>
  <c r="G812" i="1"/>
  <c r="F812" i="1"/>
  <c r="G811" i="1"/>
  <c r="F811" i="1"/>
  <c r="G810" i="1"/>
  <c r="F810" i="1"/>
  <c r="G806" i="1"/>
  <c r="F806" i="1"/>
  <c r="E806" i="1"/>
  <c r="G805" i="1"/>
  <c r="G164" i="97" s="1"/>
  <c r="F805" i="1"/>
  <c r="F164" i="97" s="1"/>
  <c r="E805" i="1"/>
  <c r="E164" i="97" s="1"/>
  <c r="G804" i="1"/>
  <c r="G39" i="97" s="1"/>
  <c r="F804" i="1"/>
  <c r="F39" i="97" s="1"/>
  <c r="G803" i="1"/>
  <c r="G31" i="97" s="1"/>
  <c r="F803" i="1"/>
  <c r="F31" i="97" s="1"/>
  <c r="G802" i="1"/>
  <c r="G25" i="97" s="1"/>
  <c r="F802" i="1"/>
  <c r="F25" i="97" s="1"/>
  <c r="G801" i="1"/>
  <c r="F801" i="1"/>
  <c r="G800" i="1"/>
  <c r="G119" i="97" s="1"/>
  <c r="G799" i="1"/>
  <c r="G123" i="97" s="1"/>
  <c r="F799" i="1"/>
  <c r="F123" i="97" s="1"/>
  <c r="G795" i="1"/>
  <c r="F795" i="1"/>
  <c r="E795" i="1"/>
  <c r="G794" i="1"/>
  <c r="F794" i="1"/>
  <c r="E794" i="1"/>
  <c r="G793" i="1"/>
  <c r="F793" i="1"/>
  <c r="G792" i="1"/>
  <c r="F792" i="1"/>
  <c r="G791" i="1"/>
  <c r="F791" i="1"/>
  <c r="G790" i="1"/>
  <c r="F790" i="1"/>
  <c r="G789" i="1"/>
  <c r="F789" i="1"/>
  <c r="G785" i="1"/>
  <c r="F785" i="1"/>
  <c r="E785" i="1"/>
  <c r="G784" i="1"/>
  <c r="F784" i="1"/>
  <c r="E784" i="1"/>
  <c r="G783" i="1"/>
  <c r="F783" i="1"/>
  <c r="G782" i="1"/>
  <c r="F782" i="1"/>
  <c r="G781" i="1"/>
  <c r="F781" i="1"/>
  <c r="G780" i="1"/>
  <c r="F780" i="1"/>
  <c r="G779" i="1"/>
  <c r="F779" i="1"/>
  <c r="G1101" i="1"/>
  <c r="G166" i="97" s="1"/>
  <c r="F1101" i="1"/>
  <c r="F166" i="97" s="1"/>
  <c r="G1100" i="1"/>
  <c r="G36" i="97" s="1"/>
  <c r="F1100" i="1"/>
  <c r="F36" i="97" s="1"/>
  <c r="G1099" i="1"/>
  <c r="G24" i="97" s="1"/>
  <c r="F1099" i="1"/>
  <c r="F24" i="97" s="1"/>
  <c r="G1097" i="1"/>
  <c r="G72" i="97" s="1"/>
  <c r="F1097" i="1"/>
  <c r="F72" i="97" s="1"/>
  <c r="G1096" i="1"/>
  <c r="F1096" i="1"/>
  <c r="G1095" i="1"/>
  <c r="G70" i="97" s="1"/>
  <c r="F1095" i="1"/>
  <c r="F70" i="97" s="1"/>
  <c r="G774" i="1"/>
  <c r="F774" i="1"/>
  <c r="E774" i="1"/>
  <c r="G773" i="1"/>
  <c r="F773" i="1"/>
  <c r="E773" i="1"/>
  <c r="G772" i="1"/>
  <c r="F772" i="1"/>
  <c r="G771" i="1"/>
  <c r="F771" i="1"/>
  <c r="G767" i="1"/>
  <c r="F767" i="1"/>
  <c r="E767" i="1"/>
  <c r="G766" i="1"/>
  <c r="F766" i="1"/>
  <c r="E766" i="1"/>
  <c r="G765" i="1"/>
  <c r="F765" i="1"/>
  <c r="G764" i="1"/>
  <c r="F764" i="1"/>
  <c r="G762" i="1"/>
  <c r="F762" i="1"/>
  <c r="E762" i="1"/>
  <c r="G761" i="1"/>
  <c r="F761" i="1"/>
  <c r="G760" i="1"/>
  <c r="F760" i="1"/>
  <c r="G756" i="1"/>
  <c r="F756" i="1"/>
  <c r="E756" i="1"/>
  <c r="G755" i="1"/>
  <c r="G138" i="97" s="1"/>
  <c r="F755" i="1"/>
  <c r="F138" i="97" s="1"/>
  <c r="E755" i="1"/>
  <c r="E138" i="97" s="1"/>
  <c r="G754" i="1"/>
  <c r="F754" i="1"/>
  <c r="G753" i="1"/>
  <c r="G3" i="97" s="1"/>
  <c r="F753" i="1"/>
  <c r="F3" i="97" s="1"/>
  <c r="G749" i="1"/>
  <c r="F749" i="1"/>
  <c r="E749" i="1"/>
  <c r="G748" i="1"/>
  <c r="F748" i="1"/>
  <c r="E748" i="1"/>
  <c r="G744" i="1"/>
  <c r="E744" i="1"/>
  <c r="G740" i="1"/>
  <c r="F740" i="1"/>
  <c r="E740" i="1"/>
  <c r="G739" i="1"/>
  <c r="F739" i="1"/>
  <c r="E739" i="1"/>
  <c r="G738" i="1"/>
  <c r="F738" i="1"/>
  <c r="G737" i="1"/>
  <c r="F737" i="1"/>
  <c r="G734" i="1"/>
  <c r="F734" i="1"/>
  <c r="E734" i="1"/>
  <c r="G733" i="1"/>
  <c r="F733" i="1"/>
  <c r="E733" i="1"/>
  <c r="G732" i="1"/>
  <c r="E732" i="1"/>
  <c r="G731" i="1"/>
  <c r="G728" i="1"/>
  <c r="E728" i="1"/>
  <c r="G727" i="1"/>
  <c r="G723" i="1"/>
  <c r="F723" i="1"/>
  <c r="E723" i="1"/>
  <c r="G722" i="1"/>
  <c r="F722" i="1"/>
  <c r="E722" i="1"/>
  <c r="G721" i="1"/>
  <c r="F721" i="1"/>
  <c r="G720" i="1"/>
  <c r="F720" i="1"/>
  <c r="G716" i="1"/>
  <c r="F716" i="1"/>
  <c r="E716" i="1"/>
  <c r="G715" i="1"/>
  <c r="F715" i="1"/>
  <c r="E715" i="1"/>
  <c r="G714" i="1"/>
  <c r="F714" i="1"/>
  <c r="G713" i="1"/>
  <c r="F713" i="1"/>
  <c r="G709" i="1"/>
  <c r="F709" i="1"/>
  <c r="E709" i="1"/>
  <c r="G708" i="1"/>
  <c r="F708" i="1"/>
  <c r="E708" i="1"/>
  <c r="G707" i="1"/>
  <c r="F707" i="1"/>
  <c r="G706" i="1"/>
  <c r="F706" i="1"/>
  <c r="G702" i="1"/>
  <c r="F702" i="1"/>
  <c r="E702" i="1"/>
  <c r="G701" i="1"/>
  <c r="F701" i="1"/>
  <c r="E701" i="1"/>
  <c r="G700" i="1"/>
  <c r="F700" i="1"/>
  <c r="G699" i="1"/>
  <c r="F699" i="1"/>
  <c r="G695" i="1"/>
  <c r="F695" i="1"/>
  <c r="E695" i="1"/>
  <c r="G694" i="1"/>
  <c r="F694" i="1"/>
  <c r="E694" i="1"/>
  <c r="G693" i="1"/>
  <c r="F693" i="1"/>
  <c r="E693" i="1"/>
  <c r="G692" i="1"/>
  <c r="F692" i="1"/>
  <c r="E692" i="1"/>
  <c r="G691" i="1"/>
  <c r="F691" i="1"/>
  <c r="E691" i="1"/>
  <c r="G690" i="1"/>
  <c r="F690" i="1"/>
  <c r="G689" i="1"/>
  <c r="F689" i="1"/>
  <c r="G688" i="1"/>
  <c r="F688" i="1"/>
  <c r="G687" i="1"/>
  <c r="F687" i="1"/>
  <c r="G686" i="1"/>
  <c r="F686" i="1"/>
  <c r="G685" i="1"/>
  <c r="F685" i="1"/>
  <c r="G684" i="1"/>
  <c r="F684" i="1"/>
  <c r="G683" i="1"/>
  <c r="F683" i="1"/>
  <c r="G681" i="1"/>
  <c r="F681" i="1"/>
  <c r="E681" i="1"/>
  <c r="G680" i="1"/>
  <c r="F680" i="1"/>
  <c r="E680" i="1"/>
  <c r="G679" i="1"/>
  <c r="F679" i="1"/>
  <c r="G678" i="1"/>
  <c r="F678" i="1"/>
  <c r="G677" i="1"/>
  <c r="F677" i="1"/>
  <c r="G676" i="1"/>
  <c r="F676" i="1"/>
  <c r="G675" i="1"/>
  <c r="F675" i="1"/>
  <c r="G674" i="1"/>
  <c r="F674" i="1"/>
  <c r="G671" i="1"/>
  <c r="F671" i="1"/>
  <c r="E671" i="1"/>
  <c r="G670" i="1"/>
  <c r="F670" i="1"/>
  <c r="E670" i="1"/>
  <c r="G669" i="1"/>
  <c r="F669" i="1"/>
  <c r="E669" i="1"/>
  <c r="G668" i="1"/>
  <c r="F668" i="1"/>
  <c r="G667" i="1"/>
  <c r="F667" i="1"/>
  <c r="G666" i="1"/>
  <c r="F666" i="1"/>
  <c r="G663" i="1"/>
  <c r="F663" i="1"/>
  <c r="E663" i="1"/>
  <c r="G662" i="1"/>
  <c r="F662" i="1"/>
  <c r="E662" i="1"/>
  <c r="G661" i="1"/>
  <c r="F661" i="1"/>
  <c r="E661" i="1"/>
  <c r="G660" i="1"/>
  <c r="F660" i="1"/>
  <c r="G659" i="1"/>
  <c r="F659" i="1"/>
  <c r="G658" i="1"/>
  <c r="F658" i="1"/>
  <c r="G657" i="1"/>
  <c r="F657" i="1"/>
  <c r="G656" i="1"/>
  <c r="F656" i="1"/>
  <c r="G653" i="1"/>
  <c r="F653" i="1"/>
  <c r="E653" i="1"/>
  <c r="G652" i="1"/>
  <c r="F652" i="1"/>
  <c r="E652" i="1"/>
  <c r="G651" i="1"/>
  <c r="F651" i="1"/>
  <c r="E651" i="1"/>
  <c r="G650" i="1"/>
  <c r="F650" i="1"/>
  <c r="G649" i="1"/>
  <c r="F649" i="1"/>
  <c r="G648" i="1"/>
  <c r="F648" i="1"/>
  <c r="G647" i="1"/>
  <c r="F647" i="1"/>
  <c r="G646" i="1"/>
  <c r="F646" i="1"/>
  <c r="G632" i="1"/>
  <c r="G141" i="97" s="1"/>
  <c r="F632" i="1"/>
  <c r="F141" i="97" s="1"/>
  <c r="E632" i="1"/>
  <c r="E141" i="97" s="1"/>
  <c r="G631" i="1"/>
  <c r="G148" i="97" s="1"/>
  <c r="F631" i="1"/>
  <c r="F148" i="97" s="1"/>
  <c r="E631" i="1"/>
  <c r="E148" i="97" s="1"/>
  <c r="G630" i="1"/>
  <c r="G144" i="97" s="1"/>
  <c r="F630" i="1"/>
  <c r="F144" i="97" s="1"/>
  <c r="E630" i="1"/>
  <c r="E144" i="97" s="1"/>
  <c r="G629" i="1"/>
  <c r="G153" i="97" s="1"/>
  <c r="F629" i="1"/>
  <c r="F153" i="97" s="1"/>
  <c r="E629" i="1"/>
  <c r="E153" i="97" s="1"/>
  <c r="G628" i="1"/>
  <c r="F628" i="1"/>
  <c r="G626" i="1"/>
  <c r="F626" i="1"/>
  <c r="G625" i="1"/>
  <c r="F625" i="1"/>
  <c r="G624" i="1"/>
  <c r="F624" i="1"/>
  <c r="G623" i="1"/>
  <c r="F623" i="1"/>
  <c r="G620" i="1"/>
  <c r="F620" i="1"/>
  <c r="E620" i="1"/>
  <c r="G619" i="1"/>
  <c r="F619" i="1"/>
  <c r="E619" i="1"/>
  <c r="F618" i="1"/>
  <c r="E618" i="1"/>
  <c r="G617" i="1"/>
  <c r="F617" i="1"/>
  <c r="G616" i="1"/>
  <c r="F616" i="1"/>
  <c r="G615" i="1"/>
  <c r="F615"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3" i="97" s="1"/>
  <c r="F375" i="1"/>
  <c r="F143" i="97" s="1"/>
  <c r="E375" i="1"/>
  <c r="E143" i="97" s="1"/>
  <c r="G374" i="1"/>
  <c r="F374" i="1"/>
  <c r="E374" i="1"/>
  <c r="G373" i="1"/>
  <c r="F373" i="1"/>
  <c r="E373" i="1"/>
  <c r="G372" i="1"/>
  <c r="F372" i="1"/>
  <c r="E372" i="1"/>
  <c r="G371" i="1"/>
  <c r="F371" i="1"/>
  <c r="E371" i="1"/>
  <c r="G370" i="1"/>
  <c r="G199" i="97" s="1"/>
  <c r="E370" i="1"/>
  <c r="E199" i="97" s="1"/>
  <c r="G369" i="1"/>
  <c r="G45" i="97" s="1"/>
  <c r="F369" i="1"/>
  <c r="F45" i="97" s="1"/>
  <c r="E369" i="1"/>
  <c r="E45" i="97" s="1"/>
  <c r="G368" i="1"/>
  <c r="G42" i="97" s="1"/>
  <c r="F368" i="1"/>
  <c r="F42" i="97" s="1"/>
  <c r="E368" i="1"/>
  <c r="E42" i="97" s="1"/>
  <c r="G367" i="1"/>
  <c r="G38" i="97" s="1"/>
  <c r="F367" i="1"/>
  <c r="F38" i="97" s="1"/>
  <c r="E367" i="1"/>
  <c r="E38" i="97" s="1"/>
  <c r="G366" i="1"/>
  <c r="G171" i="97" s="1"/>
  <c r="F366" i="1"/>
  <c r="F171" i="97" s="1"/>
  <c r="E366" i="1"/>
  <c r="E171" i="97" s="1"/>
  <c r="G364" i="1"/>
  <c r="G133" i="97" s="1"/>
  <c r="E364" i="1"/>
  <c r="E133" i="97" s="1"/>
  <c r="G362" i="1"/>
  <c r="G131" i="97" s="1"/>
  <c r="E362" i="1"/>
  <c r="E131" i="97" s="1"/>
  <c r="G359" i="1"/>
  <c r="G136" i="97" s="1"/>
  <c r="F359" i="1"/>
  <c r="F136" i="97" s="1"/>
  <c r="E359" i="1"/>
  <c r="E136" i="97" s="1"/>
  <c r="G358" i="1"/>
  <c r="G135" i="97" s="1"/>
  <c r="F358" i="1"/>
  <c r="F135" i="97" s="1"/>
  <c r="E358" i="1"/>
  <c r="E135" i="97" s="1"/>
  <c r="G357" i="1"/>
  <c r="G134" i="97" s="1"/>
  <c r="F357" i="1"/>
  <c r="F134" i="97" s="1"/>
  <c r="E357" i="1"/>
  <c r="E134"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4" i="1"/>
  <c r="P1624" i="1" s="1"/>
  <c r="C1624" i="1" s="1"/>
  <c r="H1600" i="1"/>
  <c r="P1600" i="1" s="1"/>
  <c r="C1600" i="1" s="1"/>
  <c r="H1628" i="1"/>
  <c r="P1628" i="1" s="1"/>
  <c r="C1628" i="1" s="1"/>
  <c r="H1627" i="1"/>
  <c r="P1627" i="1" s="1"/>
  <c r="C1627" i="1" s="1"/>
  <c r="H1626" i="1"/>
  <c r="P1626" i="1" s="1"/>
  <c r="C1626" i="1" s="1"/>
  <c r="J2246" i="1"/>
  <c r="J2247" i="1"/>
  <c r="H1625" i="1"/>
  <c r="P1625" i="1" s="1"/>
  <c r="C1625" i="1" s="1"/>
  <c r="H1593" i="1"/>
  <c r="P1593" i="1" s="1"/>
  <c r="C1593" i="1" s="1"/>
  <c r="R1163" i="1"/>
  <c r="G2" i="94"/>
  <c r="O2" i="93"/>
  <c r="D9" i="94"/>
  <c r="E9" i="94" s="1"/>
  <c r="A26" i="92"/>
  <c r="Q9" i="92"/>
  <c r="K2" i="92"/>
  <c r="C52" i="91"/>
  <c r="K2" i="91"/>
  <c r="C53" i="91"/>
  <c r="C15" i="91"/>
  <c r="C16" i="91"/>
  <c r="C17" i="91"/>
  <c r="C18" i="91"/>
  <c r="C19" i="91"/>
  <c r="C20" i="91"/>
  <c r="C21" i="91"/>
  <c r="C22" i="91"/>
  <c r="C23" i="91"/>
  <c r="C24" i="91"/>
  <c r="C25" i="91"/>
  <c r="C26" i="91"/>
  <c r="H2130" i="1"/>
  <c r="P2130" i="1" s="1"/>
  <c r="C2130" i="1" s="1"/>
  <c r="H2098" i="1"/>
  <c r="P2098" i="1" s="1"/>
  <c r="C2098" i="1" s="1"/>
  <c r="H2080" i="1"/>
  <c r="P2080" i="1" s="1"/>
  <c r="C2080" i="1" s="1"/>
  <c r="H2079" i="1"/>
  <c r="P2079" i="1" s="1"/>
  <c r="C2079"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3" i="1" s="1"/>
  <c r="N2123"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68" i="1" s="1"/>
  <c r="N2068" i="1" s="1"/>
  <c r="CS337" i="20"/>
  <c r="CS341" i="20" s="1"/>
  <c r="D2067" i="1" s="1"/>
  <c r="H2067" i="1" s="1"/>
  <c r="P2067" i="1" s="1"/>
  <c r="C2067" i="1" s="1"/>
  <c r="CT337" i="20"/>
  <c r="CT341" i="20" s="1"/>
  <c r="CU337" i="20"/>
  <c r="CU341" i="20" s="1"/>
  <c r="D2069" i="1" s="1"/>
  <c r="CV337" i="20"/>
  <c r="CW337" i="20"/>
  <c r="CX337" i="20"/>
  <c r="CY337" i="20"/>
  <c r="CY341" i="20" s="1"/>
  <c r="D2097" i="1" s="1"/>
  <c r="H2097" i="1" s="1"/>
  <c r="P2097" i="1" s="1"/>
  <c r="C2097" i="1" s="1"/>
  <c r="CZ337" i="20"/>
  <c r="CZ341" i="20" s="1"/>
  <c r="D2096" i="1" s="1"/>
  <c r="N2096" i="1" s="1"/>
  <c r="DA337" i="20"/>
  <c r="DB337" i="20"/>
  <c r="DB341" i="20" s="1"/>
  <c r="DC337" i="20"/>
  <c r="DD337" i="20"/>
  <c r="D2087" i="1" s="1"/>
  <c r="H2087" i="1" s="1"/>
  <c r="P2087" i="1" s="1"/>
  <c r="C2087" i="1" s="1"/>
  <c r="DE337" i="20"/>
  <c r="DE341" i="20" s="1"/>
  <c r="DF337" i="20"/>
  <c r="DF341" i="20" s="1"/>
  <c r="DG337" i="20"/>
  <c r="DH337" i="20"/>
  <c r="DI337" i="20"/>
  <c r="DI341" i="20" s="1"/>
  <c r="DJ337" i="20"/>
  <c r="DK337" i="20"/>
  <c r="DK341" i="20" s="1"/>
  <c r="D2060"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099" i="1"/>
  <c r="P2099" i="1" s="1"/>
  <c r="C2099" i="1" s="1"/>
  <c r="H2102" i="1"/>
  <c r="P2102" i="1" s="1"/>
  <c r="C2102" i="1" s="1"/>
  <c r="H2100" i="1"/>
  <c r="P2100" i="1" s="1"/>
  <c r="C2100" i="1" s="1"/>
  <c r="H2101" i="1"/>
  <c r="P2101" i="1" s="1"/>
  <c r="C2101" i="1" s="1"/>
  <c r="D585" i="1"/>
  <c r="M585" i="1" s="1"/>
  <c r="A2" i="94"/>
  <c r="A2" i="93"/>
  <c r="A2" i="92"/>
  <c r="D2223" i="1"/>
  <c r="H2223" i="1" s="1"/>
  <c r="P2223" i="1" s="1"/>
  <c r="C2223"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48" i="1"/>
  <c r="E2058" i="1"/>
  <c r="E2057" i="1"/>
  <c r="D2057" i="1" s="1"/>
  <c r="E2055" i="1"/>
  <c r="E2053" i="1"/>
  <c r="D2053" i="1" s="1"/>
  <c r="E2051" i="1"/>
  <c r="D2133" i="1" s="1"/>
  <c r="E2050" i="1"/>
  <c r="C349" i="20"/>
  <c r="E2054" i="1" s="1"/>
  <c r="D2138" i="1" s="1"/>
  <c r="H2138" i="1" s="1"/>
  <c r="P2138" i="1" s="1"/>
  <c r="C2138" i="1" s="1"/>
  <c r="DU343" i="20"/>
  <c r="DU344" i="20" s="1"/>
  <c r="X343"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8" i="1"/>
  <c r="D619" i="1"/>
  <c r="D630" i="1"/>
  <c r="D144" i="97" s="1"/>
  <c r="D646" i="1"/>
  <c r="J646" i="1" s="1"/>
  <c r="D652" i="1"/>
  <c r="D656" i="1"/>
  <c r="J656" i="1" s="1"/>
  <c r="D666" i="1"/>
  <c r="D669" i="1" s="1"/>
  <c r="D683" i="1"/>
  <c r="D691" i="1" s="1"/>
  <c r="D692" i="1"/>
  <c r="D694" i="1"/>
  <c r="D674" i="1"/>
  <c r="I674" i="1" s="1"/>
  <c r="D675" i="1"/>
  <c r="D756" i="1"/>
  <c r="D757" i="1"/>
  <c r="D758" i="1"/>
  <c r="D749" i="1"/>
  <c r="D750" i="1"/>
  <c r="D751" i="1"/>
  <c r="D810" i="1"/>
  <c r="D811" i="1"/>
  <c r="D819" i="1"/>
  <c r="D820" i="1"/>
  <c r="I820" i="1" s="1"/>
  <c r="M935" i="1"/>
  <c r="Q955" i="1"/>
  <c r="D963" i="1"/>
  <c r="J963" i="1" s="1"/>
  <c r="D964" i="1"/>
  <c r="N964" i="1" s="1"/>
  <c r="D789" i="1"/>
  <c r="I789" i="1" s="1"/>
  <c r="D790" i="1"/>
  <c r="N790" i="1" s="1"/>
  <c r="M830" i="1"/>
  <c r="D839" i="1"/>
  <c r="D842" i="1"/>
  <c r="D848" i="1"/>
  <c r="I848" i="1" s="1"/>
  <c r="N799" i="1"/>
  <c r="D808" i="1"/>
  <c r="R808" i="1" s="1"/>
  <c r="Q856" i="1"/>
  <c r="D864" i="1"/>
  <c r="D876" i="1"/>
  <c r="D875" i="1" s="1"/>
  <c r="D877" i="1"/>
  <c r="D890" i="1"/>
  <c r="J890" i="1" s="1"/>
  <c r="D891" i="1"/>
  <c r="I891" i="1" s="1"/>
  <c r="D899" i="1"/>
  <c r="D900" i="1"/>
  <c r="N900" i="1" s="1"/>
  <c r="D907" i="1"/>
  <c r="D1053" i="1"/>
  <c r="D1060" i="1" s="1"/>
  <c r="D1059" i="1" s="1"/>
  <c r="D923" i="1"/>
  <c r="M923" i="1" s="1"/>
  <c r="D924" i="1"/>
  <c r="I924" i="1" s="1"/>
  <c r="D974" i="1"/>
  <c r="D978" i="1" s="1"/>
  <c r="D977" i="1" s="1"/>
  <c r="J977" i="1" s="1"/>
  <c r="D981" i="1"/>
  <c r="D987" i="1"/>
  <c r="D989" i="1"/>
  <c r="J989" i="1" s="1"/>
  <c r="D992" i="1"/>
  <c r="H992" i="1" s="1"/>
  <c r="D996" i="1"/>
  <c r="D1004" i="1"/>
  <c r="D1005" i="1"/>
  <c r="J1005" i="1" s="1"/>
  <c r="D1006" i="1"/>
  <c r="D1024" i="1"/>
  <c r="I1024" i="1" s="1"/>
  <c r="D1025" i="1"/>
  <c r="I1025" i="1" s="1"/>
  <c r="D1026" i="1"/>
  <c r="J1026" i="1" s="1"/>
  <c r="D1034" i="1"/>
  <c r="J1034" i="1" s="1"/>
  <c r="D1035" i="1"/>
  <c r="I1035" i="1" s="1"/>
  <c r="D1043" i="1"/>
  <c r="D1044" i="1"/>
  <c r="J1044" i="1" s="1"/>
  <c r="D1063" i="1"/>
  <c r="D1073" i="1"/>
  <c r="J1073" i="1" s="1"/>
  <c r="D1085" i="1"/>
  <c r="D1084" i="1" s="1"/>
  <c r="D851" i="1"/>
  <c r="H851" i="1" s="1"/>
  <c r="C851" i="1" s="1"/>
  <c r="D1133" i="1"/>
  <c r="D1144" i="1" s="1"/>
  <c r="D1143" i="1"/>
  <c r="D1153" i="1"/>
  <c r="D1166" i="1"/>
  <c r="R1167" i="1"/>
  <c r="D1200" i="1"/>
  <c r="D1375" i="1"/>
  <c r="D1424" i="1"/>
  <c r="D1433" i="1"/>
  <c r="D1442" i="1"/>
  <c r="D1451" i="1"/>
  <c r="D1460" i="1"/>
  <c r="D1469" i="1"/>
  <c r="D1478" i="1"/>
  <c r="D1487" i="1"/>
  <c r="D1750" i="1"/>
  <c r="K1750" i="1" s="1"/>
  <c r="D1751" i="1"/>
  <c r="D1752" i="1"/>
  <c r="H1752" i="1" s="1"/>
  <c r="P1752" i="1" s="1"/>
  <c r="C1752" i="1" s="1"/>
  <c r="D1753" i="1"/>
  <c r="H1753" i="1" s="1"/>
  <c r="P1753" i="1" s="1"/>
  <c r="C1753" i="1" s="1"/>
  <c r="D1754" i="1"/>
  <c r="H1754" i="1" s="1"/>
  <c r="P1754" i="1" s="1"/>
  <c r="C1754" i="1" s="1"/>
  <c r="D1755" i="1"/>
  <c r="H1755" i="1" s="1"/>
  <c r="P1755" i="1" s="1"/>
  <c r="C1755" i="1" s="1"/>
  <c r="D1758" i="1"/>
  <c r="K1758" i="1" s="1"/>
  <c r="D1759" i="1"/>
  <c r="D1760" i="1"/>
  <c r="H1760" i="1" s="1"/>
  <c r="P1760" i="1" s="1"/>
  <c r="C1760" i="1" s="1"/>
  <c r="D1761" i="1"/>
  <c r="K1761" i="1" s="1"/>
  <c r="D1762" i="1"/>
  <c r="H1762" i="1" s="1"/>
  <c r="P1762" i="1" s="1"/>
  <c r="C1762" i="1" s="1"/>
  <c r="D1763" i="1"/>
  <c r="D1764" i="1"/>
  <c r="D1766" i="1"/>
  <c r="D1767" i="1"/>
  <c r="H1767" i="1" s="1"/>
  <c r="P1767" i="1" s="1"/>
  <c r="C1767" i="1" s="1"/>
  <c r="D1768" i="1"/>
  <c r="H1780" i="1"/>
  <c r="P1780" i="1" s="1"/>
  <c r="C1780" i="1" s="1"/>
  <c r="H1810" i="1"/>
  <c r="P1810" i="1" s="1"/>
  <c r="C1810" i="1" s="1"/>
  <c r="H1813" i="1"/>
  <c r="P1813" i="1" s="1"/>
  <c r="C1813" i="1" s="1"/>
  <c r="D1829" i="1"/>
  <c r="D1882" i="1"/>
  <c r="E230" i="42" s="1"/>
  <c r="D1883" i="1"/>
  <c r="E231" i="42" s="1"/>
  <c r="G231" i="42" s="1"/>
  <c r="D1884" i="1"/>
  <c r="E232" i="42" s="1"/>
  <c r="B232" i="42" s="1"/>
  <c r="D1885" i="1"/>
  <c r="E233" i="42" s="1"/>
  <c r="G233" i="42" s="1"/>
  <c r="D1886" i="1"/>
  <c r="E234" i="42" s="1"/>
  <c r="D1887" i="1"/>
  <c r="E235" i="42" s="1"/>
  <c r="D1904" i="1"/>
  <c r="H1904" i="1" s="1"/>
  <c r="D1905" i="1"/>
  <c r="H1905" i="1" s="1"/>
  <c r="D1906" i="1"/>
  <c r="H1906" i="1" s="1"/>
  <c r="D1907" i="1"/>
  <c r="H1907" i="1" s="1"/>
  <c r="D1908" i="1"/>
  <c r="H1908" i="1" s="1"/>
  <c r="D1909" i="1"/>
  <c r="H1909" i="1" s="1"/>
  <c r="D1911" i="1"/>
  <c r="H1911" i="1" s="1"/>
  <c r="D1913" i="1"/>
  <c r="H1913" i="1" s="1"/>
  <c r="D1914" i="1"/>
  <c r="H1914" i="1" s="1"/>
  <c r="D1915" i="1"/>
  <c r="H1915" i="1" s="1"/>
  <c r="D1916" i="1"/>
  <c r="H1916" i="1" s="1"/>
  <c r="D1917" i="1"/>
  <c r="H1917" i="1" s="1"/>
  <c r="D1918" i="1"/>
  <c r="H1918" i="1" s="1"/>
  <c r="D1919" i="1"/>
  <c r="H1919" i="1" s="1"/>
  <c r="D1920" i="1"/>
  <c r="H1920" i="1" s="1"/>
  <c r="D1942" i="1"/>
  <c r="D174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3" i="1"/>
  <c r="D2258" i="1"/>
  <c r="S35" i="61"/>
  <c r="S67" i="61"/>
  <c r="D65" i="1"/>
  <c r="GT53" i="16"/>
  <c r="GT95" i="16" s="1"/>
  <c r="GT184" i="16" s="1"/>
  <c r="D1623" i="1" s="1"/>
  <c r="K2357" i="1"/>
  <c r="K2356" i="1"/>
  <c r="K2355" i="1"/>
  <c r="K2354" i="1"/>
  <c r="K2353" i="1"/>
  <c r="K2352" i="1"/>
  <c r="K2351" i="1"/>
  <c r="K2350" i="1"/>
  <c r="K2347" i="1"/>
  <c r="K2345" i="1"/>
  <c r="K2344" i="1"/>
  <c r="K2343" i="1"/>
  <c r="K2342" i="1"/>
  <c r="K2341" i="1"/>
  <c r="K2340" i="1"/>
  <c r="K2339" i="1"/>
  <c r="K2338" i="1"/>
  <c r="K2337" i="1"/>
  <c r="K2336" i="1"/>
  <c r="K2333" i="1"/>
  <c r="K2331" i="1"/>
  <c r="K2330" i="1"/>
  <c r="K2329" i="1"/>
  <c r="K2328" i="1"/>
  <c r="K2327" i="1"/>
  <c r="K2326" i="1"/>
  <c r="K2325" i="1"/>
  <c r="K2324" i="1"/>
  <c r="K2323" i="1"/>
  <c r="K2322" i="1"/>
  <c r="L2319" i="1"/>
  <c r="H2319" i="1"/>
  <c r="P2319" i="1" s="1"/>
  <c r="C2319" i="1" s="1"/>
  <c r="L2318" i="1"/>
  <c r="H2318" i="1"/>
  <c r="P2318" i="1" s="1"/>
  <c r="C2318" i="1" s="1"/>
  <c r="L2317" i="1"/>
  <c r="H2317" i="1"/>
  <c r="P2317" i="1" s="1"/>
  <c r="C2317" i="1" s="1"/>
  <c r="L2316" i="1"/>
  <c r="H2316" i="1"/>
  <c r="P2316" i="1" s="1"/>
  <c r="C2316" i="1" s="1"/>
  <c r="H2283" i="1"/>
  <c r="P2283" i="1" s="1"/>
  <c r="C2283" i="1" s="1"/>
  <c r="H2279" i="1"/>
  <c r="P2279" i="1" s="1"/>
  <c r="C2279" i="1" s="1"/>
  <c r="H2278" i="1"/>
  <c r="P2278" i="1" s="1"/>
  <c r="C2278" i="1" s="1"/>
  <c r="H2277" i="1"/>
  <c r="P2277" i="1" s="1"/>
  <c r="C2277" i="1" s="1"/>
  <c r="H2276" i="1"/>
  <c r="P2276" i="1" s="1"/>
  <c r="C2276" i="1" s="1"/>
  <c r="H2269" i="1"/>
  <c r="P2269" i="1" s="1"/>
  <c r="C2269" i="1" s="1"/>
  <c r="H2268" i="1"/>
  <c r="P2268" i="1" s="1"/>
  <c r="C2268" i="1" s="1"/>
  <c r="H2267" i="1"/>
  <c r="P2267" i="1" s="1"/>
  <c r="C2267" i="1" s="1"/>
  <c r="H2266" i="1"/>
  <c r="P2266" i="1" s="1"/>
  <c r="C2266" i="1" s="1"/>
  <c r="H2265" i="1"/>
  <c r="P2265" i="1" s="1"/>
  <c r="C2265" i="1" s="1"/>
  <c r="H2264" i="1"/>
  <c r="P2264" i="1" s="1"/>
  <c r="C2264" i="1" s="1"/>
  <c r="I2262" i="1"/>
  <c r="H2262" i="1"/>
  <c r="P2262" i="1" s="1"/>
  <c r="C2262" i="1" s="1"/>
  <c r="I2261" i="1"/>
  <c r="H2261" i="1"/>
  <c r="P2261" i="1" s="1"/>
  <c r="C2261" i="1" s="1"/>
  <c r="I2260" i="1"/>
  <c r="H2260" i="1"/>
  <c r="P2260" i="1" s="1"/>
  <c r="C2260" i="1" s="1"/>
  <c r="I2259" i="1"/>
  <c r="H2259" i="1"/>
  <c r="P2259" i="1" s="1"/>
  <c r="C2259" i="1" s="1"/>
  <c r="I2257" i="1"/>
  <c r="H2257" i="1"/>
  <c r="P2257" i="1" s="1"/>
  <c r="C2257" i="1" s="1"/>
  <c r="I2256" i="1"/>
  <c r="H2256" i="1"/>
  <c r="P2256" i="1" s="1"/>
  <c r="C2256" i="1" s="1"/>
  <c r="I2255" i="1"/>
  <c r="H2255" i="1"/>
  <c r="P2255" i="1" s="1"/>
  <c r="C2255" i="1" s="1"/>
  <c r="I2254" i="1"/>
  <c r="H2254" i="1"/>
  <c r="P2254" i="1" s="1"/>
  <c r="C2254" i="1" s="1"/>
  <c r="J2251" i="1"/>
  <c r="H2251" i="1"/>
  <c r="P2251" i="1" s="1"/>
  <c r="C2251" i="1" s="1"/>
  <c r="J2250" i="1"/>
  <c r="H2250" i="1"/>
  <c r="P2250" i="1" s="1"/>
  <c r="C2250" i="1" s="1"/>
  <c r="J2248" i="1"/>
  <c r="H2248" i="1"/>
  <c r="P2248" i="1" s="1"/>
  <c r="C2248" i="1" s="1"/>
  <c r="J2240" i="1"/>
  <c r="H2240" i="1"/>
  <c r="P2240" i="1" s="1"/>
  <c r="C2240" i="1" s="1"/>
  <c r="J2239" i="1"/>
  <c r="H2239" i="1"/>
  <c r="P2239" i="1" s="1"/>
  <c r="C2239" i="1" s="1"/>
  <c r="J2238" i="1"/>
  <c r="H2238" i="1"/>
  <c r="P2238" i="1" s="1"/>
  <c r="C2238" i="1" s="1"/>
  <c r="J2237" i="1"/>
  <c r="H2237" i="1"/>
  <c r="P2237" i="1" s="1"/>
  <c r="C2237" i="1" s="1"/>
  <c r="J2236" i="1"/>
  <c r="H2236" i="1"/>
  <c r="P2236" i="1" s="1"/>
  <c r="C2236" i="1" s="1"/>
  <c r="J2235" i="1"/>
  <c r="H2235" i="1"/>
  <c r="P2235" i="1" s="1"/>
  <c r="C2235" i="1" s="1"/>
  <c r="J2234" i="1"/>
  <c r="H2234" i="1"/>
  <c r="P2234" i="1" s="1"/>
  <c r="C2234" i="1" s="1"/>
  <c r="D2207" i="1"/>
  <c r="H2207" i="1" s="1"/>
  <c r="P2207" i="1" s="1"/>
  <c r="C2207" i="1" s="1"/>
  <c r="Z35" i="61"/>
  <c r="Z67" i="61"/>
  <c r="AA35" i="61"/>
  <c r="AA67" i="61"/>
  <c r="AB35" i="61"/>
  <c r="AB67" i="61"/>
  <c r="AD35" i="61"/>
  <c r="AD67" i="61"/>
  <c r="D2201" i="1"/>
  <c r="H2201" i="1" s="1"/>
  <c r="P2201" i="1" s="1"/>
  <c r="C2201"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5" i="1"/>
  <c r="H2225" i="1" s="1"/>
  <c r="P2225" i="1" s="1"/>
  <c r="C2225" i="1" s="1"/>
  <c r="D2198" i="1"/>
  <c r="H2222" i="1"/>
  <c r="P2222" i="1" s="1"/>
  <c r="C2222" i="1" s="1"/>
  <c r="H2221" i="1"/>
  <c r="P2221" i="1" s="1"/>
  <c r="C2221" i="1" s="1"/>
  <c r="H2220" i="1"/>
  <c r="P2220" i="1" s="1"/>
  <c r="C2220" i="1" s="1"/>
  <c r="BL35" i="61"/>
  <c r="BL67" i="61"/>
  <c r="BI35" i="61"/>
  <c r="BI67" i="61"/>
  <c r="BH35" i="61"/>
  <c r="BH67" i="61"/>
  <c r="AP35" i="61"/>
  <c r="AP67" i="61"/>
  <c r="AO35" i="61"/>
  <c r="AO67" i="61"/>
  <c r="BJ35" i="61"/>
  <c r="BJ67" i="61"/>
  <c r="BK35" i="61"/>
  <c r="BK69" i="61" s="1"/>
  <c r="D2213" i="1" s="1"/>
  <c r="H2213" i="1" s="1"/>
  <c r="P2213" i="1" s="1"/>
  <c r="C2213" i="1" s="1"/>
  <c r="BK67" i="61"/>
  <c r="H2212" i="1"/>
  <c r="P2212" i="1" s="1"/>
  <c r="C2212" i="1" s="1"/>
  <c r="BE35" i="61"/>
  <c r="BE67" i="61"/>
  <c r="BB35" i="61"/>
  <c r="BB67" i="61"/>
  <c r="H2209" i="1"/>
  <c r="P2209" i="1" s="1"/>
  <c r="C2209" i="1" s="1"/>
  <c r="D2202" i="1"/>
  <c r="D2203" i="1" s="1"/>
  <c r="D2200" i="1"/>
  <c r="H2200" i="1" s="1"/>
  <c r="P2200" i="1" s="1"/>
  <c r="C2200" i="1" s="1"/>
  <c r="D2199" i="1"/>
  <c r="H2199" i="1" s="1"/>
  <c r="P2199" i="1" s="1"/>
  <c r="C2199" i="1" s="1"/>
  <c r="H2197" i="1"/>
  <c r="P2197" i="1" s="1"/>
  <c r="C2197" i="1" s="1"/>
  <c r="D2190" i="1"/>
  <c r="H2190" i="1" s="1"/>
  <c r="P2190" i="1" s="1"/>
  <c r="C2190" i="1" s="1"/>
  <c r="I35" i="61"/>
  <c r="I67" i="61"/>
  <c r="E2153" i="1"/>
  <c r="D2153" i="1" s="1"/>
  <c r="D2169" i="1" s="1"/>
  <c r="H2169" i="1" s="1"/>
  <c r="E2154" i="1"/>
  <c r="D2172" i="1" s="1"/>
  <c r="D2159" i="1"/>
  <c r="EM181" i="16"/>
  <c r="EM163" i="16"/>
  <c r="EM154" i="16"/>
  <c r="EM148" i="16"/>
  <c r="EM139" i="16"/>
  <c r="EM131" i="16"/>
  <c r="EM119" i="16"/>
  <c r="EN181" i="16"/>
  <c r="EN163" i="16"/>
  <c r="EN154" i="16"/>
  <c r="EN148" i="16"/>
  <c r="EN139" i="16"/>
  <c r="EN131" i="16"/>
  <c r="EN119" i="16"/>
  <c r="D2162" i="1"/>
  <c r="H2162" i="1" s="1"/>
  <c r="M2162" i="1" s="1"/>
  <c r="S181" i="16"/>
  <c r="S163" i="16"/>
  <c r="S154" i="16"/>
  <c r="S148" i="16"/>
  <c r="S139" i="16"/>
  <c r="S131" i="16"/>
  <c r="S119" i="16"/>
  <c r="D2174" i="1"/>
  <c r="H2168" i="1"/>
  <c r="D2167" i="1"/>
  <c r="H2167" i="1" s="1"/>
  <c r="D2166" i="1"/>
  <c r="H2166" i="1" s="1"/>
  <c r="P2166" i="1" s="1"/>
  <c r="C2166" i="1" s="1"/>
  <c r="D2165" i="1"/>
  <c r="H2165" i="1" s="1"/>
  <c r="P2165" i="1" s="1"/>
  <c r="C2165" i="1" s="1"/>
  <c r="D2164" i="1"/>
  <c r="H2164" i="1" s="1"/>
  <c r="M2164" i="1" s="1"/>
  <c r="D2163" i="1"/>
  <c r="H2163" i="1" s="1"/>
  <c r="P2163" i="1" s="1"/>
  <c r="C2163" i="1" s="1"/>
  <c r="D2158" i="1"/>
  <c r="H2158" i="1" s="1"/>
  <c r="D2157" i="1"/>
  <c r="H2157" i="1" s="1"/>
  <c r="P200" i="16"/>
  <c r="E2156" i="1" s="1"/>
  <c r="D2156" i="1" s="1"/>
  <c r="H2156" i="1" s="1"/>
  <c r="P2156" i="1" s="1"/>
  <c r="C2156" i="1" s="1"/>
  <c r="D2155" i="1"/>
  <c r="H2155" i="1" s="1"/>
  <c r="P2155" i="1" s="1"/>
  <c r="C2155" i="1" s="1"/>
  <c r="D2147" i="1"/>
  <c r="D2059" i="1"/>
  <c r="D2134" i="1"/>
  <c r="N2131" i="1"/>
  <c r="H2131" i="1"/>
  <c r="P2131" i="1" s="1"/>
  <c r="C2131" i="1" s="1"/>
  <c r="N2128" i="1"/>
  <c r="H2128" i="1"/>
  <c r="P2128" i="1" s="1"/>
  <c r="C2128" i="1" s="1"/>
  <c r="D2052" i="1"/>
  <c r="H2052" i="1" s="1"/>
  <c r="P2052" i="1" s="1"/>
  <c r="C2052"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111" i="1"/>
  <c r="H2111" i="1"/>
  <c r="P2111" i="1" s="1"/>
  <c r="C2111" i="1" s="1"/>
  <c r="N2110" i="1"/>
  <c r="H2110" i="1"/>
  <c r="P2110" i="1" s="1"/>
  <c r="C2110" i="1" s="1"/>
  <c r="N2109" i="1"/>
  <c r="H2109" i="1"/>
  <c r="P2109" i="1" s="1"/>
  <c r="C2109" i="1" s="1"/>
  <c r="N2108" i="1"/>
  <c r="H2108" i="1"/>
  <c r="P2108" i="1" s="1"/>
  <c r="C2108" i="1" s="1"/>
  <c r="N2066" i="1"/>
  <c r="H2066" i="1"/>
  <c r="P2066" i="1" s="1"/>
  <c r="C2066" i="1" s="1"/>
  <c r="N2065" i="1"/>
  <c r="H2065" i="1"/>
  <c r="P2065" i="1" s="1"/>
  <c r="C2065" i="1" s="1"/>
  <c r="N2064" i="1"/>
  <c r="H2064" i="1"/>
  <c r="P2064" i="1" s="1"/>
  <c r="C2064" i="1" s="1"/>
  <c r="N2063" i="1"/>
  <c r="H2063" i="1"/>
  <c r="P2063" i="1" s="1"/>
  <c r="C2063" i="1" s="1"/>
  <c r="N2062" i="1"/>
  <c r="H2062" i="1"/>
  <c r="P2062" i="1" s="1"/>
  <c r="C2062" i="1" s="1"/>
  <c r="N2061" i="1"/>
  <c r="H2061" i="1"/>
  <c r="P2061" i="1" s="1"/>
  <c r="C2061" i="1" s="1"/>
  <c r="D2003" i="1"/>
  <c r="D2024" i="1"/>
  <c r="H2024" i="1" s="1"/>
  <c r="D2018" i="1"/>
  <c r="H2018" i="1" s="1"/>
  <c r="K2005" i="1"/>
  <c r="L2002" i="1"/>
  <c r="C227" i="42"/>
  <c r="H1827" i="1"/>
  <c r="P1827" i="1" s="1"/>
  <c r="C1827" i="1" s="1"/>
  <c r="H1826" i="1"/>
  <c r="P1826" i="1" s="1"/>
  <c r="C1826" i="1" s="1"/>
  <c r="H1812" i="1"/>
  <c r="P1812" i="1" s="1"/>
  <c r="C1812" i="1" s="1"/>
  <c r="H1804" i="1"/>
  <c r="P1804" i="1" s="1"/>
  <c r="C1804" i="1" s="1"/>
  <c r="E1630" i="1"/>
  <c r="D1630" i="1" s="1"/>
  <c r="H1630" i="1" s="1"/>
  <c r="P1630" i="1" s="1"/>
  <c r="C1630" i="1" s="1"/>
  <c r="E1631" i="1"/>
  <c r="D1724" i="1" s="1"/>
  <c r="E1632" i="1"/>
  <c r="D1632" i="1" s="1"/>
  <c r="E1633" i="1"/>
  <c r="D1726" i="1" s="1"/>
  <c r="C86" i="17"/>
  <c r="L86" i="17" s="1"/>
  <c r="E1634" i="1"/>
  <c r="D1727" i="1" s="1"/>
  <c r="E1635" i="1"/>
  <c r="D1718" i="1" s="1"/>
  <c r="E1637" i="1"/>
  <c r="D1735" i="1" s="1"/>
  <c r="D1638" i="1"/>
  <c r="H1638" i="1" s="1"/>
  <c r="P1638" i="1" s="1"/>
  <c r="C1638" i="1" s="1"/>
  <c r="E1639" i="1"/>
  <c r="E1640" i="1"/>
  <c r="D1732" i="1" s="1"/>
  <c r="E1641" i="1"/>
  <c r="F129" i="42" s="1"/>
  <c r="E1642" i="1"/>
  <c r="D1730" i="1" s="1"/>
  <c r="D1709" i="1"/>
  <c r="I1709" i="1" s="1"/>
  <c r="D1643" i="1"/>
  <c r="I1643" i="1" s="1"/>
  <c r="D1646" i="1"/>
  <c r="D1647" i="1" s="1"/>
  <c r="D1650" i="1"/>
  <c r="D1655" i="1"/>
  <c r="H1655" i="1" s="1"/>
  <c r="P1655" i="1" s="1"/>
  <c r="C1655" i="1" s="1"/>
  <c r="D1658" i="1"/>
  <c r="D1662" i="1"/>
  <c r="D1665" i="1" s="1"/>
  <c r="D1673" i="1"/>
  <c r="D1667" i="1"/>
  <c r="D1681" i="1"/>
  <c r="D1682" i="1"/>
  <c r="I1682" i="1" s="1"/>
  <c r="D1734" i="1"/>
  <c r="C84" i="17"/>
  <c r="D1720" i="1"/>
  <c r="H1720" i="1" s="1"/>
  <c r="I1720" i="1" s="1"/>
  <c r="D1703" i="1"/>
  <c r="H1703" i="1" s="1"/>
  <c r="P1703" i="1" s="1"/>
  <c r="C1703" i="1" s="1"/>
  <c r="D1704" i="1"/>
  <c r="D1705" i="1"/>
  <c r="I1705" i="1" s="1"/>
  <c r="D1707" i="1"/>
  <c r="H1707" i="1" s="1"/>
  <c r="P1707" i="1" s="1"/>
  <c r="C1707" i="1" s="1"/>
  <c r="I1706" i="1"/>
  <c r="H1706" i="1"/>
  <c r="P1706" i="1" s="1"/>
  <c r="C1706" i="1" s="1"/>
  <c r="I1702" i="1"/>
  <c r="H1702" i="1"/>
  <c r="P1702" i="1" s="1"/>
  <c r="C1702" i="1" s="1"/>
  <c r="D1701" i="1"/>
  <c r="H1701" i="1" s="1"/>
  <c r="P1701" i="1" s="1"/>
  <c r="C1701" i="1" s="1"/>
  <c r="D1700" i="1"/>
  <c r="H1700" i="1" s="1"/>
  <c r="P1700" i="1" s="1"/>
  <c r="C1700" i="1" s="1"/>
  <c r="D1699" i="1"/>
  <c r="I1698" i="1"/>
  <c r="H1698" i="1"/>
  <c r="P1698" i="1" s="1"/>
  <c r="C1698" i="1" s="1"/>
  <c r="D1697" i="1"/>
  <c r="H1697" i="1" s="1"/>
  <c r="P1697" i="1" s="1"/>
  <c r="C1697" i="1" s="1"/>
  <c r="D1696" i="1"/>
  <c r="I1696" i="1" s="1"/>
  <c r="D1695" i="1"/>
  <c r="I1695" i="1" s="1"/>
  <c r="I1694" i="1"/>
  <c r="H1694" i="1"/>
  <c r="P1694" i="1" s="1"/>
  <c r="C1694" i="1" s="1"/>
  <c r="I1693" i="1"/>
  <c r="H1693" i="1"/>
  <c r="P1693" i="1" s="1"/>
  <c r="C1693" i="1" s="1"/>
  <c r="I1692" i="1"/>
  <c r="H1692" i="1"/>
  <c r="P1692" i="1" s="1"/>
  <c r="C1692" i="1" s="1"/>
  <c r="I1691" i="1"/>
  <c r="H1691" i="1"/>
  <c r="P1691" i="1" s="1"/>
  <c r="C1691" i="1" s="1"/>
  <c r="D1690" i="1"/>
  <c r="I1690" i="1" s="1"/>
  <c r="D1688" i="1"/>
  <c r="H1688" i="1" s="1"/>
  <c r="P1688" i="1" s="1"/>
  <c r="C1688" i="1" s="1"/>
  <c r="D1687" i="1"/>
  <c r="D1686" i="1"/>
  <c r="I1686" i="1" s="1"/>
  <c r="D1685" i="1"/>
  <c r="D1684" i="1"/>
  <c r="D1683" i="1"/>
  <c r="H1683" i="1" s="1"/>
  <c r="P1683" i="1" s="1"/>
  <c r="C1683" i="1" s="1"/>
  <c r="D1680" i="1"/>
  <c r="I1680" i="1" s="1"/>
  <c r="D1675" i="1"/>
  <c r="D1676" i="1" s="1"/>
  <c r="D1674" i="1"/>
  <c r="I1672" i="1"/>
  <c r="H1672" i="1"/>
  <c r="P1672" i="1" s="1"/>
  <c r="C1672" i="1" s="1"/>
  <c r="D1671" i="1"/>
  <c r="I1671" i="1" s="1"/>
  <c r="D1670" i="1"/>
  <c r="D1669" i="1"/>
  <c r="I1669" i="1" s="1"/>
  <c r="D1668" i="1"/>
  <c r="H1668" i="1" s="1"/>
  <c r="P1668" i="1" s="1"/>
  <c r="C1668" i="1" s="1"/>
  <c r="I1666" i="1"/>
  <c r="H1666" i="1"/>
  <c r="P1666" i="1" s="1"/>
  <c r="C1666" i="1" s="1"/>
  <c r="E1492" i="1"/>
  <c r="D1602" i="1" s="1"/>
  <c r="E1493" i="1"/>
  <c r="E1494" i="1"/>
  <c r="D1599" i="1" s="1"/>
  <c r="D1495" i="1"/>
  <c r="J1495" i="1" s="1"/>
  <c r="E1496" i="1"/>
  <c r="D1597" i="1" s="1"/>
  <c r="E1497" i="1"/>
  <c r="D1498" i="1"/>
  <c r="E1500" i="1"/>
  <c r="D1500" i="1" s="1"/>
  <c r="E1501" i="1"/>
  <c r="E1502" i="1"/>
  <c r="D1502" i="1" s="1"/>
  <c r="E1503" i="1"/>
  <c r="D1589" i="1" s="1"/>
  <c r="J1589" i="1" s="1"/>
  <c r="E1504" i="1"/>
  <c r="E1505" i="1"/>
  <c r="F112" i="31" s="1"/>
  <c r="D158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09" i="1"/>
  <c r="D1610" i="1" s="1"/>
  <c r="D1598" i="1"/>
  <c r="J1594" i="1"/>
  <c r="H1594" i="1"/>
  <c r="P1594" i="1" s="1"/>
  <c r="C1594" i="1" s="1"/>
  <c r="D1586" i="1"/>
  <c r="E187" i="31" s="1"/>
  <c r="BP181" i="16"/>
  <c r="BP163" i="16"/>
  <c r="BP154" i="16"/>
  <c r="BP148" i="16"/>
  <c r="BP139" i="16"/>
  <c r="BP131" i="16"/>
  <c r="BP119" i="16"/>
  <c r="BP94" i="16"/>
  <c r="BP86" i="16"/>
  <c r="BP53" i="16"/>
  <c r="BP29" i="16"/>
  <c r="D1583" i="1"/>
  <c r="J1582" i="1"/>
  <c r="H1582" i="1"/>
  <c r="P1582" i="1" s="1"/>
  <c r="C158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79" i="1"/>
  <c r="H1579" i="1"/>
  <c r="P1579" i="1" s="1"/>
  <c r="C1579" i="1" s="1"/>
  <c r="DV94" i="16"/>
  <c r="DV86" i="16"/>
  <c r="DV53" i="16"/>
  <c r="DV29" i="16"/>
  <c r="J1573" i="1"/>
  <c r="H1573" i="1"/>
  <c r="P1573" i="1" s="1"/>
  <c r="C1573" i="1" s="1"/>
  <c r="DU94" i="16"/>
  <c r="DU86" i="16"/>
  <c r="DU53" i="16"/>
  <c r="DU29" i="16"/>
  <c r="DS94" i="16"/>
  <c r="DS86" i="16"/>
  <c r="DS53" i="16"/>
  <c r="DS29" i="16"/>
  <c r="DR94" i="16"/>
  <c r="DR86" i="16"/>
  <c r="DR53" i="16"/>
  <c r="DR29" i="16"/>
  <c r="DQ94" i="16"/>
  <c r="DQ86" i="16"/>
  <c r="DQ53" i="16"/>
  <c r="DQ29" i="16"/>
  <c r="DP94" i="16"/>
  <c r="DP86" i="16"/>
  <c r="DP53" i="16"/>
  <c r="DP29" i="16"/>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DJ94" i="16"/>
  <c r="DJ86" i="16"/>
  <c r="DJ53" i="16"/>
  <c r="DJ29" i="16"/>
  <c r="D1543" i="1"/>
  <c r="D1542" i="1"/>
  <c r="D1541" i="1"/>
  <c r="H1541" i="1" s="1"/>
  <c r="P1541" i="1" s="1"/>
  <c r="C1541" i="1" s="1"/>
  <c r="D1540" i="1"/>
  <c r="J1539" i="1"/>
  <c r="H1539" i="1"/>
  <c r="P1539" i="1" s="1"/>
  <c r="C1539" i="1" s="1"/>
  <c r="D1538" i="1"/>
  <c r="H1538" i="1" s="1"/>
  <c r="P1538" i="1" s="1"/>
  <c r="C1538" i="1" s="1"/>
  <c r="D1537" i="1"/>
  <c r="D1536" i="1"/>
  <c r="D1535" i="1"/>
  <c r="D1534" i="1"/>
  <c r="H1534" i="1" s="1"/>
  <c r="P1534" i="1" s="1"/>
  <c r="C1534" i="1" s="1"/>
  <c r="J1533" i="1"/>
  <c r="H1533" i="1"/>
  <c r="P1533" i="1" s="1"/>
  <c r="C1533" i="1" s="1"/>
  <c r="DO94" i="16"/>
  <c r="DO86" i="16"/>
  <c r="DO53" i="16"/>
  <c r="DO29" i="16"/>
  <c r="I148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8" i="1"/>
  <c r="M1398" i="1"/>
  <c r="N1397" i="1"/>
  <c r="M1397" i="1"/>
  <c r="N1396" i="1"/>
  <c r="M1396" i="1"/>
  <c r="N1395" i="1"/>
  <c r="M1395" i="1"/>
  <c r="N1394" i="1"/>
  <c r="M1394" i="1"/>
  <c r="N1393" i="1"/>
  <c r="M1393" i="1"/>
  <c r="N1392" i="1"/>
  <c r="M1392" i="1"/>
  <c r="N1391" i="1"/>
  <c r="M1391" i="1"/>
  <c r="J1382" i="1"/>
  <c r="D1387" i="1"/>
  <c r="N1386" i="1"/>
  <c r="M1386" i="1"/>
  <c r="N1385" i="1"/>
  <c r="M1385" i="1"/>
  <c r="N1384" i="1"/>
  <c r="M1384" i="1"/>
  <c r="N1383" i="1"/>
  <c r="M1383" i="1"/>
  <c r="N1382" i="1"/>
  <c r="M1382" i="1"/>
  <c r="N1381" i="1"/>
  <c r="M1381" i="1"/>
  <c r="N1380" i="1"/>
  <c r="M1380" i="1"/>
  <c r="N1379" i="1"/>
  <c r="M1379" i="1"/>
  <c r="J1371" i="1"/>
  <c r="J1355" i="1"/>
  <c r="D1362" i="1"/>
  <c r="N1361" i="1"/>
  <c r="M1361" i="1"/>
  <c r="N1360" i="1"/>
  <c r="M1360" i="1"/>
  <c r="N1359" i="1"/>
  <c r="M1359" i="1"/>
  <c r="N1358" i="1"/>
  <c r="M1358" i="1"/>
  <c r="N1357" i="1"/>
  <c r="M1357" i="1"/>
  <c r="N1356" i="1"/>
  <c r="M1356" i="1"/>
  <c r="N1355" i="1"/>
  <c r="M1355" i="1"/>
  <c r="N1354" i="1"/>
  <c r="M1354" i="1"/>
  <c r="N1353" i="1"/>
  <c r="M1353" i="1"/>
  <c r="N1352" i="1"/>
  <c r="M1352" i="1"/>
  <c r="J1341" i="1"/>
  <c r="D1332" i="1"/>
  <c r="D1349" i="1" s="1"/>
  <c r="D1347" i="1"/>
  <c r="N1346" i="1"/>
  <c r="M1346" i="1"/>
  <c r="N1345" i="1"/>
  <c r="M1345" i="1"/>
  <c r="N1344" i="1"/>
  <c r="M1344" i="1"/>
  <c r="N1343" i="1"/>
  <c r="M1343" i="1"/>
  <c r="N1342" i="1"/>
  <c r="M1342" i="1"/>
  <c r="N1341" i="1"/>
  <c r="M1341" i="1"/>
  <c r="N1340" i="1"/>
  <c r="M1340" i="1"/>
  <c r="N1339" i="1"/>
  <c r="M1339" i="1"/>
  <c r="N1338" i="1"/>
  <c r="M1338" i="1"/>
  <c r="N1337" i="1"/>
  <c r="M1337" i="1"/>
  <c r="N1336" i="1"/>
  <c r="M1336" i="1"/>
  <c r="J1326" i="1"/>
  <c r="N1331" i="1"/>
  <c r="M1331" i="1"/>
  <c r="N1330" i="1"/>
  <c r="M1330" i="1"/>
  <c r="N1329" i="1"/>
  <c r="M1329" i="1"/>
  <c r="N1328" i="1"/>
  <c r="M1328" i="1"/>
  <c r="N1327" i="1"/>
  <c r="M1327" i="1"/>
  <c r="N1326" i="1"/>
  <c r="M1326" i="1"/>
  <c r="N1325" i="1"/>
  <c r="M1325" i="1"/>
  <c r="N1324" i="1"/>
  <c r="M1324" i="1"/>
  <c r="N1323" i="1"/>
  <c r="M1323" i="1"/>
  <c r="D1319" i="1"/>
  <c r="N1318" i="1"/>
  <c r="M1318" i="1"/>
  <c r="N1317" i="1"/>
  <c r="M1317" i="1"/>
  <c r="N1316" i="1"/>
  <c r="M1316" i="1"/>
  <c r="N1315" i="1"/>
  <c r="M1315" i="1"/>
  <c r="N1314" i="1"/>
  <c r="M1314" i="1"/>
  <c r="N1313" i="1"/>
  <c r="M1313" i="1"/>
  <c r="N1312" i="1"/>
  <c r="M1312" i="1"/>
  <c r="N1311" i="1"/>
  <c r="M1311" i="1"/>
  <c r="N1310" i="1"/>
  <c r="M1310" i="1"/>
  <c r="N1309" i="1"/>
  <c r="M1309" i="1"/>
  <c r="J1295" i="1"/>
  <c r="D1290" i="1"/>
  <c r="D1306" i="1" s="1"/>
  <c r="D1304" i="1"/>
  <c r="N1303" i="1"/>
  <c r="M1303" i="1"/>
  <c r="N1302" i="1"/>
  <c r="M1302" i="1"/>
  <c r="N1301" i="1"/>
  <c r="M1301" i="1"/>
  <c r="N1300" i="1"/>
  <c r="M1300" i="1"/>
  <c r="N1299" i="1"/>
  <c r="M1299" i="1"/>
  <c r="N1298" i="1"/>
  <c r="M1298" i="1"/>
  <c r="N1297" i="1"/>
  <c r="M1297" i="1"/>
  <c r="N1296" i="1"/>
  <c r="M1296" i="1"/>
  <c r="N1295" i="1"/>
  <c r="M1295" i="1"/>
  <c r="N1294" i="1"/>
  <c r="M1294" i="1"/>
  <c r="J1289" i="1"/>
  <c r="N1289" i="1"/>
  <c r="M1289" i="1"/>
  <c r="N1288" i="1"/>
  <c r="M1288" i="1"/>
  <c r="N1287" i="1"/>
  <c r="M1287" i="1"/>
  <c r="N1286" i="1"/>
  <c r="M1286" i="1"/>
  <c r="N1285" i="1"/>
  <c r="M1285" i="1"/>
  <c r="N1284" i="1"/>
  <c r="M1284" i="1"/>
  <c r="N1283" i="1"/>
  <c r="M1283" i="1"/>
  <c r="N1282" i="1"/>
  <c r="M1282" i="1"/>
  <c r="N1281" i="1"/>
  <c r="M1281" i="1"/>
  <c r="J1273" i="1"/>
  <c r="N1276" i="1"/>
  <c r="M1276" i="1"/>
  <c r="N1275" i="1"/>
  <c r="M1275" i="1"/>
  <c r="N1274" i="1"/>
  <c r="M1274" i="1"/>
  <c r="N1273" i="1"/>
  <c r="M1273" i="1"/>
  <c r="N1272" i="1"/>
  <c r="M1272" i="1"/>
  <c r="N1271" i="1"/>
  <c r="M1271" i="1"/>
  <c r="N1270" i="1"/>
  <c r="M1270" i="1"/>
  <c r="N1269" i="1"/>
  <c r="M1269" i="1"/>
  <c r="N1268" i="1"/>
  <c r="M1268" i="1"/>
  <c r="N1267" i="1"/>
  <c r="M1267" i="1"/>
  <c r="N1261" i="1"/>
  <c r="M1261" i="1"/>
  <c r="N1260" i="1"/>
  <c r="M1260" i="1"/>
  <c r="N1259" i="1"/>
  <c r="M1259" i="1"/>
  <c r="N1258" i="1"/>
  <c r="M1258" i="1"/>
  <c r="N1257" i="1"/>
  <c r="M1257" i="1"/>
  <c r="N1256" i="1"/>
  <c r="M1256" i="1"/>
  <c r="N1255" i="1"/>
  <c r="M1255" i="1"/>
  <c r="N1254" i="1"/>
  <c r="M1254" i="1"/>
  <c r="N1253" i="1"/>
  <c r="M1253" i="1"/>
  <c r="N1252" i="1"/>
  <c r="M1252" i="1"/>
  <c r="J1242" i="1"/>
  <c r="N1247" i="1"/>
  <c r="M1247" i="1"/>
  <c r="N1246" i="1"/>
  <c r="M1246" i="1"/>
  <c r="N1245" i="1"/>
  <c r="M1245" i="1"/>
  <c r="N1244" i="1"/>
  <c r="M1244" i="1"/>
  <c r="N1243" i="1"/>
  <c r="M1243" i="1"/>
  <c r="N1242" i="1"/>
  <c r="M1242" i="1"/>
  <c r="N1241" i="1"/>
  <c r="M1241" i="1"/>
  <c r="N1240" i="1"/>
  <c r="M1240" i="1"/>
  <c r="N1239" i="1"/>
  <c r="M123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6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3" i="1"/>
  <c r="BE181" i="16"/>
  <c r="BE163" i="16"/>
  <c r="BE154" i="16"/>
  <c r="BE148" i="16"/>
  <c r="BE139" i="16"/>
  <c r="BE131" i="16"/>
  <c r="BE119" i="16"/>
  <c r="BE94" i="16"/>
  <c r="BE86" i="16"/>
  <c r="BE53" i="16"/>
  <c r="BE29" i="16"/>
  <c r="D1119" i="1"/>
  <c r="M1119" i="1" s="1"/>
  <c r="J1113" i="1"/>
  <c r="D110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4" i="1"/>
  <c r="D1015" i="1"/>
  <c r="J1015" i="1" s="1"/>
  <c r="CY181" i="16"/>
  <c r="CY163" i="16"/>
  <c r="CY154" i="16"/>
  <c r="CY148" i="16"/>
  <c r="CY139" i="16"/>
  <c r="CY131" i="16"/>
  <c r="CY119" i="16"/>
  <c r="CY94" i="16"/>
  <c r="CY86" i="16"/>
  <c r="CY53" i="16"/>
  <c r="CY29" i="16"/>
  <c r="L1000" i="1"/>
  <c r="K1000" i="1"/>
  <c r="J1000" i="1"/>
  <c r="I1000" i="1"/>
  <c r="H1000" i="1"/>
  <c r="L999" i="1"/>
  <c r="K999" i="1"/>
  <c r="J999" i="1"/>
  <c r="I999" i="1"/>
  <c r="CR181" i="16"/>
  <c r="CR163" i="16"/>
  <c r="CR154" i="16"/>
  <c r="CR148" i="16"/>
  <c r="CR139" i="16"/>
  <c r="CR131" i="16"/>
  <c r="CR119" i="16"/>
  <c r="CR94" i="16"/>
  <c r="CR86" i="16"/>
  <c r="CR53" i="16"/>
  <c r="CR29" i="16"/>
  <c r="L998" i="1"/>
  <c r="K998" i="1"/>
  <c r="J998" i="1"/>
  <c r="I998" i="1"/>
  <c r="L997" i="1"/>
  <c r="K997" i="1"/>
  <c r="J997" i="1"/>
  <c r="I997" i="1"/>
  <c r="CQ181" i="16"/>
  <c r="CQ163" i="16"/>
  <c r="CQ154" i="16"/>
  <c r="CQ148" i="16"/>
  <c r="CQ139" i="16"/>
  <c r="CQ131" i="16"/>
  <c r="CQ119" i="16"/>
  <c r="CQ94" i="16"/>
  <c r="CQ86" i="16"/>
  <c r="CQ53" i="16"/>
  <c r="CQ29" i="16"/>
  <c r="L991" i="1"/>
  <c r="K991" i="1"/>
  <c r="J991" i="1"/>
  <c r="I991" i="1"/>
  <c r="H991" i="1"/>
  <c r="L990" i="1"/>
  <c r="K990" i="1"/>
  <c r="J990" i="1"/>
  <c r="I990" i="1"/>
  <c r="H990" i="1"/>
  <c r="CS181" i="16"/>
  <c r="CS163" i="16"/>
  <c r="CS154" i="16"/>
  <c r="CS148" i="16"/>
  <c r="CS139" i="16"/>
  <c r="CS131" i="16"/>
  <c r="CS119" i="16"/>
  <c r="CS94" i="16"/>
  <c r="CS86" i="16"/>
  <c r="CS53" i="16"/>
  <c r="CS29" i="16"/>
  <c r="J976" i="1"/>
  <c r="CL181" i="16"/>
  <c r="CL163" i="16"/>
  <c r="CL154" i="16"/>
  <c r="CL148" i="16"/>
  <c r="CL139" i="16"/>
  <c r="CL131" i="16"/>
  <c r="CL119" i="16"/>
  <c r="CL94" i="16"/>
  <c r="CL86" i="16"/>
  <c r="CL53" i="16"/>
  <c r="CL29" i="16"/>
  <c r="N968" i="1"/>
  <c r="M968" i="1"/>
  <c r="N967" i="1"/>
  <c r="M967" i="1"/>
  <c r="N966" i="1"/>
  <c r="M966" i="1"/>
  <c r="N965" i="1"/>
  <c r="M965" i="1"/>
  <c r="CK181" i="16"/>
  <c r="CK163" i="16"/>
  <c r="CK154" i="16"/>
  <c r="CK148" i="16"/>
  <c r="CK139" i="16"/>
  <c r="CK131" i="16"/>
  <c r="CK119" i="16"/>
  <c r="CK94" i="16"/>
  <c r="CK86" i="16"/>
  <c r="CK53" i="16"/>
  <c r="CK29" i="16"/>
  <c r="N957" i="1"/>
  <c r="M957" i="1"/>
  <c r="N956" i="1"/>
  <c r="M956" i="1"/>
  <c r="N955" i="1"/>
  <c r="M955" i="1"/>
  <c r="CN181" i="16"/>
  <c r="CN163" i="16"/>
  <c r="CN154" i="16"/>
  <c r="CN148" i="16"/>
  <c r="CN139" i="16"/>
  <c r="CN131" i="16"/>
  <c r="CN119" i="16"/>
  <c r="CN94" i="16"/>
  <c r="CN86" i="16"/>
  <c r="CN53" i="16"/>
  <c r="CN29" i="16"/>
  <c r="N948" i="1"/>
  <c r="M948" i="1"/>
  <c r="N947" i="1"/>
  <c r="M947" i="1"/>
  <c r="N946" i="1"/>
  <c r="M946" i="1"/>
  <c r="N944" i="1"/>
  <c r="M944" i="1"/>
  <c r="CM181" i="16"/>
  <c r="CM163" i="16"/>
  <c r="CM154" i="16"/>
  <c r="CM148" i="16"/>
  <c r="CM139" i="16"/>
  <c r="CM131" i="16"/>
  <c r="CM119" i="16"/>
  <c r="CM94" i="16"/>
  <c r="CM86" i="16"/>
  <c r="CM53" i="16"/>
  <c r="CM29" i="16"/>
  <c r="N937" i="1"/>
  <c r="M937" i="1"/>
  <c r="N936" i="1"/>
  <c r="M936" i="1"/>
  <c r="N935" i="1"/>
  <c r="N934" i="1"/>
  <c r="M934" i="1"/>
  <c r="CV181" i="16"/>
  <c r="CV163" i="16"/>
  <c r="CV154" i="16"/>
  <c r="CV148" i="16"/>
  <c r="CV139" i="16"/>
  <c r="CV131" i="16"/>
  <c r="CV119" i="16"/>
  <c r="CV94" i="16"/>
  <c r="CV86" i="16"/>
  <c r="CV53" i="16"/>
  <c r="CV29" i="16"/>
  <c r="N927" i="1"/>
  <c r="M927" i="1"/>
  <c r="N926" i="1"/>
  <c r="M926" i="1"/>
  <c r="N925" i="1"/>
  <c r="M925" i="1"/>
  <c r="CU181" i="16"/>
  <c r="CU163" i="16"/>
  <c r="CU154" i="16"/>
  <c r="CU148" i="16"/>
  <c r="CU139" i="16"/>
  <c r="CU131" i="16"/>
  <c r="CU119" i="16"/>
  <c r="CU94" i="16"/>
  <c r="CU86" i="16"/>
  <c r="CU53" i="16"/>
  <c r="CU29" i="16"/>
  <c r="N917" i="1"/>
  <c r="M917" i="1"/>
  <c r="N916" i="1"/>
  <c r="M916" i="1"/>
  <c r="D915" i="1"/>
  <c r="N915" i="1" s="1"/>
  <c r="D914" i="1"/>
  <c r="CP181" i="16"/>
  <c r="CP163" i="16"/>
  <c r="CP154" i="16"/>
  <c r="CP148" i="16"/>
  <c r="CP139" i="16"/>
  <c r="CP131" i="16"/>
  <c r="CP119" i="16"/>
  <c r="CP94" i="16"/>
  <c r="CP86" i="16"/>
  <c r="CP53" i="16"/>
  <c r="CP29" i="16"/>
  <c r="N903" i="1"/>
  <c r="M903" i="1"/>
  <c r="N902" i="1"/>
  <c r="M902" i="1"/>
  <c r="N901" i="1"/>
  <c r="M901" i="1"/>
  <c r="N893" i="1"/>
  <c r="M893" i="1"/>
  <c r="N892" i="1"/>
  <c r="M892" i="1"/>
  <c r="N873" i="1"/>
  <c r="M873" i="1"/>
  <c r="N872" i="1"/>
  <c r="M872" i="1"/>
  <c r="N871" i="1"/>
  <c r="M871" i="1"/>
  <c r="N870" i="1"/>
  <c r="M870" i="1"/>
  <c r="N860" i="1"/>
  <c r="M860" i="1"/>
  <c r="N859" i="1"/>
  <c r="M859" i="1"/>
  <c r="N858" i="1"/>
  <c r="M858" i="1"/>
  <c r="N857" i="1"/>
  <c r="M857" i="1"/>
  <c r="N856" i="1"/>
  <c r="M856" i="1"/>
  <c r="N855" i="1"/>
  <c r="N804" i="1"/>
  <c r="M804" i="1"/>
  <c r="N803" i="1"/>
  <c r="M803" i="1"/>
  <c r="N802" i="1"/>
  <c r="M802" i="1"/>
  <c r="N801" i="1"/>
  <c r="M801" i="1"/>
  <c r="M799" i="1"/>
  <c r="N850" i="1"/>
  <c r="M850" i="1"/>
  <c r="N844" i="1"/>
  <c r="M844" i="1"/>
  <c r="CI181" i="16"/>
  <c r="CI163" i="16"/>
  <c r="CI154" i="16"/>
  <c r="CI148" i="16"/>
  <c r="CI139" i="16"/>
  <c r="CI131" i="16"/>
  <c r="CI119" i="16"/>
  <c r="CI94" i="16"/>
  <c r="CI86" i="16"/>
  <c r="CI53" i="16"/>
  <c r="CI29" i="16"/>
  <c r="N843" i="1"/>
  <c r="M843" i="1"/>
  <c r="N841" i="1"/>
  <c r="M841" i="1"/>
  <c r="N835" i="1"/>
  <c r="M835" i="1"/>
  <c r="N834" i="1"/>
  <c r="M834" i="1"/>
  <c r="N824" i="1"/>
  <c r="M824" i="1"/>
  <c r="N823" i="1"/>
  <c r="M823" i="1"/>
  <c r="N822" i="1"/>
  <c r="M822" i="1"/>
  <c r="N821" i="1"/>
  <c r="M821" i="1"/>
  <c r="N813" i="1"/>
  <c r="M813" i="1"/>
  <c r="N812" i="1"/>
  <c r="M812" i="1"/>
  <c r="N793" i="1"/>
  <c r="M793" i="1"/>
  <c r="N792" i="1"/>
  <c r="M792" i="1"/>
  <c r="N791" i="1"/>
  <c r="M79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7" i="1"/>
  <c r="N732" i="1"/>
  <c r="M727" i="1"/>
  <c r="N706" i="1"/>
  <c r="D703" i="1"/>
  <c r="N690" i="1"/>
  <c r="M690" i="1"/>
  <c r="CH181" i="16"/>
  <c r="CH163" i="16"/>
  <c r="CH154" i="16"/>
  <c r="CH148" i="16"/>
  <c r="CH139" i="16"/>
  <c r="CH131" i="16"/>
  <c r="CH119" i="16"/>
  <c r="CH94" i="16"/>
  <c r="CH86" i="16"/>
  <c r="CH53" i="16"/>
  <c r="CH29" i="16"/>
  <c r="N689" i="1"/>
  <c r="M689" i="1"/>
  <c r="N688" i="1"/>
  <c r="M688" i="1"/>
  <c r="N687" i="1"/>
  <c r="M687" i="1"/>
  <c r="N686" i="1"/>
  <c r="M686" i="1"/>
  <c r="N685" i="1"/>
  <c r="M685" i="1"/>
  <c r="N684" i="1"/>
  <c r="M684" i="1"/>
  <c r="N679" i="1"/>
  <c r="M679" i="1"/>
  <c r="N678" i="1"/>
  <c r="M678" i="1"/>
  <c r="N677" i="1"/>
  <c r="M677" i="1"/>
  <c r="N668" i="1"/>
  <c r="M668" i="1"/>
  <c r="N667" i="1"/>
  <c r="M66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9" i="61" s="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8" i="1"/>
  <c r="O791" i="1"/>
  <c r="O793" i="1"/>
  <c r="O250" i="1"/>
  <c r="O623" i="1"/>
  <c r="O624" i="1"/>
  <c r="O249" i="1"/>
  <c r="O588" i="1"/>
  <c r="O626" i="1"/>
  <c r="O625" i="1"/>
  <c r="O343" i="1"/>
  <c r="O435" i="1"/>
  <c r="O341" i="1"/>
  <c r="O433" i="1"/>
  <c r="O340" i="1"/>
  <c r="O432" i="1"/>
  <c r="O342" i="1"/>
  <c r="O434"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6" i="1"/>
  <c r="O792"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A22" i="33"/>
  <c r="A23" i="33"/>
  <c r="A24" i="33"/>
  <c r="E24" i="33" s="1"/>
  <c r="G24" i="33" s="1"/>
  <c r="A25" i="33"/>
  <c r="C25" i="33" s="1"/>
  <c r="A26" i="33"/>
  <c r="C26" i="33" s="1"/>
  <c r="A27" i="33"/>
  <c r="A28" i="33"/>
  <c r="C28" i="33" s="1"/>
  <c r="A29" i="33"/>
  <c r="A30" i="33"/>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C48" i="42"/>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588" i="1"/>
  <c r="M648" i="1"/>
  <c r="N624" i="1"/>
  <c r="M624" i="1"/>
  <c r="M604" i="1"/>
  <c r="M915" i="1"/>
  <c r="K1965" i="1"/>
  <c r="A97" i="42"/>
  <c r="D97" i="42" s="1"/>
  <c r="A96" i="42"/>
  <c r="A100" i="42"/>
  <c r="E100" i="42" s="1"/>
  <c r="J95" i="1"/>
  <c r="D734" i="23"/>
  <c r="D740" i="23" s="1"/>
  <c r="H1788" i="1"/>
  <c r="P1788" i="1" s="1"/>
  <c r="C1788" i="1" s="1"/>
  <c r="H1791" i="1"/>
  <c r="P1791" i="1" s="1"/>
  <c r="C1791" i="1" s="1"/>
  <c r="A71" i="31"/>
  <c r="E71" i="31" s="1"/>
  <c r="G71" i="31" s="1"/>
  <c r="M97" i="1"/>
  <c r="M95" i="1"/>
  <c r="M94" i="1"/>
  <c r="M93" i="1"/>
  <c r="M80" i="1"/>
  <c r="M79" i="1"/>
  <c r="M78" i="1"/>
  <c r="M77" i="1"/>
  <c r="N727" i="1"/>
  <c r="N765" i="1"/>
  <c r="E152" i="33"/>
  <c r="G152" i="33" s="1"/>
  <c r="I2350" i="1"/>
  <c r="I2340" i="1"/>
  <c r="I2329" i="1"/>
  <c r="D2122" i="1"/>
  <c r="M707" i="1"/>
  <c r="M753" i="1"/>
  <c r="D847" i="1"/>
  <c r="D2362" i="23"/>
  <c r="H1907" i="23"/>
  <c r="D1443" i="23"/>
  <c r="N1438" i="1"/>
  <c r="M29" i="1"/>
  <c r="M319" i="1"/>
  <c r="M497" i="1"/>
  <c r="M237" i="1"/>
  <c r="N54" i="1"/>
  <c r="N46" i="1"/>
  <c r="N136" i="1"/>
  <c r="M1412" i="1"/>
  <c r="N568" i="1"/>
  <c r="N165" i="1"/>
  <c r="M1171" i="1"/>
  <c r="M1187" i="1"/>
  <c r="M1137" i="1"/>
  <c r="M1175" i="1"/>
  <c r="M1147" i="1"/>
  <c r="M1104" i="1"/>
  <c r="M1217" i="1"/>
  <c r="M1114" i="1"/>
  <c r="M1127" i="1"/>
  <c r="M1224" i="1"/>
  <c r="M1164" i="1"/>
  <c r="H1787" i="1"/>
  <c r="P1787" i="1" s="1"/>
  <c r="C1787" i="1" s="1"/>
  <c r="H1825" i="1"/>
  <c r="P1825" i="1" s="1"/>
  <c r="C1825" i="1" s="1"/>
  <c r="H1806" i="1"/>
  <c r="P1806" i="1" s="1"/>
  <c r="C1806" i="1" s="1"/>
  <c r="H1802" i="1"/>
  <c r="P1802" i="1" s="1"/>
  <c r="C1802" i="1" s="1"/>
  <c r="C28" i="35"/>
  <c r="C80" i="42"/>
  <c r="D68" i="31"/>
  <c r="C54" i="35"/>
  <c r="C46" i="35"/>
  <c r="C55" i="34"/>
  <c r="D33" i="34"/>
  <c r="D25" i="34"/>
  <c r="C38" i="42"/>
  <c r="C36" i="42"/>
  <c r="C69" i="33"/>
  <c r="C36" i="34"/>
  <c r="D46" i="42"/>
  <c r="D14" i="42"/>
  <c r="E38" i="42"/>
  <c r="B38" i="42" s="1"/>
  <c r="H1785" i="1"/>
  <c r="P1785" i="1" s="1"/>
  <c r="C1785" i="1" s="1"/>
  <c r="E34" i="42"/>
  <c r="G34" i="42" s="1"/>
  <c r="D30" i="35"/>
  <c r="C27" i="33"/>
  <c r="E245" i="42"/>
  <c r="G245" i="42" s="1"/>
  <c r="D38" i="33"/>
  <c r="D30" i="33"/>
  <c r="C10" i="35"/>
  <c r="C45" i="35"/>
  <c r="C30" i="35"/>
  <c r="D89" i="42"/>
  <c r="D45" i="33"/>
  <c r="C60" i="31"/>
  <c r="D31" i="31"/>
  <c r="C58" i="34"/>
  <c r="D45" i="42"/>
  <c r="C65" i="35"/>
  <c r="D58" i="33"/>
  <c r="E194" i="31"/>
  <c r="G194" i="31" s="1"/>
  <c r="J1593" i="1"/>
  <c r="H201" i="23"/>
  <c r="N1482" i="1"/>
  <c r="N97" i="1"/>
  <c r="E22" i="34"/>
  <c r="B22" i="34" s="1"/>
  <c r="M507" i="1"/>
  <c r="M199" i="1"/>
  <c r="N487" i="1"/>
  <c r="M206" i="1"/>
  <c r="M54" i="1"/>
  <c r="M516" i="1"/>
  <c r="M487" i="1"/>
  <c r="N449" i="1"/>
  <c r="M143" i="1"/>
  <c r="M458" i="1"/>
  <c r="M267" i="1"/>
  <c r="M215" i="1"/>
  <c r="M111" i="1"/>
  <c r="M47" i="1"/>
  <c r="N415" i="1"/>
  <c r="N320" i="1"/>
  <c r="M38" i="1"/>
  <c r="M189" i="1"/>
  <c r="M118" i="1"/>
  <c r="N476" i="1"/>
  <c r="M303" i="1"/>
  <c r="M235" i="1"/>
  <c r="H207" i="23"/>
  <c r="H212" i="23" s="1"/>
  <c r="H206" i="23"/>
  <c r="N111" i="1"/>
  <c r="N126" i="1"/>
  <c r="M1484" i="1"/>
  <c r="M1473" i="1"/>
  <c r="N259" i="1"/>
  <c r="M415" i="1"/>
  <c r="M157" i="1"/>
  <c r="M158" i="1" s="1"/>
  <c r="M275" i="1"/>
  <c r="M284" i="1"/>
  <c r="N528" i="1"/>
  <c r="N39" i="1"/>
  <c r="M257" i="1"/>
  <c r="M136" i="1"/>
  <c r="M153" i="1"/>
  <c r="M1404" i="1"/>
  <c r="M1465" i="1"/>
  <c r="M1429" i="1"/>
  <c r="M1455" i="1"/>
  <c r="M1421" i="1"/>
  <c r="N1447" i="1"/>
  <c r="N1464" i="1"/>
  <c r="D2032" i="1"/>
  <c r="H2032" i="1" s="1"/>
  <c r="N68" i="1"/>
  <c r="J97" i="1"/>
  <c r="J93" i="1"/>
  <c r="J79" i="1"/>
  <c r="J96" i="1"/>
  <c r="J77" i="1"/>
  <c r="J94" i="1"/>
  <c r="J78" i="1"/>
  <c r="J76" i="1"/>
  <c r="H1108" i="23"/>
  <c r="H1106" i="23"/>
  <c r="H1092" i="23"/>
  <c r="H1097" i="23" s="1"/>
  <c r="A95" i="42"/>
  <c r="C95" i="42" s="1"/>
  <c r="A105" i="42"/>
  <c r="D1912" i="1"/>
  <c r="H1912" i="1" s="1"/>
  <c r="D1765" i="1"/>
  <c r="C112" i="42"/>
  <c r="C103" i="42"/>
  <c r="E91" i="42"/>
  <c r="B91" i="42" s="1"/>
  <c r="E53" i="42"/>
  <c r="D16" i="31"/>
  <c r="D88" i="42"/>
  <c r="D39" i="31"/>
  <c r="D91" i="42"/>
  <c r="D21" i="33"/>
  <c r="J2328" i="1"/>
  <c r="N157" i="1"/>
  <c r="N158" i="1" s="1"/>
  <c r="H1549" i="1"/>
  <c r="P1549" i="1" s="1"/>
  <c r="C1549" i="1" s="1"/>
  <c r="J1549" i="1"/>
  <c r="H2246" i="1"/>
  <c r="P2246" i="1" s="1"/>
  <c r="C2246" i="1" s="1"/>
  <c r="H1548" i="1"/>
  <c r="P1548" i="1" s="1"/>
  <c r="C1548" i="1" s="1"/>
  <c r="J1548" i="1"/>
  <c r="D1744" i="1"/>
  <c r="H2325" i="23"/>
  <c r="D87" i="31"/>
  <c r="M587" i="1"/>
  <c r="M597" i="1"/>
  <c r="M596" i="1"/>
  <c r="M576" i="1"/>
  <c r="M577" i="1"/>
  <c r="AG69" i="61"/>
  <c r="J1177" i="1"/>
  <c r="CR95" i="16"/>
  <c r="J1066" i="1"/>
  <c r="J1231" i="1"/>
  <c r="N720" i="1"/>
  <c r="I2355" i="1"/>
  <c r="I2353" i="1"/>
  <c r="I2351" i="1"/>
  <c r="I2357" i="1"/>
  <c r="I2345" i="1"/>
  <c r="I2343" i="1"/>
  <c r="I2341" i="1"/>
  <c r="I2339" i="1"/>
  <c r="I2337" i="1"/>
  <c r="I2333" i="1"/>
  <c r="I2330" i="1"/>
  <c r="I2328" i="1"/>
  <c r="I2326" i="1"/>
  <c r="I2324" i="1"/>
  <c r="I2322" i="1"/>
  <c r="I2356" i="1"/>
  <c r="I2352" i="1"/>
  <c r="I2347" i="1"/>
  <c r="I2342" i="1"/>
  <c r="I2338" i="1"/>
  <c r="I2331" i="1"/>
  <c r="I2327" i="1"/>
  <c r="I2323" i="1"/>
  <c r="I2325" i="1"/>
  <c r="I2336" i="1"/>
  <c r="I2344" i="1"/>
  <c r="I2354" i="1"/>
  <c r="E183" i="42"/>
  <c r="G183" i="42" s="1"/>
  <c r="H1792" i="1"/>
  <c r="P1792" i="1" s="1"/>
  <c r="C1792" i="1" s="1"/>
  <c r="H1777" i="1"/>
  <c r="P1777" i="1" s="1"/>
  <c r="C1777" i="1" s="1"/>
  <c r="H1774" i="1"/>
  <c r="P1774" i="1" s="1"/>
  <c r="C1774" i="1" s="1"/>
  <c r="M586" i="1"/>
  <c r="M732" i="1"/>
  <c r="M731" i="1"/>
  <c r="E88" i="33"/>
  <c r="G88" i="33" s="1"/>
  <c r="H1824" i="1"/>
  <c r="P1824" i="1" s="1"/>
  <c r="C1824" i="1" s="1"/>
  <c r="H1822" i="1"/>
  <c r="P1822" i="1" s="1"/>
  <c r="C1822" i="1" s="1"/>
  <c r="H1793" i="1"/>
  <c r="P1793" i="1" s="1"/>
  <c r="C1793" i="1" s="1"/>
  <c r="H1781" i="1"/>
  <c r="P1781" i="1" s="1"/>
  <c r="C1781" i="1" s="1"/>
  <c r="M891" i="1"/>
  <c r="Q855" i="1"/>
  <c r="M855" i="1"/>
  <c r="M800" i="1"/>
  <c r="N800" i="1"/>
  <c r="M789" i="1"/>
  <c r="O789" i="1"/>
  <c r="N789" i="1"/>
  <c r="Q954" i="1"/>
  <c r="N954" i="1"/>
  <c r="M954" i="1"/>
  <c r="N945" i="1"/>
  <c r="M945" i="1"/>
  <c r="N819" i="1"/>
  <c r="M666" i="1"/>
  <c r="N666" i="1"/>
  <c r="D807" i="1"/>
  <c r="R807" i="1" s="1"/>
  <c r="M733" i="1"/>
  <c r="H1809" i="1"/>
  <c r="P1809" i="1" s="1"/>
  <c r="C1809" i="1" s="1"/>
  <c r="H1803" i="1"/>
  <c r="P1803" i="1" s="1"/>
  <c r="C1803" i="1" s="1"/>
  <c r="M76" i="1"/>
  <c r="J822" i="1"/>
  <c r="E174" i="42"/>
  <c r="G174" i="42" s="1"/>
  <c r="I76" i="1"/>
  <c r="I1120" i="1"/>
  <c r="I1339" i="1"/>
  <c r="I1242" i="1"/>
  <c r="R800" i="1"/>
  <c r="Q800" i="1"/>
  <c r="R799" i="1"/>
  <c r="Q799" i="1"/>
  <c r="C18" i="35"/>
  <c r="E70" i="33"/>
  <c r="B70" i="33" s="1"/>
  <c r="J2344" i="1"/>
  <c r="I842" i="1"/>
  <c r="I844" i="1"/>
  <c r="I843" i="1"/>
  <c r="I845" i="1"/>
  <c r="I841" i="1"/>
  <c r="E72" i="42"/>
  <c r="B72" i="42" s="1"/>
  <c r="H1449" i="23"/>
  <c r="H1173" i="23"/>
  <c r="H1107" i="23"/>
  <c r="CK95" i="16"/>
  <c r="H1187" i="23"/>
  <c r="H1190" i="23"/>
  <c r="H1182" i="23"/>
  <c r="H1185" i="23"/>
  <c r="M699" i="1"/>
  <c r="E68" i="42"/>
  <c r="E175" i="42"/>
  <c r="G175" i="42" s="1"/>
  <c r="J2350" i="1"/>
  <c r="J2339" i="1"/>
  <c r="J2325" i="1"/>
  <c r="H1308" i="23"/>
  <c r="H1311" i="23"/>
  <c r="H1170" i="23"/>
  <c r="H1186" i="23"/>
  <c r="H1180" i="23"/>
  <c r="H1171" i="23"/>
  <c r="H1179" i="23"/>
  <c r="H1109" i="23"/>
  <c r="J2338" i="1"/>
  <c r="J2345" i="1"/>
  <c r="J2324" i="1"/>
  <c r="J2354" i="1"/>
  <c r="J2356" i="1"/>
  <c r="J2353" i="1"/>
  <c r="J2322" i="1"/>
  <c r="J2331" i="1"/>
  <c r="J2340" i="1"/>
  <c r="J2347" i="1"/>
  <c r="J2357" i="1"/>
  <c r="J2343" i="1"/>
  <c r="J2323" i="1"/>
  <c r="J2337" i="1"/>
  <c r="J2342" i="1"/>
  <c r="J2336" i="1"/>
  <c r="J2326" i="1"/>
  <c r="J2355" i="1"/>
  <c r="J2352" i="1"/>
  <c r="J2333" i="1"/>
  <c r="J2351" i="1"/>
  <c r="J2329" i="1"/>
  <c r="J2330" i="1"/>
  <c r="J2327" i="1"/>
  <c r="J2341" i="1"/>
  <c r="H1064" i="23"/>
  <c r="H1067" i="23"/>
  <c r="H1114" i="23"/>
  <c r="H1105" i="23"/>
  <c r="H1113" i="23" s="1"/>
  <c r="N1439" i="1"/>
  <c r="E96" i="42"/>
  <c r="B96" i="42" s="1"/>
  <c r="D47" i="34"/>
  <c r="C69" i="31"/>
  <c r="J873" i="1"/>
  <c r="D53" i="33"/>
  <c r="M734" i="1"/>
  <c r="BJ69" i="61"/>
  <c r="D2214" i="1" s="1"/>
  <c r="H2214" i="1" s="1"/>
  <c r="P2214" i="1" s="1"/>
  <c r="C2214" i="1" s="1"/>
  <c r="D863" i="1"/>
  <c r="D862" i="1" s="1"/>
  <c r="G825" i="23"/>
  <c r="G6" i="97" s="1"/>
  <c r="F825" i="23"/>
  <c r="F6" i="97" s="1"/>
  <c r="E825" i="23"/>
  <c r="E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G178" i="97" s="1"/>
  <c r="F829" i="23"/>
  <c r="F178" i="97" s="1"/>
  <c r="E829" i="23"/>
  <c r="E178" i="97" s="1"/>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2" i="1"/>
  <c r="C2282" i="1" s="1"/>
  <c r="I284" i="1"/>
  <c r="I1395" i="1"/>
  <c r="I1214" i="1"/>
  <c r="I1156" i="1"/>
  <c r="I1116" i="1"/>
  <c r="I1105" i="1"/>
  <c r="I1113" i="1"/>
  <c r="I1231" i="1"/>
  <c r="I1281" i="1"/>
  <c r="I1247" i="1"/>
  <c r="I1179" i="1"/>
  <c r="I1149" i="1"/>
  <c r="I1324" i="1"/>
  <c r="I1206" i="1"/>
  <c r="I1190" i="1"/>
  <c r="I1142" i="1"/>
  <c r="I1367" i="1"/>
  <c r="I1354" i="1"/>
  <c r="M542" i="1"/>
  <c r="N587" i="1"/>
  <c r="I47" i="1"/>
  <c r="I68" i="1"/>
  <c r="I78" i="1"/>
  <c r="I110" i="1"/>
  <c r="I135" i="1"/>
  <c r="I144" i="1"/>
  <c r="I157" i="1"/>
  <c r="I158" i="1" s="1"/>
  <c r="I207" i="1"/>
  <c r="I304" i="1"/>
  <c r="I309" i="1"/>
  <c r="I319" i="1"/>
  <c r="I327" i="1"/>
  <c r="I415" i="1"/>
  <c r="I423" i="1"/>
  <c r="I457" i="1"/>
  <c r="I496" i="1"/>
  <c r="I516" i="1"/>
  <c r="I626" i="1"/>
  <c r="I606" i="1"/>
  <c r="I727" i="1"/>
  <c r="I754" i="1"/>
  <c r="I771" i="1"/>
  <c r="I925" i="1"/>
  <c r="I934" i="1"/>
  <c r="I944" i="1"/>
  <c r="I955" i="1"/>
  <c r="I975" i="1"/>
  <c r="I1007" i="1"/>
  <c r="I1054" i="1"/>
  <c r="I1067" i="1"/>
  <c r="I1074" i="1"/>
  <c r="I1259" i="1"/>
  <c r="I1274" i="1"/>
  <c r="I1392" i="1"/>
  <c r="N647" i="1"/>
  <c r="M506" i="1"/>
  <c r="J1384"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56" i="1"/>
  <c r="F2256" i="1"/>
  <c r="E2256" i="1"/>
  <c r="G2255" i="1"/>
  <c r="F2255" i="1"/>
  <c r="E2255" i="1"/>
  <c r="G2254" i="1"/>
  <c r="F2254" i="1"/>
  <c r="E2254" i="1"/>
  <c r="G2245" i="1"/>
  <c r="F2245" i="1"/>
  <c r="E2245" i="1"/>
  <c r="G2244" i="1"/>
  <c r="F2244" i="1"/>
  <c r="E2244" i="1"/>
  <c r="G2243" i="1"/>
  <c r="F2243" i="1"/>
  <c r="E2243" i="1"/>
  <c r="G2273" i="1"/>
  <c r="F2273" i="1"/>
  <c r="E2273" i="1"/>
  <c r="G2270" i="1"/>
  <c r="G4" i="97" s="1"/>
  <c r="F2270" i="1"/>
  <c r="F4" i="97" s="1"/>
  <c r="E2270" i="1"/>
  <c r="E4" i="97" s="1"/>
  <c r="G2269" i="1"/>
  <c r="F2269" i="1"/>
  <c r="E2269" i="1"/>
  <c r="G2267" i="1"/>
  <c r="E2267" i="1"/>
  <c r="G2265" i="1"/>
  <c r="E2265" i="1"/>
  <c r="G1932" i="1"/>
  <c r="E1932" i="1"/>
  <c r="G1931" i="1"/>
  <c r="F1931" i="1"/>
  <c r="E1931" i="1"/>
  <c r="G1930" i="1"/>
  <c r="E1930" i="1"/>
  <c r="G1486" i="1"/>
  <c r="F1486" i="1"/>
  <c r="E1486" i="1"/>
  <c r="G1485" i="1"/>
  <c r="F1485" i="1"/>
  <c r="E1485" i="1"/>
  <c r="G1477" i="1"/>
  <c r="F1477" i="1"/>
  <c r="E1477" i="1"/>
  <c r="G1476" i="1"/>
  <c r="F1476" i="1"/>
  <c r="E1476" i="1"/>
  <c r="G1468" i="1"/>
  <c r="F1468" i="1"/>
  <c r="E1468" i="1"/>
  <c r="G1467" i="1"/>
  <c r="F1467" i="1"/>
  <c r="E1467" i="1"/>
  <c r="G1459" i="1"/>
  <c r="F1459" i="1"/>
  <c r="E1459" i="1"/>
  <c r="G1458" i="1"/>
  <c r="F1458" i="1"/>
  <c r="E1458" i="1"/>
  <c r="G1450" i="1"/>
  <c r="F1450" i="1"/>
  <c r="E1450" i="1"/>
  <c r="G1449" i="1"/>
  <c r="F1449" i="1"/>
  <c r="E1449" i="1"/>
  <c r="G1441" i="1"/>
  <c r="F1441" i="1"/>
  <c r="E1441" i="1"/>
  <c r="G1440" i="1"/>
  <c r="F1440" i="1"/>
  <c r="E1440" i="1"/>
  <c r="G1432" i="1"/>
  <c r="F1432" i="1"/>
  <c r="E1432" i="1"/>
  <c r="G1431" i="1"/>
  <c r="F1431" i="1"/>
  <c r="E1431" i="1"/>
  <c r="G1423" i="1"/>
  <c r="F1423" i="1"/>
  <c r="E1423" i="1"/>
  <c r="G1422" i="1"/>
  <c r="F1422" i="1"/>
  <c r="E1422" i="1"/>
  <c r="G1406" i="1"/>
  <c r="F1406" i="1"/>
  <c r="E1406" i="1"/>
  <c r="G1405" i="1"/>
  <c r="F1405" i="1"/>
  <c r="E1405"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G198" i="97" s="1"/>
  <c r="F365" i="1"/>
  <c r="F198" i="97" s="1"/>
  <c r="E365" i="1"/>
  <c r="E198"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5" i="1"/>
  <c r="E1935" i="1"/>
  <c r="G1242" i="1"/>
  <c r="F1242" i="1"/>
  <c r="G1255" i="1"/>
  <c r="F1255" i="1"/>
  <c r="G1271" i="1"/>
  <c r="F1271" i="1"/>
  <c r="G1284" i="1"/>
  <c r="F1284" i="1"/>
  <c r="G1297" i="1"/>
  <c r="F1297" i="1"/>
  <c r="G1313" i="1"/>
  <c r="F1313" i="1"/>
  <c r="G1326" i="1"/>
  <c r="F1326" i="1"/>
  <c r="G1339" i="1"/>
  <c r="F1339" i="1"/>
  <c r="G1356" i="1"/>
  <c r="F1356" i="1"/>
  <c r="G1382" i="1"/>
  <c r="F1382" i="1"/>
  <c r="G1394" i="1"/>
  <c r="F1394" i="1"/>
  <c r="FA95" i="16"/>
  <c r="J1165" i="1"/>
  <c r="I91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7" i="1"/>
  <c r="I1121" i="1"/>
  <c r="M754" i="1"/>
  <c r="E82" i="42"/>
  <c r="G82" i="42" s="1"/>
  <c r="M486" i="1"/>
  <c r="I1336" i="1"/>
  <c r="I1338" i="1"/>
  <c r="N78" i="1"/>
  <c r="N80" i="1"/>
  <c r="M517" i="1"/>
  <c r="M268" i="1"/>
  <c r="M39" i="1"/>
  <c r="I1244" i="1"/>
  <c r="I1215" i="1"/>
  <c r="I1208" i="1"/>
  <c r="I1217" i="1"/>
  <c r="N753" i="1"/>
  <c r="N486" i="1"/>
  <c r="N96" i="1"/>
  <c r="N450" i="1"/>
  <c r="M110" i="1"/>
  <c r="M190" i="1"/>
  <c r="J831" i="1"/>
  <c r="J841" i="1"/>
  <c r="N1150" i="1"/>
  <c r="N1147" i="1"/>
  <c r="M1151" i="1"/>
  <c r="M1149" i="1"/>
  <c r="M293" i="1"/>
  <c r="M292" i="1"/>
  <c r="I1218" i="1"/>
  <c r="I1219" i="1"/>
  <c r="I1171" i="1"/>
  <c r="I1170" i="1"/>
  <c r="I1132" i="1"/>
  <c r="I1127" i="1"/>
  <c r="I1112" i="1"/>
  <c r="I1114" i="1"/>
  <c r="I1235" i="1"/>
  <c r="I1234" i="1"/>
  <c r="I1232" i="1"/>
  <c r="I1345" i="1"/>
  <c r="I1344" i="1"/>
  <c r="I1343" i="1"/>
  <c r="I1340" i="1"/>
  <c r="I1342" i="1"/>
  <c r="I1246" i="1"/>
  <c r="I1239" i="1"/>
  <c r="I1241" i="1"/>
  <c r="I1152" i="1"/>
  <c r="I1147" i="1"/>
  <c r="I1150" i="1"/>
  <c r="I1207" i="1"/>
  <c r="I1209" i="1"/>
  <c r="I1204" i="1"/>
  <c r="I1187" i="1"/>
  <c r="I1188" i="1"/>
  <c r="I1186" i="1"/>
  <c r="I1185" i="1"/>
  <c r="I1310" i="1"/>
  <c r="I1358" i="1"/>
  <c r="I1357" i="1"/>
  <c r="I1359" i="1"/>
  <c r="I1353" i="1"/>
  <c r="I1352" i="1"/>
  <c r="M569" i="1"/>
  <c r="M567" i="1"/>
  <c r="N660" i="1"/>
  <c r="N648" i="1"/>
  <c r="N659" i="1"/>
  <c r="N650" i="1"/>
  <c r="E28" i="33"/>
  <c r="B28" i="33" s="1"/>
  <c r="E51" i="33"/>
  <c r="G51" i="33" s="1"/>
  <c r="I1047" i="1"/>
  <c r="I1420" i="1"/>
  <c r="I1419" i="1"/>
  <c r="I1437" i="1"/>
  <c r="I1439" i="1"/>
  <c r="I1245" i="1"/>
  <c r="I1341" i="1"/>
  <c r="I1130" i="1"/>
  <c r="N607" i="1"/>
  <c r="N606" i="1"/>
  <c r="I1205" i="1"/>
  <c r="I1243" i="1"/>
  <c r="E69" i="33"/>
  <c r="G69" i="33" s="1"/>
  <c r="M488" i="1"/>
  <c r="M294" i="1"/>
  <c r="I1337" i="1"/>
  <c r="I1131" i="1"/>
  <c r="M411" i="1"/>
  <c r="I1240" i="1"/>
  <c r="I1346" i="1"/>
  <c r="I1233" i="1"/>
  <c r="I1189" i="1"/>
  <c r="I1203" i="1"/>
  <c r="J1302" i="1"/>
  <c r="J1170" i="1"/>
  <c r="I414" i="1"/>
  <c r="M568" i="1"/>
  <c r="N119" i="1"/>
  <c r="N118" i="1"/>
  <c r="N496" i="1"/>
  <c r="N497" i="1"/>
  <c r="N318" i="1"/>
  <c r="N319" i="1"/>
  <c r="M467" i="1"/>
  <c r="M466" i="1"/>
  <c r="M457" i="1"/>
  <c r="M459" i="1"/>
  <c r="M514" i="1"/>
  <c r="M515" i="1"/>
  <c r="N94" i="1"/>
  <c r="N76" i="1"/>
  <c r="N79" i="1"/>
  <c r="N77" i="1"/>
  <c r="N93" i="1"/>
  <c r="N237" i="1"/>
  <c r="N1215" i="1"/>
  <c r="N1217" i="1"/>
  <c r="M329" i="1"/>
  <c r="M328" i="1"/>
  <c r="I1398" i="1"/>
  <c r="I1397" i="1"/>
  <c r="I154" i="1"/>
  <c r="I227" i="1"/>
  <c r="I605" i="1"/>
  <c r="I607" i="1"/>
  <c r="I614" i="1"/>
  <c r="I714" i="1"/>
  <c r="I713" i="1"/>
  <c r="N734" i="1"/>
  <c r="N733" i="1"/>
  <c r="I747" i="1"/>
  <c r="I753" i="1"/>
  <c r="I765" i="1"/>
  <c r="I764" i="1"/>
  <c r="I850" i="1"/>
  <c r="I927" i="1"/>
  <c r="I926" i="1"/>
  <c r="I966" i="1"/>
  <c r="I965" i="1"/>
  <c r="J975" i="1"/>
  <c r="I1026" i="1"/>
  <c r="I1036" i="1"/>
  <c r="I1034" i="1"/>
  <c r="I1044" i="1"/>
  <c r="I1100" i="1"/>
  <c r="J1112" i="1"/>
  <c r="J1114" i="1"/>
  <c r="I1160" i="1"/>
  <c r="I1165" i="1"/>
  <c r="J1297" i="1"/>
  <c r="J1298" i="1"/>
  <c r="J1296" i="1"/>
  <c r="J1313" i="1"/>
  <c r="J1315" i="1"/>
  <c r="J1312" i="1"/>
  <c r="J1318" i="1"/>
  <c r="J1327" i="1"/>
  <c r="J1329" i="1"/>
  <c r="J1325" i="1"/>
  <c r="J1323" i="1"/>
  <c r="I1180" i="1"/>
  <c r="I1118" i="1"/>
  <c r="N764" i="1"/>
  <c r="M1170" i="1"/>
  <c r="I1394" i="1"/>
  <c r="J1299" i="1"/>
  <c r="I967" i="1"/>
  <c r="I1163" i="1"/>
  <c r="J1331" i="1"/>
  <c r="J1316" i="1"/>
  <c r="J1301" i="1"/>
  <c r="I1164" i="1"/>
  <c r="I1099" i="1"/>
  <c r="I1027" i="1"/>
  <c r="I968" i="1"/>
  <c r="I761" i="1"/>
  <c r="N738" i="1"/>
  <c r="I721" i="1"/>
  <c r="I515" i="1"/>
  <c r="I143" i="1"/>
  <c r="I46" i="1"/>
  <c r="M649" i="1"/>
  <c r="J1287" i="1"/>
  <c r="J1346" i="1"/>
  <c r="J1267" i="1"/>
  <c r="M1122" i="1"/>
  <c r="M1219" i="1"/>
  <c r="N488" i="1"/>
  <c r="M410" i="1"/>
  <c r="M1419" i="1"/>
  <c r="E73" i="42"/>
  <c r="I1151" i="1"/>
  <c r="I1148" i="1"/>
  <c r="I1326" i="1"/>
  <c r="I1331" i="1"/>
  <c r="N747" i="1"/>
  <c r="N761" i="1"/>
  <c r="I1361" i="1"/>
  <c r="I1356" i="1"/>
  <c r="I1268" i="1"/>
  <c r="I1360" i="1"/>
  <c r="I1355" i="1"/>
  <c r="M603" i="1"/>
  <c r="M605" i="1"/>
  <c r="N1194" i="1"/>
  <c r="N1197" i="1"/>
  <c r="N1198" i="1"/>
  <c r="N1199" i="1"/>
  <c r="M1112" i="1"/>
  <c r="M1113" i="1"/>
  <c r="M1106" i="1"/>
  <c r="M1105" i="1"/>
  <c r="M1108" i="1"/>
  <c r="M1103" i="1"/>
  <c r="M1107" i="1"/>
  <c r="N1171" i="1"/>
  <c r="N1169" i="1"/>
  <c r="M1194" i="1"/>
  <c r="M1195" i="1"/>
  <c r="M1199" i="1"/>
  <c r="M1198" i="1"/>
  <c r="M1196" i="1"/>
  <c r="M1232" i="1"/>
  <c r="M1231" i="1"/>
  <c r="M1233" i="1"/>
  <c r="M1235" i="1"/>
  <c r="E52" i="34"/>
  <c r="B52" i="34" s="1"/>
  <c r="N605" i="1"/>
  <c r="N604" i="1"/>
  <c r="M225" i="1"/>
  <c r="M226" i="1"/>
  <c r="M318" i="1"/>
  <c r="M320" i="1"/>
  <c r="E39" i="34"/>
  <c r="B39" i="34" s="1"/>
  <c r="E36" i="34"/>
  <c r="B36" i="34" s="1"/>
  <c r="I1396" i="1"/>
  <c r="I1393" i="1"/>
  <c r="I1391" i="1"/>
  <c r="J1174" i="1"/>
  <c r="J1175" i="1"/>
  <c r="J1180" i="1"/>
  <c r="J1173" i="1"/>
  <c r="J1178" i="1"/>
  <c r="I1122" i="1"/>
  <c r="I1117" i="1"/>
  <c r="I1119" i="1"/>
  <c r="M747" i="1"/>
  <c r="M760" i="1"/>
  <c r="M761" i="1"/>
  <c r="I1224" i="1"/>
  <c r="I1226" i="1"/>
  <c r="I1300" i="1"/>
  <c r="I1303" i="1"/>
  <c r="N1216" i="1"/>
  <c r="N1214" i="1"/>
  <c r="N1219" i="1"/>
  <c r="N1114" i="1"/>
  <c r="N1113" i="1"/>
  <c r="N1112" i="1"/>
  <c r="M1130" i="1"/>
  <c r="M1129" i="1"/>
  <c r="M1132" i="1"/>
  <c r="M1131" i="1"/>
  <c r="M1128" i="1"/>
  <c r="N1190" i="1"/>
  <c r="N1187" i="1"/>
  <c r="N1185" i="1"/>
  <c r="N1189" i="1"/>
  <c r="N1188" i="1"/>
  <c r="M1179" i="1"/>
  <c r="M1174" i="1"/>
  <c r="M1178" i="1"/>
  <c r="M1180" i="1"/>
  <c r="M1177" i="1"/>
  <c r="M1173" i="1"/>
  <c r="E51" i="34"/>
  <c r="G51" i="34" s="1"/>
  <c r="M1438" i="1"/>
  <c r="M1439" i="1"/>
  <c r="N466" i="1"/>
  <c r="N467" i="1"/>
  <c r="N166" i="1"/>
  <c r="M1234" i="1"/>
  <c r="M28" i="1"/>
  <c r="M1437" i="1"/>
  <c r="M327" i="1"/>
  <c r="N55" i="1"/>
  <c r="N1170" i="1"/>
  <c r="M1197" i="1"/>
  <c r="J1232" i="1"/>
  <c r="M1169" i="1"/>
  <c r="N1218" i="1"/>
  <c r="N1195" i="1"/>
  <c r="N1186" i="1"/>
  <c r="N1196" i="1"/>
  <c r="O605" i="1"/>
  <c r="O603" i="1"/>
  <c r="I28" i="1"/>
  <c r="I29" i="1"/>
  <c r="I257" i="1"/>
  <c r="I258" i="1"/>
  <c r="I459" i="1"/>
  <c r="I458" i="1"/>
  <c r="I486" i="1"/>
  <c r="I487" i="1"/>
  <c r="I488" i="1"/>
  <c r="I237" i="1"/>
  <c r="I647" i="1"/>
  <c r="I666" i="1"/>
  <c r="I667" i="1"/>
  <c r="I685" i="1"/>
  <c r="J791" i="1"/>
  <c r="J793" i="1"/>
  <c r="J792" i="1"/>
  <c r="I812" i="1"/>
  <c r="I821" i="1"/>
  <c r="J824" i="1"/>
  <c r="J823" i="1"/>
  <c r="I834" i="1"/>
  <c r="I855" i="1"/>
  <c r="I799" i="1"/>
  <c r="I803" i="1"/>
  <c r="J893" i="1"/>
  <c r="J892" i="1"/>
  <c r="I917" i="1"/>
  <c r="J1252" i="1"/>
  <c r="J1261" i="1"/>
  <c r="J1395" i="1"/>
  <c r="J1393" i="1"/>
  <c r="J1392" i="1"/>
  <c r="I1412" i="1"/>
  <c r="I1411" i="1"/>
  <c r="I1448" i="1"/>
  <c r="I1446" i="1"/>
  <c r="I1447" i="1"/>
  <c r="E66" i="42"/>
  <c r="G66" i="42" s="1"/>
  <c r="I1371" i="1"/>
  <c r="I1370" i="1"/>
  <c r="I1421" i="1"/>
  <c r="I604" i="1"/>
  <c r="I649" i="1"/>
  <c r="J1317" i="1"/>
  <c r="I1045" i="1"/>
  <c r="I760" i="1"/>
  <c r="I517" i="1"/>
  <c r="I1438" i="1"/>
  <c r="I111" i="1"/>
  <c r="J1328" i="1"/>
  <c r="J1330" i="1"/>
  <c r="J1324" i="1"/>
  <c r="J1314" i="1"/>
  <c r="J1309" i="1"/>
  <c r="J1311" i="1"/>
  <c r="J1303" i="1"/>
  <c r="J1300" i="1"/>
  <c r="J1294" i="1"/>
  <c r="J1171" i="1"/>
  <c r="I1161" i="1"/>
  <c r="I1159" i="1"/>
  <c r="I1096" i="1"/>
  <c r="I1097" i="1"/>
  <c r="I1046" i="1"/>
  <c r="I1037" i="1"/>
  <c r="I1028" i="1"/>
  <c r="I963" i="1"/>
  <c r="N731" i="1"/>
  <c r="I720" i="1"/>
  <c r="I650" i="1"/>
  <c r="I589" i="1"/>
  <c r="I588" i="1"/>
  <c r="I648" i="1"/>
  <c r="I659" i="1"/>
  <c r="I514" i="1"/>
  <c r="I497" i="1"/>
  <c r="I422" i="1"/>
  <c r="I206" i="1"/>
  <c r="I660" i="1"/>
  <c r="I668" i="1"/>
  <c r="N327" i="1"/>
  <c r="N328" i="1"/>
  <c r="N475" i="1"/>
  <c r="N474" i="1"/>
  <c r="N69" i="1"/>
  <c r="N20" i="1"/>
  <c r="N128" i="1"/>
  <c r="M1403" i="1"/>
  <c r="N424" i="1"/>
  <c r="N246" i="1"/>
  <c r="N1448" i="1"/>
  <c r="M285" i="1"/>
  <c r="N38" i="1"/>
  <c r="N1466" i="1"/>
  <c r="J623" i="1"/>
  <c r="J625" i="1"/>
  <c r="M126" i="1"/>
  <c r="M127" i="1"/>
  <c r="N410" i="1"/>
  <c r="N250" i="1"/>
  <c r="E37" i="35"/>
  <c r="E107" i="42"/>
  <c r="G107" i="42" s="1"/>
  <c r="I225" i="1"/>
  <c r="I226" i="1"/>
  <c r="I189" i="1"/>
  <c r="I190" i="1"/>
  <c r="I165" i="1"/>
  <c r="I166" i="1"/>
  <c r="N1205" i="1"/>
  <c r="N1206" i="1"/>
  <c r="M1447" i="1"/>
  <c r="M1448" i="1"/>
  <c r="E14" i="33"/>
  <c r="G14" i="33" s="1"/>
  <c r="I1298" i="1"/>
  <c r="I1299" i="1"/>
  <c r="I1297" i="1"/>
  <c r="I1286" i="1"/>
  <c r="I1283" i="1"/>
  <c r="J604" i="1"/>
  <c r="J605" i="1"/>
  <c r="I119" i="1"/>
  <c r="I118" i="1"/>
  <c r="I823" i="1"/>
  <c r="I1255" i="1"/>
  <c r="I1261" i="1"/>
  <c r="J1352" i="1"/>
  <c r="J1360" i="1"/>
  <c r="I1384" i="1"/>
  <c r="M706" i="1"/>
  <c r="N1437" i="1"/>
  <c r="M167" i="1"/>
  <c r="M498" i="1"/>
  <c r="M543" i="1"/>
  <c r="I1128" i="1"/>
  <c r="E19" i="35"/>
  <c r="B19" i="35" s="1"/>
  <c r="M496" i="1"/>
  <c r="I1368" i="1"/>
  <c r="I1169" i="1"/>
  <c r="M246" i="1"/>
  <c r="M1118" i="1"/>
  <c r="M1214" i="1"/>
  <c r="M1116" i="1"/>
  <c r="I1129" i="1"/>
  <c r="M1140" i="1"/>
  <c r="I1216" i="1"/>
  <c r="M1215" i="1"/>
  <c r="M700" i="1"/>
  <c r="I1008" i="1"/>
  <c r="I1107" i="1"/>
  <c r="I1106" i="1"/>
  <c r="I1385" i="1"/>
  <c r="J1366" i="1"/>
  <c r="I1267" i="1"/>
  <c r="J1244" i="1"/>
  <c r="I793" i="1"/>
  <c r="I69" i="1"/>
  <c r="I1173" i="1"/>
  <c r="I1289" i="1"/>
  <c r="I1227" i="1"/>
  <c r="I1104" i="1"/>
  <c r="N1455" i="1"/>
  <c r="N1457" i="1"/>
  <c r="E62" i="33"/>
  <c r="B62" i="33" s="1"/>
  <c r="I1138" i="1"/>
  <c r="I1139" i="1"/>
  <c r="I1140" i="1"/>
  <c r="I1141" i="1"/>
  <c r="I1137" i="1"/>
  <c r="N657" i="1"/>
  <c r="N658" i="1"/>
  <c r="I1366" i="1"/>
  <c r="I1369" i="1"/>
  <c r="I1373" i="1"/>
  <c r="I1374" i="1"/>
  <c r="M657" i="1"/>
  <c r="M658" i="1"/>
  <c r="N597" i="1"/>
  <c r="N596" i="1"/>
  <c r="N595" i="1"/>
  <c r="N576" i="1"/>
  <c r="M625" i="1"/>
  <c r="M626" i="1"/>
  <c r="N625" i="1"/>
  <c r="N626" i="1"/>
  <c r="N628" i="1"/>
  <c r="M650" i="1"/>
  <c r="M659" i="1"/>
  <c r="M660" i="1"/>
  <c r="M607" i="1"/>
  <c r="M606" i="1"/>
  <c r="M588" i="1"/>
  <c r="M647" i="1"/>
  <c r="E75" i="33"/>
  <c r="E53" i="33"/>
  <c r="G53" i="33" s="1"/>
  <c r="E43" i="34"/>
  <c r="G43" i="34" s="1"/>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5" i="1"/>
  <c r="I624" i="1"/>
  <c r="I623" i="1"/>
  <c r="J660" i="1"/>
  <c r="J607" i="1"/>
  <c r="J650" i="1"/>
  <c r="J648" i="1"/>
  <c r="J588" i="1"/>
  <c r="J606" i="1"/>
  <c r="J647" i="1"/>
  <c r="J659" i="1"/>
  <c r="J589" i="1"/>
  <c r="J614" i="1"/>
  <c r="N699" i="1"/>
  <c r="N707" i="1"/>
  <c r="N700" i="1"/>
  <c r="I707" i="1"/>
  <c r="I699" i="1"/>
  <c r="I700" i="1"/>
  <c r="I731" i="1"/>
  <c r="I733" i="1"/>
  <c r="I734" i="1"/>
  <c r="I732" i="1"/>
  <c r="M737" i="1"/>
  <c r="M738" i="1"/>
  <c r="I738" i="1"/>
  <c r="I737" i="1"/>
  <c r="M765" i="1"/>
  <c r="M764" i="1"/>
  <c r="I792" i="1"/>
  <c r="I791" i="1"/>
  <c r="J821" i="1"/>
  <c r="J812" i="1"/>
  <c r="I893" i="1"/>
  <c r="I902" i="1"/>
  <c r="I903" i="1"/>
  <c r="I948" i="1"/>
  <c r="I947" i="1"/>
  <c r="I946" i="1"/>
  <c r="I945" i="1"/>
  <c r="I976" i="1"/>
  <c r="I974" i="1"/>
  <c r="I984" i="1"/>
  <c r="I983" i="1"/>
  <c r="I982" i="1"/>
  <c r="I1006" i="1"/>
  <c r="J1016" i="1"/>
  <c r="J1018" i="1"/>
  <c r="I1056" i="1"/>
  <c r="I1055" i="1"/>
  <c r="I1065" i="1"/>
  <c r="I1066" i="1"/>
  <c r="I1064" i="1"/>
  <c r="J1074" i="1"/>
  <c r="I1082" i="1"/>
  <c r="I1081" i="1"/>
  <c r="J1156" i="1"/>
  <c r="J1157" i="1"/>
  <c r="I1196" i="1"/>
  <c r="I1199" i="1"/>
  <c r="I1198" i="1"/>
  <c r="I1197" i="1"/>
  <c r="I1195" i="1"/>
  <c r="J1247" i="1"/>
  <c r="J1246" i="1"/>
  <c r="J1243" i="1"/>
  <c r="J1240" i="1"/>
  <c r="J1241" i="1"/>
  <c r="J1245" i="1"/>
  <c r="I1258" i="1"/>
  <c r="I1252" i="1"/>
  <c r="I1256" i="1"/>
  <c r="I1254" i="1"/>
  <c r="I1271" i="1"/>
  <c r="I1269" i="1"/>
  <c r="I1275" i="1"/>
  <c r="I1276" i="1"/>
  <c r="I1273" i="1"/>
  <c r="I1314" i="1"/>
  <c r="I1311" i="1"/>
  <c r="I1315" i="1"/>
  <c r="I1309" i="1"/>
  <c r="I1317" i="1"/>
  <c r="I1313" i="1"/>
  <c r="I1312" i="1"/>
  <c r="I1318" i="1"/>
  <c r="I1316" i="1"/>
  <c r="J1356" i="1"/>
  <c r="J1353" i="1"/>
  <c r="J1268" i="1"/>
  <c r="J1354" i="1"/>
  <c r="J1361" i="1"/>
  <c r="J1357" i="1"/>
  <c r="J1370" i="1"/>
  <c r="J1369" i="1"/>
  <c r="J1374" i="1"/>
  <c r="J1367" i="1"/>
  <c r="J1381" i="1"/>
  <c r="J1380" i="1"/>
  <c r="J1379" i="1"/>
  <c r="J1385" i="1"/>
  <c r="I1383" i="1"/>
  <c r="I1379" i="1"/>
  <c r="I1381" i="1"/>
  <c r="I1386" i="1"/>
  <c r="I1403" i="1"/>
  <c r="I1404" i="1"/>
  <c r="I1457" i="1"/>
  <c r="I1455" i="1"/>
  <c r="I1465" i="1"/>
  <c r="I1464" i="1"/>
  <c r="I1484" i="1"/>
  <c r="I1482" i="1"/>
  <c r="E114" i="42"/>
  <c r="B114" i="42" s="1"/>
  <c r="E88" i="42"/>
  <c r="E36" i="42"/>
  <c r="E18" i="42"/>
  <c r="M623" i="1"/>
  <c r="M628" i="1"/>
  <c r="I1372" i="1"/>
  <c r="N577" i="1"/>
  <c r="N586" i="1"/>
  <c r="M414" i="1"/>
  <c r="M1474" i="1"/>
  <c r="O604" i="1"/>
  <c r="J1358" i="1"/>
  <c r="I1257" i="1"/>
  <c r="M589" i="1"/>
  <c r="I308" i="1"/>
  <c r="J1373" i="1"/>
  <c r="I1466" i="1"/>
  <c r="I1382" i="1"/>
  <c r="I1380" i="1"/>
  <c r="J1383" i="1"/>
  <c r="J1386" i="1"/>
  <c r="J1368" i="1"/>
  <c r="J1310" i="1"/>
  <c r="J1359" i="1"/>
  <c r="I1270" i="1"/>
  <c r="I1272" i="1"/>
  <c r="I1253" i="1"/>
  <c r="I1260" i="1"/>
  <c r="J1239" i="1"/>
  <c r="I1063" i="1"/>
  <c r="I1053" i="1"/>
  <c r="I1057" i="1"/>
  <c r="J1014" i="1"/>
  <c r="J1017" i="1"/>
  <c r="I892" i="1"/>
  <c r="J850" i="1"/>
  <c r="I824" i="1"/>
  <c r="J813" i="1"/>
  <c r="J810" i="1"/>
  <c r="I303" i="1"/>
  <c r="I97" i="1"/>
  <c r="I79" i="1"/>
  <c r="I94" i="1"/>
  <c r="E54" i="33"/>
  <c r="M614" i="1"/>
  <c r="N623" i="1"/>
  <c r="I1136" i="1"/>
  <c r="E112" i="42"/>
  <c r="B112" i="42" s="1"/>
  <c r="M423" i="1"/>
  <c r="M422" i="1"/>
  <c r="N507" i="1"/>
  <c r="N506" i="1"/>
  <c r="I901" i="1"/>
  <c r="I1194" i="1"/>
  <c r="J649" i="1"/>
  <c r="J1372" i="1"/>
  <c r="I628" i="1"/>
  <c r="I706" i="1"/>
  <c r="M276" i="1"/>
  <c r="E62" i="35"/>
  <c r="G62" i="35" s="1"/>
  <c r="N143" i="1"/>
  <c r="N144" i="1"/>
  <c r="M165" i="1"/>
  <c r="M166" i="1"/>
  <c r="N459" i="1"/>
  <c r="N457" i="1"/>
  <c r="N249" i="1"/>
  <c r="N245" i="1"/>
  <c r="M528" i="1"/>
  <c r="M527" i="1"/>
  <c r="M449" i="1"/>
  <c r="M450" i="1"/>
  <c r="M475" i="1"/>
  <c r="M474" i="1"/>
  <c r="M477" i="1"/>
  <c r="E21" i="34"/>
  <c r="E75" i="42"/>
  <c r="E14" i="42"/>
  <c r="G14" i="42" s="1"/>
  <c r="E33" i="42"/>
  <c r="G33" i="42" s="1"/>
  <c r="J835" i="1"/>
  <c r="J830" i="1"/>
  <c r="J834" i="1"/>
  <c r="M1163" i="1"/>
  <c r="M1165" i="1"/>
  <c r="M1161" i="1"/>
  <c r="M1159" i="1"/>
  <c r="M1157" i="1"/>
  <c r="M1156" i="1"/>
  <c r="M1121" i="1"/>
  <c r="M1120" i="1"/>
  <c r="N1207" i="1"/>
  <c r="N1203" i="1"/>
  <c r="N1209" i="1"/>
  <c r="N1208" i="1"/>
  <c r="M1204" i="1"/>
  <c r="M1208" i="1"/>
  <c r="M1205" i="1"/>
  <c r="M1206" i="1"/>
  <c r="M1203" i="1"/>
  <c r="M30" i="1"/>
  <c r="M19" i="1"/>
  <c r="I1103" i="1"/>
  <c r="I1108" i="1"/>
  <c r="I1225" i="1"/>
  <c r="I1223" i="1"/>
  <c r="I1295" i="1"/>
  <c r="I1301" i="1"/>
  <c r="I1296" i="1"/>
  <c r="I1294" i="1"/>
  <c r="I1302" i="1"/>
  <c r="I1285" i="1"/>
  <c r="I1282" i="1"/>
  <c r="I1288" i="1"/>
  <c r="I1284" i="1"/>
  <c r="I1287" i="1"/>
  <c r="I1177" i="1"/>
  <c r="I1175" i="1"/>
  <c r="I1178" i="1"/>
  <c r="I1174" i="1"/>
  <c r="I1329" i="1"/>
  <c r="I1325" i="1"/>
  <c r="I1330" i="1"/>
  <c r="I1327" i="1"/>
  <c r="I1328" i="1"/>
  <c r="I1323" i="1"/>
  <c r="E14" i="35"/>
  <c r="B14" i="35" s="1"/>
  <c r="N1428" i="1"/>
  <c r="N1430" i="1"/>
  <c r="M304" i="1"/>
  <c r="M308" i="1"/>
  <c r="N516" i="1"/>
  <c r="N514" i="1"/>
  <c r="M216" i="1"/>
  <c r="M214" i="1"/>
  <c r="M198" i="1"/>
  <c r="M197" i="1"/>
  <c r="E33" i="34"/>
  <c r="B33" i="34" s="1"/>
  <c r="N29" i="1"/>
  <c r="N28" i="1"/>
  <c r="N1483" i="1"/>
  <c r="N1484" i="1"/>
  <c r="I214" i="1"/>
  <c r="I216" i="1"/>
  <c r="M1227" i="1"/>
  <c r="M1223" i="1"/>
  <c r="M1225" i="1"/>
  <c r="N1149" i="1"/>
  <c r="N1152" i="1"/>
  <c r="M1148" i="1"/>
  <c r="M1152" i="1"/>
  <c r="M1141" i="1"/>
  <c r="M1136" i="1"/>
  <c r="M1138" i="1"/>
  <c r="M1139" i="1"/>
  <c r="M1186" i="1"/>
  <c r="M1189" i="1"/>
  <c r="M1185" i="1"/>
  <c r="M1190" i="1"/>
  <c r="M1188" i="1"/>
  <c r="N1157" i="1"/>
  <c r="N1156" i="1"/>
  <c r="N569" i="1"/>
  <c r="N567" i="1"/>
  <c r="N135" i="1"/>
  <c r="M56" i="1"/>
  <c r="M310" i="1"/>
  <c r="M1218" i="1"/>
  <c r="N110" i="1"/>
  <c r="N414" i="1"/>
  <c r="N47" i="1"/>
  <c r="M259" i="1"/>
  <c r="J843" i="1"/>
  <c r="M154" i="1"/>
  <c r="M145" i="1"/>
  <c r="M1411" i="1"/>
  <c r="N1148" i="1"/>
  <c r="N527" i="1"/>
  <c r="J842" i="1"/>
  <c r="M20" i="1"/>
  <c r="M227" i="1"/>
  <c r="M135" i="1"/>
  <c r="M1150" i="1"/>
  <c r="J844" i="1"/>
  <c r="M277" i="1"/>
  <c r="M1475" i="1"/>
  <c r="M1457" i="1"/>
  <c r="M1446" i="1"/>
  <c r="M1209" i="1"/>
  <c r="M1142" i="1"/>
  <c r="M1466" i="1"/>
  <c r="N1429" i="1"/>
  <c r="N517" i="1"/>
  <c r="N153" i="1"/>
  <c r="N458" i="1"/>
  <c r="M128" i="1"/>
  <c r="N515" i="1"/>
  <c r="M309" i="1"/>
  <c r="M1117" i="1"/>
  <c r="N1151" i="1"/>
  <c r="M1226" i="1"/>
  <c r="I215" i="1"/>
  <c r="I285" i="1"/>
  <c r="M1160" i="1"/>
  <c r="M1207" i="1"/>
  <c r="N1204" i="1"/>
  <c r="M476" i="1"/>
  <c r="M207" i="1"/>
  <c r="N614" i="1"/>
  <c r="N589" i="1"/>
  <c r="N615" i="1"/>
  <c r="N754" i="1"/>
  <c r="N760" i="1"/>
  <c r="N649" i="1"/>
  <c r="I424" i="1"/>
  <c r="I167" i="1"/>
  <c r="I498" i="1"/>
  <c r="I259" i="1"/>
  <c r="I411" i="1"/>
  <c r="I20" i="1"/>
  <c r="I310" i="1"/>
  <c r="I687" i="1"/>
  <c r="I684" i="1"/>
  <c r="I686" i="1"/>
  <c r="I678" i="1"/>
  <c r="I679" i="1"/>
  <c r="I688" i="1"/>
  <c r="I822" i="1"/>
  <c r="I810" i="1"/>
  <c r="I835" i="1"/>
  <c r="I831" i="1"/>
  <c r="I871" i="1"/>
  <c r="I802" i="1"/>
  <c r="I859" i="1"/>
  <c r="I800" i="1"/>
  <c r="I858" i="1"/>
  <c r="I873" i="1"/>
  <c r="I935" i="1"/>
  <c r="I937" i="1"/>
  <c r="I957" i="1"/>
  <c r="I956" i="1"/>
  <c r="I1014" i="1"/>
  <c r="I1016" i="1"/>
  <c r="I1017" i="1"/>
  <c r="I1075" i="1"/>
  <c r="J1255" i="1"/>
  <c r="J1260" i="1"/>
  <c r="J1258" i="1"/>
  <c r="J1256" i="1"/>
  <c r="J1269" i="1"/>
  <c r="J1274" i="1"/>
  <c r="J1271" i="1"/>
  <c r="J1276" i="1"/>
  <c r="J1275" i="1"/>
  <c r="J1284" i="1"/>
  <c r="J1285" i="1"/>
  <c r="J1282" i="1"/>
  <c r="J1283" i="1"/>
  <c r="J1286" i="1"/>
  <c r="J1343" i="1"/>
  <c r="J1344" i="1"/>
  <c r="J1337" i="1"/>
  <c r="J1345" i="1"/>
  <c r="J1396" i="1"/>
  <c r="J1397" i="1"/>
  <c r="J1391" i="1"/>
  <c r="I1429" i="1"/>
  <c r="I1430" i="1"/>
  <c r="I1474" i="1"/>
  <c r="I1475" i="1"/>
  <c r="I1473" i="1"/>
  <c r="E76" i="42"/>
  <c r="J1340" i="1"/>
  <c r="J1342" i="1"/>
  <c r="I916" i="1"/>
  <c r="J789" i="1"/>
  <c r="I690" i="1"/>
  <c r="I954" i="1"/>
  <c r="I136" i="1"/>
  <c r="J1394" i="1"/>
  <c r="J1398" i="1"/>
  <c r="I145" i="1"/>
  <c r="I246" i="1"/>
  <c r="I19" i="1"/>
  <c r="I860" i="1"/>
  <c r="I856" i="1"/>
  <c r="I801" i="1"/>
  <c r="I870" i="1"/>
  <c r="I830" i="1"/>
  <c r="I819" i="1"/>
  <c r="J1259" i="1"/>
  <c r="J1336" i="1"/>
  <c r="J1253" i="1"/>
  <c r="I1456" i="1"/>
  <c r="I1428" i="1"/>
  <c r="J1281" i="1"/>
  <c r="J1288" i="1"/>
  <c r="I936" i="1"/>
  <c r="J1254" i="1"/>
  <c r="I1018" i="1"/>
  <c r="J1270" i="1"/>
  <c r="J1272" i="1"/>
  <c r="J1257" i="1"/>
  <c r="I677" i="1"/>
  <c r="I56" i="1"/>
  <c r="I30" i="1"/>
  <c r="I813" i="1"/>
  <c r="I658" i="1"/>
  <c r="I689" i="1"/>
  <c r="J1338" i="1"/>
  <c r="I872" i="1"/>
  <c r="I857" i="1"/>
  <c r="I772" i="1"/>
  <c r="J1339" i="1"/>
  <c r="I804" i="1"/>
  <c r="I657" i="1"/>
  <c r="N303" i="1"/>
  <c r="N308" i="1"/>
  <c r="N498" i="1"/>
  <c r="N30" i="1"/>
  <c r="N127" i="1"/>
  <c r="N1446" i="1"/>
  <c r="M1420" i="1"/>
  <c r="N310" i="1"/>
  <c r="N154" i="1"/>
  <c r="N304" i="1"/>
  <c r="N309" i="1"/>
  <c r="N1465" i="1"/>
  <c r="M1430" i="1"/>
  <c r="M1428" i="1"/>
  <c r="M250" i="1"/>
  <c r="M249" i="1"/>
  <c r="M245" i="1"/>
  <c r="N227" i="1"/>
  <c r="N411" i="1"/>
  <c r="N145" i="1"/>
  <c r="N19" i="1"/>
  <c r="N167" i="1"/>
  <c r="N56" i="1"/>
  <c r="M1482" i="1"/>
  <c r="M1483" i="1"/>
  <c r="N477" i="1"/>
  <c r="N329" i="1"/>
  <c r="N423" i="1"/>
  <c r="N422" i="1"/>
  <c r="E15" i="33"/>
  <c r="G15" i="33" s="1"/>
  <c r="M1216" i="1"/>
  <c r="M424" i="1"/>
  <c r="M1456" i="1"/>
  <c r="M1464" i="1"/>
  <c r="M258" i="1"/>
  <c r="E24" i="35"/>
  <c r="J624" i="1"/>
  <c r="E103" i="42"/>
  <c r="G103" i="42" s="1"/>
  <c r="E46" i="42"/>
  <c r="G46" i="42" s="1"/>
  <c r="N713" i="1"/>
  <c r="E106" i="42"/>
  <c r="N1474" i="1"/>
  <c r="N1473" i="1"/>
  <c r="N1475" i="1"/>
  <c r="N1456" i="1"/>
  <c r="B55" i="34"/>
  <c r="N714" i="1"/>
  <c r="J628" i="1"/>
  <c r="J626" i="1"/>
  <c r="N721" i="1"/>
  <c r="N2082" i="1"/>
  <c r="H2082" i="1"/>
  <c r="P2082" i="1" s="1"/>
  <c r="C2082" i="1" s="1"/>
  <c r="D1745" i="1"/>
  <c r="J1179" i="1"/>
  <c r="J1233" i="1"/>
  <c r="J1067" i="1"/>
  <c r="J1065" i="1"/>
  <c r="J1064" i="1"/>
  <c r="J1234" i="1"/>
  <c r="J1235" i="1"/>
  <c r="O157" i="1"/>
  <c r="O158" i="1" s="1"/>
  <c r="O727" i="1"/>
  <c r="H1542" i="23"/>
  <c r="I275" i="1"/>
  <c r="I292" i="1"/>
  <c r="I236" i="1"/>
  <c r="E177" i="42"/>
  <c r="G177" i="42" s="1"/>
  <c r="E178" i="42"/>
  <c r="G178" i="42" s="1"/>
  <c r="J617" i="1"/>
  <c r="N617" i="1"/>
  <c r="M617" i="1"/>
  <c r="I617" i="1"/>
  <c r="E67" i="42"/>
  <c r="H1184" i="23"/>
  <c r="H1183" i="23"/>
  <c r="H1175" i="23"/>
  <c r="H1188" i="23"/>
  <c r="H1172" i="23"/>
  <c r="H1178" i="23"/>
  <c r="H1177" i="23"/>
  <c r="H1176" i="23"/>
  <c r="H1189" i="23"/>
  <c r="H1174" i="23"/>
  <c r="H1181" i="23"/>
  <c r="H1200" i="23"/>
  <c r="I277" i="1"/>
  <c r="J859" i="1"/>
  <c r="I293" i="1"/>
  <c r="J858" i="1"/>
  <c r="J803" i="1"/>
  <c r="J856" i="1"/>
  <c r="J802" i="1"/>
  <c r="J870" i="1"/>
  <c r="J799" i="1"/>
  <c r="J801" i="1"/>
  <c r="J804" i="1"/>
  <c r="J872" i="1"/>
  <c r="J860" i="1"/>
  <c r="E43" i="42"/>
  <c r="I276" i="1"/>
  <c r="E28" i="42"/>
  <c r="J871" i="1"/>
  <c r="J855" i="1"/>
  <c r="I235" i="1"/>
  <c r="I294" i="1"/>
  <c r="J857" i="1"/>
  <c r="J800" i="1"/>
  <c r="E247" i="42"/>
  <c r="G247" i="42" s="1"/>
  <c r="E20" i="42"/>
  <c r="G20" i="42" s="1"/>
  <c r="J1163" i="1"/>
  <c r="H170" i="23"/>
  <c r="H171" i="23" s="1"/>
  <c r="J1161" i="1"/>
  <c r="J1164" i="1"/>
  <c r="J1159" i="1"/>
  <c r="J1160" i="1"/>
  <c r="G33" i="31"/>
  <c r="N2077" i="1"/>
  <c r="M713" i="1"/>
  <c r="M714" i="1"/>
  <c r="M720" i="1"/>
  <c r="M721" i="1"/>
  <c r="J1128" i="1"/>
  <c r="J1132" i="1"/>
  <c r="J1127" i="1"/>
  <c r="J1131" i="1"/>
  <c r="J1130" i="1"/>
  <c r="J1129" i="1"/>
  <c r="J1054" i="1"/>
  <c r="J1057" i="1"/>
  <c r="J1055" i="1"/>
  <c r="J1056" i="1"/>
  <c r="J1008" i="1"/>
  <c r="J1007" i="1"/>
  <c r="J955" i="1"/>
  <c r="J954" i="1"/>
  <c r="J956" i="1"/>
  <c r="J957" i="1"/>
  <c r="E46" i="31"/>
  <c r="G46" i="31" s="1"/>
  <c r="J935" i="1"/>
  <c r="J937" i="1"/>
  <c r="J936" i="1"/>
  <c r="J934" i="1"/>
  <c r="J925" i="1"/>
  <c r="J924" i="1"/>
  <c r="J927" i="1"/>
  <c r="J926" i="1"/>
  <c r="J916" i="1"/>
  <c r="J917" i="1"/>
  <c r="E53" i="31"/>
  <c r="G53" i="31" s="1"/>
  <c r="J903" i="1"/>
  <c r="J902" i="1"/>
  <c r="J901" i="1"/>
  <c r="M69" i="1"/>
  <c r="M68" i="1"/>
  <c r="H2104" i="1"/>
  <c r="P2104" i="1" s="1"/>
  <c r="C2104" i="1" s="1"/>
  <c r="N2104" i="1"/>
  <c r="N1118" i="1"/>
  <c r="N1122" i="1"/>
  <c r="N1120" i="1"/>
  <c r="N1116" i="1"/>
  <c r="N1117" i="1"/>
  <c r="N1121" i="1"/>
  <c r="O707" i="1"/>
  <c r="O706" i="1"/>
  <c r="O721" i="1"/>
  <c r="O713" i="1"/>
  <c r="O720" i="1"/>
  <c r="O714" i="1"/>
  <c r="O111" i="1"/>
  <c r="O110" i="1"/>
  <c r="O29" i="1"/>
  <c r="O28" i="1"/>
  <c r="O576" i="1"/>
  <c r="O587" i="1"/>
  <c r="O596" i="1"/>
  <c r="O597" i="1"/>
  <c r="O577" i="1"/>
  <c r="O586" i="1"/>
  <c r="O569" i="1"/>
  <c r="O567" i="1"/>
  <c r="O568" i="1"/>
  <c r="O737" i="1"/>
  <c r="O738" i="1"/>
  <c r="O760" i="1"/>
  <c r="O761" i="1"/>
  <c r="O747" i="1"/>
  <c r="O754" i="1"/>
  <c r="O753" i="1"/>
  <c r="O731" i="1"/>
  <c r="O733" i="1"/>
  <c r="O734" i="1"/>
  <c r="O73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8" i="1"/>
  <c r="J967" i="1"/>
  <c r="J965" i="1"/>
  <c r="J966" i="1"/>
  <c r="J294" i="1"/>
  <c r="J292" i="1"/>
  <c r="J293" i="1"/>
  <c r="J517" i="1"/>
  <c r="J514" i="1"/>
  <c r="J515" i="1"/>
  <c r="J516" i="1"/>
  <c r="J110" i="1"/>
  <c r="J111" i="1"/>
  <c r="J207" i="1"/>
  <c r="J206" i="1"/>
  <c r="J257" i="1"/>
  <c r="J258" i="1"/>
  <c r="J54" i="1"/>
  <c r="J55" i="1"/>
  <c r="J467" i="1"/>
  <c r="J466" i="1"/>
  <c r="J144" i="1"/>
  <c r="J143" i="1"/>
  <c r="J450" i="1"/>
  <c r="J449" i="1"/>
  <c r="E26" i="31"/>
  <c r="G26" i="31" s="1"/>
  <c r="J165" i="1"/>
  <c r="J166" i="1"/>
  <c r="J226" i="1"/>
  <c r="J225" i="1"/>
  <c r="J267" i="1"/>
  <c r="J268" i="1"/>
  <c r="J487" i="1"/>
  <c r="J486" i="1"/>
  <c r="J127" i="1"/>
  <c r="J126" i="1"/>
  <c r="J128" i="1"/>
  <c r="J527" i="1"/>
  <c r="J528" i="1"/>
  <c r="J189" i="1"/>
  <c r="J190" i="1"/>
  <c r="J28" i="1"/>
  <c r="J29" i="1"/>
  <c r="E32" i="31"/>
  <c r="G32" i="31" s="1"/>
  <c r="J496" i="1"/>
  <c r="J497" i="1"/>
  <c r="J68" i="1"/>
  <c r="J69" i="1"/>
  <c r="J214" i="1"/>
  <c r="J216" i="1"/>
  <c r="J215" i="1"/>
  <c r="J329" i="1"/>
  <c r="J327" i="1"/>
  <c r="J328" i="1"/>
  <c r="E25" i="31"/>
  <c r="E18" i="31"/>
  <c r="G18" i="31" s="1"/>
  <c r="J167" i="1"/>
  <c r="J310" i="1"/>
  <c r="J20" i="1"/>
  <c r="J424" i="1"/>
  <c r="J19" i="1"/>
  <c r="J154" i="1"/>
  <c r="J498" i="1"/>
  <c r="J411" i="1"/>
  <c r="J30" i="1"/>
  <c r="J56" i="1"/>
  <c r="J259" i="1"/>
  <c r="J145" i="1"/>
  <c r="J227" i="1"/>
  <c r="J488" i="1"/>
  <c r="J237" i="1"/>
  <c r="J246" i="1"/>
  <c r="E9" i="31"/>
  <c r="J507" i="1"/>
  <c r="J506" i="1"/>
  <c r="E10" i="31"/>
  <c r="J118" i="1"/>
  <c r="J119" i="1"/>
  <c r="J303" i="1"/>
  <c r="J308" i="1"/>
  <c r="J304" i="1"/>
  <c r="J309" i="1"/>
  <c r="J47" i="1"/>
  <c r="J46" i="1"/>
  <c r="J422" i="1"/>
  <c r="J423" i="1"/>
  <c r="J135" i="1"/>
  <c r="J136" i="1"/>
  <c r="E7" i="31"/>
  <c r="B7" i="31" s="1"/>
  <c r="J459" i="1"/>
  <c r="J457" i="1"/>
  <c r="J458" i="1"/>
  <c r="J277" i="1"/>
  <c r="J276" i="1"/>
  <c r="J275" i="1"/>
  <c r="J39" i="1"/>
  <c r="J38" i="1"/>
  <c r="J153" i="1"/>
  <c r="J245" i="1"/>
  <c r="J410" i="1"/>
  <c r="J250" i="1"/>
  <c r="J249" i="1"/>
  <c r="J197" i="1"/>
  <c r="J199" i="1"/>
  <c r="J198" i="1"/>
  <c r="J157" i="1"/>
  <c r="J158" i="1" s="1"/>
  <c r="J284" i="1"/>
  <c r="J285" i="1"/>
  <c r="J318" i="1"/>
  <c r="J320" i="1"/>
  <c r="J319" i="1"/>
  <c r="E24" i="31"/>
  <c r="J475" i="1"/>
  <c r="J474" i="1"/>
  <c r="J476" i="1"/>
  <c r="J477" i="1"/>
  <c r="J1198" i="1"/>
  <c r="J1194" i="1"/>
  <c r="J1196" i="1"/>
  <c r="J1195" i="1"/>
  <c r="J1197" i="1"/>
  <c r="J1199"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58" i="1"/>
  <c r="J657" i="1"/>
  <c r="E37" i="31"/>
  <c r="G37" i="31" s="1"/>
  <c r="J687" i="1"/>
  <c r="J688" i="1"/>
  <c r="J666" i="1"/>
  <c r="J668" i="1"/>
  <c r="J667" i="1"/>
  <c r="J686" i="1"/>
  <c r="J677" i="1"/>
  <c r="J678" i="1"/>
  <c r="J689" i="1"/>
  <c r="J685" i="1"/>
  <c r="J684" i="1"/>
  <c r="J679" i="1"/>
  <c r="J690" i="1"/>
  <c r="J754" i="1"/>
  <c r="J753" i="1"/>
  <c r="J760" i="1"/>
  <c r="J747" i="1"/>
  <c r="J761" i="1"/>
  <c r="J738" i="1"/>
  <c r="J737" i="1"/>
  <c r="J771" i="1"/>
  <c r="J772" i="1"/>
  <c r="J721" i="1"/>
  <c r="J713" i="1"/>
  <c r="J714" i="1"/>
  <c r="J720" i="1"/>
  <c r="J733" i="1"/>
  <c r="J732" i="1"/>
  <c r="J731" i="1"/>
  <c r="J734" i="1"/>
  <c r="J765" i="1"/>
  <c r="J764" i="1"/>
  <c r="J727" i="1"/>
  <c r="J699" i="1"/>
  <c r="J700" i="1"/>
  <c r="J707" i="1"/>
  <c r="J706" i="1"/>
  <c r="E47" i="31"/>
  <c r="G47" i="31" s="1"/>
  <c r="J945" i="1"/>
  <c r="J948" i="1"/>
  <c r="J944" i="1"/>
  <c r="J946" i="1"/>
  <c r="J947" i="1"/>
  <c r="E60" i="31"/>
  <c r="B60" i="31" s="1"/>
  <c r="J1028" i="1"/>
  <c r="J1025" i="1"/>
  <c r="J1027" i="1"/>
  <c r="J1036" i="1"/>
  <c r="J1037" i="1"/>
  <c r="J1096" i="1"/>
  <c r="J1045" i="1"/>
  <c r="J1100" i="1"/>
  <c r="J1047" i="1"/>
  <c r="J1097" i="1"/>
  <c r="J1046" i="1"/>
  <c r="J1099" i="1"/>
  <c r="E64" i="31"/>
  <c r="G64" i="31" s="1"/>
  <c r="E68" i="31"/>
  <c r="J1082" i="1"/>
  <c r="J1081" i="1"/>
  <c r="J1106" i="1"/>
  <c r="J1107" i="1"/>
  <c r="J1105" i="1"/>
  <c r="J1108" i="1"/>
  <c r="J1103" i="1"/>
  <c r="J1104" i="1"/>
  <c r="J1116" i="1"/>
  <c r="J1118" i="1"/>
  <c r="J1120" i="1"/>
  <c r="J1122" i="1"/>
  <c r="J1121" i="1"/>
  <c r="J1117" i="1"/>
  <c r="E70" i="31"/>
  <c r="B70" i="31" s="1"/>
  <c r="J1138" i="1"/>
  <c r="J1137" i="1"/>
  <c r="J1141" i="1"/>
  <c r="J1136" i="1"/>
  <c r="J1140" i="1"/>
  <c r="J1142" i="1"/>
  <c r="J1139" i="1"/>
  <c r="J1152" i="1"/>
  <c r="J1148" i="1"/>
  <c r="J1149" i="1"/>
  <c r="J1150" i="1"/>
  <c r="J1151" i="1"/>
  <c r="J1147" i="1"/>
  <c r="E74" i="31"/>
  <c r="B74" i="31" s="1"/>
  <c r="J1188" i="1"/>
  <c r="J1186" i="1"/>
  <c r="J1187" i="1"/>
  <c r="J1189" i="1"/>
  <c r="J1190" i="1"/>
  <c r="J1185" i="1"/>
  <c r="J1203" i="1"/>
  <c r="J1204" i="1"/>
  <c r="J1206" i="1"/>
  <c r="J1207" i="1"/>
  <c r="J1205" i="1"/>
  <c r="J1208" i="1"/>
  <c r="J1209" i="1"/>
  <c r="E77" i="31"/>
  <c r="G77" i="31" s="1"/>
  <c r="J1217" i="1"/>
  <c r="J1216" i="1"/>
  <c r="J1218" i="1"/>
  <c r="J1219" i="1"/>
  <c r="J1214" i="1"/>
  <c r="J1215" i="1"/>
  <c r="J1227" i="1"/>
  <c r="J1226" i="1"/>
  <c r="J1223" i="1"/>
  <c r="J1225" i="1"/>
  <c r="J1224" i="1"/>
  <c r="J1430" i="1"/>
  <c r="J1428" i="1"/>
  <c r="J1429" i="1"/>
  <c r="J1484" i="1"/>
  <c r="J1482" i="1"/>
  <c r="J1483" i="1"/>
  <c r="E84" i="31"/>
  <c r="B84" i="31" s="1"/>
  <c r="E87" i="31"/>
  <c r="B87" i="31" s="1"/>
  <c r="E83" i="31"/>
  <c r="J1448" i="1"/>
  <c r="J1447" i="1"/>
  <c r="J1446" i="1"/>
  <c r="J1465" i="1"/>
  <c r="J1464" i="1"/>
  <c r="J1466" i="1"/>
  <c r="J1456" i="1"/>
  <c r="J1457" i="1"/>
  <c r="J1455" i="1"/>
  <c r="J1421" i="1"/>
  <c r="J1420" i="1"/>
  <c r="J1419" i="1"/>
  <c r="J1474" i="1"/>
  <c r="J1473" i="1"/>
  <c r="J1475" i="1"/>
  <c r="J1411" i="1"/>
  <c r="J1412" i="1"/>
  <c r="J1404" i="1"/>
  <c r="J1403" i="1"/>
  <c r="J1439" i="1"/>
  <c r="J1438" i="1"/>
  <c r="J1437" i="1"/>
  <c r="E59" i="35"/>
  <c r="G59" i="35" s="1"/>
  <c r="N1419" i="1"/>
  <c r="N1421" i="1"/>
  <c r="N1420" i="1"/>
  <c r="N1411" i="1"/>
  <c r="N1412" i="1"/>
  <c r="E58" i="35"/>
  <c r="G58" i="35" s="1"/>
  <c r="E57" i="35"/>
  <c r="B57" i="35" s="1"/>
  <c r="N1403" i="1"/>
  <c r="N1404" i="1"/>
  <c r="E56" i="35"/>
  <c r="B56" i="35" s="1"/>
  <c r="N1231" i="1"/>
  <c r="N1232" i="1"/>
  <c r="N1235" i="1"/>
  <c r="N1233" i="1"/>
  <c r="N1234" i="1"/>
  <c r="N1223" i="1"/>
  <c r="N1225" i="1"/>
  <c r="N1227" i="1"/>
  <c r="N1226" i="1"/>
  <c r="N1224" i="1"/>
  <c r="E54" i="35"/>
  <c r="B54" i="35" s="1"/>
  <c r="N1178" i="1"/>
  <c r="N1175" i="1"/>
  <c r="N1174" i="1"/>
  <c r="N1173" i="1"/>
  <c r="N1179" i="1"/>
  <c r="N1180" i="1"/>
  <c r="N1177" i="1"/>
  <c r="N1164" i="1"/>
  <c r="N1160" i="1"/>
  <c r="N1163" i="1"/>
  <c r="N1161" i="1"/>
  <c r="N1165" i="1"/>
  <c r="N1159" i="1"/>
  <c r="N1137" i="1"/>
  <c r="N1136" i="1"/>
  <c r="N1142" i="1"/>
  <c r="N1139" i="1"/>
  <c r="N1141" i="1"/>
  <c r="N1138" i="1"/>
  <c r="N1140" i="1"/>
  <c r="N1131" i="1"/>
  <c r="N1128" i="1"/>
  <c r="N1130" i="1"/>
  <c r="N1127" i="1"/>
  <c r="N1129" i="1"/>
  <c r="N1132" i="1"/>
  <c r="E49" i="35"/>
  <c r="N1107" i="1"/>
  <c r="N1108" i="1"/>
  <c r="N1104" i="1"/>
  <c r="N1103" i="1"/>
  <c r="N1106" i="1"/>
  <c r="N1105"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79" i="1"/>
  <c r="H2170" i="1"/>
  <c r="C1096"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47" i="1"/>
  <c r="J983" i="1"/>
  <c r="J984" i="1"/>
  <c r="J982" i="1"/>
  <c r="C1167" i="1"/>
  <c r="C1182" i="1"/>
  <c r="D66" i="117"/>
  <c r="G66" i="117" s="1"/>
  <c r="C2284" i="1"/>
  <c r="D2297" i="1"/>
  <c r="H2297" i="1" s="1"/>
  <c r="P2297" i="1" s="1"/>
  <c r="C2297" i="1" s="1"/>
  <c r="D2289" i="1"/>
  <c r="D2275" i="1"/>
  <c r="D2295" i="1"/>
  <c r="E286" i="42" s="1"/>
  <c r="D2296" i="1"/>
  <c r="H2296" i="1" s="1"/>
  <c r="P2296" i="1" s="1"/>
  <c r="C2296" i="1" s="1"/>
  <c r="D2299" i="1"/>
  <c r="H2299" i="1" s="1"/>
  <c r="P2299" i="1" s="1"/>
  <c r="C2299" i="1" s="1"/>
  <c r="D2307" i="1"/>
  <c r="D2287" i="1"/>
  <c r="E278" i="42" s="1"/>
  <c r="D2288" i="1"/>
  <c r="D2298" i="1"/>
  <c r="H2298" i="1" s="1"/>
  <c r="P2298" i="1" s="1"/>
  <c r="C2298" i="1" s="1"/>
  <c r="D2301" i="1"/>
  <c r="D2286" i="1"/>
  <c r="E277" i="42" s="1"/>
  <c r="G277" i="42" s="1"/>
  <c r="D2304" i="1"/>
  <c r="E295" i="42" s="1"/>
  <c r="D2294" i="1"/>
  <c r="H2294" i="1" s="1"/>
  <c r="P2294" i="1" s="1"/>
  <c r="C2294" i="1" s="1"/>
  <c r="D2273" i="1"/>
  <c r="H2273" i="1" s="1"/>
  <c r="P2273" i="1" s="1"/>
  <c r="C2273" i="1" s="1"/>
  <c r="D2302" i="1"/>
  <c r="E293" i="42" s="1"/>
  <c r="D2308" i="1"/>
  <c r="D2305" i="1"/>
  <c r="D2292" i="1"/>
  <c r="H2292" i="1" s="1"/>
  <c r="P2292" i="1" s="1"/>
  <c r="C2292" i="1" s="1"/>
  <c r="D2293" i="1"/>
  <c r="H2293" i="1" s="1"/>
  <c r="P2293" i="1" s="1"/>
  <c r="C2293" i="1" s="1"/>
  <c r="D2285" i="1"/>
  <c r="E276" i="42" s="1"/>
  <c r="G276" i="42" s="1"/>
  <c r="D2290" i="1"/>
  <c r="E228" i="42"/>
  <c r="G228" i="42" s="1"/>
  <c r="P2042" i="1"/>
  <c r="C2042" i="1" s="1"/>
  <c r="C2002" i="1"/>
  <c r="E67" i="109"/>
  <c r="D67" i="109"/>
  <c r="E70" i="109"/>
  <c r="D70" i="109"/>
  <c r="D69" i="109"/>
  <c r="E69" i="109"/>
  <c r="E68" i="109"/>
  <c r="D68" i="109"/>
  <c r="F19" i="97" l="1"/>
  <c r="H19" i="113"/>
  <c r="F93" i="97"/>
  <c r="H21" i="113"/>
  <c r="F112" i="97"/>
  <c r="H22" i="113"/>
  <c r="G19" i="97"/>
  <c r="I19" i="113"/>
  <c r="G93" i="97"/>
  <c r="I21" i="113"/>
  <c r="G112" i="97"/>
  <c r="I22" i="113"/>
  <c r="F80" i="97"/>
  <c r="H20" i="113"/>
  <c r="G80" i="97"/>
  <c r="I20" i="113"/>
  <c r="H1490" i="23"/>
  <c r="H1456" i="23"/>
  <c r="H1464" i="23" s="1"/>
  <c r="H1467" i="23" s="1"/>
  <c r="D197" i="23"/>
  <c r="I683" i="1"/>
  <c r="N891" i="1"/>
  <c r="M595" i="1"/>
  <c r="D1021" i="1"/>
  <c r="D1020" i="1" s="1"/>
  <c r="J790" i="1"/>
  <c r="M646" i="1"/>
  <c r="I790" i="1"/>
  <c r="M683" i="1"/>
  <c r="J1024" i="1"/>
  <c r="J1053" i="1"/>
  <c r="J1035" i="1"/>
  <c r="M900" i="1"/>
  <c r="D1622" i="1"/>
  <c r="I1703" i="1"/>
  <c r="G1710" i="23"/>
  <c r="F153" i="23"/>
  <c r="D1955" i="1"/>
  <c r="F1225" i="23"/>
  <c r="F476" i="23"/>
  <c r="C47" i="42"/>
  <c r="D82" i="42"/>
  <c r="CP134" i="70"/>
  <c r="EY95" i="16"/>
  <c r="BQ182" i="16"/>
  <c r="D76" i="33"/>
  <c r="D25" i="31"/>
  <c r="CW95" i="16"/>
  <c r="T878" i="1"/>
  <c r="L878" i="1"/>
  <c r="L634" i="1"/>
  <c r="D2103" i="1"/>
  <c r="C104" i="42"/>
  <c r="D65" i="34"/>
  <c r="D43" i="42"/>
  <c r="D78" i="42"/>
  <c r="C45" i="34"/>
  <c r="D87" i="42"/>
  <c r="AC69" i="61"/>
  <c r="FM95" i="16"/>
  <c r="C28" i="42"/>
  <c r="ED95" i="16"/>
  <c r="E36" i="31"/>
  <c r="B36" i="31" s="1"/>
  <c r="J900" i="1"/>
  <c r="D906" i="1"/>
  <c r="D905" i="1" s="1"/>
  <c r="D90" i="31"/>
  <c r="D10" i="31"/>
  <c r="DT95" i="16"/>
  <c r="BC95" i="16"/>
  <c r="E13" i="35"/>
  <c r="B13" i="35" s="1"/>
  <c r="I900" i="1"/>
  <c r="G28" i="33"/>
  <c r="D95" i="42"/>
  <c r="C15" i="33"/>
  <c r="C38" i="33"/>
  <c r="I989" i="1"/>
  <c r="AH229" i="70"/>
  <c r="K1878" i="1"/>
  <c r="K878" i="1"/>
  <c r="K1879" i="1"/>
  <c r="K1818" i="1"/>
  <c r="E86" i="31"/>
  <c r="B86" i="31" s="1"/>
  <c r="D10" i="42"/>
  <c r="D13" i="35"/>
  <c r="C14" i="33"/>
  <c r="AJ69" i="61"/>
  <c r="BR134" i="70"/>
  <c r="F182" i="16"/>
  <c r="FH182" i="16"/>
  <c r="AR95" i="16"/>
  <c r="D2105" i="1"/>
  <c r="H2105" i="1" s="1"/>
  <c r="P2105" i="1" s="1"/>
  <c r="C2105" i="1" s="1"/>
  <c r="D2090" i="1"/>
  <c r="N2090" i="1" s="1"/>
  <c r="D2075" i="1"/>
  <c r="N2075" i="1" s="1"/>
  <c r="D2085" i="1"/>
  <c r="N2085" i="1" s="1"/>
  <c r="H2096" i="1"/>
  <c r="P2096" i="1" s="1"/>
  <c r="C2096" i="1" s="1"/>
  <c r="T634" i="1"/>
  <c r="K634"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142" i="97" s="1"/>
  <c r="E647" i="23"/>
  <c r="G308" i="23"/>
  <c r="E1472" i="23"/>
  <c r="E2576" i="23"/>
  <c r="G875" i="23"/>
  <c r="G142" i="97" s="1"/>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690" i="1"/>
  <c r="P1690" i="1" s="1"/>
  <c r="C1690" i="1" s="1"/>
  <c r="D2141" i="1"/>
  <c r="F78" i="33"/>
  <c r="H2075" i="1"/>
  <c r="P2075" i="1" s="1"/>
  <c r="C2075" i="1" s="1"/>
  <c r="D1656" i="1"/>
  <c r="H1656" i="1" s="1"/>
  <c r="P1656" i="1" s="1"/>
  <c r="C1656" i="1" s="1"/>
  <c r="H2123" i="1"/>
  <c r="P2123" i="1" s="1"/>
  <c r="C2123" i="1" s="1"/>
  <c r="I1701" i="1"/>
  <c r="H2090" i="1"/>
  <c r="P2090" i="1" s="1"/>
  <c r="C2090" i="1" s="1"/>
  <c r="I1675" i="1"/>
  <c r="D41" i="33"/>
  <c r="E41" i="33"/>
  <c r="G177" i="23"/>
  <c r="G945" i="23"/>
  <c r="E945" i="23"/>
  <c r="D2092" i="1"/>
  <c r="N2092" i="1" s="1"/>
  <c r="DH341" i="20"/>
  <c r="M615" i="1"/>
  <c r="I615" i="1"/>
  <c r="G671" i="23"/>
  <c r="F671" i="23"/>
  <c r="F1777" i="23"/>
  <c r="G1777" i="23"/>
  <c r="F965" i="23"/>
  <c r="E965" i="23"/>
  <c r="G2388" i="23"/>
  <c r="E2388" i="23"/>
  <c r="H2042" i="23"/>
  <c r="H2055" i="23" s="1"/>
  <c r="H2056" i="23"/>
  <c r="H2066" i="23" s="1"/>
  <c r="H2069" i="23" s="1"/>
  <c r="K1776" i="1"/>
  <c r="H1776" i="1"/>
  <c r="P1776" i="1" s="1"/>
  <c r="C1776" i="1" s="1"/>
  <c r="C42" i="42"/>
  <c r="E42" i="42"/>
  <c r="CS307" i="70"/>
  <c r="H459" i="23"/>
  <c r="H477" i="23"/>
  <c r="H482" i="23" s="1"/>
  <c r="F874" i="23"/>
  <c r="F149" i="97" s="1"/>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986" i="1"/>
  <c r="D985" i="1" s="1"/>
  <c r="I985" i="1" s="1"/>
  <c r="I981" i="1"/>
  <c r="J981" i="1"/>
  <c r="G75" i="42"/>
  <c r="B75" i="42"/>
  <c r="F1468" i="23"/>
  <c r="E2575" i="23"/>
  <c r="G1928" i="23"/>
  <c r="G965" i="23"/>
  <c r="G874" i="23"/>
  <c r="G149" i="97" s="1"/>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891" i="1"/>
  <c r="E15" i="31"/>
  <c r="G15" i="31" s="1"/>
  <c r="B46" i="42"/>
  <c r="B43" i="34"/>
  <c r="E56" i="34"/>
  <c r="G56" i="34" s="1"/>
  <c r="E65" i="33"/>
  <c r="B62" i="35"/>
  <c r="J615" i="1"/>
  <c r="G52" i="34"/>
  <c r="E40" i="33"/>
  <c r="B40" i="33" s="1"/>
  <c r="G1468" i="23"/>
  <c r="F2575" i="23"/>
  <c r="E2000" i="23"/>
  <c r="F1927" i="23"/>
  <c r="E1777" i="23"/>
  <c r="F945" i="23"/>
  <c r="E646" i="23"/>
  <c r="D50" i="35"/>
  <c r="D34" i="35"/>
  <c r="C34" i="35"/>
  <c r="E34" i="35"/>
  <c r="D28" i="31"/>
  <c r="C28" i="31"/>
  <c r="DD341" i="20"/>
  <c r="E35" i="34"/>
  <c r="D35" i="34"/>
  <c r="C19" i="42"/>
  <c r="D19" i="42"/>
  <c r="C34" i="42"/>
  <c r="D34" i="42"/>
  <c r="AB134" i="70"/>
  <c r="E60" i="42"/>
  <c r="G60" i="42" s="1"/>
  <c r="C56" i="34"/>
  <c r="C33" i="35"/>
  <c r="E33" i="35"/>
  <c r="B33" i="35" s="1"/>
  <c r="C23" i="33"/>
  <c r="D23" i="33"/>
  <c r="D72" i="42"/>
  <c r="N1119" i="1"/>
  <c r="E63" i="42"/>
  <c r="D2073" i="1"/>
  <c r="N2073" i="1" s="1"/>
  <c r="I1073" i="1"/>
  <c r="H1760" i="23"/>
  <c r="H1770" i="23" s="1"/>
  <c r="H1771" i="23" s="1"/>
  <c r="H1772" i="23" s="1"/>
  <c r="GN95" i="16"/>
  <c r="C66" i="35"/>
  <c r="E66" i="35"/>
  <c r="G66" i="35" s="1"/>
  <c r="B68" i="31"/>
  <c r="G68" i="31"/>
  <c r="B21" i="42"/>
  <c r="H2103" i="1"/>
  <c r="P2103" i="1" s="1"/>
  <c r="C2103" i="1" s="1"/>
  <c r="N2103"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52" i="1"/>
  <c r="C2252" i="1" s="1"/>
  <c r="J819" i="1"/>
  <c r="M819" i="1"/>
  <c r="GN182" i="16"/>
  <c r="C13" i="42"/>
  <c r="E13" i="42"/>
  <c r="G13" i="42" s="1"/>
  <c r="G13" i="35"/>
  <c r="J1043" i="1"/>
  <c r="I1043" i="1"/>
  <c r="I1004" i="1"/>
  <c r="J1004"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43" i="1"/>
  <c r="H2043" i="1" s="1"/>
  <c r="P2043" i="1" s="1"/>
  <c r="C2043" i="1" s="1"/>
  <c r="EG95" i="16"/>
  <c r="I811" i="1"/>
  <c r="J811" i="1"/>
  <c r="D676" i="1"/>
  <c r="N676" i="1" s="1"/>
  <c r="J675" i="1"/>
  <c r="D651" i="1"/>
  <c r="I646" i="1"/>
  <c r="N646" i="1"/>
  <c r="ES95" i="16"/>
  <c r="CP307" i="70"/>
  <c r="C134" i="70"/>
  <c r="FK95" i="16"/>
  <c r="CG182" i="16"/>
  <c r="DH95" i="16"/>
  <c r="AI69" i="61"/>
  <c r="FQ182" i="16"/>
  <c r="FC95" i="16"/>
  <c r="FK182" i="16"/>
  <c r="GA182" i="16"/>
  <c r="BL182" i="16"/>
  <c r="DO95" i="16"/>
  <c r="D1518" i="1" s="1"/>
  <c r="D1521" i="1" s="1"/>
  <c r="AP69" i="61"/>
  <c r="D2216" i="1" s="1"/>
  <c r="H2216" i="1" s="1"/>
  <c r="P2216" i="1" s="1"/>
  <c r="C2216" i="1" s="1"/>
  <c r="E55" i="35"/>
  <c r="B55" i="35" s="1"/>
  <c r="J674" i="1"/>
  <c r="E17" i="31"/>
  <c r="E69" i="31"/>
  <c r="G69" i="31" s="1"/>
  <c r="E81" i="42"/>
  <c r="E25" i="42"/>
  <c r="E45" i="33"/>
  <c r="B45" i="33" s="1"/>
  <c r="I603" i="1"/>
  <c r="C13" i="33"/>
  <c r="D66" i="34"/>
  <c r="D46" i="31"/>
  <c r="N603" i="1"/>
  <c r="J603"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0" i="1"/>
  <c r="N2120" i="1" s="1"/>
  <c r="CD341" i="20"/>
  <c r="G70" i="33"/>
  <c r="E109" i="42"/>
  <c r="E19" i="42"/>
  <c r="G19" i="42" s="1"/>
  <c r="E16" i="34"/>
  <c r="I656" i="1"/>
  <c r="D86" i="42"/>
  <c r="C55" i="42"/>
  <c r="D72" i="33"/>
  <c r="C72" i="33"/>
  <c r="Q69" i="61"/>
  <c r="T829" i="1"/>
  <c r="T622" i="1"/>
  <c r="T1454" i="1"/>
  <c r="T1230" i="1"/>
  <c r="T1158" i="1"/>
  <c r="T495" i="1"/>
  <c r="T409" i="1"/>
  <c r="T307" i="1"/>
  <c r="T67" i="1"/>
  <c r="K1808" i="1"/>
  <c r="H1808" i="1"/>
  <c r="P1808" i="1" s="1"/>
  <c r="C1808" i="1" s="1"/>
  <c r="E61" i="35"/>
  <c r="G61" i="35" s="1"/>
  <c r="B71" i="31"/>
  <c r="E29" i="35"/>
  <c r="G29" i="35" s="1"/>
  <c r="B56" i="34"/>
  <c r="C90" i="31"/>
  <c r="GF95" i="16"/>
  <c r="D57" i="33"/>
  <c r="C57" i="33"/>
  <c r="AF69" i="61"/>
  <c r="E88" i="31"/>
  <c r="G88" i="31" s="1"/>
  <c r="E40" i="31"/>
  <c r="E27" i="31"/>
  <c r="B27" i="31" s="1"/>
  <c r="E104" i="42"/>
  <c r="B104" i="42" s="1"/>
  <c r="E12" i="34"/>
  <c r="B12" i="34" s="1"/>
  <c r="I1005" i="1"/>
  <c r="I890" i="1"/>
  <c r="J616" i="1"/>
  <c r="E45" i="31"/>
  <c r="G45" i="31" s="1"/>
  <c r="M616" i="1"/>
  <c r="E48" i="35"/>
  <c r="I923"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683" i="1"/>
  <c r="E16" i="31"/>
  <c r="E30" i="31"/>
  <c r="G30" i="31" s="1"/>
  <c r="B107" i="42"/>
  <c r="J915" i="1"/>
  <c r="B15" i="33"/>
  <c r="B33" i="42"/>
  <c r="E95" i="42"/>
  <c r="D2124" i="1"/>
  <c r="H2124" i="1" s="1"/>
  <c r="P2124" i="1" s="1"/>
  <c r="C2124" i="1" s="1"/>
  <c r="E37" i="33"/>
  <c r="B37" i="33" s="1"/>
  <c r="G34" i="33"/>
  <c r="E102" i="42"/>
  <c r="E50" i="33"/>
  <c r="E89" i="42"/>
  <c r="G89" i="42" s="1"/>
  <c r="E34" i="31"/>
  <c r="B34" i="31" s="1"/>
  <c r="B66" i="42"/>
  <c r="I869"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989" i="1"/>
  <c r="K989" i="1"/>
  <c r="E56" i="31"/>
  <c r="C82" i="31"/>
  <c r="C12" i="31"/>
  <c r="D12" i="31"/>
  <c r="CM95" i="16"/>
  <c r="G62" i="33"/>
  <c r="E110" i="42"/>
  <c r="B110" i="42" s="1"/>
  <c r="I616" i="1"/>
  <c r="N923" i="1"/>
  <c r="C34" i="31"/>
  <c r="DI95" i="16"/>
  <c r="DC341" i="20"/>
  <c r="D2086" i="1"/>
  <c r="N2086" i="1" s="1"/>
  <c r="F332" i="23"/>
  <c r="K204" i="97"/>
  <c r="T889" i="1"/>
  <c r="T1427" i="1"/>
  <c r="T1213" i="1"/>
  <c r="T1126" i="1"/>
  <c r="T456" i="1"/>
  <c r="T339" i="1"/>
  <c r="T274" i="1"/>
  <c r="T752" i="1"/>
  <c r="T953" i="1"/>
  <c r="C43" i="33"/>
  <c r="D43" i="33"/>
  <c r="D1493" i="1"/>
  <c r="D1601" i="1"/>
  <c r="G70" i="31"/>
  <c r="B13" i="31"/>
  <c r="CL95" i="16"/>
  <c r="E27" i="35"/>
  <c r="B27" i="35" s="1"/>
  <c r="O575" i="1"/>
  <c r="J923" i="1"/>
  <c r="B28" i="34"/>
  <c r="G114" i="42"/>
  <c r="D2125" i="1"/>
  <c r="D2089" i="1"/>
  <c r="H2089" i="1" s="1"/>
  <c r="P2089" i="1" s="1"/>
  <c r="C2089" i="1" s="1"/>
  <c r="E55" i="42"/>
  <c r="G55" i="42" s="1"/>
  <c r="E23" i="34"/>
  <c r="B23" i="34" s="1"/>
  <c r="N656" i="1"/>
  <c r="E73" i="33"/>
  <c r="G73" i="33" s="1"/>
  <c r="E16" i="42"/>
  <c r="B16" i="42" s="1"/>
  <c r="B53" i="33"/>
  <c r="E11" i="42"/>
  <c r="B11" i="42" s="1"/>
  <c r="E108" i="42"/>
  <c r="J974"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20" i="1"/>
  <c r="C93" i="42"/>
  <c r="C86" i="42"/>
  <c r="D100" i="42"/>
  <c r="C100" i="42"/>
  <c r="D51" i="42"/>
  <c r="C51" i="42"/>
  <c r="BG228" i="70"/>
  <c r="CU182" i="16"/>
  <c r="N899" i="1"/>
  <c r="M899" i="1"/>
  <c r="E28" i="35"/>
  <c r="E82" i="31"/>
  <c r="B82" i="31" s="1"/>
  <c r="E49" i="34"/>
  <c r="G49" i="34" s="1"/>
  <c r="E49" i="31"/>
  <c r="G49" i="31" s="1"/>
  <c r="E8" i="31"/>
  <c r="G8" i="31" s="1"/>
  <c r="J899" i="1"/>
  <c r="B24" i="33"/>
  <c r="E59" i="33"/>
  <c r="B59" i="33" s="1"/>
  <c r="E45" i="34"/>
  <c r="G45" i="34" s="1"/>
  <c r="N575" i="1"/>
  <c r="I899" i="1"/>
  <c r="E72" i="33"/>
  <c r="B72" i="33" s="1"/>
  <c r="E34" i="34"/>
  <c r="I1015" i="1"/>
  <c r="C110" i="42"/>
  <c r="D63" i="31"/>
  <c r="D41" i="34"/>
  <c r="C59" i="33"/>
  <c r="CN306" i="70"/>
  <c r="AJ229" i="70"/>
  <c r="EW95" i="16"/>
  <c r="GH95" i="16"/>
  <c r="ER182" i="16"/>
  <c r="FI182" i="16"/>
  <c r="FI184" i="16" s="1"/>
  <c r="FJ182" i="16"/>
  <c r="FJ184" i="16" s="1"/>
  <c r="AO69" i="61"/>
  <c r="D2215" i="1" s="1"/>
  <c r="H2215" i="1" s="1"/>
  <c r="P2215" i="1" s="1"/>
  <c r="C2215" i="1" s="1"/>
  <c r="D2121" i="1"/>
  <c r="CE341" i="20"/>
  <c r="T788" i="1"/>
  <c r="T1472" i="1"/>
  <c r="T1402" i="1"/>
  <c r="T1184" i="1"/>
  <c r="T505" i="1"/>
  <c r="T421" i="1"/>
  <c r="T317" i="1"/>
  <c r="T248" i="1"/>
  <c r="T736" i="1"/>
  <c r="T854" i="1"/>
  <c r="T867" i="1"/>
  <c r="T1463" i="1"/>
  <c r="T1172" i="1"/>
  <c r="T473" i="1"/>
  <c r="T413" i="1"/>
  <c r="T291" i="1"/>
  <c r="T244" i="1"/>
  <c r="K1824" i="1"/>
  <c r="E182" i="42"/>
  <c r="G182" i="42" s="1"/>
  <c r="FG182" i="16"/>
  <c r="K228" i="97"/>
  <c r="K30" i="97"/>
  <c r="T1042" i="1"/>
  <c r="T809" i="1"/>
  <c r="T1436" i="1"/>
  <c r="T1135" i="1"/>
  <c r="T465" i="1"/>
  <c r="T396" i="1"/>
  <c r="T283" i="1"/>
  <c r="T76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18" i="1" s="1"/>
  <c r="H2218" i="1" s="1"/>
  <c r="P2218" i="1" s="1"/>
  <c r="C2218" i="1" s="1"/>
  <c r="K2267" i="1"/>
  <c r="K2278" i="1"/>
  <c r="K2288" i="1"/>
  <c r="K2297" i="1"/>
  <c r="K2305" i="1"/>
  <c r="K2279" i="1"/>
  <c r="K2306" i="1"/>
  <c r="K2271" i="1"/>
  <c r="H2271" i="1" s="1"/>
  <c r="H66" i="97" s="1"/>
  <c r="K2291" i="1"/>
  <c r="K2308" i="1"/>
  <c r="K2300" i="1"/>
  <c r="K2284" i="1"/>
  <c r="K2269" i="1"/>
  <c r="K2280" i="1"/>
  <c r="K2290" i="1"/>
  <c r="K2299" i="1"/>
  <c r="K2307" i="1"/>
  <c r="K2281" i="1"/>
  <c r="K2274" i="1"/>
  <c r="K2293" i="1"/>
  <c r="K2302" i="1"/>
  <c r="K2273" i="1"/>
  <c r="K2283" i="1"/>
  <c r="K2292" i="1"/>
  <c r="K2301" i="1"/>
  <c r="K2265" i="1"/>
  <c r="K2275" i="1"/>
  <c r="K2285" i="1"/>
  <c r="K2294" i="1"/>
  <c r="K2266" i="1"/>
  <c r="K2276" i="1"/>
  <c r="K2286" i="1"/>
  <c r="K2295" i="1"/>
  <c r="K2304" i="1"/>
  <c r="K2268" i="1"/>
  <c r="K2289" i="1"/>
  <c r="K2298" i="1"/>
  <c r="K2303" i="1"/>
  <c r="K2277" i="1"/>
  <c r="K1946" i="1"/>
  <c r="H1946" i="1" s="1"/>
  <c r="K1872" i="1"/>
  <c r="D1872" i="1" s="1"/>
  <c r="K1913" i="1"/>
  <c r="K1839" i="1"/>
  <c r="D1839" i="1" s="1"/>
  <c r="E194" i="42" s="1"/>
  <c r="B194" i="42" s="1"/>
  <c r="K1936" i="1"/>
  <c r="H1936" i="1" s="1"/>
  <c r="K1870" i="1"/>
  <c r="D1870" i="1" s="1"/>
  <c r="E222" i="42" s="1"/>
  <c r="G222" i="42" s="1"/>
  <c r="K1943" i="1"/>
  <c r="H1943" i="1" s="1"/>
  <c r="K1877" i="1"/>
  <c r="K1902" i="1"/>
  <c r="T2276" i="1"/>
  <c r="K1909" i="1"/>
  <c r="K1843" i="1"/>
  <c r="D1843" i="1" s="1"/>
  <c r="E198" i="42" s="1"/>
  <c r="G198" i="42" s="1"/>
  <c r="K1900" i="1"/>
  <c r="H1900" i="1" s="1"/>
  <c r="T2282" i="1"/>
  <c r="K1899" i="1"/>
  <c r="H1899" i="1" s="1"/>
  <c r="T2273" i="1"/>
  <c r="T2265" i="1"/>
  <c r="K1938" i="1"/>
  <c r="H1938" i="1" s="1"/>
  <c r="K1864" i="1"/>
  <c r="D1864" i="1" s="1"/>
  <c r="E218" i="42" s="1"/>
  <c r="B218" i="42" s="1"/>
  <c r="K1905" i="1"/>
  <c r="T1898" i="1"/>
  <c r="P1898" i="1" s="1"/>
  <c r="K1928" i="1"/>
  <c r="K1854" i="1"/>
  <c r="D1854" i="1" s="1"/>
  <c r="E208" i="42" s="1"/>
  <c r="G208" i="42" s="1"/>
  <c r="K1935" i="1"/>
  <c r="H1935" i="1" s="1"/>
  <c r="K1861" i="1"/>
  <c r="D1861" i="1" s="1"/>
  <c r="E215" i="42" s="1"/>
  <c r="G215" i="42" s="1"/>
  <c r="K1894" i="1"/>
  <c r="H1894" i="1" s="1"/>
  <c r="T2268" i="1"/>
  <c r="K1901" i="1"/>
  <c r="H1901" i="1" s="1"/>
  <c r="K1835" i="1"/>
  <c r="D1835" i="1" s="1"/>
  <c r="E190" i="42" s="1"/>
  <c r="G190" i="42" s="1"/>
  <c r="K1892" i="1"/>
  <c r="T2274" i="1"/>
  <c r="K1891" i="1"/>
  <c r="K2264" i="1"/>
  <c r="K1922" i="1"/>
  <c r="K1856" i="1"/>
  <c r="D1856" i="1" s="1"/>
  <c r="E210" i="42" s="1"/>
  <c r="G210" i="42" s="1"/>
  <c r="K1897" i="1"/>
  <c r="H1897" i="1" s="1"/>
  <c r="T2279" i="1"/>
  <c r="K1920" i="1"/>
  <c r="K1846" i="1"/>
  <c r="D1846" i="1" s="1"/>
  <c r="E201" i="42" s="1"/>
  <c r="G201" i="42" s="1"/>
  <c r="K1927" i="1"/>
  <c r="K1853" i="1"/>
  <c r="D1853" i="1" s="1"/>
  <c r="E207" i="42" s="1"/>
  <c r="B207" i="42" s="1"/>
  <c r="K1886" i="1"/>
  <c r="H1886" i="1" s="1"/>
  <c r="K1893" i="1"/>
  <c r="H1893" i="1" s="1"/>
  <c r="T2283" i="1"/>
  <c r="K1884" i="1"/>
  <c r="H1884" i="1" s="1"/>
  <c r="T2266" i="1"/>
  <c r="K1947" i="1"/>
  <c r="H1947" i="1" s="1"/>
  <c r="K1883" i="1"/>
  <c r="H1883" i="1" s="1"/>
  <c r="K2296" i="1"/>
  <c r="K1914" i="1"/>
  <c r="K1848" i="1"/>
  <c r="D1848" i="1" s="1"/>
  <c r="E202" i="42" s="1"/>
  <c r="B202" i="42" s="1"/>
  <c r="K1953" i="1"/>
  <c r="H1953" i="1" s="1"/>
  <c r="K1889" i="1"/>
  <c r="H1889" i="1" s="1"/>
  <c r="T2271" i="1"/>
  <c r="K1912" i="1"/>
  <c r="K1838" i="1"/>
  <c r="D1838" i="1" s="1"/>
  <c r="E193" i="42" s="1"/>
  <c r="G193" i="42" s="1"/>
  <c r="K1919" i="1"/>
  <c r="K1845" i="1"/>
  <c r="D1845" i="1" s="1"/>
  <c r="E200" i="42" s="1"/>
  <c r="B200" i="42" s="1"/>
  <c r="K1950" i="1"/>
  <c r="H1950" i="1" s="1"/>
  <c r="K1876" i="1"/>
  <c r="K1885" i="1"/>
  <c r="H1885" i="1" s="1"/>
  <c r="T2275" i="1"/>
  <c r="K1948" i="1"/>
  <c r="H1948" i="1" s="1"/>
  <c r="K1866" i="1"/>
  <c r="D1866" i="1" s="1"/>
  <c r="K1939" i="1"/>
  <c r="H1939" i="1" s="1"/>
  <c r="K1865" i="1"/>
  <c r="D1865" i="1" s="1"/>
  <c r="E219" i="42" s="1"/>
  <c r="B219" i="42" s="1"/>
  <c r="K2272" i="1"/>
  <c r="H2272" i="1" s="1"/>
  <c r="D2272" i="1" s="1"/>
  <c r="E265" i="42" s="1"/>
  <c r="G265" i="42" s="1"/>
  <c r="K1906" i="1"/>
  <c r="K1840" i="1"/>
  <c r="D1840" i="1" s="1"/>
  <c r="E195" i="42" s="1"/>
  <c r="B195" i="42" s="1"/>
  <c r="K1945" i="1"/>
  <c r="H1945" i="1" s="1"/>
  <c r="K1881" i="1"/>
  <c r="K1904" i="1"/>
  <c r="T1901" i="1"/>
  <c r="P1901" i="1" s="1"/>
  <c r="K1911" i="1"/>
  <c r="K1837" i="1"/>
  <c r="D1837" i="1" s="1"/>
  <c r="E192" i="42" s="1"/>
  <c r="B192" i="42" s="1"/>
  <c r="K1942" i="1"/>
  <c r="H1942" i="1" s="1"/>
  <c r="K1860" i="1"/>
  <c r="D1860" i="1" s="1"/>
  <c r="K1949" i="1"/>
  <c r="H1949" i="1" s="1"/>
  <c r="K1875" i="1"/>
  <c r="D1875" i="1" s="1"/>
  <c r="E214" i="42" s="1"/>
  <c r="B214" i="42" s="1"/>
  <c r="T2267" i="1"/>
  <c r="K1940" i="1"/>
  <c r="H1940" i="1" s="1"/>
  <c r="K1858" i="1"/>
  <c r="D1858" i="1" s="1"/>
  <c r="E212" i="42" s="1"/>
  <c r="G212" i="42" s="1"/>
  <c r="K1931" i="1"/>
  <c r="H1931" i="1" s="1"/>
  <c r="K1857" i="1"/>
  <c r="D1857" i="1" s="1"/>
  <c r="E211" i="42" s="1"/>
  <c r="B211" i="42" s="1"/>
  <c r="K2287" i="1"/>
  <c r="K1898" i="1"/>
  <c r="H1898" i="1" s="1"/>
  <c r="T1881" i="1"/>
  <c r="K1937" i="1"/>
  <c r="H1937" i="1" s="1"/>
  <c r="K1863" i="1"/>
  <c r="D1863" i="1" s="1"/>
  <c r="E217" i="42" s="1"/>
  <c r="B217" i="42" s="1"/>
  <c r="K1896" i="1"/>
  <c r="H1896" i="1" s="1"/>
  <c r="T2278" i="1"/>
  <c r="K1903" i="1"/>
  <c r="T1902" i="1"/>
  <c r="K1926" i="1"/>
  <c r="K1844" i="1"/>
  <c r="D1844" i="1" s="1"/>
  <c r="E199" i="42" s="1"/>
  <c r="B199" i="42" s="1"/>
  <c r="K1941" i="1"/>
  <c r="K1867" i="1"/>
  <c r="D1867" i="1" s="1"/>
  <c r="K1924" i="1"/>
  <c r="K1850" i="1"/>
  <c r="D1850" i="1" s="1"/>
  <c r="E204" i="42" s="1"/>
  <c r="G204" i="42" s="1"/>
  <c r="K1923" i="1"/>
  <c r="K1841" i="1"/>
  <c r="D1841" i="1" s="1"/>
  <c r="E196" i="42" s="1"/>
  <c r="B196" i="42" s="1"/>
  <c r="K2282" i="1"/>
  <c r="T2280" i="1"/>
  <c r="K1929" i="1"/>
  <c r="K1888" i="1"/>
  <c r="H1888" i="1" s="1"/>
  <c r="K1895" i="1"/>
  <c r="H1895" i="1" s="1"/>
  <c r="T2277" i="1"/>
  <c r="K1918" i="1"/>
  <c r="K1859" i="1"/>
  <c r="D1859" i="1" s="1"/>
  <c r="E213" i="42" s="1"/>
  <c r="G213" i="42" s="1"/>
  <c r="K1916" i="1"/>
  <c r="K1833" i="1"/>
  <c r="D1833" i="1" s="1"/>
  <c r="E188" i="42" s="1"/>
  <c r="G188" i="42" s="1"/>
  <c r="K1890" i="1"/>
  <c r="K1855" i="1"/>
  <c r="D1855" i="1" s="1"/>
  <c r="E209" i="42" s="1"/>
  <c r="B209" i="42" s="1"/>
  <c r="K1952" i="1"/>
  <c r="H1952" i="1" s="1"/>
  <c r="K1836" i="1"/>
  <c r="D1836" i="1" s="1"/>
  <c r="E191" i="42" s="1"/>
  <c r="B191" i="42" s="1"/>
  <c r="K1925" i="1"/>
  <c r="K1842" i="1"/>
  <c r="D1842" i="1" s="1"/>
  <c r="E197" i="42" s="1"/>
  <c r="B197" i="42" s="1"/>
  <c r="K1915" i="1"/>
  <c r="K1832" i="1"/>
  <c r="D1832" i="1" s="1"/>
  <c r="K1882" i="1"/>
  <c r="H1882" i="1" s="1"/>
  <c r="T2272" i="1"/>
  <c r="K1921" i="1"/>
  <c r="K1847" i="1"/>
  <c r="D1847" i="1" s="1"/>
  <c r="K1944" i="1"/>
  <c r="H1944" i="1" s="1"/>
  <c r="K1880" i="1"/>
  <c r="H1880" i="1" s="1"/>
  <c r="K1951" i="1"/>
  <c r="H1951" i="1" s="1"/>
  <c r="K1887" i="1"/>
  <c r="H1887" i="1" s="1"/>
  <c r="T2269" i="1"/>
  <c r="K1910" i="1"/>
  <c r="T2264" i="1"/>
  <c r="K1917" i="1"/>
  <c r="K1851" i="1"/>
  <c r="D1851" i="1" s="1"/>
  <c r="E205" i="42" s="1"/>
  <c r="B205" i="42" s="1"/>
  <c r="K1908" i="1"/>
  <c r="K1834" i="1"/>
  <c r="D1834" i="1" s="1"/>
  <c r="E189" i="42" s="1"/>
  <c r="G189" i="42" s="1"/>
  <c r="K1907" i="1"/>
  <c r="T2281" i="1"/>
  <c r="T1749" i="1"/>
  <c r="K1933" i="1"/>
  <c r="H1933" i="1" s="1"/>
  <c r="K1934" i="1"/>
  <c r="H1934" i="1" s="1"/>
  <c r="T962" i="1"/>
  <c r="T1418" i="1"/>
  <c r="T1202" i="1"/>
  <c r="T526" i="1"/>
  <c r="T448" i="1"/>
  <c r="T335" i="1"/>
  <c r="T266" i="1"/>
  <c r="T745" i="1"/>
  <c r="P745" i="1" s="1"/>
  <c r="T942" i="1"/>
  <c r="T980" i="1"/>
  <c r="T213" i="1"/>
  <c r="T63" i="1"/>
  <c r="T908" i="1"/>
  <c r="T18" i="1"/>
  <c r="T53" i="1"/>
  <c r="T759" i="1"/>
  <c r="T645" i="1"/>
  <c r="T550" i="1"/>
  <c r="T818" i="1"/>
  <c r="T196" i="1"/>
  <c r="T45" i="1"/>
  <c r="T152" i="1"/>
  <c r="T134" i="1"/>
  <c r="T125" i="1"/>
  <c r="T712" i="1"/>
  <c r="T142" i="1"/>
  <c r="T14" i="1"/>
  <c r="T1052" i="1"/>
  <c r="T224" i="1"/>
  <c r="T92" i="1"/>
  <c r="T205" i="1"/>
  <c r="T534" i="1"/>
  <c r="T1115" i="1"/>
  <c r="T655" i="1"/>
  <c r="T665" i="1"/>
  <c r="T27" i="1"/>
  <c r="T1003" i="1"/>
  <c r="T1013" i="1"/>
  <c r="T1023" i="1"/>
  <c r="T1238" i="1"/>
  <c r="T705" i="1"/>
  <c r="T1266" i="1"/>
  <c r="T719" i="1"/>
  <c r="T726" i="1"/>
  <c r="T109" i="1"/>
  <c r="T1080" i="1"/>
  <c r="T1087" i="1"/>
  <c r="T1094" i="1"/>
  <c r="T1365" i="1"/>
  <c r="T1351" i="1"/>
  <c r="T898" i="1"/>
  <c r="T1390" i="1"/>
  <c r="T913" i="1"/>
  <c r="T840" i="1"/>
  <c r="T174" i="1"/>
  <c r="T1308" i="1"/>
  <c r="T37" i="1"/>
  <c r="T1155" i="1"/>
  <c r="T1335" i="1"/>
  <c r="T973" i="1"/>
  <c r="T988" i="1"/>
  <c r="T922" i="1"/>
  <c r="T584" i="1"/>
  <c r="T117" i="1"/>
  <c r="T1322" i="1"/>
  <c r="T612" i="1"/>
  <c r="T1111" i="1"/>
  <c r="T75" i="1"/>
  <c r="T1062" i="1"/>
  <c r="T995" i="1"/>
  <c r="T673" i="1"/>
  <c r="T188" i="1"/>
  <c r="T698" i="1"/>
  <c r="T1251" i="1"/>
  <c r="T156" i="1"/>
  <c r="T1280" i="1"/>
  <c r="T1072" i="1"/>
  <c r="T730" i="1"/>
  <c r="T326" i="1"/>
  <c r="T602" i="1"/>
  <c r="T1033" i="1"/>
  <c r="T1378" i="1"/>
  <c r="T234" i="1"/>
  <c r="T1293" i="1"/>
  <c r="T777" i="1"/>
  <c r="T594" i="1"/>
  <c r="T1102" i="1"/>
  <c r="T164" i="1"/>
  <c r="T697" i="1"/>
  <c r="P697" i="1" s="1"/>
  <c r="T566" i="1"/>
  <c r="T574" i="1"/>
  <c r="T849" i="1"/>
  <c r="T682" i="1"/>
  <c r="T743" i="1"/>
  <c r="T1168" i="1"/>
  <c r="T1962" i="1"/>
  <c r="T1970" i="1"/>
  <c r="T1978" i="1"/>
  <c r="T1986" i="1"/>
  <c r="T1994" i="1"/>
  <c r="T2002" i="1"/>
  <c r="T2010" i="1"/>
  <c r="T2018" i="1"/>
  <c r="T2027" i="1"/>
  <c r="T2035" i="1"/>
  <c r="T2043" i="1"/>
  <c r="T1963" i="1"/>
  <c r="T1971" i="1"/>
  <c r="T1979" i="1"/>
  <c r="T1987" i="1"/>
  <c r="T1995" i="1"/>
  <c r="T2003" i="1"/>
  <c r="T2011" i="1"/>
  <c r="T2019" i="1"/>
  <c r="T2028" i="1"/>
  <c r="T2036" i="1"/>
  <c r="T2044" i="1"/>
  <c r="T1955" i="1"/>
  <c r="T1964" i="1"/>
  <c r="T1972" i="1"/>
  <c r="T1980" i="1"/>
  <c r="T1988" i="1"/>
  <c r="T1996" i="1"/>
  <c r="T2004" i="1"/>
  <c r="T2012" i="1"/>
  <c r="T2021" i="1"/>
  <c r="D2021" i="1" s="1"/>
  <c r="H2021" i="1" s="1"/>
  <c r="T2029" i="1"/>
  <c r="T2037" i="1"/>
  <c r="T2045" i="1"/>
  <c r="T1957" i="1"/>
  <c r="T1965" i="1"/>
  <c r="T1973" i="1"/>
  <c r="T1981" i="1"/>
  <c r="T1989" i="1"/>
  <c r="T1997" i="1"/>
  <c r="T2005" i="1"/>
  <c r="T2013" i="1"/>
  <c r="T2022" i="1"/>
  <c r="T2030" i="1"/>
  <c r="T2038" i="1"/>
  <c r="T2046" i="1"/>
  <c r="T1976" i="1"/>
  <c r="T1984" i="1"/>
  <c r="T2000" i="1"/>
  <c r="T2025" i="1"/>
  <c r="T1954" i="1"/>
  <c r="T1958" i="1"/>
  <c r="T1966" i="1"/>
  <c r="T1974" i="1"/>
  <c r="T1982" i="1"/>
  <c r="T1990" i="1"/>
  <c r="T1998" i="1"/>
  <c r="T2006" i="1"/>
  <c r="T2014" i="1"/>
  <c r="T2023" i="1"/>
  <c r="T2031" i="1"/>
  <c r="T2039" i="1"/>
  <c r="T2047" i="1"/>
  <c r="T1968" i="1"/>
  <c r="T1992" i="1"/>
  <c r="T2016" i="1"/>
  <c r="T2041" i="1"/>
  <c r="T1959" i="1"/>
  <c r="T1967" i="1"/>
  <c r="T1975" i="1"/>
  <c r="T1983" i="1"/>
  <c r="T1991" i="1"/>
  <c r="T1999" i="1"/>
  <c r="T2007" i="1"/>
  <c r="T2015" i="1"/>
  <c r="T2024" i="1"/>
  <c r="T2032" i="1"/>
  <c r="T2040" i="1"/>
  <c r="T2048" i="1"/>
  <c r="T1960" i="1"/>
  <c r="T2008" i="1"/>
  <c r="T2033" i="1"/>
  <c r="T1961" i="1"/>
  <c r="T1969" i="1"/>
  <c r="T1977" i="1"/>
  <c r="T1985" i="1"/>
  <c r="T1993" i="1"/>
  <c r="T2001" i="1"/>
  <c r="T2009" i="1"/>
  <c r="T2017" i="1"/>
  <c r="T2026" i="1"/>
  <c r="T2034" i="1"/>
  <c r="T2042" i="1"/>
  <c r="T778" i="1"/>
  <c r="P778" i="1" s="1"/>
  <c r="T1481" i="1"/>
  <c r="T1410" i="1"/>
  <c r="T1193" i="1"/>
  <c r="T513" i="1"/>
  <c r="T431" i="1"/>
  <c r="T376" i="1"/>
  <c r="T256" i="1"/>
  <c r="T932" i="1"/>
  <c r="H330" i="23"/>
  <c r="H329" i="23"/>
  <c r="T798" i="1"/>
  <c r="T1445" i="1"/>
  <c r="T1222" i="1"/>
  <c r="T1146" i="1"/>
  <c r="T485" i="1"/>
  <c r="T356" i="1"/>
  <c r="T302" i="1"/>
  <c r="T770" i="1"/>
  <c r="T2020" i="1"/>
  <c r="D2020" i="1" s="1"/>
  <c r="E143" i="33" s="1"/>
  <c r="G143" i="33" s="1"/>
  <c r="EC2" i="41"/>
  <c r="K1873" i="1"/>
  <c r="D1873" i="1" s="1"/>
  <c r="D100" i="97" s="1"/>
  <c r="T1873" i="1"/>
  <c r="EB2" i="41"/>
  <c r="T1871" i="1"/>
  <c r="K1871" i="1"/>
  <c r="D1871" i="1" s="1"/>
  <c r="D104" i="97" s="1"/>
  <c r="EG2" i="41"/>
  <c r="T1849" i="1"/>
  <c r="P1849" i="1" s="1"/>
  <c r="I94" i="97" s="1"/>
  <c r="K1849" i="1"/>
  <c r="D1849" i="1" s="1"/>
  <c r="D94" i="97" s="1"/>
  <c r="EY2" i="41"/>
  <c r="T1869" i="1"/>
  <c r="K1869" i="1"/>
  <c r="D1869" i="1" s="1"/>
  <c r="D126" i="97" s="1"/>
  <c r="EJ2" i="41"/>
  <c r="K1852" i="1"/>
  <c r="D1852" i="1" s="1"/>
  <c r="E206" i="42" s="1"/>
  <c r="G206" i="42" s="1"/>
  <c r="EE2" i="41"/>
  <c r="K1874" i="1"/>
  <c r="D1874" i="1" s="1"/>
  <c r="E226" i="42" s="1"/>
  <c r="G226" i="42" s="1"/>
  <c r="EZ2" i="41"/>
  <c r="K1868" i="1"/>
  <c r="D1868" i="1" s="1"/>
  <c r="D128" i="97" s="1"/>
  <c r="T1868" i="1"/>
  <c r="EO2" i="41"/>
  <c r="K1862" i="1"/>
  <c r="D1862"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X2" i="41"/>
  <c r="K2270" i="1" s="1"/>
  <c r="H2270" i="1" s="1"/>
  <c r="H4" i="97" s="1"/>
  <c r="K1930" i="1"/>
  <c r="K1932" i="1"/>
  <c r="T2270" i="1"/>
  <c r="P2270" i="1" s="1"/>
  <c r="I4" i="97" s="1"/>
  <c r="L1956" i="1"/>
  <c r="T1956" i="1"/>
  <c r="E1757" i="1"/>
  <c r="B2" i="41"/>
  <c r="T1751" i="1"/>
  <c r="E1473" i="23"/>
  <c r="F494" i="23"/>
  <c r="F1058" i="23"/>
  <c r="F875" i="23"/>
  <c r="F142" i="97" s="1"/>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05" i="97"/>
  <c r="F107" i="23"/>
  <c r="H165" i="23"/>
  <c r="H108" i="23"/>
  <c r="K244" i="97"/>
  <c r="E178" i="23"/>
  <c r="K76" i="97"/>
  <c r="K38" i="97"/>
  <c r="K150" i="97"/>
  <c r="K16" i="97"/>
  <c r="K247" i="97"/>
  <c r="K199"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CQ341" i="20"/>
  <c r="D2070" i="1"/>
  <c r="H2070" i="1" s="1"/>
  <c r="P2070" i="1" s="1"/>
  <c r="C2070"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42" i="1"/>
  <c r="N842"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U182" i="16"/>
  <c r="V95" i="16"/>
  <c r="G69" i="61"/>
  <c r="C75" i="61" s="1"/>
  <c r="E2187" i="1" s="1"/>
  <c r="D2187" i="1" s="1"/>
  <c r="H2187" i="1" s="1"/>
  <c r="P2187" i="1" s="1"/>
  <c r="C2187" i="1" s="1"/>
  <c r="D1040" i="1"/>
  <c r="D1039" i="1" s="1"/>
  <c r="N869" i="1"/>
  <c r="M869" i="1"/>
  <c r="J869" i="1"/>
  <c r="H2069" i="1"/>
  <c r="P2069" i="1" s="1"/>
  <c r="C2069" i="1" s="1"/>
  <c r="N2069"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14" i="1"/>
  <c r="J914" i="1"/>
  <c r="Q831" i="1"/>
  <c r="N831" i="1"/>
  <c r="M831" i="1"/>
  <c r="N820" i="1"/>
  <c r="M820" i="1"/>
  <c r="C347" i="20"/>
  <c r="E2056" i="1" s="1"/>
  <c r="L337" i="20"/>
  <c r="L341" i="20"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989" i="1"/>
  <c r="R989" i="1"/>
  <c r="FC182" i="16"/>
  <c r="FC184" i="16" s="1"/>
  <c r="M675" i="1"/>
  <c r="D838" i="1"/>
  <c r="D837" i="1" s="1"/>
  <c r="BG69" i="61"/>
  <c r="E184" i="16"/>
  <c r="AJ307" i="70"/>
  <c r="BN307" i="70"/>
  <c r="CI229" i="70"/>
  <c r="AC134" i="70"/>
  <c r="AF134" i="70"/>
  <c r="AS134" i="70"/>
  <c r="AX134" i="70"/>
  <c r="BA134" i="70"/>
  <c r="BD134" i="70"/>
  <c r="BF91" i="70"/>
  <c r="BG133" i="70"/>
  <c r="BH134" i="70"/>
  <c r="BX134" i="70"/>
  <c r="CD134" i="70"/>
  <c r="CG134" i="70"/>
  <c r="BZ134" i="70"/>
  <c r="CQ95" i="16"/>
  <c r="D1679" i="1"/>
  <c r="H1679" i="1" s="1"/>
  <c r="P1679" i="1" s="1"/>
  <c r="C1679" i="1" s="1"/>
  <c r="AL69" i="61"/>
  <c r="BF274" i="70"/>
  <c r="R134" i="70"/>
  <c r="X134" i="70"/>
  <c r="AK134" i="70"/>
  <c r="AN134" i="70"/>
  <c r="AV134" i="70"/>
  <c r="BF133" i="70"/>
  <c r="BF55" i="70"/>
  <c r="CV134" i="70"/>
  <c r="CX134" i="70"/>
  <c r="E134" i="70"/>
  <c r="CP95" i="16"/>
  <c r="CN95" i="16"/>
  <c r="CN182" i="16"/>
  <c r="CK182" i="16"/>
  <c r="CK184" i="16" s="1"/>
  <c r="CS182" i="16"/>
  <c r="CQ182" i="16"/>
  <c r="J1119" i="1"/>
  <c r="O595" i="1"/>
  <c r="D2088" i="1"/>
  <c r="N2088" i="1" s="1"/>
  <c r="C55" i="35"/>
  <c r="C40" i="31"/>
  <c r="D28" i="33"/>
  <c r="C184" i="16"/>
  <c r="C199" i="16" s="1"/>
  <c r="BG298" i="70"/>
  <c r="S95" i="16"/>
  <c r="DP95" i="16"/>
  <c r="D156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89" i="1" s="1"/>
  <c r="D2189" i="1" s="1"/>
  <c r="H2189" i="1" s="1"/>
  <c r="P2189" i="1" s="1"/>
  <c r="C2189" i="1" s="1"/>
  <c r="H69" i="61"/>
  <c r="C76" i="61" s="1"/>
  <c r="E2188" i="1" s="1"/>
  <c r="D2188" i="1" s="1"/>
  <c r="H2188" i="1" s="1"/>
  <c r="P2188" i="1" s="1"/>
  <c r="C2188"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69" i="1" s="1"/>
  <c r="J1569" i="1" s="1"/>
  <c r="EC95" i="16"/>
  <c r="D1580" i="1" s="1"/>
  <c r="H1580" i="1" s="1"/>
  <c r="P1580" i="1" s="1"/>
  <c r="C1580" i="1" s="1"/>
  <c r="DZ95" i="16"/>
  <c r="DZ184" i="16" s="1"/>
  <c r="D1577" i="1" s="1"/>
  <c r="DY182" i="16"/>
  <c r="BP182" i="16"/>
  <c r="DG182" i="16"/>
  <c r="DF95" i="16"/>
  <c r="DF182" i="16"/>
  <c r="DH182" i="16"/>
  <c r="DH184" i="16" s="1"/>
  <c r="D1522" i="1" s="1"/>
  <c r="J1522" i="1" s="1"/>
  <c r="DN182" i="16"/>
  <c r="DM182" i="16"/>
  <c r="DK182" i="16"/>
  <c r="BH69" i="61"/>
  <c r="D2217" i="1" s="1"/>
  <c r="H2217" i="1" s="1"/>
  <c r="P2217" i="1" s="1"/>
  <c r="C2217" i="1" s="1"/>
  <c r="AB69" i="61"/>
  <c r="D2195" i="1" s="1"/>
  <c r="D2192" i="1" s="1"/>
  <c r="H2192" i="1" s="1"/>
  <c r="P2192" i="1" s="1"/>
  <c r="C2192"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585" i="1"/>
  <c r="D54" i="34"/>
  <c r="C54" i="34"/>
  <c r="E54" i="34"/>
  <c r="C64" i="31"/>
  <c r="D64" i="31"/>
  <c r="BC229" i="70"/>
  <c r="B59" i="35"/>
  <c r="B46" i="31"/>
  <c r="E38" i="35"/>
  <c r="E50" i="35"/>
  <c r="B21" i="31"/>
  <c r="B61" i="42"/>
  <c r="O585"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BK184" i="16" s="1"/>
  <c r="CW341" i="20"/>
  <c r="D2094" i="1"/>
  <c r="N2094" i="1" s="1"/>
  <c r="D2119" i="1"/>
  <c r="H2119" i="1" s="1"/>
  <c r="P2119" i="1" s="1"/>
  <c r="C2119" i="1" s="1"/>
  <c r="CC341" i="20"/>
  <c r="D1654" i="1"/>
  <c r="I1654" i="1" s="1"/>
  <c r="I1650" i="1"/>
  <c r="B38" i="33"/>
  <c r="G38" i="33"/>
  <c r="B57" i="33"/>
  <c r="G57" i="33"/>
  <c r="D16" i="33"/>
  <c r="E16" i="33"/>
  <c r="CC229" i="70"/>
  <c r="BG169" i="70"/>
  <c r="B47" i="31"/>
  <c r="J964" i="1"/>
  <c r="G14" i="35"/>
  <c r="G110" i="42"/>
  <c r="B54" i="33"/>
  <c r="G54" i="33"/>
  <c r="G17" i="34"/>
  <c r="H2120" i="1"/>
  <c r="P2120" i="1" s="1"/>
  <c r="C2120" i="1" s="1"/>
  <c r="D51" i="31"/>
  <c r="C16" i="33"/>
  <c r="C77" i="42"/>
  <c r="D76" i="31"/>
  <c r="C76" i="31"/>
  <c r="C53" i="34"/>
  <c r="E53" i="34"/>
  <c r="G53" i="34" s="1"/>
  <c r="E79" i="42"/>
  <c r="B79" i="42" s="1"/>
  <c r="C79" i="42"/>
  <c r="C71" i="42"/>
  <c r="D71" i="42"/>
  <c r="C61" i="33"/>
  <c r="E61" i="33"/>
  <c r="D61" i="33"/>
  <c r="D25" i="33"/>
  <c r="E25" i="33"/>
  <c r="H1699" i="1"/>
  <c r="P1699" i="1" s="1"/>
  <c r="C1699" i="1" s="1"/>
  <c r="I1699" i="1"/>
  <c r="D2078" i="1"/>
  <c r="CH341" i="20"/>
  <c r="CB341" i="20"/>
  <c r="D2118" i="1"/>
  <c r="H2118" i="1" s="1"/>
  <c r="P2118" i="1" s="1"/>
  <c r="C2118" i="1" s="1"/>
  <c r="C37" i="33"/>
  <c r="CE229" i="70"/>
  <c r="BW229" i="70"/>
  <c r="D10" i="35"/>
  <c r="E10" i="35"/>
  <c r="B10" i="35" s="1"/>
  <c r="G37" i="42"/>
  <c r="E77" i="42"/>
  <c r="G47" i="35"/>
  <c r="B47" i="35"/>
  <c r="D44" i="42"/>
  <c r="E44" i="42"/>
  <c r="C44" i="42"/>
  <c r="BU229" i="70"/>
  <c r="BF169" i="70"/>
  <c r="M924" i="1"/>
  <c r="N924" i="1"/>
  <c r="G57" i="35"/>
  <c r="G51" i="35"/>
  <c r="G36" i="31"/>
  <c r="B18" i="31"/>
  <c r="E76" i="31"/>
  <c r="B65" i="34"/>
  <c r="G23" i="33"/>
  <c r="B82" i="42"/>
  <c r="G96" i="42"/>
  <c r="G10" i="42"/>
  <c r="B14" i="34"/>
  <c r="G78" i="42"/>
  <c r="B36" i="42"/>
  <c r="G36" i="42"/>
  <c r="I964" i="1"/>
  <c r="FK184" i="16"/>
  <c r="G20" i="34"/>
  <c r="E30" i="42"/>
  <c r="G200" i="31"/>
  <c r="G72" i="42"/>
  <c r="E36" i="33"/>
  <c r="C17" i="31"/>
  <c r="D2083" i="1"/>
  <c r="H2083" i="1" s="1"/>
  <c r="P2083" i="1" s="1"/>
  <c r="C2083"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EA184" i="16" s="1"/>
  <c r="D1578" i="1" s="1"/>
  <c r="DW182" i="16"/>
  <c r="DW184" i="16" s="1"/>
  <c r="D1575" i="1" s="1"/>
  <c r="BB69" i="61"/>
  <c r="D2210" i="1" s="1"/>
  <c r="H2210" i="1" s="1"/>
  <c r="P2210" i="1" s="1"/>
  <c r="C2210"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BZ341" i="20"/>
  <c r="D2106"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64"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55" i="1"/>
  <c r="D1657" i="1"/>
  <c r="H1657" i="1" s="1"/>
  <c r="P1657" i="1" s="1"/>
  <c r="C1657" i="1" s="1"/>
  <c r="D1717" i="1"/>
  <c r="H1717" i="1" s="1"/>
  <c r="P1717" i="1" s="1"/>
  <c r="C1717" i="1" s="1"/>
  <c r="EM182" i="16"/>
  <c r="D1070" i="1"/>
  <c r="D1069" i="1" s="1"/>
  <c r="J1063" i="1"/>
  <c r="D1011" i="1"/>
  <c r="D1010" i="1" s="1"/>
  <c r="J1006" i="1"/>
  <c r="O790" i="1"/>
  <c r="M790" i="1"/>
  <c r="M811" i="1"/>
  <c r="N811" i="1"/>
  <c r="N675" i="1"/>
  <c r="I675" i="1"/>
  <c r="D2072" i="1"/>
  <c r="CK341" i="20"/>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S341" i="20"/>
  <c r="D2146"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4" i="1" s="1"/>
  <c r="H1574" i="1" s="1"/>
  <c r="P1574" i="1" s="1"/>
  <c r="C1574" i="1" s="1"/>
  <c r="H2253" i="1"/>
  <c r="P2253" i="1" s="1"/>
  <c r="C2253" i="1" s="1"/>
  <c r="I2253" i="1"/>
  <c r="CX341" i="20"/>
  <c r="D2095" i="1"/>
  <c r="H2095" i="1" s="1"/>
  <c r="P2095" i="1" s="1"/>
  <c r="C2095" i="1" s="1"/>
  <c r="EI182" i="16"/>
  <c r="EI184" i="16" s="1"/>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72" i="1" s="1"/>
  <c r="J1572" i="1" s="1"/>
  <c r="DK95" i="16"/>
  <c r="R996" i="1"/>
  <c r="J996" i="1"/>
  <c r="CA341" i="20"/>
  <c r="D2107" i="1"/>
  <c r="D2145"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36" i="1"/>
  <c r="BE69" i="61"/>
  <c r="D2211" i="1" s="1"/>
  <c r="H2211" i="1" s="1"/>
  <c r="P2211" i="1" s="1"/>
  <c r="C2211"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6" i="1" s="1"/>
  <c r="BP95" i="16"/>
  <c r="BP184" i="16" s="1"/>
  <c r="D1585" i="1" s="1"/>
  <c r="EH95" i="16"/>
  <c r="E132" i="33"/>
  <c r="G132" i="33" s="1"/>
  <c r="H2009" i="1"/>
  <c r="P2009" i="1" s="1"/>
  <c r="C2009" i="1" s="1"/>
  <c r="BC69" i="61"/>
  <c r="AN69" i="61"/>
  <c r="FY182" i="16"/>
  <c r="FP182" i="16"/>
  <c r="FP184" i="16" s="1"/>
  <c r="GR182" i="16"/>
  <c r="BY182" i="16"/>
  <c r="BY184" i="16" s="1"/>
  <c r="EN95" i="16"/>
  <c r="I184" i="16"/>
  <c r="EO182" i="16"/>
  <c r="CG307" i="70"/>
  <c r="BC307" i="70"/>
  <c r="BF209" i="70"/>
  <c r="CN189" i="70"/>
  <c r="BV229" i="70"/>
  <c r="AG134" i="70"/>
  <c r="AI134" i="70"/>
  <c r="AL134" i="70"/>
  <c r="AQ134" i="70"/>
  <c r="R69" i="61"/>
  <c r="CF182" i="16"/>
  <c r="BH95" i="16"/>
  <c r="BJ95" i="16"/>
  <c r="BN95" i="16"/>
  <c r="DG95" i="16"/>
  <c r="EN182" i="16"/>
  <c r="AA69" i="61"/>
  <c r="D2194" i="1" s="1"/>
  <c r="H2194" i="1" s="1"/>
  <c r="P2194" i="1" s="1"/>
  <c r="C2194" i="1" s="1"/>
  <c r="EJ182" i="16"/>
  <c r="B124" i="115"/>
  <c r="B198" i="115" s="1"/>
  <c r="B204" i="115" s="1"/>
  <c r="B233" i="115" s="1"/>
  <c r="B258" i="115" s="1"/>
  <c r="L2045" i="1"/>
  <c r="L2037" i="1"/>
  <c r="L2029" i="1"/>
  <c r="L2021" i="1"/>
  <c r="L2013" i="1"/>
  <c r="L2005" i="1"/>
  <c r="L2047" i="1"/>
  <c r="L2038" i="1"/>
  <c r="L2028" i="1"/>
  <c r="L2019" i="1"/>
  <c r="L2010" i="1"/>
  <c r="L2046" i="1"/>
  <c r="L2036" i="1"/>
  <c r="L2027" i="1"/>
  <c r="L2018" i="1"/>
  <c r="L2009" i="1"/>
  <c r="L2044" i="1"/>
  <c r="L2035" i="1"/>
  <c r="L2026" i="1"/>
  <c r="L2017" i="1"/>
  <c r="L2008" i="1"/>
  <c r="L2034" i="1"/>
  <c r="L2022" i="1"/>
  <c r="L2006" i="1"/>
  <c r="L2048" i="1"/>
  <c r="L2032" i="1"/>
  <c r="L2016" i="1"/>
  <c r="L2003" i="1"/>
  <c r="H2003" i="1" s="1"/>
  <c r="L2043" i="1"/>
  <c r="L2031" i="1"/>
  <c r="L2015" i="1"/>
  <c r="L2042" i="1"/>
  <c r="L2030" i="1"/>
  <c r="L2014" i="1"/>
  <c r="L2041" i="1"/>
  <c r="L2025" i="1"/>
  <c r="L2012" i="1"/>
  <c r="L2011" i="1"/>
  <c r="L2007" i="1"/>
  <c r="L2040" i="1"/>
  <c r="L2004" i="1"/>
  <c r="L2039" i="1"/>
  <c r="L2033" i="1"/>
  <c r="L2024" i="1"/>
  <c r="L2023" i="1"/>
  <c r="L2020" i="1"/>
  <c r="E137" i="33"/>
  <c r="B137" i="33" s="1"/>
  <c r="H2014" i="1"/>
  <c r="P2014" i="1" s="1"/>
  <c r="C2014" i="1" s="1"/>
  <c r="BF69" i="61"/>
  <c r="AY69" i="61"/>
  <c r="AS69" i="61"/>
  <c r="AK69" i="61"/>
  <c r="D69" i="61"/>
  <c r="C72" i="61" s="1"/>
  <c r="DQ182" i="16"/>
  <c r="EW182" i="16"/>
  <c r="EW184" i="16" s="1"/>
  <c r="AI182" i="16"/>
  <c r="AT182" i="16"/>
  <c r="AT184" i="16" s="1"/>
  <c r="BU182" i="16"/>
  <c r="BU184" i="16" s="1"/>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O184" i="16" s="1"/>
  <c r="BQ95" i="16"/>
  <c r="BQ184" i="16" s="1"/>
  <c r="AD69" i="61"/>
  <c r="D2196" i="1" s="1"/>
  <c r="D2229" i="1" s="1"/>
  <c r="H2229" i="1" s="1"/>
  <c r="P2229" i="1" s="1"/>
  <c r="C2229" i="1" s="1"/>
  <c r="D1031" i="1"/>
  <c r="D1030" i="1" s="1"/>
  <c r="H1835" i="1"/>
  <c r="T2363" i="1"/>
  <c r="T2355" i="1"/>
  <c r="T2347" i="1"/>
  <c r="T2339" i="1"/>
  <c r="T2331" i="1"/>
  <c r="T2323" i="1"/>
  <c r="T2315" i="1"/>
  <c r="T2307" i="1"/>
  <c r="T2299" i="1"/>
  <c r="T2291" i="1"/>
  <c r="T2259" i="1"/>
  <c r="T2251" i="1"/>
  <c r="T2243" i="1"/>
  <c r="T2235" i="1"/>
  <c r="T2227" i="1"/>
  <c r="T2219" i="1"/>
  <c r="T2211" i="1"/>
  <c r="T2203" i="1"/>
  <c r="T2195" i="1"/>
  <c r="T2187" i="1"/>
  <c r="T2179" i="1"/>
  <c r="T2171" i="1"/>
  <c r="T2163" i="1"/>
  <c r="T2155" i="1"/>
  <c r="T2147" i="1"/>
  <c r="T2139" i="1"/>
  <c r="T2131" i="1"/>
  <c r="T2123" i="1"/>
  <c r="T2115" i="1"/>
  <c r="T2107" i="1"/>
  <c r="T2099" i="1"/>
  <c r="T2091" i="1"/>
  <c r="T2083" i="1"/>
  <c r="T2075" i="1"/>
  <c r="T2067" i="1"/>
  <c r="T2059" i="1"/>
  <c r="T2367" i="1"/>
  <c r="T2358" i="1"/>
  <c r="T2349" i="1"/>
  <c r="T2340" i="1"/>
  <c r="T2330" i="1"/>
  <c r="T2321" i="1"/>
  <c r="T2312" i="1"/>
  <c r="T2303" i="1"/>
  <c r="T2294" i="1"/>
  <c r="T2285" i="1"/>
  <c r="T2366" i="1"/>
  <c r="T2357" i="1"/>
  <c r="T2348" i="1"/>
  <c r="T2338" i="1"/>
  <c r="T2329" i="1"/>
  <c r="T2320" i="1"/>
  <c r="T2311" i="1"/>
  <c r="T2302" i="1"/>
  <c r="T2293" i="1"/>
  <c r="T2284" i="1"/>
  <c r="T2256" i="1"/>
  <c r="T2247" i="1"/>
  <c r="T2238" i="1"/>
  <c r="T2229" i="1"/>
  <c r="T2220" i="1"/>
  <c r="T2210" i="1"/>
  <c r="T2201" i="1"/>
  <c r="T2192" i="1"/>
  <c r="T2183" i="1"/>
  <c r="T2174" i="1"/>
  <c r="T2165" i="1"/>
  <c r="T2156" i="1"/>
  <c r="T2146" i="1"/>
  <c r="T2137" i="1"/>
  <c r="T2128" i="1"/>
  <c r="T2119" i="1"/>
  <c r="T2110" i="1"/>
  <c r="T2101" i="1"/>
  <c r="T2092" i="1"/>
  <c r="T2082" i="1"/>
  <c r="T2073" i="1"/>
  <c r="T2064" i="1"/>
  <c r="T2055" i="1"/>
  <c r="T2365" i="1"/>
  <c r="T2356" i="1"/>
  <c r="T2346" i="1"/>
  <c r="T2337" i="1"/>
  <c r="T2328" i="1"/>
  <c r="T2319" i="1"/>
  <c r="T2310" i="1"/>
  <c r="T2301" i="1"/>
  <c r="T2292" i="1"/>
  <c r="T2255" i="1"/>
  <c r="T2246" i="1"/>
  <c r="T2237" i="1"/>
  <c r="T2228" i="1"/>
  <c r="T2218" i="1"/>
  <c r="T2209" i="1"/>
  <c r="T2200" i="1"/>
  <c r="T2191" i="1"/>
  <c r="T2182" i="1"/>
  <c r="T2173" i="1"/>
  <c r="T2164" i="1"/>
  <c r="T2154" i="1"/>
  <c r="T2145" i="1"/>
  <c r="T2136" i="1"/>
  <c r="T2127" i="1"/>
  <c r="T2118" i="1"/>
  <c r="T2109" i="1"/>
  <c r="T2100" i="1"/>
  <c r="T2090" i="1"/>
  <c r="T2081" i="1"/>
  <c r="D2081" i="1" s="1"/>
  <c r="T2072" i="1"/>
  <c r="T2063" i="1"/>
  <c r="T2054" i="1"/>
  <c r="T1748" i="1"/>
  <c r="T1740" i="1"/>
  <c r="T1732" i="1"/>
  <c r="T1724" i="1"/>
  <c r="T1716" i="1"/>
  <c r="T1708" i="1"/>
  <c r="T1700" i="1"/>
  <c r="T2359" i="1"/>
  <c r="T2343" i="1"/>
  <c r="T2327" i="1"/>
  <c r="T2314" i="1"/>
  <c r="T2298" i="1"/>
  <c r="T2286" i="1"/>
  <c r="T2258" i="1"/>
  <c r="T2245" i="1"/>
  <c r="T2233" i="1"/>
  <c r="T2222" i="1"/>
  <c r="T2208" i="1"/>
  <c r="T2197" i="1"/>
  <c r="T2185" i="1"/>
  <c r="T2172" i="1"/>
  <c r="T2160" i="1"/>
  <c r="T2149" i="1"/>
  <c r="T2135" i="1"/>
  <c r="T2124" i="1"/>
  <c r="T2112" i="1"/>
  <c r="T2098" i="1"/>
  <c r="T2087" i="1"/>
  <c r="T2076" i="1"/>
  <c r="T2353" i="1"/>
  <c r="T2341" i="1"/>
  <c r="T2325" i="1"/>
  <c r="T2309" i="1"/>
  <c r="T2296" i="1"/>
  <c r="T2254" i="1"/>
  <c r="T2242" i="1"/>
  <c r="T2231" i="1"/>
  <c r="T2217" i="1"/>
  <c r="T2206" i="1"/>
  <c r="T2194" i="1"/>
  <c r="T2181" i="1"/>
  <c r="T2169" i="1"/>
  <c r="T2158" i="1"/>
  <c r="T2144" i="1"/>
  <c r="T2133" i="1"/>
  <c r="T2121" i="1"/>
  <c r="T2108" i="1"/>
  <c r="T2096" i="1"/>
  <c r="T2085" i="1"/>
  <c r="T2071" i="1"/>
  <c r="T2060" i="1"/>
  <c r="T2049" i="1"/>
  <c r="T1742" i="1"/>
  <c r="T1733"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2368" i="1"/>
  <c r="T2352" i="1"/>
  <c r="T2336" i="1"/>
  <c r="T2324" i="1"/>
  <c r="T2308" i="1"/>
  <c r="T2295" i="1"/>
  <c r="T2253" i="1"/>
  <c r="T2241" i="1"/>
  <c r="T2230" i="1"/>
  <c r="T2216" i="1"/>
  <c r="T2205" i="1"/>
  <c r="T2193" i="1"/>
  <c r="T2180" i="1"/>
  <c r="T2168" i="1"/>
  <c r="T2157" i="1"/>
  <c r="T2143" i="1"/>
  <c r="T2132" i="1"/>
  <c r="T2120" i="1"/>
  <c r="T2106" i="1"/>
  <c r="T2095" i="1"/>
  <c r="T2084" i="1"/>
  <c r="T2070" i="1"/>
  <c r="T2058" i="1"/>
  <c r="T1741"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1535" i="1"/>
  <c r="T1527" i="1"/>
  <c r="T1519" i="1"/>
  <c r="T2364" i="1"/>
  <c r="T2351" i="1"/>
  <c r="T2335" i="1"/>
  <c r="T2322" i="1"/>
  <c r="T2306" i="1"/>
  <c r="T2290" i="1"/>
  <c r="T2263" i="1"/>
  <c r="T2252" i="1"/>
  <c r="T2240" i="1"/>
  <c r="T2226" i="1"/>
  <c r="T2215" i="1"/>
  <c r="T2204" i="1"/>
  <c r="T2190" i="1"/>
  <c r="T2178" i="1"/>
  <c r="T2167" i="1"/>
  <c r="T2153" i="1"/>
  <c r="T2142" i="1"/>
  <c r="T2130" i="1"/>
  <c r="T2117" i="1"/>
  <c r="T2105" i="1"/>
  <c r="T2094" i="1"/>
  <c r="T2080" i="1"/>
  <c r="T2069" i="1"/>
  <c r="T2057"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2362" i="1"/>
  <c r="T2350" i="1"/>
  <c r="T2334" i="1"/>
  <c r="T2318" i="1"/>
  <c r="T2305" i="1"/>
  <c r="T2289" i="1"/>
  <c r="T2262" i="1"/>
  <c r="T2250" i="1"/>
  <c r="T2239" i="1"/>
  <c r="T2225" i="1"/>
  <c r="T2214" i="1"/>
  <c r="T2202" i="1"/>
  <c r="T2189" i="1"/>
  <c r="T2177" i="1"/>
  <c r="T2166" i="1"/>
  <c r="T2152" i="1"/>
  <c r="T2141" i="1"/>
  <c r="T2129" i="1"/>
  <c r="T2116" i="1"/>
  <c r="T2104" i="1"/>
  <c r="T2093" i="1"/>
  <c r="T2079" i="1"/>
  <c r="T2068" i="1"/>
  <c r="T2056" i="1"/>
  <c r="T1747" i="1"/>
  <c r="T1738" i="1"/>
  <c r="T1729" i="1"/>
  <c r="T1720" i="1"/>
  <c r="T1711" i="1"/>
  <c r="T1702" i="1"/>
  <c r="T1693" i="1"/>
  <c r="T1685" i="1"/>
  <c r="T1677" i="1"/>
  <c r="T1669" i="1"/>
  <c r="T1661" i="1"/>
  <c r="T1653" i="1"/>
  <c r="T1645" i="1"/>
  <c r="T1637" i="1"/>
  <c r="T1629" i="1"/>
  <c r="T1621" i="1"/>
  <c r="T1613" i="1"/>
  <c r="T1605" i="1"/>
  <c r="T1597" i="1"/>
  <c r="T1589" i="1"/>
  <c r="T1581" i="1"/>
  <c r="T1573" i="1"/>
  <c r="T1565" i="1"/>
  <c r="T1557" i="1"/>
  <c r="T1549" i="1"/>
  <c r="T1541" i="1"/>
  <c r="T1533" i="1"/>
  <c r="T2342" i="1"/>
  <c r="T2300" i="1"/>
  <c r="T2261" i="1"/>
  <c r="T2232" i="1"/>
  <c r="T2198" i="1"/>
  <c r="T2162" i="1"/>
  <c r="T2134" i="1"/>
  <c r="T2102" i="1"/>
  <c r="T2066" i="1"/>
  <c r="T1746" i="1"/>
  <c r="T1728" i="1"/>
  <c r="T1710" i="1"/>
  <c r="T1692" i="1"/>
  <c r="T1676" i="1"/>
  <c r="T1660" i="1"/>
  <c r="T1644" i="1"/>
  <c r="T1628" i="1"/>
  <c r="T1612" i="1"/>
  <c r="T1596" i="1"/>
  <c r="T1580" i="1"/>
  <c r="T1564" i="1"/>
  <c r="T1548" i="1"/>
  <c r="T1534" i="1"/>
  <c r="T1523" i="1"/>
  <c r="T1514" i="1"/>
  <c r="T1506" i="1"/>
  <c r="T1498" i="1"/>
  <c r="T1490" i="1"/>
  <c r="T1482" i="1"/>
  <c r="T1474" i="1"/>
  <c r="T1466" i="1"/>
  <c r="T1458" i="1"/>
  <c r="T1450" i="1"/>
  <c r="T1442" i="1"/>
  <c r="T1434" i="1"/>
  <c r="T1426" i="1"/>
  <c r="T1394" i="1"/>
  <c r="T1386" i="1"/>
  <c r="T1370" i="1"/>
  <c r="T1362" i="1"/>
  <c r="T1354" i="1"/>
  <c r="T1346" i="1"/>
  <c r="T1338" i="1"/>
  <c r="T1330" i="1"/>
  <c r="T1314" i="1"/>
  <c r="T1306" i="1"/>
  <c r="T1298" i="1"/>
  <c r="T1290" i="1"/>
  <c r="T1282" i="1"/>
  <c r="T1274" i="1"/>
  <c r="T1258" i="1"/>
  <c r="T1250" i="1"/>
  <c r="T1242" i="1"/>
  <c r="T1234" i="1"/>
  <c r="T1226" i="1"/>
  <c r="T1218" i="1"/>
  <c r="T1210" i="1"/>
  <c r="T1194" i="1"/>
  <c r="T1186" i="1"/>
  <c r="T1178" i="1"/>
  <c r="T1169" i="1"/>
  <c r="T1160" i="1"/>
  <c r="T1152" i="1"/>
  <c r="T2333" i="1"/>
  <c r="T2297" i="1"/>
  <c r="T2260" i="1"/>
  <c r="T2224" i="1"/>
  <c r="T2196" i="1"/>
  <c r="T2161" i="1"/>
  <c r="T2126" i="1"/>
  <c r="T2097" i="1"/>
  <c r="T2065" i="1"/>
  <c r="T1745" i="1"/>
  <c r="T1727" i="1"/>
  <c r="T1709" i="1"/>
  <c r="T1691" i="1"/>
  <c r="T1675" i="1"/>
  <c r="T1659" i="1"/>
  <c r="T1643" i="1"/>
  <c r="T1627" i="1"/>
  <c r="T1611" i="1"/>
  <c r="T1595" i="1"/>
  <c r="T1579" i="1"/>
  <c r="T1563" i="1"/>
  <c r="T1547" i="1"/>
  <c r="T1532" i="1"/>
  <c r="T1522" i="1"/>
  <c r="T1513" i="1"/>
  <c r="T1505" i="1"/>
  <c r="T1497" i="1"/>
  <c r="T1489"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2332" i="1"/>
  <c r="T2288" i="1"/>
  <c r="T2257" i="1"/>
  <c r="T2223" i="1"/>
  <c r="T2188" i="1"/>
  <c r="T2159" i="1"/>
  <c r="T2125" i="1"/>
  <c r="T2089" i="1"/>
  <c r="T2062" i="1"/>
  <c r="T1744" i="1"/>
  <c r="T1726" i="1"/>
  <c r="T1707" i="1"/>
  <c r="T1690" i="1"/>
  <c r="T1674" i="1"/>
  <c r="T1658" i="1"/>
  <c r="T1642" i="1"/>
  <c r="T1626" i="1"/>
  <c r="T1610" i="1"/>
  <c r="T1594" i="1"/>
  <c r="T1578" i="1"/>
  <c r="T1562" i="1"/>
  <c r="T1546" i="1"/>
  <c r="T1531" i="1"/>
  <c r="T1521" i="1"/>
  <c r="T1512" i="1"/>
  <c r="T1504" i="1"/>
  <c r="T1496" i="1"/>
  <c r="T1488" i="1"/>
  <c r="T1480"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72" i="1"/>
  <c r="T1264" i="1"/>
  <c r="T1256" i="1"/>
  <c r="T1248" i="1"/>
  <c r="T1240" i="1"/>
  <c r="T1232" i="1"/>
  <c r="T1224" i="1"/>
  <c r="T1216" i="1"/>
  <c r="T2361" i="1"/>
  <c r="T2326" i="1"/>
  <c r="T2287" i="1"/>
  <c r="T2249" i="1"/>
  <c r="T2221" i="1"/>
  <c r="T2186" i="1"/>
  <c r="T2151" i="1"/>
  <c r="T2122" i="1"/>
  <c r="T2088" i="1"/>
  <c r="T2061" i="1"/>
  <c r="T1743" i="1"/>
  <c r="T1725" i="1"/>
  <c r="T1706" i="1"/>
  <c r="T1689" i="1"/>
  <c r="T1673" i="1"/>
  <c r="T1657" i="1"/>
  <c r="T1641" i="1"/>
  <c r="T1625" i="1"/>
  <c r="T1609" i="1"/>
  <c r="T1593" i="1"/>
  <c r="T1577" i="1"/>
  <c r="T1561" i="1"/>
  <c r="T1545" i="1"/>
  <c r="T1530" i="1"/>
  <c r="T1520" i="1"/>
  <c r="T1511" i="1"/>
  <c r="T1503" i="1"/>
  <c r="T1495" i="1"/>
  <c r="T1487" i="1"/>
  <c r="T1479" i="1"/>
  <c r="T1471" i="1"/>
  <c r="T1455" i="1"/>
  <c r="T1447" i="1"/>
  <c r="T1439" i="1"/>
  <c r="T1431" i="1"/>
  <c r="T1423" i="1"/>
  <c r="T1415" i="1"/>
  <c r="T1407" i="1"/>
  <c r="T1399" i="1"/>
  <c r="T1391" i="1"/>
  <c r="T1383" i="1"/>
  <c r="T1375" i="1"/>
  <c r="T1367" i="1"/>
  <c r="T1359" i="1"/>
  <c r="T1343" i="1"/>
  <c r="T1327" i="1"/>
  <c r="T1319" i="1"/>
  <c r="T1311" i="1"/>
  <c r="T1303" i="1"/>
  <c r="T1295" i="1"/>
  <c r="T1287" i="1"/>
  <c r="T1279" i="1"/>
  <c r="T1271" i="1"/>
  <c r="T1263" i="1"/>
  <c r="T1255" i="1"/>
  <c r="T1247" i="1"/>
  <c r="T1239" i="1"/>
  <c r="T1231" i="1"/>
  <c r="T1223" i="1"/>
  <c r="T1215" i="1"/>
  <c r="T2360" i="1"/>
  <c r="T2317" i="1"/>
  <c r="T2248" i="1"/>
  <c r="T2213" i="1"/>
  <c r="T2184" i="1"/>
  <c r="T2150" i="1"/>
  <c r="T2114" i="1"/>
  <c r="T2086" i="1"/>
  <c r="T2053" i="1"/>
  <c r="T1737" i="1"/>
  <c r="T1719" i="1"/>
  <c r="T1701" i="1"/>
  <c r="T1684" i="1"/>
  <c r="T1668" i="1"/>
  <c r="T1652" i="1"/>
  <c r="T1636" i="1"/>
  <c r="T1620" i="1"/>
  <c r="T1604" i="1"/>
  <c r="T1588" i="1"/>
  <c r="T1572" i="1"/>
  <c r="T1556" i="1"/>
  <c r="T1540" i="1"/>
  <c r="T1529" i="1"/>
  <c r="T1518" i="1"/>
  <c r="T1510" i="1"/>
  <c r="T1502" i="1"/>
  <c r="T1494" i="1"/>
  <c r="T1486" i="1"/>
  <c r="T1478" i="1"/>
  <c r="T1470" i="1"/>
  <c r="T1462" i="1"/>
  <c r="T1446" i="1"/>
  <c r="T1438" i="1"/>
  <c r="T1430" i="1"/>
  <c r="T1422" i="1"/>
  <c r="T1414" i="1"/>
  <c r="T1406" i="1"/>
  <c r="T1398" i="1"/>
  <c r="T1382" i="1"/>
  <c r="T1374" i="1"/>
  <c r="T1366" i="1"/>
  <c r="T1358" i="1"/>
  <c r="T1350" i="1"/>
  <c r="T1342" i="1"/>
  <c r="T1334" i="1"/>
  <c r="T1326" i="1"/>
  <c r="T1318" i="1"/>
  <c r="T1310" i="1"/>
  <c r="T1302" i="1"/>
  <c r="T1294" i="1"/>
  <c r="T1286" i="1"/>
  <c r="T1278" i="1"/>
  <c r="T1270" i="1"/>
  <c r="T1262" i="1"/>
  <c r="T1254" i="1"/>
  <c r="T1246" i="1"/>
  <c r="T1214" i="1"/>
  <c r="T1206" i="1"/>
  <c r="T1198" i="1"/>
  <c r="T1190" i="1"/>
  <c r="T1182" i="1"/>
  <c r="T1173" i="1"/>
  <c r="T1165" i="1"/>
  <c r="T1156" i="1"/>
  <c r="T1148" i="1"/>
  <c r="T2354" i="1"/>
  <c r="T2316" i="1"/>
  <c r="T2244" i="1"/>
  <c r="T2212" i="1"/>
  <c r="T2176" i="1"/>
  <c r="T2148" i="1"/>
  <c r="T2113" i="1"/>
  <c r="T2078" i="1"/>
  <c r="T2052" i="1"/>
  <c r="T1736" i="1"/>
  <c r="T1718" i="1"/>
  <c r="T1699" i="1"/>
  <c r="T1683" i="1"/>
  <c r="T1667" i="1"/>
  <c r="T1651" i="1"/>
  <c r="T1635" i="1"/>
  <c r="T1619" i="1"/>
  <c r="T1603" i="1"/>
  <c r="T1587" i="1"/>
  <c r="T1571" i="1"/>
  <c r="T1555" i="1"/>
  <c r="T1539" i="1"/>
  <c r="T1526" i="1"/>
  <c r="T1517" i="1"/>
  <c r="T1509" i="1"/>
  <c r="T1501" i="1"/>
  <c r="T1493" i="1"/>
  <c r="T1485" i="1"/>
  <c r="T1477" i="1"/>
  <c r="T1469" i="1"/>
  <c r="T1461" i="1"/>
  <c r="T1453" i="1"/>
  <c r="T1437" i="1"/>
  <c r="T1429" i="1"/>
  <c r="T1421" i="1"/>
  <c r="T1413" i="1"/>
  <c r="T1405" i="1"/>
  <c r="T1397" i="1"/>
  <c r="T1389" i="1"/>
  <c r="T1381" i="1"/>
  <c r="T1373" i="1"/>
  <c r="T1357" i="1"/>
  <c r="T1349" i="1"/>
  <c r="T1341" i="1"/>
  <c r="T1333" i="1"/>
  <c r="T1325" i="1"/>
  <c r="T1317" i="1"/>
  <c r="T1309" i="1"/>
  <c r="T1301" i="1"/>
  <c r="T1285" i="1"/>
  <c r="T1277" i="1"/>
  <c r="T1269" i="1"/>
  <c r="T1261" i="1"/>
  <c r="T1253" i="1"/>
  <c r="T1245" i="1"/>
  <c r="T1237" i="1"/>
  <c r="T1229" i="1"/>
  <c r="T1221" i="1"/>
  <c r="T2345" i="1"/>
  <c r="T2313" i="1"/>
  <c r="T2236" i="1"/>
  <c r="T2207" i="1"/>
  <c r="T2175" i="1"/>
  <c r="T2140" i="1"/>
  <c r="T2111" i="1"/>
  <c r="T2077" i="1"/>
  <c r="H2077" i="1" s="1"/>
  <c r="P2077" i="1" s="1"/>
  <c r="C2077" i="1" s="1"/>
  <c r="T2051" i="1"/>
  <c r="T1735" i="1"/>
  <c r="T1717" i="1"/>
  <c r="T1698" i="1"/>
  <c r="T1682" i="1"/>
  <c r="T1666" i="1"/>
  <c r="T1650" i="1"/>
  <c r="T1634" i="1"/>
  <c r="T1618" i="1"/>
  <c r="T1602" i="1"/>
  <c r="T1586" i="1"/>
  <c r="T2344" i="1"/>
  <c r="T2304" i="1"/>
  <c r="T2234" i="1"/>
  <c r="T2199" i="1"/>
  <c r="T2170" i="1"/>
  <c r="T2138" i="1"/>
  <c r="T2103" i="1"/>
  <c r="T2074" i="1"/>
  <c r="T2050" i="1"/>
  <c r="T1734" i="1"/>
  <c r="T1715" i="1"/>
  <c r="T1697" i="1"/>
  <c r="T1681" i="1"/>
  <c r="T1665" i="1"/>
  <c r="T1649" i="1"/>
  <c r="T1633" i="1"/>
  <c r="T1617" i="1"/>
  <c r="T1601" i="1"/>
  <c r="T1585" i="1"/>
  <c r="T1569" i="1"/>
  <c r="T1524" i="1"/>
  <c r="T1491" i="1"/>
  <c r="T1459" i="1"/>
  <c r="T1395" i="1"/>
  <c r="T1363" i="1"/>
  <c r="T1331" i="1"/>
  <c r="T1299" i="1"/>
  <c r="T1267" i="1"/>
  <c r="T1235" i="1"/>
  <c r="T1212" i="1"/>
  <c r="T1201" i="1"/>
  <c r="T1191" i="1"/>
  <c r="T1180" i="1"/>
  <c r="T1157" i="1"/>
  <c r="T1138" i="1"/>
  <c r="T1130" i="1"/>
  <c r="T1122" i="1"/>
  <c r="T1114" i="1"/>
  <c r="T1106" i="1"/>
  <c r="T1097" i="1"/>
  <c r="T1089" i="1"/>
  <c r="T1081" i="1"/>
  <c r="T1073" i="1"/>
  <c r="T1065" i="1"/>
  <c r="T1057" i="1"/>
  <c r="T1049" i="1"/>
  <c r="T1041" i="1"/>
  <c r="T1025" i="1"/>
  <c r="T1017" i="1"/>
  <c r="T1009" i="1"/>
  <c r="T1001" i="1"/>
  <c r="T993" i="1"/>
  <c r="T985" i="1"/>
  <c r="T977" i="1"/>
  <c r="T969" i="1"/>
  <c r="T961" i="1"/>
  <c r="T945" i="1"/>
  <c r="T937" i="1"/>
  <c r="T929" i="1"/>
  <c r="T921" i="1"/>
  <c r="T905" i="1"/>
  <c r="T897" i="1"/>
  <c r="T870" i="1"/>
  <c r="T862" i="1"/>
  <c r="T846" i="1"/>
  <c r="T838" i="1"/>
  <c r="T830" i="1"/>
  <c r="T822" i="1"/>
  <c r="T814" i="1"/>
  <c r="T806" i="1"/>
  <c r="T790" i="1"/>
  <c r="T782" i="1"/>
  <c r="T774" i="1"/>
  <c r="T766" i="1"/>
  <c r="T758" i="1"/>
  <c r="T750" i="1"/>
  <c r="T742" i="1"/>
  <c r="T734" i="1"/>
  <c r="T718" i="1"/>
  <c r="T710" i="1"/>
  <c r="T702" i="1"/>
  <c r="T694" i="1"/>
  <c r="T686" i="1"/>
  <c r="T678" i="1"/>
  <c r="T670" i="1"/>
  <c r="T662" i="1"/>
  <c r="T654" i="1"/>
  <c r="T646" i="1"/>
  <c r="T626" i="1"/>
  <c r="T618" i="1"/>
  <c r="T610" i="1"/>
  <c r="T586" i="1"/>
  <c r="T1516" i="1"/>
  <c r="T1484" i="1"/>
  <c r="T1452" i="1"/>
  <c r="T1420" i="1"/>
  <c r="T1388" i="1"/>
  <c r="T1356" i="1"/>
  <c r="T1324" i="1"/>
  <c r="T1292" i="1"/>
  <c r="T1260" i="1"/>
  <c r="T1228" i="1"/>
  <c r="T1211" i="1"/>
  <c r="T1200" i="1"/>
  <c r="T1189" i="1"/>
  <c r="T1179" i="1"/>
  <c r="T1167" i="1"/>
  <c r="T1145" i="1"/>
  <c r="T1137" i="1"/>
  <c r="T1129" i="1"/>
  <c r="T1121" i="1"/>
  <c r="T1113" i="1"/>
  <c r="T1105" i="1"/>
  <c r="T1096" i="1"/>
  <c r="T1088" i="1"/>
  <c r="T1064" i="1"/>
  <c r="T1056" i="1"/>
  <c r="T1048" i="1"/>
  <c r="T1040" i="1"/>
  <c r="T1032" i="1"/>
  <c r="T1024" i="1"/>
  <c r="T1016" i="1"/>
  <c r="T1008" i="1"/>
  <c r="T1000" i="1"/>
  <c r="T992" i="1"/>
  <c r="T984" i="1"/>
  <c r="T976" i="1"/>
  <c r="T968" i="1"/>
  <c r="T960" i="1"/>
  <c r="T952" i="1"/>
  <c r="T944" i="1"/>
  <c r="T936" i="1"/>
  <c r="T928" i="1"/>
  <c r="T920" i="1"/>
  <c r="T912" i="1"/>
  <c r="T904" i="1"/>
  <c r="T896" i="1"/>
  <c r="T877" i="1"/>
  <c r="T869" i="1"/>
  <c r="T861" i="1"/>
  <c r="T853" i="1"/>
  <c r="T845" i="1"/>
  <c r="T837" i="1"/>
  <c r="T821" i="1"/>
  <c r="T813" i="1"/>
  <c r="T805" i="1"/>
  <c r="T797" i="1"/>
  <c r="T789" i="1"/>
  <c r="T781" i="1"/>
  <c r="T773" i="1"/>
  <c r="T765" i="1"/>
  <c r="T757" i="1"/>
  <c r="T749" i="1"/>
  <c r="T741" i="1"/>
  <c r="T733" i="1"/>
  <c r="T725" i="1"/>
  <c r="T717" i="1"/>
  <c r="T709" i="1"/>
  <c r="T701" i="1"/>
  <c r="T693" i="1"/>
  <c r="T685" i="1"/>
  <c r="T677" i="1"/>
  <c r="T669" i="1"/>
  <c r="T661" i="1"/>
  <c r="T653" i="1"/>
  <c r="T625" i="1"/>
  <c r="T617" i="1"/>
  <c r="T609" i="1"/>
  <c r="T601" i="1"/>
  <c r="T593" i="1"/>
  <c r="T585" i="1"/>
  <c r="T1570" i="1"/>
  <c r="T1515" i="1"/>
  <c r="T1483" i="1"/>
  <c r="T1451" i="1"/>
  <c r="T1419" i="1"/>
  <c r="T1387" i="1"/>
  <c r="T1355" i="1"/>
  <c r="T1323" i="1"/>
  <c r="T1291" i="1"/>
  <c r="T1259" i="1"/>
  <c r="T1227" i="1"/>
  <c r="T1209" i="1"/>
  <c r="T1199" i="1"/>
  <c r="T1188" i="1"/>
  <c r="T1177" i="1"/>
  <c r="T1166" i="1"/>
  <c r="T1154" i="1"/>
  <c r="T1144" i="1"/>
  <c r="T1136" i="1"/>
  <c r="T1128" i="1"/>
  <c r="T1120" i="1"/>
  <c r="T1112" i="1"/>
  <c r="T1104" i="1"/>
  <c r="T1095" i="1"/>
  <c r="T1079" i="1"/>
  <c r="T1071" i="1"/>
  <c r="T1063" i="1"/>
  <c r="T1055" i="1"/>
  <c r="T1047" i="1"/>
  <c r="T1039" i="1"/>
  <c r="T1031" i="1"/>
  <c r="T1015" i="1"/>
  <c r="T1007" i="1"/>
  <c r="T999" i="1"/>
  <c r="T991" i="1"/>
  <c r="T983" i="1"/>
  <c r="T975" i="1"/>
  <c r="T967" i="1"/>
  <c r="T959" i="1"/>
  <c r="T951" i="1"/>
  <c r="T943" i="1"/>
  <c r="T935" i="1"/>
  <c r="T927" i="1"/>
  <c r="T919" i="1"/>
  <c r="T911" i="1"/>
  <c r="T903" i="1"/>
  <c r="T895" i="1"/>
  <c r="T876" i="1"/>
  <c r="T868" i="1"/>
  <c r="T860" i="1"/>
  <c r="T852" i="1"/>
  <c r="T844" i="1"/>
  <c r="T836" i="1"/>
  <c r="T828" i="1"/>
  <c r="T820" i="1"/>
  <c r="T812" i="1"/>
  <c r="T804" i="1"/>
  <c r="T796" i="1"/>
  <c r="T780" i="1"/>
  <c r="T772" i="1"/>
  <c r="T764" i="1"/>
  <c r="T756" i="1"/>
  <c r="T748" i="1"/>
  <c r="T740" i="1"/>
  <c r="T732" i="1"/>
  <c r="T724" i="1"/>
  <c r="T716" i="1"/>
  <c r="T708" i="1"/>
  <c r="T700" i="1"/>
  <c r="T692" i="1"/>
  <c r="T684" i="1"/>
  <c r="T676" i="1"/>
  <c r="T668" i="1"/>
  <c r="T660" i="1"/>
  <c r="T652" i="1"/>
  <c r="T633" i="1"/>
  <c r="T624" i="1"/>
  <c r="T616" i="1"/>
  <c r="T608" i="1"/>
  <c r="T600" i="1"/>
  <c r="T592" i="1"/>
  <c r="T1554" i="1"/>
  <c r="T1508" i="1"/>
  <c r="T1476" i="1"/>
  <c r="T1444" i="1"/>
  <c r="T1412" i="1"/>
  <c r="T1380" i="1"/>
  <c r="T1348" i="1"/>
  <c r="T1316" i="1"/>
  <c r="T1284" i="1"/>
  <c r="T1252" i="1"/>
  <c r="T1225" i="1"/>
  <c r="T1208" i="1"/>
  <c r="T1197" i="1"/>
  <c r="T1187" i="1"/>
  <c r="T1175" i="1"/>
  <c r="T1164" i="1"/>
  <c r="T1153" i="1"/>
  <c r="T1143" i="1"/>
  <c r="T1127" i="1"/>
  <c r="T1119" i="1"/>
  <c r="T1103" i="1"/>
  <c r="T1086" i="1"/>
  <c r="T1078" i="1"/>
  <c r="T1070" i="1"/>
  <c r="T1054" i="1"/>
  <c r="T1046" i="1"/>
  <c r="T1038" i="1"/>
  <c r="T1030" i="1"/>
  <c r="T1022" i="1"/>
  <c r="T1014" i="1"/>
  <c r="T1006" i="1"/>
  <c r="T998" i="1"/>
  <c r="T990" i="1"/>
  <c r="T982" i="1"/>
  <c r="T974" i="1"/>
  <c r="T966" i="1"/>
  <c r="T958" i="1"/>
  <c r="T950" i="1"/>
  <c r="T934" i="1"/>
  <c r="T926" i="1"/>
  <c r="T918" i="1"/>
  <c r="T910" i="1"/>
  <c r="T902" i="1"/>
  <c r="T894" i="1"/>
  <c r="T875" i="1"/>
  <c r="T859" i="1"/>
  <c r="T851" i="1"/>
  <c r="T843" i="1"/>
  <c r="T835" i="1"/>
  <c r="T827" i="1"/>
  <c r="T819" i="1"/>
  <c r="T811" i="1"/>
  <c r="T803" i="1"/>
  <c r="T795" i="1"/>
  <c r="T787" i="1"/>
  <c r="T779" i="1"/>
  <c r="T771" i="1"/>
  <c r="T755" i="1"/>
  <c r="T747" i="1"/>
  <c r="T739" i="1"/>
  <c r="T731" i="1"/>
  <c r="T723" i="1"/>
  <c r="T715" i="1"/>
  <c r="T707" i="1"/>
  <c r="T699" i="1"/>
  <c r="T691" i="1"/>
  <c r="T683" i="1"/>
  <c r="T675" i="1"/>
  <c r="T667" i="1"/>
  <c r="T659" i="1"/>
  <c r="T651" i="1"/>
  <c r="T632" i="1"/>
  <c r="T623" i="1"/>
  <c r="T615" i="1"/>
  <c r="T607" i="1"/>
  <c r="T599" i="1"/>
  <c r="T591" i="1"/>
  <c r="T583" i="1"/>
  <c r="T1553" i="1"/>
  <c r="T1507" i="1"/>
  <c r="T1475" i="1"/>
  <c r="T1443" i="1"/>
  <c r="T1411" i="1"/>
  <c r="T1379" i="1"/>
  <c r="T1347" i="1"/>
  <c r="T1315" i="1"/>
  <c r="T1283" i="1"/>
  <c r="T1220" i="1"/>
  <c r="T1207" i="1"/>
  <c r="T1196" i="1"/>
  <c r="T1185" i="1"/>
  <c r="T1174" i="1"/>
  <c r="T1163" i="1"/>
  <c r="T1151" i="1"/>
  <c r="T1142" i="1"/>
  <c r="T1134" i="1"/>
  <c r="T1118" i="1"/>
  <c r="T1110" i="1"/>
  <c r="T1093" i="1"/>
  <c r="T1085" i="1"/>
  <c r="T1077" i="1"/>
  <c r="T1069" i="1"/>
  <c r="T1061" i="1"/>
  <c r="T1053" i="1"/>
  <c r="T1045" i="1"/>
  <c r="T1037" i="1"/>
  <c r="T1029" i="1"/>
  <c r="T1021" i="1"/>
  <c r="T1005" i="1"/>
  <c r="T997" i="1"/>
  <c r="T989" i="1"/>
  <c r="T981" i="1"/>
  <c r="T965" i="1"/>
  <c r="T957" i="1"/>
  <c r="T949" i="1"/>
  <c r="T941" i="1"/>
  <c r="T933" i="1"/>
  <c r="T925" i="1"/>
  <c r="T917" i="1"/>
  <c r="T909" i="1"/>
  <c r="T901" i="1"/>
  <c r="T893" i="1"/>
  <c r="T874" i="1"/>
  <c r="T866" i="1"/>
  <c r="T858" i="1"/>
  <c r="T850" i="1"/>
  <c r="T842" i="1"/>
  <c r="T834" i="1"/>
  <c r="T826" i="1"/>
  <c r="T810" i="1"/>
  <c r="T802" i="1"/>
  <c r="T794" i="1"/>
  <c r="T786" i="1"/>
  <c r="T762" i="1"/>
  <c r="T754" i="1"/>
  <c r="T746" i="1"/>
  <c r="T738" i="1"/>
  <c r="T722" i="1"/>
  <c r="T714" i="1"/>
  <c r="T706" i="1"/>
  <c r="T690" i="1"/>
  <c r="T674" i="1"/>
  <c r="T666" i="1"/>
  <c r="T658" i="1"/>
  <c r="T650" i="1"/>
  <c r="T631" i="1"/>
  <c r="T614" i="1"/>
  <c r="T606" i="1"/>
  <c r="T598" i="1"/>
  <c r="T590" i="1"/>
  <c r="T582" i="1"/>
  <c r="T1538" i="1"/>
  <c r="T1500" i="1"/>
  <c r="T1468" i="1"/>
  <c r="T1404" i="1"/>
  <c r="T1372" i="1"/>
  <c r="T1340" i="1"/>
  <c r="T1276" i="1"/>
  <c r="T1244" i="1"/>
  <c r="T1219" i="1"/>
  <c r="T1205" i="1"/>
  <c r="T1195" i="1"/>
  <c r="T1161" i="1"/>
  <c r="T1150" i="1"/>
  <c r="T1141" i="1"/>
  <c r="T1133" i="1"/>
  <c r="T1125" i="1"/>
  <c r="T1117" i="1"/>
  <c r="T1109" i="1"/>
  <c r="T1101" i="1"/>
  <c r="T1092" i="1"/>
  <c r="T1084" i="1"/>
  <c r="T1076" i="1"/>
  <c r="T1068" i="1"/>
  <c r="T1060" i="1"/>
  <c r="T1044" i="1"/>
  <c r="T1036" i="1"/>
  <c r="T1028" i="1"/>
  <c r="T1020" i="1"/>
  <c r="T1012" i="1"/>
  <c r="T1004" i="1"/>
  <c r="T996" i="1"/>
  <c r="T972" i="1"/>
  <c r="T964" i="1"/>
  <c r="T956" i="1"/>
  <c r="T948" i="1"/>
  <c r="T940" i="1"/>
  <c r="T924" i="1"/>
  <c r="T916" i="1"/>
  <c r="T900" i="1"/>
  <c r="T892" i="1"/>
  <c r="T873" i="1"/>
  <c r="T865" i="1"/>
  <c r="T857" i="1"/>
  <c r="T841" i="1"/>
  <c r="T833" i="1"/>
  <c r="T825" i="1"/>
  <c r="T817" i="1"/>
  <c r="T801" i="1"/>
  <c r="T793" i="1"/>
  <c r="T785" i="1"/>
  <c r="T769" i="1"/>
  <c r="T761" i="1"/>
  <c r="T753" i="1"/>
  <c r="T737" i="1"/>
  <c r="T729" i="1"/>
  <c r="T721" i="1"/>
  <c r="T713" i="1"/>
  <c r="T689" i="1"/>
  <c r="T681" i="1"/>
  <c r="T1537" i="1"/>
  <c r="T1499" i="1"/>
  <c r="T1467" i="1"/>
  <c r="T1435" i="1"/>
  <c r="T1403" i="1"/>
  <c r="T1371" i="1"/>
  <c r="T1339" i="1"/>
  <c r="T1307" i="1"/>
  <c r="T1275" i="1"/>
  <c r="T1243" i="1"/>
  <c r="T1217" i="1"/>
  <c r="T1204" i="1"/>
  <c r="T1183" i="1"/>
  <c r="T1171" i="1"/>
  <c r="T1159" i="1"/>
  <c r="T1149" i="1"/>
  <c r="T1140" i="1"/>
  <c r="T1132" i="1"/>
  <c r="T1124" i="1"/>
  <c r="T1116" i="1"/>
  <c r="T1108" i="1"/>
  <c r="T1100" i="1"/>
  <c r="T1091" i="1"/>
  <c r="T1083" i="1"/>
  <c r="T1075" i="1"/>
  <c r="T1067" i="1"/>
  <c r="T1059" i="1"/>
  <c r="T1051" i="1"/>
  <c r="T1043" i="1"/>
  <c r="T1035" i="1"/>
  <c r="T1027" i="1"/>
  <c r="T1019" i="1"/>
  <c r="T1011" i="1"/>
  <c r="T987" i="1"/>
  <c r="T979" i="1"/>
  <c r="T971" i="1"/>
  <c r="T963" i="1"/>
  <c r="T955" i="1"/>
  <c r="T947" i="1"/>
  <c r="T939" i="1"/>
  <c r="T931" i="1"/>
  <c r="T923" i="1"/>
  <c r="T915" i="1"/>
  <c r="T907" i="1"/>
  <c r="T899" i="1"/>
  <c r="T891" i="1"/>
  <c r="T872" i="1"/>
  <c r="T864" i="1"/>
  <c r="T856" i="1"/>
  <c r="T848" i="1"/>
  <c r="T832" i="1"/>
  <c r="T824" i="1"/>
  <c r="T816" i="1"/>
  <c r="T808" i="1"/>
  <c r="T800" i="1"/>
  <c r="T792" i="1"/>
  <c r="T784" i="1"/>
  <c r="T776" i="1"/>
  <c r="T768" i="1"/>
  <c r="T760" i="1"/>
  <c r="T744" i="1"/>
  <c r="T728" i="1"/>
  <c r="T720" i="1"/>
  <c r="T704" i="1"/>
  <c r="T696" i="1"/>
  <c r="T688" i="1"/>
  <c r="T680" i="1"/>
  <c r="T672" i="1"/>
  <c r="T664" i="1"/>
  <c r="T656" i="1"/>
  <c r="T648" i="1"/>
  <c r="T629" i="1"/>
  <c r="T620" i="1"/>
  <c r="T604" i="1"/>
  <c r="T596" i="1"/>
  <c r="T588" i="1"/>
  <c r="T580" i="1"/>
  <c r="T1525" i="1"/>
  <c r="T1492" i="1"/>
  <c r="T1460" i="1"/>
  <c r="T1428" i="1"/>
  <c r="T1396" i="1"/>
  <c r="T1364" i="1"/>
  <c r="T1332" i="1"/>
  <c r="T1300" i="1"/>
  <c r="T1268" i="1"/>
  <c r="T1236" i="1"/>
  <c r="T1203" i="1"/>
  <c r="T1192" i="1"/>
  <c r="T1181" i="1"/>
  <c r="T1170" i="1"/>
  <c r="T1147" i="1"/>
  <c r="T1139" i="1"/>
  <c r="T1131" i="1"/>
  <c r="T1123" i="1"/>
  <c r="T1107" i="1"/>
  <c r="T1099" i="1"/>
  <c r="T1090" i="1"/>
  <c r="T1082" i="1"/>
  <c r="T1074" i="1"/>
  <c r="T1066" i="1"/>
  <c r="T1058" i="1"/>
  <c r="T1050" i="1"/>
  <c r="T1034" i="1"/>
  <c r="T1026" i="1"/>
  <c r="T1018" i="1"/>
  <c r="T1010" i="1"/>
  <c r="T1002" i="1"/>
  <c r="T994" i="1"/>
  <c r="T986" i="1"/>
  <c r="T978" i="1"/>
  <c r="T970" i="1"/>
  <c r="T954" i="1"/>
  <c r="T946" i="1"/>
  <c r="T938" i="1"/>
  <c r="T930" i="1"/>
  <c r="T914" i="1"/>
  <c r="T906" i="1"/>
  <c r="T890" i="1"/>
  <c r="T871" i="1"/>
  <c r="T863" i="1"/>
  <c r="T807" i="1"/>
  <c r="T679" i="1"/>
  <c r="T647"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799" i="1"/>
  <c r="T735" i="1"/>
  <c r="T630"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5" i="1"/>
  <c r="T791" i="1"/>
  <c r="T727" i="1"/>
  <c r="T671" i="1"/>
  <c r="T628"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7" i="1"/>
  <c r="T783" i="1"/>
  <c r="T621"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39" i="1"/>
  <c r="T775" i="1"/>
  <c r="T711" i="1"/>
  <c r="T663" i="1"/>
  <c r="T619"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1" i="1"/>
  <c r="T767" i="1"/>
  <c r="T703" i="1"/>
  <c r="T657"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3" i="1"/>
  <c r="T695"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5" i="1"/>
  <c r="T751" i="1"/>
  <c r="T687" i="1"/>
  <c r="T649"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25" i="1"/>
  <c r="N1796" i="1"/>
  <c r="N1795" i="1"/>
  <c r="H2014" i="23"/>
  <c r="D1725" i="1"/>
  <c r="D1605" i="1"/>
  <c r="D1635" i="1"/>
  <c r="I1635"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5" i="1"/>
  <c r="E180" i="42"/>
  <c r="G180" i="42" s="1"/>
  <c r="H1789" i="1"/>
  <c r="P1789" i="1" s="1"/>
  <c r="C1789" i="1" s="1"/>
  <c r="H1807" i="1"/>
  <c r="P1807" i="1" s="1"/>
  <c r="C1807" i="1" s="1"/>
  <c r="H1779" i="1"/>
  <c r="P1779" i="1" s="1"/>
  <c r="C1779" i="1" s="1"/>
  <c r="C90" i="33"/>
  <c r="C114" i="41"/>
  <c r="T1862" i="1" s="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3" i="1"/>
  <c r="D2171" i="1" s="1"/>
  <c r="H2171" i="1" s="1"/>
  <c r="P2171" i="1" s="1"/>
  <c r="C2171" i="1" s="1"/>
  <c r="D2154" i="1"/>
  <c r="D2183" i="1" s="1"/>
  <c r="D2180" i="1" s="1"/>
  <c r="D1733" i="1"/>
  <c r="D1715" i="1"/>
  <c r="H1715" i="1" s="1"/>
  <c r="P1715" i="1" s="1"/>
  <c r="C1715" i="1" s="1"/>
  <c r="D1503" i="1"/>
  <c r="H1503" i="1" s="1"/>
  <c r="P1503" i="1" s="1"/>
  <c r="C1503" i="1" s="1"/>
  <c r="D1637" i="1"/>
  <c r="I1637" i="1" s="1"/>
  <c r="D1496" i="1"/>
  <c r="H1496" i="1" s="1"/>
  <c r="P1496" i="1" s="1"/>
  <c r="C1496" i="1" s="1"/>
  <c r="D1639" i="1"/>
  <c r="H1639" i="1" s="1"/>
  <c r="P1639" i="1" s="1"/>
  <c r="C1639" i="1" s="1"/>
  <c r="D1633" i="1"/>
  <c r="I1633" i="1" s="1"/>
  <c r="D1728" i="1"/>
  <c r="D1492" i="1"/>
  <c r="J1492" i="1" s="1"/>
  <c r="J1580" i="1"/>
  <c r="H2092" i="1"/>
  <c r="P2092" i="1" s="1"/>
  <c r="C2092" i="1" s="1"/>
  <c r="D1731" i="1"/>
  <c r="D1664" i="1"/>
  <c r="I1664" i="1" s="1"/>
  <c r="N2097" i="1"/>
  <c r="D2051" i="1"/>
  <c r="N2051" i="1" s="1"/>
  <c r="D1641" i="1"/>
  <c r="H1641" i="1" s="1"/>
  <c r="P1641" i="1" s="1"/>
  <c r="C1641" i="1" s="1"/>
  <c r="H1662" i="1"/>
  <c r="P1662" i="1" s="1"/>
  <c r="C1662" i="1" s="1"/>
  <c r="H1696" i="1"/>
  <c r="P1696" i="1" s="1"/>
  <c r="C1696" i="1" s="1"/>
  <c r="H2068" i="1"/>
  <c r="P2068" i="1" s="1"/>
  <c r="C2068" i="1" s="1"/>
  <c r="D1741" i="1"/>
  <c r="D1631" i="1"/>
  <c r="I1631" i="1" s="1"/>
  <c r="F118" i="42"/>
  <c r="D1591" i="1"/>
  <c r="E192" i="31" s="1"/>
  <c r="B192" i="31" s="1"/>
  <c r="H1695" i="1"/>
  <c r="P1695" i="1" s="1"/>
  <c r="C1695" i="1" s="1"/>
  <c r="D101" i="31"/>
  <c r="D1644" i="1"/>
  <c r="H1644" i="1" s="1"/>
  <c r="P1644" i="1" s="1"/>
  <c r="C1644" i="1" s="1"/>
  <c r="D2038" i="1"/>
  <c r="H2038" i="1" s="1"/>
  <c r="P2038" i="1" s="1"/>
  <c r="C2038" i="1" s="1"/>
  <c r="D1634" i="1"/>
  <c r="H1634" i="1" s="1"/>
  <c r="P1634" i="1" s="1"/>
  <c r="C1634" i="1" s="1"/>
  <c r="D1592" i="1"/>
  <c r="E193" i="31" s="1"/>
  <c r="B193" i="31" s="1"/>
  <c r="N2067" i="1"/>
  <c r="D1608" i="1"/>
  <c r="D1642" i="1"/>
  <c r="H1642" i="1" s="1"/>
  <c r="P1642" i="1" s="1"/>
  <c r="C1642" i="1" s="1"/>
  <c r="H1650" i="1"/>
  <c r="P1650" i="1" s="1"/>
  <c r="C1650" i="1" s="1"/>
  <c r="D244" i="42"/>
  <c r="G133" i="42"/>
  <c r="D158" i="42"/>
  <c r="B77" i="35"/>
  <c r="E131" i="35"/>
  <c r="B131" i="35" s="1"/>
  <c r="E149" i="42"/>
  <c r="G149" i="42" s="1"/>
  <c r="E284" i="42"/>
  <c r="G284" i="42" s="1"/>
  <c r="B148" i="42"/>
  <c r="B71" i="35"/>
  <c r="G118" i="35"/>
  <c r="G71" i="34"/>
  <c r="E93" i="35"/>
  <c r="G93" i="35" s="1"/>
  <c r="J676" i="1"/>
  <c r="D83" i="33"/>
  <c r="D99" i="33"/>
  <c r="E132" i="31"/>
  <c r="G132" i="31" s="1"/>
  <c r="E152" i="31"/>
  <c r="E153" i="31" s="1"/>
  <c r="G153" i="31" s="1"/>
  <c r="K1754" i="1"/>
  <c r="G98" i="31"/>
  <c r="E122" i="42"/>
  <c r="G122" i="42" s="1"/>
  <c r="M676" i="1"/>
  <c r="I676" i="1"/>
  <c r="P2164" i="1"/>
  <c r="C2164" i="1" s="1"/>
  <c r="B274" i="42"/>
  <c r="H1671" i="1"/>
  <c r="P1671" i="1" s="1"/>
  <c r="C1671" i="1" s="1"/>
  <c r="B255" i="42"/>
  <c r="D97" i="33"/>
  <c r="D246" i="42"/>
  <c r="B74" i="34"/>
  <c r="M2163" i="1"/>
  <c r="B171" i="31"/>
  <c r="D102" i="33"/>
  <c r="B132" i="35"/>
  <c r="G132" i="35"/>
  <c r="D2300" i="1"/>
  <c r="E291" i="42" s="1"/>
  <c r="G291" i="42" s="1"/>
  <c r="J985" i="1"/>
  <c r="E190" i="31"/>
  <c r="G190" i="31" s="1"/>
  <c r="G232" i="42"/>
  <c r="I1656" i="1"/>
  <c r="I977" i="1"/>
  <c r="I851" i="1"/>
  <c r="G262" i="42"/>
  <c r="E75" i="35"/>
  <c r="B170" i="31"/>
  <c r="D103" i="33"/>
  <c r="D2042" i="1"/>
  <c r="H1589" i="1"/>
  <c r="P1589" i="1" s="1"/>
  <c r="C1589" i="1" s="1"/>
  <c r="J851" i="1"/>
  <c r="C142" i="31"/>
  <c r="B158" i="31"/>
  <c r="C168" i="42"/>
  <c r="J1541" i="1"/>
  <c r="D101" i="33"/>
  <c r="D79" i="33"/>
  <c r="D114" i="35"/>
  <c r="H1686" i="1"/>
  <c r="P1686" i="1" s="1"/>
  <c r="C1686" i="1" s="1"/>
  <c r="D1742" i="1"/>
  <c r="D82" i="33"/>
  <c r="D98" i="33"/>
  <c r="H1823" i="1"/>
  <c r="P1823" i="1" s="1"/>
  <c r="C1823" i="1" s="1"/>
  <c r="I1630" i="1"/>
  <c r="C240" i="42"/>
  <c r="C191" i="42"/>
  <c r="G136" i="35"/>
  <c r="B136" i="35"/>
  <c r="B107" i="31"/>
  <c r="G107" i="31"/>
  <c r="B116" i="31"/>
  <c r="G116" i="31"/>
  <c r="B273" i="42"/>
  <c r="B81" i="34"/>
  <c r="B231" i="42"/>
  <c r="G140" i="31"/>
  <c r="C109" i="35"/>
  <c r="H1758" i="1"/>
  <c r="P1758" i="1" s="1"/>
  <c r="C1758" i="1" s="1"/>
  <c r="E131" i="42"/>
  <c r="B245" i="42"/>
  <c r="B194" i="31"/>
  <c r="E78" i="33"/>
  <c r="B78" i="33" s="1"/>
  <c r="E166" i="42"/>
  <c r="M2165" i="1"/>
  <c r="D131" i="42"/>
  <c r="I1638" i="1"/>
  <c r="K1767" i="1"/>
  <c r="E283" i="42"/>
  <c r="B283" i="42" s="1"/>
  <c r="B277" i="42"/>
  <c r="B151" i="31"/>
  <c r="E123" i="31"/>
  <c r="G123" i="31" s="1"/>
  <c r="E85" i="34"/>
  <c r="G85" i="34" s="1"/>
  <c r="E112" i="31"/>
  <c r="G112" i="31" s="1"/>
  <c r="G109" i="35"/>
  <c r="G105" i="35"/>
  <c r="E95" i="35"/>
  <c r="G95" i="35" s="1"/>
  <c r="E111" i="31"/>
  <c r="J1538" i="1"/>
  <c r="D132" i="31"/>
  <c r="G243" i="42"/>
  <c r="C206" i="42"/>
  <c r="C143" i="31"/>
  <c r="G174" i="31"/>
  <c r="K1753" i="1"/>
  <c r="C123" i="31"/>
  <c r="D111" i="31"/>
  <c r="C102" i="33"/>
  <c r="B120" i="42"/>
  <c r="G120" i="42"/>
  <c r="D179" i="42"/>
  <c r="C179" i="42"/>
  <c r="B233" i="42"/>
  <c r="C125" i="31"/>
  <c r="D113" i="31"/>
  <c r="E113" i="31"/>
  <c r="B113" i="31" s="1"/>
  <c r="D245" i="42"/>
  <c r="C245" i="42"/>
  <c r="D90" i="35"/>
  <c r="E90" i="35"/>
  <c r="G90" i="35" s="1"/>
  <c r="C103" i="33"/>
  <c r="D2142" i="1"/>
  <c r="N2059" i="1"/>
  <c r="C141" i="31"/>
  <c r="D141" i="31"/>
  <c r="E125" i="31"/>
  <c r="G125" i="31" s="1"/>
  <c r="G295" i="42"/>
  <c r="B295" i="42"/>
  <c r="H2289" i="1"/>
  <c r="P2289" i="1" s="1"/>
  <c r="C2289" i="1" s="1"/>
  <c r="G110" i="31"/>
  <c r="E88" i="35"/>
  <c r="G88" i="35" s="1"/>
  <c r="E129" i="31"/>
  <c r="B129" i="31" s="1"/>
  <c r="E76" i="35"/>
  <c r="H1674" i="1"/>
  <c r="P1674" i="1" s="1"/>
  <c r="C1674" i="1" s="1"/>
  <c r="I1674" i="1"/>
  <c r="P2157" i="1"/>
  <c r="C2157" i="1" s="1"/>
  <c r="M2157" i="1"/>
  <c r="J1535" i="1"/>
  <c r="H1535" i="1"/>
  <c r="P1535" i="1" s="1"/>
  <c r="C1535" i="1" s="1"/>
  <c r="C82" i="33"/>
  <c r="C98" i="33"/>
  <c r="C101" i="33"/>
  <c r="B180" i="31"/>
  <c r="G180" i="31"/>
  <c r="E123" i="35"/>
  <c r="D123" i="35"/>
  <c r="E100" i="35"/>
  <c r="B100" i="35" s="1"/>
  <c r="E108" i="31"/>
  <c r="B108" i="31" s="1"/>
  <c r="D84" i="35"/>
  <c r="D546" i="1"/>
  <c r="E179" i="42"/>
  <c r="G179" i="42" s="1"/>
  <c r="B137" i="35"/>
  <c r="G137" i="35"/>
  <c r="C133" i="35"/>
  <c r="E133" i="35"/>
  <c r="B133" i="35" s="1"/>
  <c r="C107" i="31"/>
  <c r="D107" i="31"/>
  <c r="B97" i="31"/>
  <c r="G97" i="31"/>
  <c r="B304" i="42"/>
  <c r="G304" i="42"/>
  <c r="D222" i="42"/>
  <c r="C222" i="42"/>
  <c r="C145" i="42"/>
  <c r="D145" i="42"/>
  <c r="H1584" i="1"/>
  <c r="P1584" i="1" s="1"/>
  <c r="C1584" i="1" s="1"/>
  <c r="E185" i="31"/>
  <c r="G185" i="31" s="1"/>
  <c r="P2031" i="1"/>
  <c r="C2031" i="1" s="1"/>
  <c r="C2029" i="1"/>
  <c r="D806" i="1"/>
  <c r="R806" i="1" s="1"/>
  <c r="H2153" i="1"/>
  <c r="P2153" i="1" s="1"/>
  <c r="C2153" i="1" s="1"/>
  <c r="G240" i="42"/>
  <c r="N2052" i="1"/>
  <c r="C83" i="33"/>
  <c r="C97" i="33"/>
  <c r="C99" i="33"/>
  <c r="R1166"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178" i="97" s="1"/>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68" i="97" s="1"/>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5" i="97" s="1"/>
  <c r="H833" i="23"/>
  <c r="H186" i="97" s="1"/>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7" i="97" s="1"/>
  <c r="H628" i="23"/>
  <c r="H629" i="23" s="1"/>
  <c r="D2566" i="23"/>
  <c r="D1979" i="1"/>
  <c r="H1979" i="1" s="1"/>
  <c r="E114" i="33"/>
  <c r="G114" i="33" s="1"/>
  <c r="E129" i="33"/>
  <c r="G129" i="33" s="1"/>
  <c r="H1076" i="23"/>
  <c r="H1080" i="23"/>
  <c r="H1211" i="23"/>
  <c r="H2215" i="23"/>
  <c r="H2064" i="23"/>
  <c r="H2065" i="23" s="1"/>
  <c r="H2067" i="23" s="1"/>
  <c r="H2062" i="23"/>
  <c r="H2063" i="23" s="1"/>
  <c r="H2221" i="23"/>
  <c r="H2226" i="23"/>
  <c r="H2061" i="23"/>
  <c r="H2230" i="23"/>
  <c r="H2223" i="23"/>
  <c r="H1219" i="23"/>
  <c r="H1110" i="23"/>
  <c r="H2219" i="23"/>
  <c r="H2210"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2254"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97" i="97"/>
  <c r="H1412" i="23"/>
  <c r="H1403" i="23"/>
  <c r="H1399" i="23"/>
  <c r="E142" i="42"/>
  <c r="E143" i="42" s="1"/>
  <c r="G141" i="42"/>
  <c r="G142" i="42" s="1"/>
  <c r="G143" i="42" s="1"/>
  <c r="B234" i="42"/>
  <c r="G234" i="42"/>
  <c r="B79" i="34"/>
  <c r="G79" i="34"/>
  <c r="G84" i="34"/>
  <c r="B84" i="34"/>
  <c r="M2156" i="1"/>
  <c r="B163" i="42"/>
  <c r="R992" i="1"/>
  <c r="C75" i="35"/>
  <c r="B259" i="42"/>
  <c r="D112" i="31"/>
  <c r="C202" i="42"/>
  <c r="C116" i="42"/>
  <c r="C220" i="42"/>
  <c r="D2232" i="1"/>
  <c r="H2232" i="1" s="1"/>
  <c r="P2232" i="1" s="1"/>
  <c r="C2232" i="1" s="1"/>
  <c r="D239" i="42"/>
  <c r="E116" i="42"/>
  <c r="C150" i="42"/>
  <c r="H1586" i="1"/>
  <c r="P1586" i="1" s="1"/>
  <c r="C1586" i="1" s="1"/>
  <c r="E290" i="42"/>
  <c r="B70" i="35"/>
  <c r="J992" i="1"/>
  <c r="D2208" i="1"/>
  <c r="H2208" i="1" s="1"/>
  <c r="P2208" i="1" s="1"/>
  <c r="C2208" i="1" s="1"/>
  <c r="D172" i="42"/>
  <c r="H1750" i="1"/>
  <c r="P1750" i="1" s="1"/>
  <c r="C1750" i="1" s="1"/>
  <c r="C90" i="35"/>
  <c r="H1761" i="1"/>
  <c r="P1761" i="1" s="1"/>
  <c r="C1761" i="1" s="1"/>
  <c r="B271" i="42"/>
  <c r="E87" i="35"/>
  <c r="K1752" i="1"/>
  <c r="I1668" i="1"/>
  <c r="D129" i="31"/>
  <c r="C118" i="35"/>
  <c r="H2286" i="1"/>
  <c r="P2286" i="1" s="1"/>
  <c r="C2286" i="1" s="1"/>
  <c r="D2227" i="1"/>
  <c r="H2227" i="1" s="1"/>
  <c r="P2227" i="1" s="1"/>
  <c r="C2227" i="1" s="1"/>
  <c r="C147" i="31"/>
  <c r="B163" i="31"/>
  <c r="D118" i="35"/>
  <c r="C140" i="42"/>
  <c r="I1683" i="1"/>
  <c r="E130" i="35"/>
  <c r="B130" i="35" s="1"/>
  <c r="B136" i="31"/>
  <c r="B70" i="34"/>
  <c r="G163" i="42"/>
  <c r="G164" i="42" s="1"/>
  <c r="G165" i="42" s="1"/>
  <c r="G166" i="42" s="1"/>
  <c r="E280" i="42"/>
  <c r="B280" i="42" s="1"/>
  <c r="E137" i="31"/>
  <c r="E138" i="31" s="1"/>
  <c r="G138" i="31" s="1"/>
  <c r="J1534" i="1"/>
  <c r="H1669" i="1"/>
  <c r="P1669" i="1" s="1"/>
  <c r="C1669" i="1" s="1"/>
  <c r="C123" i="35"/>
  <c r="D175" i="42"/>
  <c r="E86" i="35"/>
  <c r="B86" i="35" s="1"/>
  <c r="K1762" i="1"/>
  <c r="J1584" i="1"/>
  <c r="B102" i="31"/>
  <c r="G102" i="31"/>
  <c r="I1665" i="1"/>
  <c r="H1665" i="1"/>
  <c r="P1665" i="1" s="1"/>
  <c r="C1665" i="1" s="1"/>
  <c r="H1632" i="1"/>
  <c r="P1632" i="1" s="1"/>
  <c r="C1632" i="1" s="1"/>
  <c r="I1632" i="1"/>
  <c r="B99" i="35"/>
  <c r="G99" i="35"/>
  <c r="P2169" i="1"/>
  <c r="C2169" i="1" s="1"/>
  <c r="M2169" i="1"/>
  <c r="E159" i="42"/>
  <c r="D2178" i="1"/>
  <c r="D144" i="42"/>
  <c r="C95" i="35"/>
  <c r="E126" i="33"/>
  <c r="D1737" i="1"/>
  <c r="D1590" i="1"/>
  <c r="C87" i="35"/>
  <c r="D188" i="42"/>
  <c r="C203" i="42"/>
  <c r="B183" i="31"/>
  <c r="B157" i="31"/>
  <c r="B167" i="31"/>
  <c r="D2054" i="1"/>
  <c r="H2054" i="1" s="1"/>
  <c r="P2054" i="1" s="1"/>
  <c r="C2054" i="1" s="1"/>
  <c r="D106" i="35"/>
  <c r="D112" i="35"/>
  <c r="C233" i="42"/>
  <c r="D214" i="42"/>
  <c r="I1697" i="1"/>
  <c r="I1662" i="1"/>
  <c r="D88" i="35"/>
  <c r="D76" i="34"/>
  <c r="F107" i="31"/>
  <c r="D193" i="42"/>
  <c r="C164" i="42"/>
  <c r="D136" i="42"/>
  <c r="C163" i="42"/>
  <c r="H1705" i="1"/>
  <c r="P1705" i="1" s="1"/>
  <c r="C1705" i="1" s="1"/>
  <c r="D1607" i="1"/>
  <c r="H2086" i="1"/>
  <c r="P2086" i="1" s="1"/>
  <c r="C2086" i="1" s="1"/>
  <c r="E101" i="31"/>
  <c r="K2003" i="1"/>
  <c r="D1663" i="1"/>
  <c r="F94" i="31"/>
  <c r="C77" i="35"/>
  <c r="D105" i="31"/>
  <c r="C139" i="42"/>
  <c r="C71" i="34"/>
  <c r="B159" i="31"/>
  <c r="E106" i="35"/>
  <c r="D212" i="42"/>
  <c r="E120" i="35"/>
  <c r="G120" i="35" s="1"/>
  <c r="I1688" i="1"/>
  <c r="D1678" i="1"/>
  <c r="G101" i="35"/>
  <c r="D102" i="31"/>
  <c r="D1677" i="1"/>
  <c r="G244" i="42"/>
  <c r="D1494" i="1"/>
  <c r="C102" i="31"/>
  <c r="D148" i="42"/>
  <c r="C218" i="42"/>
  <c r="C157" i="42"/>
  <c r="C135" i="31"/>
  <c r="D1606" i="1"/>
  <c r="E84" i="35"/>
  <c r="N2087" i="1"/>
  <c r="H1675" i="1"/>
  <c r="P1675" i="1" s="1"/>
  <c r="C1675" i="1" s="1"/>
  <c r="H1682" i="1"/>
  <c r="P1682" i="1" s="1"/>
  <c r="C1682" i="1" s="1"/>
  <c r="G195" i="31"/>
  <c r="D133" i="31"/>
  <c r="C127" i="31"/>
  <c r="C178" i="42"/>
  <c r="C148" i="42"/>
  <c r="H1643" i="1"/>
  <c r="P1643" i="1" s="1"/>
  <c r="C1643" i="1" s="1"/>
  <c r="D1660" i="1"/>
  <c r="H1660" i="1" s="1"/>
  <c r="P1660" i="1" s="1"/>
  <c r="C1660" i="1" s="1"/>
  <c r="I1700" i="1"/>
  <c r="D85" i="34"/>
  <c r="C95" i="31"/>
  <c r="E111" i="35"/>
  <c r="F108" i="31"/>
  <c r="E113" i="35"/>
  <c r="G113" i="35" s="1"/>
  <c r="D242" i="42"/>
  <c r="G303" i="42"/>
  <c r="C122" i="42"/>
  <c r="D216" i="42"/>
  <c r="F109" i="31"/>
  <c r="D1645" i="1"/>
  <c r="I1645" i="1" s="1"/>
  <c r="D163" i="42"/>
  <c r="D1501" i="1"/>
  <c r="C113" i="35"/>
  <c r="K1760" i="1"/>
  <c r="E95" i="31"/>
  <c r="B95" i="31" s="1"/>
  <c r="D126" i="31"/>
  <c r="B185" i="42"/>
  <c r="C130" i="35"/>
  <c r="D159" i="42"/>
  <c r="B261" i="42"/>
  <c r="F68" i="34"/>
  <c r="B184" i="42"/>
  <c r="H1680" i="1"/>
  <c r="P1680" i="1" s="1"/>
  <c r="C1680" i="1" s="1"/>
  <c r="D111" i="35"/>
  <c r="D140" i="31"/>
  <c r="C189" i="42"/>
  <c r="C194" i="42"/>
  <c r="C108" i="31"/>
  <c r="D229" i="42"/>
  <c r="C201" i="42"/>
  <c r="G618" i="1"/>
  <c r="B276" i="42"/>
  <c r="D2303" i="1"/>
  <c r="H2303" i="1" s="1"/>
  <c r="P2303" i="1" s="1"/>
  <c r="C2303" i="1" s="1"/>
  <c r="H2287" i="1"/>
  <c r="P2287" i="1" s="1"/>
  <c r="C2287" i="1" s="1"/>
  <c r="K1765" i="1"/>
  <c r="H1765" i="1"/>
  <c r="P1765" i="1" s="1"/>
  <c r="C1765"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44" i="1"/>
  <c r="I535" i="1"/>
  <c r="N536" i="1"/>
  <c r="I536" i="1"/>
  <c r="D545" i="1"/>
  <c r="J1536" i="1"/>
  <c r="H1536" i="1"/>
  <c r="P1536" i="1" s="1"/>
  <c r="C1536" i="1" s="1"/>
  <c r="H1540" i="1"/>
  <c r="P1540" i="1" s="1"/>
  <c r="C1540" i="1" s="1"/>
  <c r="J1540" i="1"/>
  <c r="D77" i="35"/>
  <c r="C128" i="42"/>
  <c r="K216" i="97"/>
  <c r="H2202" i="1"/>
  <c r="P2202" i="1" s="1"/>
  <c r="C2202" i="1" s="1"/>
  <c r="B150" i="33"/>
  <c r="C93" i="35"/>
  <c r="E128" i="42"/>
  <c r="D105" i="35"/>
  <c r="D86" i="35"/>
  <c r="C114" i="35"/>
  <c r="I613" i="1"/>
  <c r="E76" i="34"/>
  <c r="D133" i="35"/>
  <c r="D71" i="34"/>
  <c r="C131" i="31"/>
  <c r="D149" i="31"/>
  <c r="D100" i="35"/>
  <c r="E144" i="42"/>
  <c r="B144" i="42" s="1"/>
  <c r="B107" i="35"/>
  <c r="G107" i="35"/>
  <c r="G230" i="42"/>
  <c r="B230" i="42"/>
  <c r="M2166"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70" i="1"/>
  <c r="H1670" i="1"/>
  <c r="P1670" i="1" s="1"/>
  <c r="C1670" i="1" s="1"/>
  <c r="D1722" i="1"/>
  <c r="H2285" i="1"/>
  <c r="P2285" i="1" s="1"/>
  <c r="C2285" i="1" s="1"/>
  <c r="E85" i="35"/>
  <c r="C211" i="42"/>
  <c r="P2032" i="1"/>
  <c r="C2032" i="1" s="1"/>
  <c r="I1718" i="1"/>
  <c r="H1718" i="1"/>
  <c r="P1718" i="1" s="1"/>
  <c r="C1718"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35" i="1"/>
  <c r="N535" i="1"/>
  <c r="P2167" i="1"/>
  <c r="C2167" i="1" s="1"/>
  <c r="M2167" i="1"/>
  <c r="K1764" i="1"/>
  <c r="H1764" i="1"/>
  <c r="P1764" i="1" s="1"/>
  <c r="C1764" i="1" s="1"/>
  <c r="H2304" i="1"/>
  <c r="P2304" i="1" s="1"/>
  <c r="C2304" i="1" s="1"/>
  <c r="H2305" i="1"/>
  <c r="P2305" i="1" s="1"/>
  <c r="C2305" i="1" s="1"/>
  <c r="E296" i="42"/>
  <c r="B123" i="42"/>
  <c r="G96" i="31"/>
  <c r="D846" i="1"/>
  <c r="I846" i="1" s="1"/>
  <c r="I847"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689" i="1"/>
  <c r="I1681" i="1"/>
  <c r="D1738" i="1"/>
  <c r="D1739" i="1" s="1"/>
  <c r="D1740" i="1" s="1"/>
  <c r="M2168" i="1"/>
  <c r="P2168" i="1"/>
  <c r="C2168" i="1" s="1"/>
  <c r="E289" i="42"/>
  <c r="G75" i="34"/>
  <c r="B92" i="31"/>
  <c r="M2155" i="1"/>
  <c r="B141" i="42"/>
  <c r="E91" i="35"/>
  <c r="C200" i="42"/>
  <c r="C73" i="35"/>
  <c r="C160" i="42"/>
  <c r="E112" i="35"/>
  <c r="D148" i="31"/>
  <c r="C148" i="31"/>
  <c r="C136" i="31"/>
  <c r="D136" i="31"/>
  <c r="G242" i="42"/>
  <c r="B242" i="42"/>
  <c r="C235" i="42"/>
  <c r="D235" i="42"/>
  <c r="C209" i="42"/>
  <c r="C197" i="42"/>
  <c r="C187" i="42"/>
  <c r="E97" i="35"/>
  <c r="D97" i="35"/>
  <c r="D72" i="35"/>
  <c r="E72" i="35"/>
  <c r="I537" i="1"/>
  <c r="N537" i="1"/>
  <c r="J537" i="1"/>
  <c r="H1537" i="1"/>
  <c r="P1537" i="1" s="1"/>
  <c r="C1537" i="1" s="1"/>
  <c r="J1537" i="1"/>
  <c r="J1543" i="1"/>
  <c r="H1543" i="1"/>
  <c r="P1543" i="1" s="1"/>
  <c r="C1543" i="1" s="1"/>
  <c r="I1667" i="1"/>
  <c r="H1667" i="1"/>
  <c r="P1667" i="1" s="1"/>
  <c r="C1667" i="1" s="1"/>
  <c r="P2158" i="1"/>
  <c r="C2158" i="1" s="1"/>
  <c r="M2158" i="1"/>
  <c r="E127" i="42"/>
  <c r="E156" i="42"/>
  <c r="C236" i="42"/>
  <c r="H1681" i="1"/>
  <c r="P1681" i="1" s="1"/>
  <c r="C1681"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583" i="1"/>
  <c r="P1583" i="1" s="1"/>
  <c r="C1583" i="1" s="1"/>
  <c r="J1583" i="1"/>
  <c r="J1502" i="1"/>
  <c r="H1502" i="1"/>
  <c r="P1502" i="1" s="1"/>
  <c r="C1502" i="1" s="1"/>
  <c r="I1647" i="1"/>
  <c r="H1647" i="1"/>
  <c r="P1647" i="1" s="1"/>
  <c r="C1647" i="1" s="1"/>
  <c r="K1768" i="1"/>
  <c r="H1768" i="1"/>
  <c r="P1768" i="1" s="1"/>
  <c r="C1768" i="1" s="1"/>
  <c r="D156" i="42"/>
  <c r="J1586" i="1"/>
  <c r="D180" i="42"/>
  <c r="D138" i="31"/>
  <c r="C78" i="34"/>
  <c r="C91" i="35"/>
  <c r="E94" i="35"/>
  <c r="E135" i="35"/>
  <c r="D135" i="35"/>
  <c r="B166" i="31"/>
  <c r="G166" i="31"/>
  <c r="D130" i="31"/>
  <c r="C119" i="31"/>
  <c r="D119" i="31"/>
  <c r="D232" i="42"/>
  <c r="C232" i="42"/>
  <c r="D185" i="42"/>
  <c r="B114" i="35"/>
  <c r="G114" i="35"/>
  <c r="P2005" i="1"/>
  <c r="C2005" i="1" s="1"/>
  <c r="H2057" i="1"/>
  <c r="P2057" i="1" s="1"/>
  <c r="C2057" i="1" s="1"/>
  <c r="N2057" i="1"/>
  <c r="K992" i="1"/>
  <c r="L992" i="1"/>
  <c r="I992" i="1"/>
  <c r="E146" i="31"/>
  <c r="C146" i="31"/>
  <c r="C93" i="31"/>
  <c r="E93" i="31"/>
  <c r="D241" i="42"/>
  <c r="C241" i="42"/>
  <c r="C161" i="42"/>
  <c r="D161" i="42"/>
  <c r="C117" i="35"/>
  <c r="E117" i="35"/>
  <c r="E125" i="42"/>
  <c r="C125" i="42"/>
  <c r="O354" i="1"/>
  <c r="N354" i="1"/>
  <c r="H2059" i="1"/>
  <c r="P2059" i="1" s="1"/>
  <c r="C2059" i="1" s="1"/>
  <c r="B270" i="42"/>
  <c r="D146" i="31"/>
  <c r="C75" i="34"/>
  <c r="D75" i="34"/>
  <c r="G160" i="31"/>
  <c r="B160" i="31"/>
  <c r="C134" i="31"/>
  <c r="D134" i="31"/>
  <c r="E109" i="31"/>
  <c r="C109" i="31"/>
  <c r="P1720" i="1"/>
  <c r="C1720" i="1" s="1"/>
  <c r="B169" i="31"/>
  <c r="G169" i="31"/>
  <c r="C223" i="42"/>
  <c r="D223" i="42"/>
  <c r="C199" i="42"/>
  <c r="D199" i="42"/>
  <c r="C169" i="42"/>
  <c r="D169" i="42"/>
  <c r="C134" i="42"/>
  <c r="D134" i="42"/>
  <c r="E134" i="42"/>
  <c r="H1766" i="1"/>
  <c r="P1766" i="1" s="1"/>
  <c r="C1766" i="1" s="1"/>
  <c r="K1766" i="1"/>
  <c r="C84" i="34"/>
  <c r="D84" i="34"/>
  <c r="E77" i="34"/>
  <c r="C77" i="34"/>
  <c r="D181" i="42"/>
  <c r="C181" i="42"/>
  <c r="D98" i="35"/>
  <c r="E98" i="35"/>
  <c r="J1493" i="1"/>
  <c r="H1493" i="1"/>
  <c r="P1493" i="1" s="1"/>
  <c r="C1493" i="1" s="1"/>
  <c r="P2162" i="1"/>
  <c r="C2162" i="1" s="1"/>
  <c r="J536" i="1"/>
  <c r="D109" i="35"/>
  <c r="D120" i="35"/>
  <c r="E96" i="33"/>
  <c r="G96" i="33" s="1"/>
  <c r="D1976" i="1"/>
  <c r="H1976" i="1" s="1"/>
  <c r="D1974" i="1"/>
  <c r="E97" i="33" s="1"/>
  <c r="G97" i="33" s="1"/>
  <c r="D1972" i="1"/>
  <c r="E95" i="33" s="1"/>
  <c r="G95" i="33" s="1"/>
  <c r="H1970" i="1"/>
  <c r="P1970" i="1" s="1"/>
  <c r="C1970" i="1" s="1"/>
  <c r="E93" i="33"/>
  <c r="G93" i="33" s="1"/>
  <c r="D1971" i="1"/>
  <c r="E94" i="33" s="1"/>
  <c r="G94" i="33" s="1"/>
  <c r="D1989" i="1"/>
  <c r="H1989" i="1" s="1"/>
  <c r="L1989" i="1" s="1"/>
  <c r="D1990" i="1"/>
  <c r="H1990" i="1" s="1"/>
  <c r="P1990" i="1" s="1"/>
  <c r="C1990" i="1" s="1"/>
  <c r="E110" i="33"/>
  <c r="B110" i="33" s="1"/>
  <c r="K1987" i="1"/>
  <c r="H1987" i="1"/>
  <c r="P1987" i="1" s="1"/>
  <c r="C1987" i="1" s="1"/>
  <c r="E104" i="33"/>
  <c r="G104" i="33" s="1"/>
  <c r="D1984" i="1"/>
  <c r="H1984" i="1" s="1"/>
  <c r="L1984" i="1" s="1"/>
  <c r="L1988" i="1"/>
  <c r="P1988" i="1"/>
  <c r="C1988" i="1" s="1"/>
  <c r="D1975" i="1"/>
  <c r="H1973" i="1"/>
  <c r="E130" i="33"/>
  <c r="B130" i="33" s="1"/>
  <c r="E133" i="33"/>
  <c r="G133" i="33" s="1"/>
  <c r="E81" i="33"/>
  <c r="D1959" i="1"/>
  <c r="E135" i="33"/>
  <c r="B135" i="33" s="1"/>
  <c r="E139" i="33"/>
  <c r="G139" i="33" s="1"/>
  <c r="P2016" i="1"/>
  <c r="C2016" i="1" s="1"/>
  <c r="E131" i="33"/>
  <c r="P2008" i="1"/>
  <c r="C2008" i="1" s="1"/>
  <c r="H1981" i="1"/>
  <c r="P1981" i="1" s="1"/>
  <c r="C1981" i="1" s="1"/>
  <c r="L27" i="1"/>
  <c r="L28" i="1" s="1"/>
  <c r="L53" i="1"/>
  <c r="L248" i="1"/>
  <c r="L326" i="1"/>
  <c r="L777" i="1"/>
  <c r="D1980" i="1"/>
  <c r="H1997" i="1"/>
  <c r="P1997" i="1" s="1"/>
  <c r="C1997" i="1" s="1"/>
  <c r="L1445" i="1"/>
  <c r="L413" i="1"/>
  <c r="P2015" i="1"/>
  <c r="C2015" i="1" s="1"/>
  <c r="P2007" i="1"/>
  <c r="C2007" i="1" s="1"/>
  <c r="C101" i="18"/>
  <c r="E1957" i="1" s="1"/>
  <c r="L101" i="18"/>
  <c r="D101" i="18"/>
  <c r="L98" i="18"/>
  <c r="D98" i="18"/>
  <c r="C98" i="18"/>
  <c r="E1956" i="1" s="1"/>
  <c r="P2025" i="1"/>
  <c r="C2025" i="1" s="1"/>
  <c r="P2018" i="1"/>
  <c r="C2018" i="1" s="1"/>
  <c r="P2030" i="1"/>
  <c r="E134" i="33"/>
  <c r="D1964" i="1"/>
  <c r="D1963" i="1"/>
  <c r="E86" i="33" s="1"/>
  <c r="G86" i="33" s="1"/>
  <c r="D2046" i="1"/>
  <c r="E84" i="33"/>
  <c r="G84" i="33" s="1"/>
  <c r="H1961" i="1"/>
  <c r="P1961" i="1" s="1"/>
  <c r="C1961" i="1" s="1"/>
  <c r="D1962" i="1"/>
  <c r="H1962" i="1" s="1"/>
  <c r="L1158" i="1"/>
  <c r="L2284" i="1"/>
  <c r="P2012" i="1"/>
  <c r="C2012" i="1" s="1"/>
  <c r="L829" i="1"/>
  <c r="L1238" i="1"/>
  <c r="L1831" i="1"/>
  <c r="L2321" i="1"/>
  <c r="H2321" i="1" s="1"/>
  <c r="P2321" i="1" s="1"/>
  <c r="C2321" i="1" s="1"/>
  <c r="D1978" i="1"/>
  <c r="L302" i="1"/>
  <c r="L1958" i="1"/>
  <c r="L75" i="1"/>
  <c r="L376" i="1"/>
  <c r="L849" i="1"/>
  <c r="L1266" i="1"/>
  <c r="L2335" i="1"/>
  <c r="H2335" i="1" s="1"/>
  <c r="P2335" i="1" s="1"/>
  <c r="C2335" i="1" s="1"/>
  <c r="E141" i="33"/>
  <c r="E138" i="33"/>
  <c r="L1970" i="1"/>
  <c r="L134" i="1"/>
  <c r="L396" i="1"/>
  <c r="L854" i="1"/>
  <c r="L1402" i="1"/>
  <c r="L1977" i="1"/>
  <c r="L142" i="1"/>
  <c r="L473" i="1"/>
  <c r="L932" i="1"/>
  <c r="L933" i="1" s="1"/>
  <c r="L1481" i="1"/>
  <c r="L1991" i="1"/>
  <c r="L152" i="1"/>
  <c r="L655" i="1"/>
  <c r="L1033" i="1"/>
  <c r="L1749" i="1"/>
  <c r="L2152" i="1"/>
  <c r="H2152" i="1" s="1"/>
  <c r="P2152" i="1" s="1"/>
  <c r="D1769" i="1"/>
  <c r="D150" i="97" s="1"/>
  <c r="L1997" i="1"/>
  <c r="L164" i="1"/>
  <c r="L665" i="1"/>
  <c r="L683" i="1" s="1"/>
  <c r="L1080" i="1"/>
  <c r="L2241" i="1"/>
  <c r="H2241" i="1" s="1"/>
  <c r="P2241" i="1" s="1"/>
  <c r="L18" i="1"/>
  <c r="L213" i="1"/>
  <c r="L726" i="1"/>
  <c r="L727" i="1" s="1"/>
  <c r="L1126" i="1"/>
  <c r="G49" i="35"/>
  <c r="B49" i="35"/>
  <c r="B24" i="42"/>
  <c r="G293" i="42"/>
  <c r="B293" i="42"/>
  <c r="E268" i="42"/>
  <c r="H2275" i="1"/>
  <c r="P2275" i="1" s="1"/>
  <c r="C2275" i="1" s="1"/>
  <c r="B31" i="35"/>
  <c r="J1521" i="1"/>
  <c r="H1521" i="1"/>
  <c r="P1521" i="1" s="1"/>
  <c r="C1521" i="1" s="1"/>
  <c r="H2301" i="1"/>
  <c r="P2301" i="1" s="1"/>
  <c r="C2301" i="1" s="1"/>
  <c r="E292" i="42"/>
  <c r="E287" i="42"/>
  <c r="E281" i="42"/>
  <c r="H2290" i="1"/>
  <c r="P2290" i="1" s="1"/>
  <c r="C2290" i="1" s="1"/>
  <c r="E299" i="42"/>
  <c r="H2308" i="1"/>
  <c r="P2308" i="1" s="1"/>
  <c r="C2308" i="1" s="1"/>
  <c r="B286" i="42"/>
  <c r="G286" i="42"/>
  <c r="G67" i="42"/>
  <c r="B67" i="42"/>
  <c r="G25" i="42"/>
  <c r="B25" i="42"/>
  <c r="E266" i="42"/>
  <c r="D2274" i="1"/>
  <c r="H2288" i="1"/>
  <c r="P2288" i="1" s="1"/>
  <c r="C2288" i="1" s="1"/>
  <c r="E279" i="42"/>
  <c r="M2170" i="1"/>
  <c r="P2170" i="1"/>
  <c r="C2170" i="1" s="1"/>
  <c r="B29" i="31"/>
  <c r="G29" i="31"/>
  <c r="H2053" i="1"/>
  <c r="P2053" i="1" s="1"/>
  <c r="C2053" i="1" s="1"/>
  <c r="N2053" i="1"/>
  <c r="G15" i="35"/>
  <c r="B15" i="35"/>
  <c r="G76" i="42"/>
  <c r="B76" i="42"/>
  <c r="B278" i="42"/>
  <c r="G278" i="42"/>
  <c r="B64" i="31"/>
  <c r="G25" i="31"/>
  <c r="B25" i="31"/>
  <c r="G16" i="35"/>
  <c r="B16" i="35"/>
  <c r="G108" i="42"/>
  <c r="B108" i="42"/>
  <c r="H2307" i="1"/>
  <c r="P2307" i="1" s="1"/>
  <c r="C2307" i="1" s="1"/>
  <c r="E298" i="42"/>
  <c r="E288" i="42"/>
  <c r="G83" i="31"/>
  <c r="B83" i="31"/>
  <c r="G58" i="34"/>
  <c r="B58" i="34"/>
  <c r="G74" i="42"/>
  <c r="B74" i="42"/>
  <c r="B20" i="33"/>
  <c r="G20" i="33"/>
  <c r="B30" i="35"/>
  <c r="G30" i="35"/>
  <c r="B120" i="31"/>
  <c r="G120" i="31"/>
  <c r="D1519" i="1"/>
  <c r="D1520" i="1"/>
  <c r="H1518" i="1"/>
  <c r="P1518" i="1" s="1"/>
  <c r="C1518" i="1" s="1"/>
  <c r="B74" i="35"/>
  <c r="G74" i="35"/>
  <c r="G50" i="31"/>
  <c r="B50" i="31"/>
  <c r="G10" i="35"/>
  <c r="G88" i="42"/>
  <c r="B88" i="42"/>
  <c r="B75" i="33"/>
  <c r="G75" i="33"/>
  <c r="B44" i="33"/>
  <c r="G44" i="33"/>
  <c r="G18" i="34"/>
  <c r="G34" i="35"/>
  <c r="B34" i="35"/>
  <c r="B48" i="31"/>
  <c r="G48" i="31"/>
  <c r="G28" i="42"/>
  <c r="B28" i="42"/>
  <c r="N2125" i="1"/>
  <c r="H2125" i="1"/>
  <c r="P2125" i="1" s="1"/>
  <c r="C2125" i="1" s="1"/>
  <c r="D2291"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302" i="1"/>
  <c r="P2302" i="1" s="1"/>
  <c r="C2302" i="1" s="1"/>
  <c r="H2295" i="1"/>
  <c r="P2295" i="1" s="1"/>
  <c r="C2295" i="1" s="1"/>
  <c r="D2306" i="1"/>
  <c r="G35" i="35"/>
  <c r="B92" i="35"/>
  <c r="G95" i="42"/>
  <c r="B95" i="42"/>
  <c r="B62" i="42"/>
  <c r="G62" i="42"/>
  <c r="G46" i="35"/>
  <c r="G15" i="34"/>
  <c r="B15" i="34"/>
  <c r="G37" i="34"/>
  <c r="B37" i="34"/>
  <c r="G74" i="33"/>
  <c r="B74" i="33"/>
  <c r="B65" i="33"/>
  <c r="G65" i="33"/>
  <c r="G11" i="42"/>
  <c r="D2160" i="1"/>
  <c r="B21" i="34"/>
  <c r="G21" i="34"/>
  <c r="G63" i="34"/>
  <c r="B63" i="34"/>
  <c r="B16" i="34"/>
  <c r="G16" i="34"/>
  <c r="B53" i="34"/>
  <c r="D134" i="35"/>
  <c r="E134" i="35"/>
  <c r="C134" i="35"/>
  <c r="C71" i="61"/>
  <c r="FM184" i="16"/>
  <c r="N229" i="70"/>
  <c r="F69" i="61"/>
  <c r="C74" i="61" s="1"/>
  <c r="E2186" i="1" s="1"/>
  <c r="D2186" i="1" s="1"/>
  <c r="H2186" i="1" s="1"/>
  <c r="P2186" i="1" s="1"/>
  <c r="C2186" i="1" s="1"/>
  <c r="E135" i="42"/>
  <c r="D135" i="42"/>
  <c r="C135" i="42"/>
  <c r="D152" i="42"/>
  <c r="E152" i="42"/>
  <c r="C152" i="42"/>
  <c r="D74" i="35"/>
  <c r="C74" i="35"/>
  <c r="BG72" i="70"/>
  <c r="D134" i="70"/>
  <c r="BS182" i="16"/>
  <c r="AY182" i="16"/>
  <c r="AY184" i="16" s="1"/>
  <c r="AA182" i="16"/>
  <c r="AA184" i="16" s="1"/>
  <c r="H1687" i="1"/>
  <c r="P1687" i="1" s="1"/>
  <c r="C1687" i="1" s="1"/>
  <c r="I1687"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1999"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42" i="1"/>
  <c r="P1542" i="1" s="1"/>
  <c r="C1542" i="1" s="1"/>
  <c r="J1542" i="1"/>
  <c r="H1958" i="1"/>
  <c r="D1960" i="1"/>
  <c r="K1759" i="1"/>
  <c r="H1759" i="1"/>
  <c r="P1759" i="1" s="1"/>
  <c r="C1759" i="1" s="1"/>
  <c r="C115" i="31"/>
  <c r="EE184" i="16"/>
  <c r="H2235" i="23"/>
  <c r="H2232" i="23"/>
  <c r="H2233" i="23" s="1"/>
  <c r="H2231"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19" i="1"/>
  <c r="H2019" i="1" s="1"/>
  <c r="E146" i="33"/>
  <c r="D2001" i="1"/>
  <c r="E120" i="33"/>
  <c r="D1998" i="1"/>
  <c r="D2000" i="1"/>
  <c r="D2004" i="1"/>
  <c r="H2004" i="1" s="1"/>
  <c r="S182" i="16"/>
  <c r="S184" i="16" s="1"/>
  <c r="I2258" i="1"/>
  <c r="H2258" i="1"/>
  <c r="P2258" i="1" s="1"/>
  <c r="C2258" i="1" s="1"/>
  <c r="ED182" i="16"/>
  <c r="ED184" i="16" s="1"/>
  <c r="CV341" i="20"/>
  <c r="D2093" i="1"/>
  <c r="N2105" i="1"/>
  <c r="D2143" i="1"/>
  <c r="D2154" i="23"/>
  <c r="H2047"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504" i="1"/>
  <c r="F111" i="31"/>
  <c r="D1497" i="1"/>
  <c r="F97" i="31"/>
  <c r="D1596" i="1"/>
  <c r="H1684" i="1"/>
  <c r="P1684" i="1" s="1"/>
  <c r="C1684" i="1" s="1"/>
  <c r="I1684" i="1"/>
  <c r="D2132" i="1"/>
  <c r="D2129" i="1" s="1"/>
  <c r="D2050"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685" i="1"/>
  <c r="H1685" i="1"/>
  <c r="P1685" i="1" s="1"/>
  <c r="C1685" i="1" s="1"/>
  <c r="D1708" i="1"/>
  <c r="I1707" i="1"/>
  <c r="M810" i="1"/>
  <c r="N810" i="1"/>
  <c r="N674" i="1"/>
  <c r="M674" i="1"/>
  <c r="H2046" i="23"/>
  <c r="H2054" i="23" s="1"/>
  <c r="D1588" i="1"/>
  <c r="D207" i="42"/>
  <c r="D55" i="31"/>
  <c r="H1714" i="23"/>
  <c r="H1713" i="23"/>
  <c r="G98" i="42"/>
  <c r="B98" i="42"/>
  <c r="GJ182" i="16"/>
  <c r="GJ184" i="16" s="1"/>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03" i="1"/>
  <c r="P2203" i="1" s="1"/>
  <c r="C2203" i="1" s="1"/>
  <c r="D2204" i="1"/>
  <c r="H2204" i="1" s="1"/>
  <c r="P2204" i="1" s="1"/>
  <c r="C2204" i="1" s="1"/>
  <c r="N851" i="1"/>
  <c r="M851" i="1"/>
  <c r="CN341" i="20"/>
  <c r="D2076" i="1"/>
  <c r="D1604" i="1"/>
  <c r="C73" i="34"/>
  <c r="C70" i="31"/>
  <c r="D12" i="34"/>
  <c r="N2070"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73" i="1"/>
  <c r="H1673" i="1"/>
  <c r="P1673" i="1" s="1"/>
  <c r="C1673" i="1" s="1"/>
  <c r="D1710" i="1"/>
  <c r="D1711" i="1"/>
  <c r="H1709" i="1"/>
  <c r="P1709" i="1" s="1"/>
  <c r="C1709" i="1" s="1"/>
  <c r="F122" i="42"/>
  <c r="D1713" i="1"/>
  <c r="N963" i="1"/>
  <c r="M963" i="1"/>
  <c r="D2055" i="1"/>
  <c r="D2140" i="1"/>
  <c r="D1587"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00" i="1"/>
  <c r="H1500" i="1"/>
  <c r="P1500" i="1" s="1"/>
  <c r="C1500" i="1" s="1"/>
  <c r="EN184" i="16"/>
  <c r="D2161" i="1"/>
  <c r="I354" i="1"/>
  <c r="Q996" i="1"/>
  <c r="C113" i="31"/>
  <c r="D155" i="42"/>
  <c r="H1495" i="1"/>
  <c r="P1495" i="1" s="1"/>
  <c r="C1495" i="1" s="1"/>
  <c r="D109" i="31"/>
  <c r="M575" i="1"/>
  <c r="D152" i="31"/>
  <c r="D49" i="35"/>
  <c r="C108" i="42"/>
  <c r="D49" i="34"/>
  <c r="D2071" i="1"/>
  <c r="E111" i="33"/>
  <c r="G111" i="33" s="1"/>
  <c r="K1988"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45" i="1" s="1"/>
  <c r="EF182" i="16"/>
  <c r="D27" i="92"/>
  <c r="C105" i="35"/>
  <c r="C150" i="31"/>
  <c r="D49" i="31"/>
  <c r="K1755" i="1"/>
  <c r="H2122" i="1"/>
  <c r="P2122" i="1" s="1"/>
  <c r="C2122" i="1" s="1"/>
  <c r="N2122"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13" i="1" s="1"/>
  <c r="D1603" i="1"/>
  <c r="D1505" i="1"/>
  <c r="J1498" i="1"/>
  <c r="H1498" i="1"/>
  <c r="P1498" i="1" s="1"/>
  <c r="C1498" i="1" s="1"/>
  <c r="E1636" i="1"/>
  <c r="L84" i="17"/>
  <c r="D1661" i="1"/>
  <c r="D1659" i="1"/>
  <c r="H1658" i="1"/>
  <c r="P1658" i="1" s="1"/>
  <c r="C1658" i="1" s="1"/>
  <c r="I1658" i="1"/>
  <c r="D1716" i="1"/>
  <c r="D1640" i="1"/>
  <c r="H1751" i="1"/>
  <c r="P1751" i="1" s="1"/>
  <c r="C1751" i="1" s="1"/>
  <c r="K1751" i="1"/>
  <c r="Q830" i="1"/>
  <c r="N830" i="1"/>
  <c r="N683" i="1"/>
  <c r="H2060" i="1"/>
  <c r="P2060" i="1" s="1"/>
  <c r="C2060" i="1" s="1"/>
  <c r="N2060"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996" i="1"/>
  <c r="L996" i="1"/>
  <c r="D2058" i="1"/>
  <c r="D2137" i="1"/>
  <c r="M354" i="1"/>
  <c r="C140" i="31"/>
  <c r="C137" i="42"/>
  <c r="E130" i="42"/>
  <c r="H610" i="23"/>
  <c r="H615" i="23"/>
  <c r="H1676" i="1"/>
  <c r="P1676" i="1" s="1"/>
  <c r="C1676" i="1" s="1"/>
  <c r="I1676"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996" i="1"/>
  <c r="H1704" i="1"/>
  <c r="P1704" i="1" s="1"/>
  <c r="C1704" i="1" s="1"/>
  <c r="I1704" i="1"/>
  <c r="F123" i="42"/>
  <c r="D1714" i="1"/>
  <c r="H1977" i="1"/>
  <c r="E100" i="33"/>
  <c r="D2175" i="1"/>
  <c r="H2159" i="1"/>
  <c r="H2198" i="1"/>
  <c r="P2198" i="1" s="1"/>
  <c r="C2198" i="1" s="1"/>
  <c r="D2224" i="1"/>
  <c r="H2224" i="1" s="1"/>
  <c r="P2224" i="1" s="1"/>
  <c r="C2224" i="1" s="1"/>
  <c r="EG182" i="16"/>
  <c r="EG184" i="16" s="1"/>
  <c r="D2244" i="1" s="1"/>
  <c r="K1763" i="1"/>
  <c r="H1763" i="1"/>
  <c r="P1763" i="1" s="1"/>
  <c r="C1763" i="1" s="1"/>
  <c r="BM69" i="61"/>
  <c r="GE182" i="16"/>
  <c r="GE184" i="16" s="1"/>
  <c r="EP95" i="16"/>
  <c r="G199" i="31"/>
  <c r="B199" i="31"/>
  <c r="D122" i="35"/>
  <c r="E122" i="35"/>
  <c r="CC307" i="70"/>
  <c r="BI307" i="70"/>
  <c r="AQ307" i="70"/>
  <c r="AI307" i="70"/>
  <c r="BY229" i="70"/>
  <c r="S229" i="70"/>
  <c r="C70" i="35"/>
  <c r="D70" i="35"/>
  <c r="CA134" i="70"/>
  <c r="FH95" i="16"/>
  <c r="FH184" i="16" s="1"/>
  <c r="CD182" i="16"/>
  <c r="N914" i="1"/>
  <c r="M914" i="1"/>
  <c r="DC182" i="16"/>
  <c r="M890" i="1"/>
  <c r="N890" i="1"/>
  <c r="D661" i="1"/>
  <c r="M656" i="1"/>
  <c r="CM341" i="20"/>
  <c r="D2074"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46" i="1"/>
  <c r="P1646" i="1" s="1"/>
  <c r="C1646" i="1" s="1"/>
  <c r="I1646" i="1"/>
  <c r="D1648" i="1"/>
  <c r="D1649" i="1"/>
  <c r="D1985" i="1"/>
  <c r="D1982" i="1"/>
  <c r="D1986" i="1"/>
  <c r="D1983" i="1"/>
  <c r="EF95" i="16"/>
  <c r="DG341" i="20"/>
  <c r="D2091" i="1"/>
  <c r="DA341" i="20"/>
  <c r="D2084" i="1"/>
  <c r="CT307" i="70"/>
  <c r="BO307" i="70"/>
  <c r="CJ307" i="70"/>
  <c r="CQ229" i="70"/>
  <c r="D1651" i="1"/>
  <c r="D1652"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93" i="1" s="1"/>
  <c r="BL69" i="61"/>
  <c r="D2219" i="1" s="1"/>
  <c r="H2219" i="1" s="1"/>
  <c r="P2219" i="1" s="1"/>
  <c r="C2219" i="1" s="1"/>
  <c r="H743" i="23"/>
  <c r="H758" i="23"/>
  <c r="H753" i="23"/>
  <c r="H756" i="23"/>
  <c r="H755" i="23"/>
  <c r="H757" i="23"/>
  <c r="H1965" i="1"/>
  <c r="D1966" i="1"/>
  <c r="D1969" i="1"/>
  <c r="D1967" i="1"/>
  <c r="K612" i="1"/>
  <c r="K745" i="1"/>
  <c r="K244" i="1"/>
  <c r="K1410" i="1"/>
  <c r="K1481" i="1"/>
  <c r="K1402" i="1"/>
  <c r="K1293" i="1"/>
  <c r="K1202" i="1"/>
  <c r="K1126" i="1"/>
  <c r="K1042" i="1"/>
  <c r="K1013" i="1"/>
  <c r="K942" i="1"/>
  <c r="K943" i="1" s="1"/>
  <c r="K854" i="1"/>
  <c r="K778" i="1"/>
  <c r="K730" i="1"/>
  <c r="K673" i="1"/>
  <c r="K574" i="1"/>
  <c r="K485" i="1"/>
  <c r="K409" i="1"/>
  <c r="K307" i="1"/>
  <c r="K234" i="1"/>
  <c r="K156" i="1"/>
  <c r="K1087" i="1"/>
  <c r="K1790" i="1"/>
  <c r="H1790" i="1" s="1"/>
  <c r="P1790" i="1" s="1"/>
  <c r="C1790" i="1" s="1"/>
  <c r="H1772" i="1"/>
  <c r="C1772" i="1" s="1"/>
  <c r="K1821" i="1"/>
  <c r="H1821" i="1" s="1"/>
  <c r="P1821" i="1" s="1"/>
  <c r="C1821" i="1" s="1"/>
  <c r="K1782" i="1"/>
  <c r="H1782" i="1" s="1"/>
  <c r="H173" i="97" s="1"/>
  <c r="K1251" i="1"/>
  <c r="K1222" i="1"/>
  <c r="K1193" i="1"/>
  <c r="K1158" i="1"/>
  <c r="K1135" i="1"/>
  <c r="K1111" i="1"/>
  <c r="K1072" i="1"/>
  <c r="K829" i="1"/>
  <c r="K798" i="1"/>
  <c r="K777" i="1"/>
  <c r="K759" i="1"/>
  <c r="K736" i="1"/>
  <c r="K719" i="1"/>
  <c r="K698" i="1"/>
  <c r="K205" i="1"/>
  <c r="K174" i="1"/>
  <c r="K152" i="1"/>
  <c r="K125" i="1"/>
  <c r="K92" i="1"/>
  <c r="K18" i="1"/>
  <c r="K1172" i="1"/>
  <c r="K1811" i="1"/>
  <c r="H1811" i="1" s="1"/>
  <c r="P1811" i="1" s="1"/>
  <c r="C1811" i="1" s="1"/>
  <c r="K1463" i="1"/>
  <c r="K1390" i="1"/>
  <c r="K1213" i="1"/>
  <c r="K1146" i="1"/>
  <c r="K1033" i="1"/>
  <c r="K867" i="1"/>
  <c r="K868" i="1" s="1"/>
  <c r="K752" i="1"/>
  <c r="K705" i="1"/>
  <c r="K645" i="1"/>
  <c r="K550" i="1"/>
  <c r="K473" i="1"/>
  <c r="K317" i="1"/>
  <c r="K256" i="1"/>
  <c r="K1801" i="1"/>
  <c r="H1801" i="1" s="1"/>
  <c r="P1801" i="1" s="1"/>
  <c r="C1801" i="1" s="1"/>
  <c r="K1436" i="1"/>
  <c r="K1230" i="1"/>
  <c r="K1155" i="1"/>
  <c r="K1115" i="1"/>
  <c r="K840" i="1"/>
  <c r="K655" i="1"/>
  <c r="K594" i="1"/>
  <c r="K465" i="1"/>
  <c r="K376" i="1"/>
  <c r="K326" i="1"/>
  <c r="K291" i="1"/>
  <c r="K213" i="1"/>
  <c r="K142" i="1"/>
  <c r="K1094" i="1"/>
  <c r="K1098" i="1" s="1"/>
  <c r="K1266" i="1"/>
  <c r="K1184" i="1"/>
  <c r="K682" i="1"/>
  <c r="K495" i="1"/>
  <c r="K413" i="1"/>
  <c r="K356" i="1"/>
  <c r="K363" i="1" s="1"/>
  <c r="K248" i="1"/>
  <c r="K164" i="1"/>
  <c r="K134" i="1"/>
  <c r="K1308" i="1"/>
  <c r="K1052" i="1"/>
  <c r="K526" i="1"/>
  <c r="K448" i="1"/>
  <c r="K274" i="1"/>
  <c r="K196" i="1"/>
  <c r="K1814" i="1"/>
  <c r="K1817" i="1" s="1"/>
  <c r="K1786" i="1"/>
  <c r="H1786" i="1" s="1"/>
  <c r="P1786" i="1" s="1"/>
  <c r="C1786" i="1" s="1"/>
  <c r="K1445" i="1"/>
  <c r="K1238" i="1"/>
  <c r="K1003" i="1"/>
  <c r="K973" i="1"/>
  <c r="K932" i="1"/>
  <c r="K933" i="1" s="1"/>
  <c r="K898" i="1"/>
  <c r="K849" i="1"/>
  <c r="K726" i="1"/>
  <c r="K665" i="1"/>
  <c r="K396" i="1"/>
  <c r="K1756" i="1"/>
  <c r="K1797" i="1"/>
  <c r="H1797" i="1" s="1"/>
  <c r="P1797" i="1" s="1"/>
  <c r="C1797" i="1" s="1"/>
  <c r="K1378" i="1"/>
  <c r="K1023" i="1"/>
  <c r="K953" i="1"/>
  <c r="K788" i="1"/>
  <c r="K584" i="1"/>
  <c r="K109" i="1"/>
  <c r="K45" i="1"/>
  <c r="K1794" i="1"/>
  <c r="H1794" i="1" s="1"/>
  <c r="H175" i="97" s="1"/>
  <c r="K1454" i="1"/>
  <c r="K1365" i="1"/>
  <c r="K1168" i="1"/>
  <c r="K1102" i="1"/>
  <c r="K37" i="1"/>
  <c r="K1351" i="1"/>
  <c r="K1080" i="1"/>
  <c r="K566" i="1"/>
  <c r="K302" i="1"/>
  <c r="K224" i="1"/>
  <c r="K75" i="1"/>
  <c r="K27" i="1"/>
  <c r="K1778" i="1"/>
  <c r="H1778" i="1" s="1"/>
  <c r="P1778" i="1" s="1"/>
  <c r="C1778" i="1" s="1"/>
  <c r="K1335" i="1"/>
  <c r="K995" i="1"/>
  <c r="K922" i="1"/>
  <c r="K770" i="1"/>
  <c r="K1775" i="1"/>
  <c r="H1775" i="1" s="1"/>
  <c r="P1775" i="1" s="1"/>
  <c r="C1775" i="1" s="1"/>
  <c r="K1427" i="1"/>
  <c r="K1322" i="1"/>
  <c r="K1062" i="1"/>
  <c r="K988" i="1"/>
  <c r="K913" i="1"/>
  <c r="K763" i="1"/>
  <c r="K712" i="1"/>
  <c r="K534" i="1"/>
  <c r="K456" i="1"/>
  <c r="K283" i="1"/>
  <c r="K67" i="1"/>
  <c r="K1828" i="1"/>
  <c r="H1828" i="1" s="1"/>
  <c r="P1828" i="1" s="1"/>
  <c r="C1828" i="1" s="1"/>
  <c r="K1769" i="1"/>
  <c r="K1418" i="1"/>
  <c r="K980" i="1"/>
  <c r="K908" i="1"/>
  <c r="K818" i="1"/>
  <c r="K622" i="1"/>
  <c r="K627" i="1" s="1"/>
  <c r="K339" i="1"/>
  <c r="K63" i="1"/>
  <c r="K14" i="1"/>
  <c r="K809" i="1"/>
  <c r="K602" i="1"/>
  <c r="K513" i="1"/>
  <c r="K431" i="1"/>
  <c r="K335" i="1"/>
  <c r="K266" i="1"/>
  <c r="K188" i="1"/>
  <c r="K53" i="1"/>
  <c r="K1805" i="1"/>
  <c r="H1805" i="1" s="1"/>
  <c r="P1805" i="1" s="1"/>
  <c r="C1805" i="1" s="1"/>
  <c r="K1472" i="1"/>
  <c r="K1280" i="1"/>
  <c r="K962" i="1"/>
  <c r="K889" i="1"/>
  <c r="K743" i="1"/>
  <c r="K697" i="1"/>
  <c r="K505" i="1"/>
  <c r="K421" i="1"/>
  <c r="K117" i="1"/>
  <c r="K215"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00" i="1"/>
  <c r="D1798" i="1"/>
  <c r="D1799" i="1"/>
  <c r="F24" i="108"/>
  <c r="D114" i="115" s="1"/>
  <c r="C114" i="115" s="1"/>
  <c r="F29" i="108"/>
  <c r="D119" i="115" s="1"/>
  <c r="C119" i="115" s="1"/>
  <c r="H278" i="23"/>
  <c r="D2040" i="1"/>
  <c r="D1992" i="1"/>
  <c r="H1991" i="1"/>
  <c r="D54" i="115"/>
  <c r="D45" i="115"/>
  <c r="H747" i="23"/>
  <c r="H1393" i="23"/>
  <c r="H1409" i="23"/>
  <c r="H1413" i="23"/>
  <c r="H1394" i="23"/>
  <c r="H1396" i="23"/>
  <c r="H1395" i="23"/>
  <c r="H1405" i="23"/>
  <c r="L1202" i="1"/>
  <c r="H1408" i="23"/>
  <c r="H1411" i="23"/>
  <c r="AE2" i="96"/>
  <c r="D21" i="23"/>
  <c r="H1401" i="23"/>
  <c r="H1398" i="23"/>
  <c r="H1410" i="23"/>
  <c r="H1201" i="23"/>
  <c r="L1961" i="1"/>
  <c r="L125" i="1"/>
  <c r="L196" i="1"/>
  <c r="L274" i="1"/>
  <c r="L1052" i="1"/>
  <c r="L1308" i="1"/>
  <c r="L2315" i="1"/>
  <c r="H2315" i="1" s="1"/>
  <c r="P2315" i="1" s="1"/>
  <c r="H309" i="23"/>
  <c r="L745" i="1"/>
  <c r="L2311" i="1"/>
  <c r="H2311" i="1" s="1"/>
  <c r="L612" i="1"/>
  <c r="L2314" i="1"/>
  <c r="H2314" i="1" s="1"/>
  <c r="L2310" i="1"/>
  <c r="L2312" i="1"/>
  <c r="H2312" i="1" s="1"/>
  <c r="P2312" i="1" s="1"/>
  <c r="C2312" i="1" s="1"/>
  <c r="L1094" i="1"/>
  <c r="L244" i="1"/>
  <c r="L1436" i="1"/>
  <c r="L1335" i="1"/>
  <c r="L1230" i="1"/>
  <c r="L1155" i="1"/>
  <c r="L1072" i="1"/>
  <c r="L973" i="1"/>
  <c r="L898" i="1"/>
  <c r="L809" i="1"/>
  <c r="L752" i="1"/>
  <c r="L698" i="1"/>
  <c r="L602" i="1"/>
  <c r="L513" i="1"/>
  <c r="L431" i="1"/>
  <c r="L335" i="1"/>
  <c r="L266" i="1"/>
  <c r="L188" i="1"/>
  <c r="L117" i="1"/>
  <c r="L1490" i="1"/>
  <c r="H1490" i="1" s="1"/>
  <c r="H184" i="97" s="1"/>
  <c r="L2252" i="1"/>
  <c r="H2252" i="1" s="1"/>
  <c r="P2252" i="1" s="1"/>
  <c r="L2049" i="1"/>
  <c r="H2049" i="1" s="1"/>
  <c r="P2049" i="1" s="1"/>
  <c r="L2349" i="1"/>
  <c r="H2349" i="1" s="1"/>
  <c r="P2349" i="1" s="1"/>
  <c r="C2349" i="1" s="1"/>
  <c r="L2233" i="1"/>
  <c r="H2233" i="1" s="1"/>
  <c r="P2233" i="1" s="1"/>
  <c r="L673" i="1"/>
  <c r="L645" i="1"/>
  <c r="L594" i="1"/>
  <c r="L566" i="1"/>
  <c r="L526" i="1"/>
  <c r="L495" i="1"/>
  <c r="L465" i="1"/>
  <c r="L45" i="1"/>
  <c r="L1987" i="1"/>
  <c r="L1957" i="1"/>
  <c r="L1087" i="1"/>
  <c r="L1172" i="1"/>
  <c r="L1410" i="1"/>
  <c r="L2263" i="1"/>
  <c r="H2263" i="1" s="1"/>
  <c r="H176" i="97" s="1"/>
  <c r="L1629" i="1"/>
  <c r="H1629" i="1" s="1"/>
  <c r="L1351" i="1"/>
  <c r="L1293" i="1"/>
  <c r="L1184" i="1"/>
  <c r="L1115" i="1"/>
  <c r="L1003" i="1"/>
  <c r="L942" i="1"/>
  <c r="L943" i="1" s="1"/>
  <c r="L840" i="1"/>
  <c r="L798" i="1"/>
  <c r="L682" i="1"/>
  <c r="L448" i="1"/>
  <c r="L356" i="1"/>
  <c r="L291" i="1"/>
  <c r="L224" i="1"/>
  <c r="L156" i="1"/>
  <c r="L157" i="1" s="1"/>
  <c r="L158" i="1" s="1"/>
  <c r="L2313" i="1"/>
  <c r="H2313" i="1" s="1"/>
  <c r="P2313" i="1" s="1"/>
  <c r="C2313" i="1" s="1"/>
  <c r="L1965" i="1"/>
  <c r="L14" i="1"/>
  <c r="L37" i="1"/>
  <c r="L63" i="1"/>
  <c r="L92" i="1"/>
  <c r="L234" i="1"/>
  <c r="L307" i="1"/>
  <c r="L339" i="1"/>
  <c r="L409" i="1"/>
  <c r="L485" i="1"/>
  <c r="L574" i="1"/>
  <c r="L622" i="1"/>
  <c r="L627" i="1" s="1"/>
  <c r="L705" i="1"/>
  <c r="L730" i="1"/>
  <c r="L759" i="1"/>
  <c r="L778" i="1"/>
  <c r="L818" i="1"/>
  <c r="L908" i="1"/>
  <c r="L980" i="1"/>
  <c r="L1013" i="1"/>
  <c r="L1102" i="1"/>
  <c r="L1135" i="1"/>
  <c r="L1168" i="1"/>
  <c r="L1213" i="1"/>
  <c r="L1251" i="1"/>
  <c r="L1365" i="1"/>
  <c r="L1418" i="1"/>
  <c r="L1454" i="1"/>
  <c r="L1491" i="1"/>
  <c r="H1491" i="1" s="1"/>
  <c r="P1491" i="1" s="1"/>
  <c r="L2185" i="1"/>
  <c r="H2185" i="1" s="1"/>
  <c r="P2185" i="1" s="1"/>
  <c r="C2185" i="1" s="1"/>
  <c r="L2320" i="1"/>
  <c r="H2320" i="1" s="1"/>
  <c r="H348" i="23"/>
  <c r="L1973" i="1"/>
  <c r="L67" i="1"/>
  <c r="L109" i="1"/>
  <c r="L205" i="1"/>
  <c r="L283" i="1"/>
  <c r="L317" i="1"/>
  <c r="L456" i="1"/>
  <c r="L534" i="1"/>
  <c r="L584" i="1"/>
  <c r="L712" i="1"/>
  <c r="L736" i="1"/>
  <c r="L763" i="1"/>
  <c r="L788" i="1"/>
  <c r="L867" i="1"/>
  <c r="L868" i="1" s="1"/>
  <c r="L913" i="1"/>
  <c r="L953" i="1"/>
  <c r="L988" i="1"/>
  <c r="L1023" i="1"/>
  <c r="L1062" i="1"/>
  <c r="L1111" i="1"/>
  <c r="L1146" i="1"/>
  <c r="L1222" i="1"/>
  <c r="L1322" i="1"/>
  <c r="L1378" i="1"/>
  <c r="L1427" i="1"/>
  <c r="L1463" i="1"/>
  <c r="D1794" i="1"/>
  <c r="D175" i="97" s="1"/>
  <c r="L1042" i="1"/>
  <c r="L1098" i="1" s="1"/>
  <c r="L1955" i="1"/>
  <c r="L1981" i="1"/>
  <c r="L174" i="1"/>
  <c r="L256" i="1"/>
  <c r="L421" i="1"/>
  <c r="L505" i="1"/>
  <c r="L550" i="1"/>
  <c r="L697" i="1"/>
  <c r="L719" i="1"/>
  <c r="L743" i="1"/>
  <c r="L770" i="1"/>
  <c r="L889" i="1"/>
  <c r="L922" i="1"/>
  <c r="L962" i="1"/>
  <c r="L995" i="1"/>
  <c r="L1193" i="1"/>
  <c r="L1280" i="1"/>
  <c r="L1390" i="1"/>
  <c r="L1472" i="1"/>
  <c r="N613" i="1"/>
  <c r="M613" i="1"/>
  <c r="H2058" i="23" l="1"/>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76" i="1"/>
  <c r="L1162" i="1"/>
  <c r="K1176" i="1"/>
  <c r="K1162" i="1"/>
  <c r="E181" i="31"/>
  <c r="G181" i="31" s="1"/>
  <c r="H2085" i="1"/>
  <c r="P2085" i="1" s="1"/>
  <c r="C2085" i="1" s="1"/>
  <c r="K360" i="1"/>
  <c r="K361" i="1"/>
  <c r="J1518" i="1"/>
  <c r="H2073" i="1"/>
  <c r="P2073" i="1" s="1"/>
  <c r="C2073" i="1" s="1"/>
  <c r="G207" i="42"/>
  <c r="B215" i="42"/>
  <c r="H1861" i="1"/>
  <c r="DG184" i="16"/>
  <c r="D1529" i="1" s="1"/>
  <c r="FL184" i="16"/>
  <c r="H1840" i="23"/>
  <c r="H1843" i="23" s="1"/>
  <c r="BN184" i="16"/>
  <c r="BT184" i="16"/>
  <c r="B57" i="42"/>
  <c r="H878" i="1"/>
  <c r="P878" i="1" s="1"/>
  <c r="C878" i="1" s="1"/>
  <c r="H1044" i="23"/>
  <c r="GC184" i="16"/>
  <c r="AM184" i="16"/>
  <c r="BS184" i="16"/>
  <c r="H1719" i="23"/>
  <c r="CC184" i="16"/>
  <c r="FY184" i="16"/>
  <c r="AG184" i="16"/>
  <c r="L638" i="1"/>
  <c r="L643" i="1"/>
  <c r="L640" i="1"/>
  <c r="L637" i="1"/>
  <c r="L635" i="1"/>
  <c r="L639" i="1"/>
  <c r="L642" i="1"/>
  <c r="L644" i="1"/>
  <c r="L636" i="1"/>
  <c r="L641" i="1"/>
  <c r="GN184" i="16"/>
  <c r="H1818" i="1"/>
  <c r="D1818" i="1"/>
  <c r="E176" i="42" s="1"/>
  <c r="G176" i="42" s="1"/>
  <c r="D39" i="113"/>
  <c r="D40" i="113"/>
  <c r="D38" i="113"/>
  <c r="N2124" i="1"/>
  <c r="H2088" i="1"/>
  <c r="P2088" i="1" s="1"/>
  <c r="C2088" i="1" s="1"/>
  <c r="N2089" i="1"/>
  <c r="H1871" i="1"/>
  <c r="H104" i="97" s="1"/>
  <c r="D2270" i="1"/>
  <c r="H1873" i="1"/>
  <c r="K639" i="1"/>
  <c r="K636" i="1"/>
  <c r="K642" i="1"/>
  <c r="K635" i="1"/>
  <c r="K644" i="1"/>
  <c r="K643" i="1"/>
  <c r="H634" i="1"/>
  <c r="K638" i="1"/>
  <c r="K641" i="1"/>
  <c r="K637" i="1"/>
  <c r="K640" i="1"/>
  <c r="H1849" i="1"/>
  <c r="H94" i="97" s="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1774" i="23"/>
  <c r="H1775" i="23"/>
  <c r="H1779" i="23"/>
  <c r="H1765" i="23"/>
  <c r="H1762" i="23"/>
  <c r="H1776" i="23"/>
  <c r="H1777" i="23" s="1"/>
  <c r="H496" i="23"/>
  <c r="H501" i="23" s="1"/>
  <c r="H504" i="23" s="1"/>
  <c r="H1768" i="23"/>
  <c r="H1769" i="23" s="1"/>
  <c r="H255" i="23"/>
  <c r="H257" i="23" s="1"/>
  <c r="H1773" i="23"/>
  <c r="H1763" i="23"/>
  <c r="H260" i="23"/>
  <c r="H1766" i="23"/>
  <c r="N2118" i="1"/>
  <c r="H1094" i="1"/>
  <c r="B190" i="42"/>
  <c r="I1717" i="1"/>
  <c r="H2195" i="1"/>
  <c r="P2195" i="1" s="1"/>
  <c r="C2195" i="1" s="1"/>
  <c r="H2094" i="1"/>
  <c r="P2094" i="1" s="1"/>
  <c r="C2094" i="1" s="1"/>
  <c r="J1574" i="1"/>
  <c r="H2284" i="1"/>
  <c r="P2284" i="1" s="1"/>
  <c r="H1853" i="1"/>
  <c r="B222" i="42"/>
  <c r="H1870" i="1"/>
  <c r="L882" i="1"/>
  <c r="L884" i="1"/>
  <c r="L879" i="1"/>
  <c r="L881" i="1"/>
  <c r="L883" i="1"/>
  <c r="L880" i="1"/>
  <c r="K882" i="1"/>
  <c r="K879" i="1"/>
  <c r="K884" i="1"/>
  <c r="K881" i="1"/>
  <c r="K880" i="1"/>
  <c r="K883" i="1"/>
  <c r="N2083" i="1"/>
  <c r="H1867" i="1"/>
  <c r="B198" i="42"/>
  <c r="H1843" i="1"/>
  <c r="G194" i="42"/>
  <c r="B201" i="42"/>
  <c r="H1854" i="1"/>
  <c r="G209" i="42"/>
  <c r="H1855" i="1"/>
  <c r="G217" i="42"/>
  <c r="H1841" i="1"/>
  <c r="B213" i="42"/>
  <c r="G197" i="42"/>
  <c r="H1860" i="1"/>
  <c r="G195" i="42"/>
  <c r="G196" i="42"/>
  <c r="H1839" i="1"/>
  <c r="H1840" i="1"/>
  <c r="G214" i="42"/>
  <c r="G199" i="42"/>
  <c r="H1834" i="1"/>
  <c r="G218" i="42"/>
  <c r="B210" i="42"/>
  <c r="H1851" i="1"/>
  <c r="G205" i="42"/>
  <c r="G211" i="42"/>
  <c r="H1857" i="1"/>
  <c r="G192" i="42"/>
  <c r="H1864" i="1"/>
  <c r="H1856" i="1"/>
  <c r="H1838" i="1"/>
  <c r="H1848" i="1"/>
  <c r="G219" i="42"/>
  <c r="H1832" i="1"/>
  <c r="B188" i="42"/>
  <c r="H1844" i="1"/>
  <c r="B193" i="42"/>
  <c r="H1833" i="1"/>
  <c r="H1875" i="1"/>
  <c r="B208" i="42"/>
  <c r="B189" i="42"/>
  <c r="H1866" i="1"/>
  <c r="H1859" i="1"/>
  <c r="H1842" i="1"/>
  <c r="H1846" i="1"/>
  <c r="H1858" i="1"/>
  <c r="H1852" i="1"/>
  <c r="I1852" i="1" s="1"/>
  <c r="H1845" i="1"/>
  <c r="B212" i="42"/>
  <c r="H1863" i="1"/>
  <c r="G200" i="42"/>
  <c r="H1865" i="1"/>
  <c r="B206" i="42"/>
  <c r="D2022" i="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2" i="1"/>
  <c r="C2272" i="1" s="1"/>
  <c r="H1874" i="1"/>
  <c r="CX184" i="16"/>
  <c r="H1847" i="1"/>
  <c r="G68" i="33"/>
  <c r="G63" i="33"/>
  <c r="B83" i="42"/>
  <c r="G83" i="42"/>
  <c r="G87" i="42"/>
  <c r="B87" i="42"/>
  <c r="H1837" i="1"/>
  <c r="H1706" i="23"/>
  <c r="H1707" i="23" s="1"/>
  <c r="H1708" i="23" s="1"/>
  <c r="H1850" i="1"/>
  <c r="H1836"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6" i="1" s="1"/>
  <c r="D1508" i="1" s="1"/>
  <c r="H1569" i="1"/>
  <c r="P1569" i="1" s="1"/>
  <c r="C1569" i="1" s="1"/>
  <c r="CJ184" i="16"/>
  <c r="AV184" i="16"/>
  <c r="H2121" i="1"/>
  <c r="P2121" i="1" s="1"/>
  <c r="C2121" i="1" s="1"/>
  <c r="N2121" i="1"/>
  <c r="I1467" i="23"/>
  <c r="A1467" i="23" s="1"/>
  <c r="I320" i="23"/>
  <c r="I822" i="23"/>
  <c r="I2" i="97" s="1"/>
  <c r="EP184" i="16"/>
  <c r="CI184" i="16"/>
  <c r="BW184" i="16"/>
  <c r="H2634" i="23"/>
  <c r="EZ184" i="16"/>
  <c r="I1665" i="23"/>
  <c r="A1665" i="23" s="1"/>
  <c r="I510" i="23"/>
  <c r="A510" i="23" s="1"/>
  <c r="A511" i="23" s="1"/>
  <c r="BG307" i="70"/>
  <c r="AO184" i="16"/>
  <c r="N184" i="16"/>
  <c r="DP184" i="16"/>
  <c r="V184" i="16"/>
  <c r="H2020" i="1"/>
  <c r="P2020" i="1" s="1"/>
  <c r="D1926" i="1"/>
  <c r="H1926" i="1" s="1"/>
  <c r="E187" i="42"/>
  <c r="G28" i="35"/>
  <c r="B28" i="35"/>
  <c r="DX184" i="16"/>
  <c r="H2631" i="23"/>
  <c r="BG134" i="70"/>
  <c r="I1654" i="23"/>
  <c r="A1654" i="23" s="1"/>
  <c r="I1554" i="23"/>
  <c r="A1554" i="23" s="1"/>
  <c r="B50" i="33"/>
  <c r="G50" i="33"/>
  <c r="G48" i="35"/>
  <c r="B48" i="35"/>
  <c r="G41" i="35"/>
  <c r="H2196" i="1"/>
  <c r="P2196" i="1" s="1"/>
  <c r="C2196" i="1" s="1"/>
  <c r="I1671" i="23"/>
  <c r="A1671" i="23" s="1"/>
  <c r="I1673" i="23"/>
  <c r="A1673" i="23" s="1"/>
  <c r="N2095" i="1"/>
  <c r="AZ184" i="16"/>
  <c r="AN184" i="16"/>
  <c r="DM184" i="16"/>
  <c r="D1509" i="1" s="1"/>
  <c r="H1509" i="1" s="1"/>
  <c r="P1509" i="1" s="1"/>
  <c r="C1509" i="1" s="1"/>
  <c r="BF184" i="16"/>
  <c r="G63" i="31"/>
  <c r="B63" i="31"/>
  <c r="B56" i="31"/>
  <c r="G56" i="31"/>
  <c r="G102" i="42"/>
  <c r="B102" i="42"/>
  <c r="B40" i="31"/>
  <c r="G40" i="31"/>
  <c r="GI184" i="16"/>
  <c r="I1553" i="23"/>
  <c r="A1553" i="23" s="1"/>
  <c r="I508" i="23"/>
  <c r="A508" i="23" s="1"/>
  <c r="I477" i="23"/>
  <c r="A477" i="23" s="1"/>
  <c r="A478" i="23" s="1"/>
  <c r="N2119" i="1"/>
  <c r="G61" i="34"/>
  <c r="D1523" i="1"/>
  <c r="J1523" i="1" s="1"/>
  <c r="B93" i="42"/>
  <c r="G93" i="42"/>
  <c r="B40" i="42"/>
  <c r="G40" i="42"/>
  <c r="I1672" i="23"/>
  <c r="A1672" i="23" s="1"/>
  <c r="I1657" i="23"/>
  <c r="A1657" i="23" s="1"/>
  <c r="I1666" i="23"/>
  <c r="A1666" i="23" s="1"/>
  <c r="B92" i="42"/>
  <c r="G92" i="42"/>
  <c r="G16" i="31"/>
  <c r="B16" i="31"/>
  <c r="B109" i="42"/>
  <c r="G109" i="42"/>
  <c r="DQ184" i="16"/>
  <c r="H1872" i="1"/>
  <c r="E224" i="42"/>
  <c r="I276" i="23"/>
  <c r="H2279" i="23"/>
  <c r="H274" i="23"/>
  <c r="E203" i="42"/>
  <c r="G203" i="42" s="1"/>
  <c r="E223" i="42"/>
  <c r="G223" i="42" s="1"/>
  <c r="D1910" i="1"/>
  <c r="D152" i="97" s="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195" i="97" s="1"/>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197" i="97" s="1"/>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191" i="97" s="1"/>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193" i="97" s="1"/>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187" i="97" s="1"/>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89" i="97" s="1"/>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2284" i="23" s="1"/>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56" i="1"/>
  <c r="E20" i="97" s="1"/>
  <c r="D1756" i="1"/>
  <c r="G100" i="35"/>
  <c r="T1750" i="1"/>
  <c r="K94" i="97"/>
  <c r="K127" i="97"/>
  <c r="K64" i="97"/>
  <c r="K72" i="97"/>
  <c r="K136" i="97"/>
  <c r="K14" i="97"/>
  <c r="K226" i="97"/>
  <c r="K201" i="97"/>
  <c r="K100" i="97"/>
  <c r="K243" i="97"/>
  <c r="K171" i="97"/>
  <c r="K116" i="97"/>
  <c r="K92" i="97"/>
  <c r="K225" i="97"/>
  <c r="K109" i="97"/>
  <c r="K177" i="97"/>
  <c r="K106" i="97"/>
  <c r="K124" i="97"/>
  <c r="K11" i="97"/>
  <c r="K18" i="97"/>
  <c r="K149" i="97"/>
  <c r="K139" i="97"/>
  <c r="K164" i="97"/>
  <c r="K62" i="97"/>
  <c r="K246" i="97"/>
  <c r="K27" i="97"/>
  <c r="K125" i="97"/>
  <c r="K134" i="97"/>
  <c r="K242" i="97"/>
  <c r="K39" i="97"/>
  <c r="K238" i="97"/>
  <c r="K212" i="97"/>
  <c r="K159" i="97"/>
  <c r="K143" i="97"/>
  <c r="K195" i="97"/>
  <c r="K131" i="97"/>
  <c r="K45" i="97"/>
  <c r="K32" i="97"/>
  <c r="K180" i="97"/>
  <c r="K113" i="97"/>
  <c r="K24" i="97"/>
  <c r="K213" i="97"/>
  <c r="K200" i="97"/>
  <c r="K12" i="97"/>
  <c r="K133" i="97"/>
  <c r="K115" i="97"/>
  <c r="K172" i="97"/>
  <c r="D36" i="113"/>
  <c r="C250" i="115" s="1"/>
  <c r="H2170" i="23"/>
  <c r="H2171" i="23"/>
  <c r="H2265" i="23"/>
  <c r="H2271" i="23" s="1"/>
  <c r="H2281" i="23"/>
  <c r="H2278" i="23"/>
  <c r="H2286" i="23" s="1"/>
  <c r="K191" i="97"/>
  <c r="K21" i="97"/>
  <c r="K245" i="97"/>
  <c r="K34" i="97"/>
  <c r="K60" i="97"/>
  <c r="K9" i="97"/>
  <c r="H2432" i="23"/>
  <c r="H2282" i="23"/>
  <c r="H303" i="23"/>
  <c r="H306" i="23" s="1"/>
  <c r="I306" i="23" s="1"/>
  <c r="A306" i="23" s="1"/>
  <c r="H1277" i="23"/>
  <c r="H2197" i="23"/>
  <c r="H2194" i="23"/>
  <c r="K90" i="97"/>
  <c r="K55" i="97"/>
  <c r="K75" i="97"/>
  <c r="K141" i="97"/>
  <c r="K122" i="97"/>
  <c r="K239"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23" i="1"/>
  <c r="D162" i="97" s="1"/>
  <c r="P2021" i="1"/>
  <c r="H2022"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54" i="1"/>
  <c r="P1654" i="1" s="1"/>
  <c r="C1654" i="1" s="1"/>
  <c r="H1635" i="1"/>
  <c r="P1635" i="1" s="1"/>
  <c r="C1635" i="1" s="1"/>
  <c r="H1523" i="1"/>
  <c r="P1523" i="1" s="1"/>
  <c r="C1523" i="1" s="1"/>
  <c r="L1954" i="1"/>
  <c r="G78" i="33"/>
  <c r="H2154" i="1"/>
  <c r="P2154" i="1" s="1"/>
  <c r="C2154" i="1" s="1"/>
  <c r="B123" i="31"/>
  <c r="I1657" i="1"/>
  <c r="G137" i="33"/>
  <c r="B132" i="33"/>
  <c r="I1679" i="1"/>
  <c r="D1757" i="1"/>
  <c r="D17" i="97" s="1"/>
  <c r="I1639" i="1"/>
  <c r="G280" i="42"/>
  <c r="G130" i="33"/>
  <c r="H1577" i="1"/>
  <c r="P1577" i="1" s="1"/>
  <c r="C1577" i="1" s="1"/>
  <c r="E178" i="31"/>
  <c r="G178" i="31" s="1"/>
  <c r="J1577" i="1"/>
  <c r="E294" i="42"/>
  <c r="I1634" i="1"/>
  <c r="H1522" i="1"/>
  <c r="P1522" i="1" s="1"/>
  <c r="C1522" i="1" s="1"/>
  <c r="GP184" i="16"/>
  <c r="F9" i="108"/>
  <c r="D99" i="115" s="1"/>
  <c r="C99" i="115" s="1"/>
  <c r="D1524" i="1"/>
  <c r="CN184" i="16"/>
  <c r="CQ184" i="16"/>
  <c r="M2153" i="1"/>
  <c r="D1613" i="1"/>
  <c r="H1613" i="1" s="1"/>
  <c r="P1613" i="1" s="1"/>
  <c r="C1613" i="1" s="1"/>
  <c r="D2056" i="1"/>
  <c r="D2049" i="1" s="1"/>
  <c r="C2049" i="1" s="1"/>
  <c r="D2139" i="1"/>
  <c r="G41" i="31"/>
  <c r="B41" i="31"/>
  <c r="G22" i="31"/>
  <c r="B22" i="31"/>
  <c r="BG184" i="16"/>
  <c r="CZ184" i="16"/>
  <c r="G73" i="31"/>
  <c r="B73" i="31"/>
  <c r="G101" i="42"/>
  <c r="B101" i="42"/>
  <c r="B67" i="31"/>
  <c r="G67" i="31"/>
  <c r="B26" i="33"/>
  <c r="G26" i="33"/>
  <c r="J1568" i="1"/>
  <c r="H1568" i="1"/>
  <c r="P1568" i="1" s="1"/>
  <c r="C1568" i="1" s="1"/>
  <c r="G56" i="33"/>
  <c r="B56" i="33"/>
  <c r="G89" i="31"/>
  <c r="B89" i="31"/>
  <c r="B97" i="42"/>
  <c r="G97" i="42"/>
  <c r="EF184" i="16"/>
  <c r="D2243" i="1" s="1"/>
  <c r="J2243" i="1" s="1"/>
  <c r="BE184" i="16"/>
  <c r="DE184" i="16"/>
  <c r="G65" i="35"/>
  <c r="B65" i="35"/>
  <c r="G25" i="35"/>
  <c r="B25" i="35"/>
  <c r="G57" i="31"/>
  <c r="B57" i="31"/>
  <c r="GQ184" i="16"/>
  <c r="G133" i="35"/>
  <c r="DF184" i="16"/>
  <c r="D1525" i="1" s="1"/>
  <c r="E1499" i="1"/>
  <c r="P199" i="16"/>
  <c r="G80" i="31"/>
  <c r="B80" i="31"/>
  <c r="B42" i="33"/>
  <c r="G42" i="33"/>
  <c r="B20" i="35"/>
  <c r="G20" i="35"/>
  <c r="B103" i="31"/>
  <c r="G103" i="31"/>
  <c r="E102" i="33"/>
  <c r="G102" i="33" s="1"/>
  <c r="I1660" i="1"/>
  <c r="B284" i="42"/>
  <c r="B95" i="35"/>
  <c r="H1664" i="1"/>
  <c r="P1664" i="1" s="1"/>
  <c r="C1664" i="1" s="1"/>
  <c r="B132" i="31"/>
  <c r="G131" i="35"/>
  <c r="D2126" i="1"/>
  <c r="J1509" i="1"/>
  <c r="J1585" i="1"/>
  <c r="E186" i="31"/>
  <c r="H1585" i="1"/>
  <c r="P1585" i="1" s="1"/>
  <c r="C1585" i="1" s="1"/>
  <c r="J1576" i="1"/>
  <c r="E177" i="31"/>
  <c r="H1576" i="1"/>
  <c r="P1576" i="1" s="1"/>
  <c r="C1576" i="1" s="1"/>
  <c r="D1530" i="1"/>
  <c r="H1529" i="1"/>
  <c r="P1529" i="1" s="1"/>
  <c r="C1529" i="1" s="1"/>
  <c r="D1531" i="1"/>
  <c r="J1529" i="1"/>
  <c r="D1532" i="1"/>
  <c r="J1532"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68" i="97" s="1"/>
  <c r="I829" i="23"/>
  <c r="I178" i="97" s="1"/>
  <c r="G39" i="31"/>
  <c r="B39" i="31"/>
  <c r="G134" i="70"/>
  <c r="B27" i="33"/>
  <c r="G27" i="33"/>
  <c r="G49" i="33"/>
  <c r="B49" i="33"/>
  <c r="B11" i="34"/>
  <c r="G11" i="34"/>
  <c r="B85" i="31"/>
  <c r="G85" i="31"/>
  <c r="N2078" i="1"/>
  <c r="H2078" i="1"/>
  <c r="P2078" i="1" s="1"/>
  <c r="C2078" i="1" s="1"/>
  <c r="BI184" i="16"/>
  <c r="B54" i="42"/>
  <c r="G54" i="42"/>
  <c r="B50" i="35"/>
  <c r="G50" i="35"/>
  <c r="D49" i="115"/>
  <c r="D33" i="115"/>
  <c r="E6" i="108"/>
  <c r="F17" i="108"/>
  <c r="D107" i="115" s="1"/>
  <c r="C107" i="115" s="1"/>
  <c r="B185" i="31"/>
  <c r="N2072" i="1"/>
  <c r="H2072" i="1"/>
  <c r="P2072" i="1" s="1"/>
  <c r="C2072"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P1871" i="1"/>
  <c r="I104" i="97" s="1"/>
  <c r="E145" i="42"/>
  <c r="E146" i="42" s="1"/>
  <c r="E147" i="42" s="1"/>
  <c r="I1642" i="1"/>
  <c r="D1570" i="1"/>
  <c r="DR184" i="16"/>
  <c r="B31" i="31"/>
  <c r="G31" i="31"/>
  <c r="D2144" i="1"/>
  <c r="H2106" i="1"/>
  <c r="P2106" i="1" s="1"/>
  <c r="C2106" i="1" s="1"/>
  <c r="N2106"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4" i="1"/>
  <c r="I826" i="23"/>
  <c r="I7" i="97" s="1"/>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33" i="1"/>
  <c r="B43" i="33"/>
  <c r="G43" i="33"/>
  <c r="H1572" i="1"/>
  <c r="P1572" i="1" s="1"/>
  <c r="C157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0" i="1"/>
  <c r="P2300" i="1" s="1"/>
  <c r="C2300" i="1" s="1"/>
  <c r="H176" i="23"/>
  <c r="H887" i="23"/>
  <c r="H64" i="97" s="1"/>
  <c r="I1641" i="1"/>
  <c r="P1934"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07" i="1"/>
  <c r="H2107" i="1"/>
  <c r="P2107" i="1" s="1"/>
  <c r="C2107" i="1" s="1"/>
  <c r="G29" i="33"/>
  <c r="B29" i="33"/>
  <c r="G44" i="42"/>
  <c r="B44" i="42"/>
  <c r="G16" i="33"/>
  <c r="B16" i="33"/>
  <c r="B54" i="34"/>
  <c r="G54" i="34"/>
  <c r="G82" i="34"/>
  <c r="G283" i="42"/>
  <c r="G152" i="31"/>
  <c r="E126" i="31"/>
  <c r="B115" i="35"/>
  <c r="G113" i="31"/>
  <c r="B125" i="31"/>
  <c r="B90" i="35"/>
  <c r="B85" i="34"/>
  <c r="E114" i="31"/>
  <c r="G114" i="31" s="1"/>
  <c r="J1591" i="1"/>
  <c r="N2054" i="1"/>
  <c r="B84" i="33"/>
  <c r="B112" i="31"/>
  <c r="E139" i="31"/>
  <c r="G139" i="31" s="1"/>
  <c r="B88" i="35"/>
  <c r="K174" i="97"/>
  <c r="P1925" i="1"/>
  <c r="P2263" i="1"/>
  <c r="I176" i="97" s="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H1709" i="23"/>
  <c r="D2378" i="23"/>
  <c r="H1536" i="23"/>
  <c r="H2503" i="23"/>
  <c r="H2505" i="23" s="1"/>
  <c r="I1476" i="23"/>
  <c r="H2469" i="23"/>
  <c r="H2475" i="23" s="1"/>
  <c r="H2482" i="23"/>
  <c r="H836" i="23"/>
  <c r="H40" i="97" s="1"/>
  <c r="H837" i="23"/>
  <c r="H29" i="97" s="1"/>
  <c r="H1591" i="1"/>
  <c r="P1591" i="1" s="1"/>
  <c r="C1591" i="1" s="1"/>
  <c r="G193" i="31"/>
  <c r="H1492" i="1"/>
  <c r="P1492" i="1" s="1"/>
  <c r="C1492" i="1" s="1"/>
  <c r="B190" i="31"/>
  <c r="H1592" i="1"/>
  <c r="P1592" i="1" s="1"/>
  <c r="C1592" i="1" s="1"/>
  <c r="J1592" i="1"/>
  <c r="I1715" i="1"/>
  <c r="M2171" i="1"/>
  <c r="J1503"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0" i="1"/>
  <c r="P784" i="1"/>
  <c r="P779" i="1"/>
  <c r="P781" i="1"/>
  <c r="P782" i="1"/>
  <c r="P783" i="1"/>
  <c r="D833" i="23"/>
  <c r="D186" i="97" s="1"/>
  <c r="H876" i="23"/>
  <c r="H192" i="97" s="1"/>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H1710" i="23"/>
  <c r="I1013" i="23"/>
  <c r="A1013" i="23" s="1"/>
  <c r="H2431" i="23"/>
  <c r="H2485" i="23"/>
  <c r="D624" i="23"/>
  <c r="H637" i="23"/>
  <c r="H642" i="23" s="1"/>
  <c r="H1991" i="23"/>
  <c r="H1992" i="23" s="1"/>
  <c r="I1158" i="23"/>
  <c r="A1158" i="23" s="1"/>
  <c r="D1706" i="23"/>
  <c r="H1348" i="23"/>
  <c r="H2457" i="23"/>
  <c r="H2456" i="23"/>
  <c r="H2481" i="23"/>
  <c r="H2488" i="23" s="1"/>
  <c r="H1290" i="23"/>
  <c r="H50" i="23"/>
  <c r="H1530" i="23"/>
  <c r="H1145" i="23"/>
  <c r="I1145" i="23" s="1"/>
  <c r="A1145" i="23" s="1"/>
  <c r="H581" i="23"/>
  <c r="H582" i="23" s="1"/>
  <c r="H1285" i="23"/>
  <c r="H2161"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55" i="1"/>
  <c r="P1955" i="1" s="1"/>
  <c r="C1955" i="1" s="1"/>
  <c r="B120" i="35"/>
  <c r="H1645" i="1"/>
  <c r="P1645" i="1" s="1"/>
  <c r="C1645" i="1" s="1"/>
  <c r="E221" i="42"/>
  <c r="G221" i="42" s="1"/>
  <c r="H1869" i="1"/>
  <c r="H126" i="97" s="1"/>
  <c r="H1868" i="1"/>
  <c r="H128" i="97" s="1"/>
  <c r="E216" i="42"/>
  <c r="G216" i="42" s="1"/>
  <c r="H1862" i="1"/>
  <c r="J1496" i="1"/>
  <c r="H2051" i="1"/>
  <c r="P2051" i="1" s="1"/>
  <c r="C2051" i="1" s="1"/>
  <c r="H1633" i="1"/>
  <c r="P1633" i="1" s="1"/>
  <c r="C1633" i="1" s="1"/>
  <c r="G192" i="31"/>
  <c r="H1631" i="1"/>
  <c r="P1631" i="1" s="1"/>
  <c r="C1631" i="1" s="1"/>
  <c r="H1637" i="1"/>
  <c r="P1637" i="1" s="1"/>
  <c r="C1637" i="1" s="1"/>
  <c r="D2184" i="1"/>
  <c r="P1794" i="1"/>
  <c r="I175" i="97" s="1"/>
  <c r="H1795" i="1"/>
  <c r="H8" i="97" s="1"/>
  <c r="H1796" i="1"/>
  <c r="H79" i="97" s="1"/>
  <c r="O1795" i="1"/>
  <c r="O1796" i="1"/>
  <c r="B93" i="35"/>
  <c r="H1972" i="1"/>
  <c r="P1972" i="1" s="1"/>
  <c r="C1972" i="1" s="1"/>
  <c r="B137" i="31"/>
  <c r="E107" i="33"/>
  <c r="G107" i="33" s="1"/>
  <c r="L782" i="1"/>
  <c r="L786" i="1"/>
  <c r="L779" i="1"/>
  <c r="L781" i="1"/>
  <c r="L785" i="1"/>
  <c r="L780" i="1"/>
  <c r="L784" i="1"/>
  <c r="L783" i="1"/>
  <c r="L787" i="1"/>
  <c r="B113" i="35"/>
  <c r="K781" i="1"/>
  <c r="K785" i="1"/>
  <c r="K787" i="1"/>
  <c r="K780" i="1"/>
  <c r="K784" i="1"/>
  <c r="K779" i="1"/>
  <c r="K783" i="1"/>
  <c r="K782" i="1"/>
  <c r="K786" i="1"/>
  <c r="D2226" i="1"/>
  <c r="H2226" i="1" s="1"/>
  <c r="P2226" i="1" s="1"/>
  <c r="C2226" i="1" s="1"/>
  <c r="G75" i="35"/>
  <c r="B75" i="35"/>
  <c r="G86" i="35"/>
  <c r="G95" i="31"/>
  <c r="B111" i="31"/>
  <c r="G111" i="31"/>
  <c r="B131" i="42"/>
  <c r="G131" i="42"/>
  <c r="B76" i="35"/>
  <c r="G76" i="35"/>
  <c r="B123" i="35"/>
  <c r="G123" i="35"/>
  <c r="E130" i="31"/>
  <c r="G129" i="31"/>
  <c r="C2030" i="1"/>
  <c r="I1543" i="23"/>
  <c r="H835" i="23"/>
  <c r="H88" i="97" s="1"/>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I5" i="97"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6" i="97" s="1"/>
  <c r="H1989" i="23"/>
  <c r="D944" i="23"/>
  <c r="D945" i="23" s="1"/>
  <c r="H1334" i="23"/>
  <c r="H1336" i="23" s="1"/>
  <c r="D823" i="23"/>
  <c r="D5" i="97" s="1"/>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90" i="97" s="1"/>
  <c r="H1929" i="23"/>
  <c r="H1933" i="23" s="1"/>
  <c r="H94" i="23"/>
  <c r="H1567" i="23"/>
  <c r="I1567" i="23" s="1"/>
  <c r="A1567" i="23" s="1"/>
  <c r="H2006" i="23"/>
  <c r="H1903" i="23"/>
  <c r="H977" i="23"/>
  <c r="I977" i="23" s="1"/>
  <c r="A977" i="23" s="1"/>
  <c r="H71" i="23"/>
  <c r="H1699" i="23"/>
  <c r="H579" i="23"/>
  <c r="H850" i="23"/>
  <c r="H188" i="97" s="1"/>
  <c r="H1518" i="23"/>
  <c r="I1518" i="23" s="1"/>
  <c r="A1518" i="23" s="1"/>
  <c r="H1519" i="23"/>
  <c r="I1519" i="23" s="1"/>
  <c r="A1519" i="23" s="1"/>
  <c r="H1521" i="23"/>
  <c r="I1521" i="23" s="1"/>
  <c r="A1521" i="23" s="1"/>
  <c r="I838" i="23"/>
  <c r="H881" i="23"/>
  <c r="H194" i="97" s="1"/>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196" i="97" s="1"/>
  <c r="H2026" i="23"/>
  <c r="H2030" i="23" s="1"/>
  <c r="H2439" i="23"/>
  <c r="H2452" i="23"/>
  <c r="H1505" i="23"/>
  <c r="I1505" i="23" s="1"/>
  <c r="A1505" i="23" s="1"/>
  <c r="H1510" i="23"/>
  <c r="I1510" i="23" s="1"/>
  <c r="A1510" i="23" s="1"/>
  <c r="H2029" i="23"/>
  <c r="H2446" i="23"/>
  <c r="I833" i="23"/>
  <c r="I186" i="97" s="1"/>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37" i="1"/>
  <c r="H1974" i="1"/>
  <c r="L1974" i="1" s="1"/>
  <c r="P1977" i="1"/>
  <c r="F79" i="33"/>
  <c r="H1980" i="1"/>
  <c r="L1980" i="1" s="1"/>
  <c r="H1959" i="1"/>
  <c r="E99" i="33"/>
  <c r="G99" i="33" s="1"/>
  <c r="P1958" i="1"/>
  <c r="P1973"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2" i="23"/>
  <c r="H2314" i="23"/>
  <c r="H2316" i="23" s="1"/>
  <c r="H2318" i="23"/>
  <c r="H2333" i="23"/>
  <c r="H2311" i="23"/>
  <c r="H2319" i="23"/>
  <c r="H2322" i="23"/>
  <c r="H2320" i="23"/>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91" i="23"/>
  <c r="H489" i="23"/>
  <c r="H486" i="23"/>
  <c r="H490" i="23"/>
  <c r="H488" i="23"/>
  <c r="H487" i="23"/>
  <c r="I483" i="23"/>
  <c r="I482" i="23"/>
  <c r="I528" i="23"/>
  <c r="I519" i="23"/>
  <c r="H526" i="23"/>
  <c r="H1847" i="23"/>
  <c r="H1848" i="23"/>
  <c r="H1849" i="23"/>
  <c r="H1850" i="23" s="1"/>
  <c r="G87" i="35"/>
  <c r="B87" i="35"/>
  <c r="B290" i="42"/>
  <c r="G290" i="42"/>
  <c r="G130" i="35"/>
  <c r="B116" i="42"/>
  <c r="G116" i="42"/>
  <c r="I1663" i="1"/>
  <c r="H1663" i="1"/>
  <c r="P1663" i="1" s="1"/>
  <c r="C1663" i="1" s="1"/>
  <c r="B126" i="33"/>
  <c r="G126" i="33"/>
  <c r="G111" i="35"/>
  <c r="B111" i="35"/>
  <c r="G106" i="35"/>
  <c r="B106" i="35"/>
  <c r="G84" i="35"/>
  <c r="B84" i="35"/>
  <c r="J1494" i="1"/>
  <c r="H1494" i="1"/>
  <c r="P1494" i="1" s="1"/>
  <c r="C1494" i="1" s="1"/>
  <c r="B101" i="31"/>
  <c r="G101" i="31"/>
  <c r="G159" i="42"/>
  <c r="G160" i="42" s="1"/>
  <c r="G161" i="42" s="1"/>
  <c r="G162" i="42" s="1"/>
  <c r="E160" i="42"/>
  <c r="B159" i="42"/>
  <c r="H1677" i="1"/>
  <c r="P1677" i="1" s="1"/>
  <c r="C1677" i="1" s="1"/>
  <c r="I1677" i="1"/>
  <c r="H1678" i="1"/>
  <c r="P1678" i="1" s="1"/>
  <c r="C1678" i="1" s="1"/>
  <c r="I1678" i="1"/>
  <c r="H1501" i="1"/>
  <c r="P1501" i="1" s="1"/>
  <c r="C1501" i="1" s="1"/>
  <c r="J1501" i="1"/>
  <c r="H1590" i="1"/>
  <c r="P1590" i="1" s="1"/>
  <c r="C1590" i="1" s="1"/>
  <c r="E191" i="31"/>
  <c r="J159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89" i="1"/>
  <c r="P1689" i="1" s="1"/>
  <c r="C1689" i="1" s="1"/>
  <c r="I1689"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2" i="1"/>
  <c r="P1722" i="1" s="1"/>
  <c r="C1722" i="1" s="1"/>
  <c r="I1722" i="1"/>
  <c r="G81" i="33"/>
  <c r="E85" i="33"/>
  <c r="G85" i="33" s="1"/>
  <c r="G135" i="33"/>
  <c r="K1989" i="1"/>
  <c r="H1971" i="1"/>
  <c r="P1971" i="1" s="1"/>
  <c r="C1971" i="1" s="1"/>
  <c r="D2" i="18"/>
  <c r="B93" i="33"/>
  <c r="H376" i="1"/>
  <c r="C376" i="1" s="1"/>
  <c r="B139" i="33"/>
  <c r="E103" i="33"/>
  <c r="G103" i="33" s="1"/>
  <c r="L29" i="1"/>
  <c r="E113" i="33"/>
  <c r="G113" i="33" s="1"/>
  <c r="P1989" i="1"/>
  <c r="C1989" i="1" s="1"/>
  <c r="E112" i="33"/>
  <c r="G112" i="33" s="1"/>
  <c r="G110" i="33"/>
  <c r="D3" i="18"/>
  <c r="P1984" i="1"/>
  <c r="C1984" i="1" s="1"/>
  <c r="L1990" i="1"/>
  <c r="B104" i="33"/>
  <c r="F80" i="33"/>
  <c r="D1957" i="1"/>
  <c r="D2035" i="1"/>
  <c r="H1975" i="1"/>
  <c r="E98" i="33"/>
  <c r="G98" i="33" s="1"/>
  <c r="H152" i="1"/>
  <c r="H154" i="1" s="1"/>
  <c r="C154" i="1" s="1"/>
  <c r="D2041" i="1"/>
  <c r="E82" i="33"/>
  <c r="G82" i="33" s="1"/>
  <c r="L674" i="1"/>
  <c r="D1956" i="1"/>
  <c r="H1956" i="1" s="1"/>
  <c r="D2033" i="1"/>
  <c r="P2010" i="1"/>
  <c r="C2010" i="1" s="1"/>
  <c r="L249" i="1"/>
  <c r="L250" i="1"/>
  <c r="G131" i="33"/>
  <c r="B131" i="33"/>
  <c r="H1963" i="1"/>
  <c r="P1963" i="1" s="1"/>
  <c r="C1963" i="1" s="1"/>
  <c r="L414" i="1"/>
  <c r="L415" i="1"/>
  <c r="L1446" i="1"/>
  <c r="L1448" i="1"/>
  <c r="L1447" i="1"/>
  <c r="L54" i="1"/>
  <c r="L55" i="1"/>
  <c r="L329" i="1"/>
  <c r="L328" i="1"/>
  <c r="L327" i="1"/>
  <c r="K1770" i="1"/>
  <c r="L851" i="1"/>
  <c r="L850" i="1"/>
  <c r="L1979" i="1"/>
  <c r="P1979" i="1"/>
  <c r="L1129" i="1"/>
  <c r="L1128" i="1"/>
  <c r="L1131" i="1"/>
  <c r="L1127" i="1"/>
  <c r="L1132" i="1"/>
  <c r="L1130" i="1"/>
  <c r="L1035" i="1"/>
  <c r="L1034" i="1"/>
  <c r="L1036" i="1"/>
  <c r="L1037" i="1"/>
  <c r="G138" i="33"/>
  <c r="B138" i="33"/>
  <c r="P2011" i="1"/>
  <c r="C2011" i="1" s="1"/>
  <c r="L658" i="1"/>
  <c r="L656" i="1"/>
  <c r="L657" i="1"/>
  <c r="B141" i="33"/>
  <c r="G141" i="33"/>
  <c r="L97" i="1"/>
  <c r="L95" i="1"/>
  <c r="L76" i="1"/>
  <c r="L77" i="1"/>
  <c r="L96" i="1"/>
  <c r="L94" i="1"/>
  <c r="L80" i="1"/>
  <c r="L78" i="1"/>
  <c r="L93" i="1"/>
  <c r="L79" i="1"/>
  <c r="L1163" i="1"/>
  <c r="L1159" i="1"/>
  <c r="L1161" i="1"/>
  <c r="L1160" i="1"/>
  <c r="L1164" i="1"/>
  <c r="L1165" i="1"/>
  <c r="B134" i="33"/>
  <c r="G134" i="33"/>
  <c r="L144" i="1"/>
  <c r="L143" i="1"/>
  <c r="E87" i="33"/>
  <c r="G87" i="33" s="1"/>
  <c r="H1964" i="1"/>
  <c r="H840" i="1"/>
  <c r="H846" i="1" s="1"/>
  <c r="C846" i="1" s="1"/>
  <c r="L216" i="1"/>
  <c r="L215" i="1"/>
  <c r="L214" i="1"/>
  <c r="L167" i="1"/>
  <c r="L19" i="1"/>
  <c r="L227" i="1"/>
  <c r="L259" i="1"/>
  <c r="L154" i="1"/>
  <c r="L30" i="1"/>
  <c r="L56" i="1"/>
  <c r="L246" i="1"/>
  <c r="L310" i="1"/>
  <c r="L145" i="1"/>
  <c r="L237" i="1"/>
  <c r="L498" i="1"/>
  <c r="L424" i="1"/>
  <c r="L488" i="1"/>
  <c r="L20" i="1"/>
  <c r="L411" i="1"/>
  <c r="L1081" i="1"/>
  <c r="L1082" i="1"/>
  <c r="L1403" i="1"/>
  <c r="L1404" i="1"/>
  <c r="L308" i="1"/>
  <c r="L303" i="1"/>
  <c r="L309" i="1"/>
  <c r="L304" i="1"/>
  <c r="D2036" i="1"/>
  <c r="H1978" i="1"/>
  <c r="E101" i="33"/>
  <c r="G101" i="33" s="1"/>
  <c r="L685" i="1"/>
  <c r="L668" i="1"/>
  <c r="L678" i="1"/>
  <c r="L666" i="1"/>
  <c r="L687" i="1"/>
  <c r="L684" i="1"/>
  <c r="L667" i="1"/>
  <c r="L688" i="1"/>
  <c r="L689" i="1"/>
  <c r="L677" i="1"/>
  <c r="L676" i="1"/>
  <c r="L686" i="1"/>
  <c r="L675" i="1"/>
  <c r="L690" i="1"/>
  <c r="L679" i="1"/>
  <c r="L1483" i="1"/>
  <c r="L1482" i="1"/>
  <c r="L1484" i="1"/>
  <c r="L1245" i="1"/>
  <c r="L1242" i="1"/>
  <c r="L1247" i="1"/>
  <c r="L1239" i="1"/>
  <c r="L1244" i="1"/>
  <c r="L1240" i="1"/>
  <c r="L1241" i="1"/>
  <c r="L1246" i="1"/>
  <c r="L1243" i="1"/>
  <c r="L165" i="1"/>
  <c r="L166" i="1"/>
  <c r="L936" i="1"/>
  <c r="L937" i="1"/>
  <c r="L934" i="1"/>
  <c r="L935" i="1"/>
  <c r="L844" i="1"/>
  <c r="L831" i="1"/>
  <c r="L834" i="1"/>
  <c r="L830" i="1"/>
  <c r="L835" i="1"/>
  <c r="L841" i="1"/>
  <c r="L843" i="1"/>
  <c r="L842" i="1"/>
  <c r="H2046" i="1"/>
  <c r="P2046" i="1" s="1"/>
  <c r="C2046" i="1" s="1"/>
  <c r="D2045" i="1"/>
  <c r="H2045" i="1" s="1"/>
  <c r="P2045" i="1" s="1"/>
  <c r="C2045" i="1" s="1"/>
  <c r="L474" i="1"/>
  <c r="L475" i="1"/>
  <c r="L477" i="1"/>
  <c r="L476" i="1"/>
  <c r="L135" i="1"/>
  <c r="L136" i="1"/>
  <c r="L1276" i="1"/>
  <c r="L1273" i="1"/>
  <c r="L1270" i="1"/>
  <c r="L1267" i="1"/>
  <c r="L1275" i="1"/>
  <c r="L1271" i="1"/>
  <c r="L1272" i="1"/>
  <c r="L1269" i="1"/>
  <c r="L1274" i="1"/>
  <c r="D1517" i="1"/>
  <c r="D1515" i="1"/>
  <c r="J1513" i="1"/>
  <c r="H1513" i="1"/>
  <c r="P1513" i="1" s="1"/>
  <c r="C1513" i="1" s="1"/>
  <c r="D1514" i="1"/>
  <c r="L1391" i="1"/>
  <c r="L1394" i="1"/>
  <c r="L1398" i="1"/>
  <c r="L1393" i="1"/>
  <c r="L1395" i="1"/>
  <c r="L1397" i="1"/>
  <c r="L1396" i="1"/>
  <c r="L1392" i="1"/>
  <c r="L1356" i="1"/>
  <c r="L1357" i="1"/>
  <c r="L1268" i="1"/>
  <c r="L1358" i="1"/>
  <c r="L1353" i="1"/>
  <c r="L1354" i="1"/>
  <c r="L1359" i="1"/>
  <c r="L1310" i="1"/>
  <c r="L1360" i="1"/>
  <c r="L1355" i="1"/>
  <c r="L1352" i="1"/>
  <c r="L1361" i="1"/>
  <c r="L47" i="1"/>
  <c r="L46" i="1"/>
  <c r="L190" i="1"/>
  <c r="L189" i="1"/>
  <c r="L1054" i="1"/>
  <c r="L1056" i="1"/>
  <c r="L1053" i="1"/>
  <c r="L1057" i="1"/>
  <c r="L1055" i="1"/>
  <c r="H53" i="1"/>
  <c r="K55" i="1"/>
  <c r="K54" i="1"/>
  <c r="H283" i="1"/>
  <c r="K285" i="1"/>
  <c r="K284" i="1"/>
  <c r="H1322" i="1"/>
  <c r="K1330" i="1"/>
  <c r="K1331" i="1"/>
  <c r="K1326" i="1"/>
  <c r="K1327" i="1"/>
  <c r="K1324" i="1"/>
  <c r="K1325" i="1"/>
  <c r="K1328" i="1"/>
  <c r="K1329" i="1"/>
  <c r="K1323" i="1"/>
  <c r="H224" i="1"/>
  <c r="K225" i="1"/>
  <c r="K226" i="1"/>
  <c r="H1454" i="1"/>
  <c r="K1456" i="1"/>
  <c r="K1457" i="1"/>
  <c r="K1455" i="1"/>
  <c r="H45" i="1"/>
  <c r="K47" i="1"/>
  <c r="K46" i="1"/>
  <c r="H849" i="1"/>
  <c r="P849" i="1" s="1"/>
  <c r="C849" i="1" s="1"/>
  <c r="K850" i="1"/>
  <c r="K851" i="1"/>
  <c r="K1815" i="1"/>
  <c r="K1816" i="1"/>
  <c r="H1814" i="1"/>
  <c r="H139" i="97" s="1"/>
  <c r="H274" i="1"/>
  <c r="K277" i="1"/>
  <c r="K276" i="1"/>
  <c r="K275" i="1"/>
  <c r="H413" i="1"/>
  <c r="K415" i="1"/>
  <c r="K414" i="1"/>
  <c r="H326" i="1"/>
  <c r="K327" i="1"/>
  <c r="K328" i="1"/>
  <c r="K329" i="1"/>
  <c r="H1230" i="1"/>
  <c r="K1235" i="1"/>
  <c r="K1234" i="1"/>
  <c r="K1231" i="1"/>
  <c r="K1233" i="1"/>
  <c r="K1232" i="1"/>
  <c r="H867" i="1"/>
  <c r="K873" i="1"/>
  <c r="K869" i="1"/>
  <c r="K870" i="1"/>
  <c r="K872" i="1"/>
  <c r="K871" i="1"/>
  <c r="H92" i="1"/>
  <c r="H759" i="1"/>
  <c r="K760" i="1"/>
  <c r="K761" i="1"/>
  <c r="H1193" i="1"/>
  <c r="K1199" i="1"/>
  <c r="K1196" i="1"/>
  <c r="K1198" i="1"/>
  <c r="K1194" i="1"/>
  <c r="K1197" i="1"/>
  <c r="K1195" i="1"/>
  <c r="H485" i="1"/>
  <c r="K487" i="1"/>
  <c r="K486" i="1"/>
  <c r="H1042" i="1"/>
  <c r="K1044" i="1"/>
  <c r="K1047" i="1"/>
  <c r="K1043" i="1"/>
  <c r="K1046" i="1"/>
  <c r="K1045" i="1"/>
  <c r="H1969" i="1"/>
  <c r="E92" i="33"/>
  <c r="G92" i="33" s="1"/>
  <c r="K1969" i="1"/>
  <c r="H1983" i="1"/>
  <c r="E106" i="33"/>
  <c r="G106" i="33" s="1"/>
  <c r="B130" i="42"/>
  <c r="G130" i="42"/>
  <c r="I1716" i="1"/>
  <c r="H1716" i="1"/>
  <c r="P1716" i="1" s="1"/>
  <c r="C1716" i="1" s="1"/>
  <c r="G105" i="31"/>
  <c r="B105" i="31"/>
  <c r="D2127" i="1"/>
  <c r="H2050" i="1"/>
  <c r="P2050" i="1" s="1"/>
  <c r="C2050" i="1" s="1"/>
  <c r="N2050" i="1"/>
  <c r="H1497" i="1"/>
  <c r="P1497" i="1" s="1"/>
  <c r="C1497" i="1" s="1"/>
  <c r="J1497" i="1"/>
  <c r="H2093" i="1"/>
  <c r="P2093" i="1" s="1"/>
  <c r="C2093" i="1" s="1"/>
  <c r="N2093" i="1"/>
  <c r="P2024" i="1"/>
  <c r="C2024" i="1" s="1"/>
  <c r="G108" i="35"/>
  <c r="B108" i="35"/>
  <c r="B39" i="35"/>
  <c r="G39" i="35"/>
  <c r="D535" i="23"/>
  <c r="D536" i="23" s="1"/>
  <c r="D537" i="23" s="1"/>
  <c r="B105" i="42"/>
  <c r="G105" i="42"/>
  <c r="H2575" i="23"/>
  <c r="H2574" i="23"/>
  <c r="G299" i="42"/>
  <c r="B299" i="42"/>
  <c r="L1112" i="1"/>
  <c r="L1113" i="1"/>
  <c r="L1114" i="1"/>
  <c r="L813" i="1"/>
  <c r="L811" i="1"/>
  <c r="L810" i="1"/>
  <c r="L812" i="1"/>
  <c r="H117" i="1"/>
  <c r="K118" i="1"/>
  <c r="K119" i="1"/>
  <c r="L111" i="1"/>
  <c r="L110" i="1"/>
  <c r="L1261" i="1"/>
  <c r="L1259" i="1"/>
  <c r="L1257" i="1"/>
  <c r="L1255" i="1"/>
  <c r="L1253" i="1"/>
  <c r="L1254" i="1"/>
  <c r="L1256" i="1"/>
  <c r="L1258" i="1"/>
  <c r="L1260" i="1"/>
  <c r="L1252" i="1"/>
  <c r="L268" i="1"/>
  <c r="L267" i="1"/>
  <c r="H315" i="23"/>
  <c r="H312" i="23"/>
  <c r="H333" i="23"/>
  <c r="D297" i="23"/>
  <c r="H314" i="23"/>
  <c r="I309" i="23"/>
  <c r="H313" i="23"/>
  <c r="H311" i="23"/>
  <c r="H421" i="1"/>
  <c r="K422" i="1"/>
  <c r="K423" i="1"/>
  <c r="H188" i="1"/>
  <c r="K189" i="1"/>
  <c r="K190" i="1"/>
  <c r="H622" i="1"/>
  <c r="J18" i="113" s="1"/>
  <c r="K623" i="1"/>
  <c r="K628" i="1"/>
  <c r="K626" i="1"/>
  <c r="K624" i="1"/>
  <c r="K625" i="1"/>
  <c r="H456" i="1"/>
  <c r="K458" i="1"/>
  <c r="K457" i="1"/>
  <c r="K459" i="1"/>
  <c r="H1427" i="1"/>
  <c r="K1429" i="1"/>
  <c r="K1430" i="1"/>
  <c r="K1428" i="1"/>
  <c r="H302" i="1"/>
  <c r="K303" i="1"/>
  <c r="K304" i="1"/>
  <c r="K308" i="1"/>
  <c r="K309" i="1"/>
  <c r="H109" i="1"/>
  <c r="K110" i="1"/>
  <c r="K111" i="1"/>
  <c r="H898" i="1"/>
  <c r="K902" i="1"/>
  <c r="K899" i="1"/>
  <c r="K901" i="1"/>
  <c r="K900" i="1"/>
  <c r="K903" i="1"/>
  <c r="H448" i="1"/>
  <c r="K449" i="1"/>
  <c r="K450" i="1"/>
  <c r="H495" i="1"/>
  <c r="K497" i="1"/>
  <c r="K496" i="1"/>
  <c r="H1436" i="1"/>
  <c r="K1439" i="1"/>
  <c r="K1437" i="1"/>
  <c r="K1438" i="1"/>
  <c r="H256" i="1"/>
  <c r="K258" i="1"/>
  <c r="K257" i="1"/>
  <c r="H1033" i="1"/>
  <c r="K1037" i="1"/>
  <c r="K1036" i="1"/>
  <c r="K1034" i="1"/>
  <c r="K1035" i="1"/>
  <c r="H125" i="1"/>
  <c r="K126" i="1"/>
  <c r="K128" i="1"/>
  <c r="K127" i="1"/>
  <c r="H777" i="1"/>
  <c r="D777" i="1" s="1"/>
  <c r="C777" i="1"/>
  <c r="H1222" i="1"/>
  <c r="K1223" i="1"/>
  <c r="K1227" i="1"/>
  <c r="K1224" i="1"/>
  <c r="K1225" i="1"/>
  <c r="K1226" i="1"/>
  <c r="H574" i="1"/>
  <c r="H1126" i="1"/>
  <c r="K1127" i="1"/>
  <c r="K1128" i="1"/>
  <c r="K1130" i="1"/>
  <c r="K1129" i="1"/>
  <c r="K1132" i="1"/>
  <c r="K1131" i="1"/>
  <c r="D1968" i="1"/>
  <c r="H1966" i="1"/>
  <c r="K1966" i="1"/>
  <c r="E89" i="33"/>
  <c r="G89" i="33" s="1"/>
  <c r="D1571" i="1"/>
  <c r="DS184" i="16"/>
  <c r="E109" i="33"/>
  <c r="G109" i="33" s="1"/>
  <c r="H1986" i="1"/>
  <c r="P2159" i="1"/>
  <c r="C2159" i="1" s="1"/>
  <c r="M2159" i="1"/>
  <c r="G99" i="31"/>
  <c r="B99" i="31"/>
  <c r="D1544" i="1"/>
  <c r="DJ184" i="16"/>
  <c r="K1612" i="1" s="1"/>
  <c r="D1612" i="1" s="1"/>
  <c r="H1612" i="1" s="1"/>
  <c r="P1612" i="1" s="1"/>
  <c r="C1612" i="1" s="1"/>
  <c r="J1505" i="1"/>
  <c r="H1505" i="1"/>
  <c r="P1505" i="1" s="1"/>
  <c r="C1505" i="1" s="1"/>
  <c r="H592" i="23"/>
  <c r="H594" i="23"/>
  <c r="H2076" i="1"/>
  <c r="P2076" i="1" s="1"/>
  <c r="C2076" i="1" s="1"/>
  <c r="N2076" i="1"/>
  <c r="H1575" i="1"/>
  <c r="P1575" i="1" s="1"/>
  <c r="C1575" i="1" s="1"/>
  <c r="E176" i="31"/>
  <c r="J1575" i="1"/>
  <c r="D1581" i="1"/>
  <c r="G121" i="35"/>
  <c r="B121" i="35"/>
  <c r="G73" i="34"/>
  <c r="B73" i="34"/>
  <c r="N2129" i="1"/>
  <c r="H2129" i="1"/>
  <c r="P2129" i="1" s="1"/>
  <c r="C2129" i="1" s="1"/>
  <c r="E142" i="33"/>
  <c r="G152" i="42"/>
  <c r="G153" i="42" s="1"/>
  <c r="G154" i="42" s="1"/>
  <c r="E153" i="42"/>
  <c r="B152" i="42"/>
  <c r="G288" i="42"/>
  <c r="B288" i="42"/>
  <c r="G268" i="42"/>
  <c r="B268" i="42"/>
  <c r="L764" i="1"/>
  <c r="L772" i="1"/>
  <c r="L771" i="1"/>
  <c r="L765" i="1"/>
  <c r="L153" i="1"/>
  <c r="L410" i="1"/>
  <c r="L245" i="1"/>
  <c r="L746" i="1"/>
  <c r="L747" i="1"/>
  <c r="H1472" i="1"/>
  <c r="K1475" i="1"/>
  <c r="K1473" i="1"/>
  <c r="K1474" i="1"/>
  <c r="H339" i="1"/>
  <c r="K345" i="1"/>
  <c r="K353" i="1"/>
  <c r="K347" i="1"/>
  <c r="K348" i="1"/>
  <c r="K349" i="1"/>
  <c r="K350" i="1"/>
  <c r="K351" i="1"/>
  <c r="K346" i="1"/>
  <c r="K352" i="1"/>
  <c r="K355" i="1"/>
  <c r="K354" i="1"/>
  <c r="K341" i="1"/>
  <c r="K179" i="1"/>
  <c r="K177" i="1"/>
  <c r="K176" i="1"/>
  <c r="K175" i="1"/>
  <c r="K344" i="1"/>
  <c r="K340" i="1"/>
  <c r="K178" i="1"/>
  <c r="K342" i="1"/>
  <c r="K343" i="1"/>
  <c r="L1288" i="1"/>
  <c r="L1286" i="1"/>
  <c r="L1284" i="1"/>
  <c r="L1282" i="1"/>
  <c r="L1285" i="1"/>
  <c r="L1283" i="1"/>
  <c r="L1289" i="1"/>
  <c r="L1281" i="1"/>
  <c r="L1287" i="1"/>
  <c r="L1066" i="1"/>
  <c r="L1065" i="1"/>
  <c r="L1063" i="1"/>
  <c r="L1064" i="1"/>
  <c r="L1067" i="1"/>
  <c r="L737" i="1"/>
  <c r="L738" i="1"/>
  <c r="L824" i="1"/>
  <c r="L820" i="1"/>
  <c r="L822" i="1"/>
  <c r="L823" i="1"/>
  <c r="L821" i="1"/>
  <c r="L819" i="1"/>
  <c r="L804" i="1"/>
  <c r="L856" i="1"/>
  <c r="L871" i="1"/>
  <c r="L855" i="1"/>
  <c r="L860" i="1"/>
  <c r="L800" i="1"/>
  <c r="L857" i="1"/>
  <c r="L872" i="1"/>
  <c r="L799" i="1"/>
  <c r="L873" i="1"/>
  <c r="L870" i="1"/>
  <c r="L859" i="1"/>
  <c r="L802" i="1"/>
  <c r="L801" i="1"/>
  <c r="L858" i="1"/>
  <c r="L803" i="1"/>
  <c r="L869" i="1"/>
  <c r="L466" i="1"/>
  <c r="L467" i="1"/>
  <c r="L899" i="1"/>
  <c r="L903" i="1"/>
  <c r="L900" i="1"/>
  <c r="L901" i="1"/>
  <c r="L902" i="1"/>
  <c r="L276" i="1"/>
  <c r="L277" i="1"/>
  <c r="L275" i="1"/>
  <c r="P2006" i="1"/>
  <c r="L1198" i="1"/>
  <c r="L1199" i="1"/>
  <c r="L1197" i="1"/>
  <c r="L1196" i="1"/>
  <c r="L1195" i="1"/>
  <c r="L1194" i="1"/>
  <c r="L1465" i="1"/>
  <c r="L1464" i="1"/>
  <c r="L1466" i="1"/>
  <c r="L1026" i="1"/>
  <c r="L1024" i="1"/>
  <c r="L1027" i="1"/>
  <c r="L1025" i="1"/>
  <c r="L1028" i="1"/>
  <c r="L714" i="1"/>
  <c r="L720" i="1"/>
  <c r="L721" i="1"/>
  <c r="L713" i="1"/>
  <c r="L1218" i="1"/>
  <c r="L1217" i="1"/>
  <c r="L1216" i="1"/>
  <c r="L1215" i="1"/>
  <c r="L1214" i="1"/>
  <c r="L1219" i="1"/>
  <c r="L351" i="1"/>
  <c r="L346" i="1"/>
  <c r="L347" i="1"/>
  <c r="L345" i="1"/>
  <c r="L350" i="1"/>
  <c r="L353" i="1"/>
  <c r="L349" i="1"/>
  <c r="L352" i="1"/>
  <c r="L348" i="1"/>
  <c r="L355" i="1"/>
  <c r="L342" i="1"/>
  <c r="L343" i="1"/>
  <c r="L341" i="1"/>
  <c r="L354" i="1"/>
  <c r="L340" i="1"/>
  <c r="L344" i="1"/>
  <c r="L496" i="1"/>
  <c r="L497" i="1"/>
  <c r="L975" i="1"/>
  <c r="L976" i="1"/>
  <c r="L974" i="1"/>
  <c r="L977" i="1"/>
  <c r="P746" i="1"/>
  <c r="P747" i="1"/>
  <c r="L197" i="1"/>
  <c r="L199" i="1"/>
  <c r="L198" i="1"/>
  <c r="K1799" i="1"/>
  <c r="H1799" i="1"/>
  <c r="H505" i="1"/>
  <c r="K507" i="1"/>
  <c r="K506" i="1"/>
  <c r="H266" i="1"/>
  <c r="K268" i="1"/>
  <c r="K267" i="1"/>
  <c r="H818" i="1"/>
  <c r="K823" i="1"/>
  <c r="K824" i="1"/>
  <c r="H534" i="1"/>
  <c r="K543" i="1"/>
  <c r="K535" i="1"/>
  <c r="K536" i="1"/>
  <c r="K542" i="1"/>
  <c r="K537" i="1"/>
  <c r="H770" i="1"/>
  <c r="H566" i="1"/>
  <c r="H584" i="1"/>
  <c r="H932" i="1"/>
  <c r="H179" i="97" s="1"/>
  <c r="K935" i="1"/>
  <c r="K936" i="1"/>
  <c r="K937" i="1"/>
  <c r="K934" i="1"/>
  <c r="H526" i="1"/>
  <c r="K527" i="1"/>
  <c r="K528" i="1"/>
  <c r="H682" i="1"/>
  <c r="C682" i="1" s="1"/>
  <c r="H465" i="1"/>
  <c r="K467" i="1"/>
  <c r="K466" i="1"/>
  <c r="H317" i="1"/>
  <c r="K319" i="1"/>
  <c r="K320" i="1"/>
  <c r="K318" i="1"/>
  <c r="H1146" i="1"/>
  <c r="K1151" i="1"/>
  <c r="K1147" i="1"/>
  <c r="K1152" i="1"/>
  <c r="K1148" i="1"/>
  <c r="K1150" i="1"/>
  <c r="K1149" i="1"/>
  <c r="H798" i="1"/>
  <c r="H181" i="97" s="1"/>
  <c r="K800" i="1"/>
  <c r="K804" i="1"/>
  <c r="K801" i="1"/>
  <c r="K802" i="1"/>
  <c r="K803" i="1"/>
  <c r="K799" i="1"/>
  <c r="H1251" i="1"/>
  <c r="K1260" i="1"/>
  <c r="K1258" i="1"/>
  <c r="K1256" i="1"/>
  <c r="K1254" i="1"/>
  <c r="K1252" i="1"/>
  <c r="K1255" i="1"/>
  <c r="K1257" i="1"/>
  <c r="K1253" i="1"/>
  <c r="K1261" i="1"/>
  <c r="K1259" i="1"/>
  <c r="H673" i="1"/>
  <c r="C673" i="1" s="1"/>
  <c r="H1202" i="1"/>
  <c r="K1205" i="1"/>
  <c r="K1203" i="1"/>
  <c r="K1206" i="1"/>
  <c r="K1209" i="1"/>
  <c r="K1208" i="1"/>
  <c r="K1204" i="1"/>
  <c r="K1207" i="1"/>
  <c r="H1410" i="1"/>
  <c r="H174" i="97" s="1"/>
  <c r="K1411" i="1"/>
  <c r="K1412" i="1"/>
  <c r="P1965" i="1"/>
  <c r="D2206" i="1"/>
  <c r="H2193" i="1"/>
  <c r="P2193" i="1" s="1"/>
  <c r="C2193" i="1" s="1"/>
  <c r="D2228" i="1"/>
  <c r="H2228" i="1" s="1"/>
  <c r="P2228" i="1" s="1"/>
  <c r="C2228" i="1" s="1"/>
  <c r="D2205" i="1"/>
  <c r="H2205" i="1" s="1"/>
  <c r="P2205" i="1" s="1"/>
  <c r="C2205" i="1" s="1"/>
  <c r="H1982" i="1"/>
  <c r="E105" i="33"/>
  <c r="G105" i="33" s="1"/>
  <c r="G122" i="35"/>
  <c r="B122" i="35"/>
  <c r="B68" i="34"/>
  <c r="G68" i="34"/>
  <c r="EX184" i="16"/>
  <c r="W184" i="16"/>
  <c r="I1713" i="1"/>
  <c r="H1713" i="1"/>
  <c r="P1713" i="1" s="1"/>
  <c r="C1713" i="1" s="1"/>
  <c r="P2017" i="1"/>
  <c r="C2017" i="1" s="1"/>
  <c r="G55" i="31"/>
  <c r="B55" i="31"/>
  <c r="H1504" i="1"/>
  <c r="P1504" i="1" s="1"/>
  <c r="C1504" i="1" s="1"/>
  <c r="J1504" i="1"/>
  <c r="E197" i="31"/>
  <c r="D2242" i="1"/>
  <c r="D2039" i="1"/>
  <c r="H2039" i="1" s="1"/>
  <c r="P2039" i="1" s="1"/>
  <c r="C2039" i="1" s="1"/>
  <c r="E127" i="33"/>
  <c r="P2013" i="1"/>
  <c r="C2013" i="1" s="1"/>
  <c r="B89" i="35"/>
  <c r="G89" i="35"/>
  <c r="B94" i="31"/>
  <c r="G94" i="31"/>
  <c r="H2307" i="23"/>
  <c r="H2308" i="23" s="1"/>
  <c r="H2306" i="23"/>
  <c r="H2305" i="23"/>
  <c r="G134" i="35"/>
  <c r="B134" i="35"/>
  <c r="G279" i="42"/>
  <c r="B279" i="42"/>
  <c r="L1429" i="1"/>
  <c r="L1428" i="1"/>
  <c r="L1430" i="1"/>
  <c r="H2326" i="1"/>
  <c r="H2354" i="1"/>
  <c r="H2341" i="1"/>
  <c r="H2338" i="1"/>
  <c r="H2324" i="1"/>
  <c r="H2353" i="1"/>
  <c r="H2327" i="1"/>
  <c r="H2331" i="1"/>
  <c r="H2351" i="1"/>
  <c r="H2347" i="1"/>
  <c r="H2325" i="1"/>
  <c r="H2336" i="1"/>
  <c r="H2340" i="1"/>
  <c r="H2337" i="1"/>
  <c r="H2360" i="1"/>
  <c r="P2360" i="1" s="1"/>
  <c r="C2360" i="1" s="1"/>
  <c r="H2357" i="1"/>
  <c r="H2358" i="1"/>
  <c r="P2358" i="1" s="1"/>
  <c r="C2358" i="1" s="1"/>
  <c r="H2328" i="1"/>
  <c r="H2342" i="1"/>
  <c r="H2345" i="1"/>
  <c r="H2346" i="1"/>
  <c r="P2346" i="1" s="1"/>
  <c r="C2346" i="1" s="1"/>
  <c r="H2348" i="1"/>
  <c r="P2348" i="1" s="1"/>
  <c r="C2348" i="1" s="1"/>
  <c r="H2359" i="1"/>
  <c r="P2359" i="1" s="1"/>
  <c r="C2359" i="1" s="1"/>
  <c r="H2332" i="1"/>
  <c r="P2332" i="1" s="1"/>
  <c r="C2332" i="1" s="1"/>
  <c r="H2339" i="1"/>
  <c r="H2350" i="1"/>
  <c r="H2334" i="1"/>
  <c r="P2334" i="1" s="1"/>
  <c r="C2334" i="1" s="1"/>
  <c r="H2322" i="1"/>
  <c r="H2343" i="1"/>
  <c r="H2333" i="1"/>
  <c r="H2330" i="1"/>
  <c r="H2355" i="1"/>
  <c r="H2344" i="1"/>
  <c r="H2352" i="1"/>
  <c r="H2323" i="1"/>
  <c r="P2320" i="1"/>
  <c r="H2329" i="1"/>
  <c r="H2356" i="1"/>
  <c r="L1171" i="1"/>
  <c r="L1169" i="1"/>
  <c r="L1170" i="1"/>
  <c r="L761" i="1"/>
  <c r="L760" i="1"/>
  <c r="L947" i="1"/>
  <c r="L945" i="1"/>
  <c r="L946" i="1"/>
  <c r="L944" i="1"/>
  <c r="L948" i="1"/>
  <c r="L1411" i="1"/>
  <c r="L1412" i="1"/>
  <c r="L527" i="1"/>
  <c r="L528" i="1"/>
  <c r="L432" i="1"/>
  <c r="L435" i="1"/>
  <c r="L434" i="1"/>
  <c r="L436" i="1"/>
  <c r="L433" i="1"/>
  <c r="L1075" i="1"/>
  <c r="L1073" i="1"/>
  <c r="L1074" i="1"/>
  <c r="L127" i="1"/>
  <c r="L128" i="1"/>
  <c r="L126" i="1"/>
  <c r="E144" i="33"/>
  <c r="K1798" i="1"/>
  <c r="H1798" i="1"/>
  <c r="H697" i="1"/>
  <c r="H335" i="1"/>
  <c r="C335" i="1" s="1"/>
  <c r="H908" i="1"/>
  <c r="P908" i="1" s="1"/>
  <c r="C908" i="1" s="1"/>
  <c r="H712" i="1"/>
  <c r="K721" i="1"/>
  <c r="K714" i="1"/>
  <c r="K713" i="1"/>
  <c r="K720" i="1"/>
  <c r="H922" i="1"/>
  <c r="K924" i="1"/>
  <c r="K923" i="1"/>
  <c r="K925" i="1"/>
  <c r="K926" i="1"/>
  <c r="K927" i="1"/>
  <c r="H1080" i="1"/>
  <c r="K1082" i="1"/>
  <c r="K1081" i="1"/>
  <c r="H788" i="1"/>
  <c r="C788" i="1" s="1"/>
  <c r="K793" i="1"/>
  <c r="K791" i="1"/>
  <c r="K790" i="1"/>
  <c r="K789" i="1"/>
  <c r="K792" i="1"/>
  <c r="H973" i="1"/>
  <c r="K975" i="1"/>
  <c r="K977" i="1"/>
  <c r="K976" i="1"/>
  <c r="K974" i="1"/>
  <c r="H1052" i="1"/>
  <c r="K1053" i="1"/>
  <c r="K1054" i="1"/>
  <c r="K1057" i="1"/>
  <c r="K1055" i="1"/>
  <c r="K1056" i="1"/>
  <c r="H1184" i="1"/>
  <c r="K1189" i="1"/>
  <c r="K1185" i="1"/>
  <c r="K1190" i="1"/>
  <c r="K1187" i="1"/>
  <c r="K1186" i="1"/>
  <c r="K1188" i="1"/>
  <c r="K1831" i="1"/>
  <c r="D1831" i="1" s="1"/>
  <c r="D185" i="97" s="1"/>
  <c r="H594" i="1"/>
  <c r="C594" i="1" s="1"/>
  <c r="H473" i="1"/>
  <c r="K474" i="1"/>
  <c r="K476" i="1"/>
  <c r="K475" i="1"/>
  <c r="K477" i="1"/>
  <c r="H1213" i="1"/>
  <c r="K1214" i="1"/>
  <c r="K1216" i="1"/>
  <c r="K1217" i="1"/>
  <c r="K1219" i="1"/>
  <c r="K1218" i="1"/>
  <c r="K1215" i="1"/>
  <c r="H174" i="1"/>
  <c r="H829" i="1"/>
  <c r="K831" i="1"/>
  <c r="K834" i="1"/>
  <c r="K843" i="1"/>
  <c r="K835" i="1"/>
  <c r="K841" i="1"/>
  <c r="K844" i="1"/>
  <c r="K842" i="1"/>
  <c r="K830" i="1"/>
  <c r="H1783" i="1"/>
  <c r="H102" i="97" s="1"/>
  <c r="H1784" i="1"/>
  <c r="H54" i="97" s="1"/>
  <c r="P1782" i="1"/>
  <c r="I173" i="97" s="1"/>
  <c r="H1087" i="1"/>
  <c r="K1093" i="1"/>
  <c r="K1090" i="1"/>
  <c r="K1088" i="1"/>
  <c r="K1092" i="1"/>
  <c r="K1089" i="1"/>
  <c r="K1091" i="1"/>
  <c r="H730" i="1"/>
  <c r="K731" i="1"/>
  <c r="K734" i="1"/>
  <c r="K733" i="1"/>
  <c r="K732" i="1"/>
  <c r="H1293" i="1"/>
  <c r="K1301" i="1"/>
  <c r="K1294" i="1"/>
  <c r="K1296" i="1"/>
  <c r="K1302" i="1"/>
  <c r="K1303" i="1"/>
  <c r="K1298" i="1"/>
  <c r="K1299" i="1"/>
  <c r="K1297" i="1"/>
  <c r="K1300" i="1"/>
  <c r="K1295" i="1"/>
  <c r="H244" i="1"/>
  <c r="H168" i="97" s="1"/>
  <c r="K245" i="1"/>
  <c r="K153" i="1"/>
  <c r="K410" i="1"/>
  <c r="H2084" i="1"/>
  <c r="P2084" i="1" s="1"/>
  <c r="C2084" i="1" s="1"/>
  <c r="N2084" i="1"/>
  <c r="H1985" i="1"/>
  <c r="E108" i="33"/>
  <c r="G108" i="33" s="1"/>
  <c r="G100" i="33"/>
  <c r="I1659" i="1"/>
  <c r="H1659" i="1"/>
  <c r="P1659" i="1" s="1"/>
  <c r="C1659" i="1" s="1"/>
  <c r="B41" i="42"/>
  <c r="G41" i="42"/>
  <c r="H2071" i="1"/>
  <c r="P2071" i="1" s="1"/>
  <c r="C2071" i="1" s="1"/>
  <c r="N2071" i="1"/>
  <c r="CN229" i="70"/>
  <c r="B140" i="33"/>
  <c r="G140" i="33"/>
  <c r="E189" i="31"/>
  <c r="J1588" i="1"/>
  <c r="H1588" i="1"/>
  <c r="P1588" i="1" s="1"/>
  <c r="C1588" i="1" s="1"/>
  <c r="B175" i="31"/>
  <c r="G175" i="31"/>
  <c r="H2659" i="23"/>
  <c r="H2660" i="23"/>
  <c r="H2661" i="23"/>
  <c r="H2663" i="23"/>
  <c r="H2665" i="23"/>
  <c r="G106" i="31"/>
  <c r="B106" i="31"/>
  <c r="H2000" i="1"/>
  <c r="E123" i="33"/>
  <c r="G123" i="33" s="1"/>
  <c r="G136" i="33"/>
  <c r="B136" i="33"/>
  <c r="G58" i="42"/>
  <c r="B58" i="42"/>
  <c r="G126" i="35"/>
  <c r="B126" i="35"/>
  <c r="P1999" i="1"/>
  <c r="C1999" i="1" s="1"/>
  <c r="L1999" i="1"/>
  <c r="H1520" i="1"/>
  <c r="P1520" i="1" s="1"/>
  <c r="C1520" i="1" s="1"/>
  <c r="J1520" i="1"/>
  <c r="B298" i="42"/>
  <c r="G298" i="42"/>
  <c r="G281" i="42"/>
  <c r="B281" i="42"/>
  <c r="G287" i="42"/>
  <c r="B287" i="42"/>
  <c r="L963" i="1"/>
  <c r="L965" i="1"/>
  <c r="L964" i="1"/>
  <c r="L966" i="1"/>
  <c r="L968" i="1"/>
  <c r="L967" i="1"/>
  <c r="L507" i="1"/>
  <c r="L506" i="1"/>
  <c r="L1095" i="1"/>
  <c r="L1096" i="1"/>
  <c r="L1099" i="1"/>
  <c r="L1046" i="1"/>
  <c r="L1047" i="1"/>
  <c r="L1100" i="1"/>
  <c r="L1097" i="1"/>
  <c r="L1045" i="1"/>
  <c r="L1043" i="1"/>
  <c r="L1044" i="1"/>
  <c r="L1386" i="1"/>
  <c r="L1384" i="1"/>
  <c r="L1382" i="1"/>
  <c r="L1380" i="1"/>
  <c r="L1381" i="1"/>
  <c r="L1385" i="1"/>
  <c r="L1383" i="1"/>
  <c r="L1379" i="1"/>
  <c r="L956" i="1"/>
  <c r="L957" i="1"/>
  <c r="L955" i="1"/>
  <c r="L954" i="1"/>
  <c r="L543" i="1"/>
  <c r="L542" i="1"/>
  <c r="L537" i="1"/>
  <c r="L535" i="1"/>
  <c r="L536" i="1"/>
  <c r="H359" i="23"/>
  <c r="H360" i="23"/>
  <c r="H353" i="23"/>
  <c r="H363" i="23"/>
  <c r="H356" i="23"/>
  <c r="H354" i="23"/>
  <c r="H355" i="23"/>
  <c r="H361" i="23"/>
  <c r="H352" i="23"/>
  <c r="I348" i="23"/>
  <c r="H362" i="23"/>
  <c r="L1139" i="1"/>
  <c r="L1142" i="1"/>
  <c r="L1137" i="1"/>
  <c r="L1138" i="1"/>
  <c r="L1136" i="1"/>
  <c r="L1141" i="1"/>
  <c r="L1140" i="1"/>
  <c r="L732" i="1"/>
  <c r="L734" i="1"/>
  <c r="L733" i="1"/>
  <c r="L731" i="1"/>
  <c r="L236" i="1"/>
  <c r="L235" i="1"/>
  <c r="L225" i="1"/>
  <c r="L226" i="1"/>
  <c r="L1008" i="1"/>
  <c r="L1006" i="1"/>
  <c r="L1005" i="1"/>
  <c r="L1007" i="1"/>
  <c r="L1004" i="1"/>
  <c r="L1179" i="1"/>
  <c r="L1174" i="1"/>
  <c r="L1173" i="1"/>
  <c r="L1175" i="1"/>
  <c r="L1180" i="1"/>
  <c r="L1177" i="1"/>
  <c r="L1178" i="1"/>
  <c r="L514" i="1"/>
  <c r="L515" i="1"/>
  <c r="L516" i="1"/>
  <c r="L517" i="1"/>
  <c r="L1156" i="1"/>
  <c r="L1157" i="1"/>
  <c r="H2310" i="1"/>
  <c r="L2309" i="1"/>
  <c r="C2309" i="1" s="1"/>
  <c r="P1991" i="1"/>
  <c r="H279" i="23"/>
  <c r="I278" i="23"/>
  <c r="K1800" i="1"/>
  <c r="H1800" i="1"/>
  <c r="H743" i="1"/>
  <c r="C743" i="1" s="1"/>
  <c r="H431" i="1"/>
  <c r="K435" i="1"/>
  <c r="K432" i="1"/>
  <c r="K433" i="1"/>
  <c r="K434" i="1"/>
  <c r="K436" i="1"/>
  <c r="H980" i="1"/>
  <c r="K982" i="1"/>
  <c r="K983" i="1"/>
  <c r="K981" i="1"/>
  <c r="K984" i="1"/>
  <c r="K985" i="1"/>
  <c r="H763" i="1"/>
  <c r="K764" i="1"/>
  <c r="K765" i="1"/>
  <c r="K771" i="1"/>
  <c r="K772" i="1"/>
  <c r="H995" i="1"/>
  <c r="H1351" i="1"/>
  <c r="K1360" i="1"/>
  <c r="K1358" i="1"/>
  <c r="K1356" i="1"/>
  <c r="K1354" i="1"/>
  <c r="K1352" i="1"/>
  <c r="K1361" i="1"/>
  <c r="K1353" i="1"/>
  <c r="K1268" i="1"/>
  <c r="K1357" i="1"/>
  <c r="K1310" i="1"/>
  <c r="K1359" i="1"/>
  <c r="K1355" i="1"/>
  <c r="H37" i="1"/>
  <c r="K38" i="1"/>
  <c r="K39" i="1"/>
  <c r="H953" i="1"/>
  <c r="K955" i="1"/>
  <c r="K957" i="1"/>
  <c r="K956" i="1"/>
  <c r="K954" i="1"/>
  <c r="H1003" i="1"/>
  <c r="K1007" i="1"/>
  <c r="K1008" i="1"/>
  <c r="K1005" i="1"/>
  <c r="K1006" i="1"/>
  <c r="K1004" i="1"/>
  <c r="H1308" i="1"/>
  <c r="K1317" i="1"/>
  <c r="K1315" i="1"/>
  <c r="K1313" i="1"/>
  <c r="K1311" i="1"/>
  <c r="K1309" i="1"/>
  <c r="K1318" i="1"/>
  <c r="K1312" i="1"/>
  <c r="K1314" i="1"/>
  <c r="K1316" i="1"/>
  <c r="H134" i="1"/>
  <c r="K135" i="1"/>
  <c r="K136" i="1"/>
  <c r="H1266" i="1"/>
  <c r="K1275" i="1"/>
  <c r="K1273" i="1"/>
  <c r="K1271" i="1"/>
  <c r="K1269" i="1"/>
  <c r="K1267" i="1"/>
  <c r="K1272" i="1"/>
  <c r="K1270" i="1"/>
  <c r="K1274" i="1"/>
  <c r="K1276" i="1"/>
  <c r="K1095" i="1"/>
  <c r="K1097" i="1"/>
  <c r="K1099" i="1"/>
  <c r="K1096" i="1"/>
  <c r="K1100" i="1"/>
  <c r="H655" i="1"/>
  <c r="K658" i="1"/>
  <c r="K656" i="1"/>
  <c r="K657" i="1"/>
  <c r="H550" i="1"/>
  <c r="H1390" i="1"/>
  <c r="K1397" i="1"/>
  <c r="K1395" i="1"/>
  <c r="K1393" i="1"/>
  <c r="K1391" i="1"/>
  <c r="K1398" i="1"/>
  <c r="K1392" i="1"/>
  <c r="K1394" i="1"/>
  <c r="K1396" i="1"/>
  <c r="H205" i="1"/>
  <c r="K207" i="1"/>
  <c r="K206" i="1"/>
  <c r="H1072" i="1"/>
  <c r="K1075" i="1"/>
  <c r="K1073" i="1"/>
  <c r="K1074" i="1"/>
  <c r="H156" i="1"/>
  <c r="K157" i="1"/>
  <c r="K158" i="1" s="1"/>
  <c r="H778" i="1"/>
  <c r="H1402" i="1"/>
  <c r="K1404" i="1"/>
  <c r="K1403" i="1"/>
  <c r="H745" i="1"/>
  <c r="K746" i="1"/>
  <c r="K747" i="1"/>
  <c r="H2081" i="1"/>
  <c r="P2081" i="1" s="1"/>
  <c r="C2081" i="1" s="1"/>
  <c r="N2081" i="1"/>
  <c r="H1649" i="1"/>
  <c r="P1649" i="1" s="1"/>
  <c r="C1649" i="1" s="1"/>
  <c r="I1649" i="1"/>
  <c r="I1661" i="1"/>
  <c r="H1661" i="1"/>
  <c r="P1661" i="1" s="1"/>
  <c r="C1661" i="1" s="1"/>
  <c r="B128" i="35"/>
  <c r="G128" i="35"/>
  <c r="G125" i="35"/>
  <c r="B125" i="35"/>
  <c r="G26" i="34"/>
  <c r="B26" i="34"/>
  <c r="B100" i="31"/>
  <c r="G100" i="31"/>
  <c r="D2163" i="23"/>
  <c r="H2167" i="23"/>
  <c r="H2164" i="23"/>
  <c r="H1998" i="1"/>
  <c r="E121" i="33"/>
  <c r="G121" i="33" s="1"/>
  <c r="B32" i="42"/>
  <c r="G32" i="42"/>
  <c r="H2306" i="1"/>
  <c r="P2306" i="1" s="1"/>
  <c r="C2306" i="1" s="1"/>
  <c r="E297" i="42"/>
  <c r="G285" i="42"/>
  <c r="B285" i="42"/>
  <c r="E267" i="42"/>
  <c r="H2274" i="1"/>
  <c r="P2274" i="1" s="1"/>
  <c r="C2274" i="1" s="1"/>
  <c r="B292" i="42"/>
  <c r="G292" i="42"/>
  <c r="H1102" i="1"/>
  <c r="K1104" i="1"/>
  <c r="K1106" i="1"/>
  <c r="K1105" i="1"/>
  <c r="K1107" i="1"/>
  <c r="K1108" i="1"/>
  <c r="K1103" i="1"/>
  <c r="H1023" i="1"/>
  <c r="K1026" i="1"/>
  <c r="K1025" i="1"/>
  <c r="K1028" i="1"/>
  <c r="K1027" i="1"/>
  <c r="K1024" i="1"/>
  <c r="H396" i="1"/>
  <c r="K398" i="1"/>
  <c r="K399" i="1"/>
  <c r="K397" i="1"/>
  <c r="H1238" i="1"/>
  <c r="K1246" i="1"/>
  <c r="K1244" i="1"/>
  <c r="K1242" i="1"/>
  <c r="K1240" i="1"/>
  <c r="K1241" i="1"/>
  <c r="K1243" i="1"/>
  <c r="K1239" i="1"/>
  <c r="K1247" i="1"/>
  <c r="K1245" i="1"/>
  <c r="H164" i="1"/>
  <c r="K166" i="1"/>
  <c r="K165" i="1"/>
  <c r="H142" i="1"/>
  <c r="K143" i="1"/>
  <c r="K144" i="1"/>
  <c r="H645" i="1"/>
  <c r="H1463" i="1"/>
  <c r="K1465" i="1"/>
  <c r="K1464" i="1"/>
  <c r="K1466" i="1"/>
  <c r="H698" i="1"/>
  <c r="C698" i="1" s="1"/>
  <c r="H1111" i="1"/>
  <c r="K1113" i="1"/>
  <c r="K1112" i="1"/>
  <c r="K1114" i="1"/>
  <c r="H234" i="1"/>
  <c r="K235" i="1"/>
  <c r="K236" i="1"/>
  <c r="H854" i="1"/>
  <c r="H182" i="97" s="1"/>
  <c r="K857" i="1"/>
  <c r="K858" i="1"/>
  <c r="K859" i="1"/>
  <c r="K855" i="1"/>
  <c r="K860" i="1"/>
  <c r="K856" i="1"/>
  <c r="H1481" i="1"/>
  <c r="K1482" i="1"/>
  <c r="K1483" i="1"/>
  <c r="K1484" i="1"/>
  <c r="K613" i="1"/>
  <c r="H612" i="1"/>
  <c r="K660" i="1"/>
  <c r="K606" i="1"/>
  <c r="K649" i="1"/>
  <c r="K615" i="1"/>
  <c r="K616" i="1"/>
  <c r="K614" i="1"/>
  <c r="K647" i="1"/>
  <c r="K648" i="1"/>
  <c r="K650" i="1"/>
  <c r="K588" i="1"/>
  <c r="K659" i="1"/>
  <c r="K589" i="1"/>
  <c r="K607" i="1"/>
  <c r="K646" i="1"/>
  <c r="K617" i="1"/>
  <c r="H1652" i="1"/>
  <c r="P1652" i="1" s="1"/>
  <c r="C1652" i="1" s="1"/>
  <c r="I1652" i="1"/>
  <c r="N2091" i="1"/>
  <c r="H2091" i="1"/>
  <c r="P2091" i="1" s="1"/>
  <c r="C2091" i="1" s="1"/>
  <c r="I1648" i="1"/>
  <c r="H1648" i="1"/>
  <c r="P1648" i="1" s="1"/>
  <c r="C1648" i="1" s="1"/>
  <c r="G32" i="34"/>
  <c r="B32" i="34"/>
  <c r="I1714" i="1"/>
  <c r="H1714" i="1"/>
  <c r="P1714" i="1" s="1"/>
  <c r="C1714" i="1" s="1"/>
  <c r="G52" i="33"/>
  <c r="B52" i="33"/>
  <c r="J1587" i="1"/>
  <c r="E188" i="31"/>
  <c r="H1587" i="1"/>
  <c r="P1587" i="1" s="1"/>
  <c r="C1587" i="1" s="1"/>
  <c r="D2249" i="1"/>
  <c r="E204" i="31"/>
  <c r="G204" i="31" s="1"/>
  <c r="G120" i="33"/>
  <c r="B120" i="33"/>
  <c r="E83" i="33"/>
  <c r="G83" i="33" s="1"/>
  <c r="H1960" i="1"/>
  <c r="B90" i="42"/>
  <c r="G90" i="42"/>
  <c r="E136" i="42"/>
  <c r="E137" i="42" s="1"/>
  <c r="B135" i="42"/>
  <c r="G135" i="42"/>
  <c r="G136" i="42" s="1"/>
  <c r="G137" i="42" s="1"/>
  <c r="D2182" i="1"/>
  <c r="D2181" i="1" s="1"/>
  <c r="H2160" i="1"/>
  <c r="D2176" i="1"/>
  <c r="D2152" i="1"/>
  <c r="C2152" i="1" s="1"/>
  <c r="J1519" i="1"/>
  <c r="H1519" i="1"/>
  <c r="P1519" i="1" s="1"/>
  <c r="C1519" i="1" s="1"/>
  <c r="B266" i="42"/>
  <c r="G266" i="42"/>
  <c r="L206" i="1"/>
  <c r="L207" i="1"/>
  <c r="L915" i="1"/>
  <c r="L916" i="1"/>
  <c r="L917" i="1"/>
  <c r="L914" i="1"/>
  <c r="L1105" i="1"/>
  <c r="L1108" i="1"/>
  <c r="L1103" i="1"/>
  <c r="L1106" i="1"/>
  <c r="L1104" i="1"/>
  <c r="L1107" i="1"/>
  <c r="L1119" i="1"/>
  <c r="L1120" i="1"/>
  <c r="L1122" i="1"/>
  <c r="L1118" i="1"/>
  <c r="L1121" i="1"/>
  <c r="L1116" i="1"/>
  <c r="L1117" i="1"/>
  <c r="L604" i="1"/>
  <c r="L603" i="1"/>
  <c r="L605" i="1"/>
  <c r="L1235" i="1"/>
  <c r="L1231" i="1"/>
  <c r="L1232" i="1"/>
  <c r="L1233" i="1"/>
  <c r="L1234" i="1"/>
  <c r="P2314" i="1"/>
  <c r="D1201" i="23"/>
  <c r="D1202" i="23" s="1"/>
  <c r="D1203" i="23" s="1"/>
  <c r="D1204" i="23" s="1"/>
  <c r="D1205" i="23" s="1"/>
  <c r="E8" i="1"/>
  <c r="A7" i="18" s="1"/>
  <c r="A7" i="41"/>
  <c r="T1755" i="1" s="1"/>
  <c r="H513" i="1"/>
  <c r="K517" i="1"/>
  <c r="K514" i="1"/>
  <c r="K515" i="1"/>
  <c r="K516" i="1"/>
  <c r="H1335" i="1"/>
  <c r="K1346" i="1"/>
  <c r="K1344" i="1"/>
  <c r="K1342" i="1"/>
  <c r="K1340" i="1"/>
  <c r="K1338" i="1"/>
  <c r="K1336" i="1"/>
  <c r="K1343" i="1"/>
  <c r="K1341" i="1"/>
  <c r="K1337" i="1"/>
  <c r="K1339" i="1"/>
  <c r="K1345" i="1"/>
  <c r="L891" i="1"/>
  <c r="L893" i="1"/>
  <c r="L890" i="1"/>
  <c r="L892" i="1"/>
  <c r="L258" i="1"/>
  <c r="L257" i="1"/>
  <c r="L1457" i="1"/>
  <c r="L1455" i="1"/>
  <c r="L1456" i="1"/>
  <c r="L624" i="1"/>
  <c r="L625" i="1"/>
  <c r="L628" i="1"/>
  <c r="L623" i="1"/>
  <c r="L626" i="1"/>
  <c r="L1185" i="1"/>
  <c r="L1190" i="1"/>
  <c r="L1189" i="1"/>
  <c r="L1186" i="1"/>
  <c r="L1188" i="1"/>
  <c r="L1187" i="1"/>
  <c r="L1206" i="1"/>
  <c r="L1208" i="1"/>
  <c r="L1205" i="1"/>
  <c r="L1209" i="1"/>
  <c r="L1207" i="1"/>
  <c r="L1203" i="1"/>
  <c r="L1204" i="1"/>
  <c r="H962" i="1"/>
  <c r="K967" i="1"/>
  <c r="K963" i="1"/>
  <c r="K965" i="1"/>
  <c r="K968" i="1"/>
  <c r="K964" i="1"/>
  <c r="K966" i="1"/>
  <c r="H602" i="1"/>
  <c r="K605" i="1"/>
  <c r="K603" i="1"/>
  <c r="K604" i="1"/>
  <c r="H14" i="1"/>
  <c r="H1769" i="1"/>
  <c r="H150" i="97" s="1"/>
  <c r="H988" i="1"/>
  <c r="P988" i="1" s="1"/>
  <c r="H27" i="1"/>
  <c r="K28" i="1"/>
  <c r="K29" i="1"/>
  <c r="H1168" i="1"/>
  <c r="K1170" i="1"/>
  <c r="K1169" i="1"/>
  <c r="K1171" i="1"/>
  <c r="H1378" i="1"/>
  <c r="K1379" i="1"/>
  <c r="K1383" i="1"/>
  <c r="K1386" i="1"/>
  <c r="K1382" i="1"/>
  <c r="K1385" i="1"/>
  <c r="K1380" i="1"/>
  <c r="K1381" i="1"/>
  <c r="K1384" i="1"/>
  <c r="H665" i="1"/>
  <c r="K690" i="1"/>
  <c r="K679" i="1"/>
  <c r="K677" i="1"/>
  <c r="K678" i="1"/>
  <c r="K689" i="1"/>
  <c r="K687" i="1"/>
  <c r="K685" i="1"/>
  <c r="K675" i="1"/>
  <c r="K668" i="1"/>
  <c r="K666" i="1"/>
  <c r="K688" i="1"/>
  <c r="K674" i="1"/>
  <c r="K667" i="1"/>
  <c r="K686" i="1"/>
  <c r="K683" i="1"/>
  <c r="K684" i="1"/>
  <c r="K676" i="1"/>
  <c r="H1445" i="1"/>
  <c r="K1446" i="1"/>
  <c r="K1448" i="1"/>
  <c r="K1447" i="1"/>
  <c r="H248" i="1"/>
  <c r="K250" i="1"/>
  <c r="K249" i="1"/>
  <c r="H213" i="1"/>
  <c r="K216" i="1"/>
  <c r="K215" i="1"/>
  <c r="K214" i="1"/>
  <c r="H1115" i="1"/>
  <c r="K1118" i="1"/>
  <c r="K1122" i="1"/>
  <c r="K1117" i="1"/>
  <c r="K1121" i="1"/>
  <c r="K1119" i="1"/>
  <c r="K1120" i="1"/>
  <c r="K1116" i="1"/>
  <c r="H705" i="1"/>
  <c r="K707" i="1"/>
  <c r="K706" i="1"/>
  <c r="K700" i="1"/>
  <c r="K699" i="1"/>
  <c r="H1172" i="1"/>
  <c r="H140" i="97" s="1"/>
  <c r="K1179" i="1"/>
  <c r="K1178" i="1"/>
  <c r="K1173" i="1"/>
  <c r="K1180" i="1"/>
  <c r="K1177" i="1"/>
  <c r="K1175" i="1"/>
  <c r="K1174" i="1"/>
  <c r="H719" i="1"/>
  <c r="H1135" i="1"/>
  <c r="K1137" i="1"/>
  <c r="K1140" i="1"/>
  <c r="K1142" i="1"/>
  <c r="K1139" i="1"/>
  <c r="K1138" i="1"/>
  <c r="K1136" i="1"/>
  <c r="K1141" i="1"/>
  <c r="H307" i="1"/>
  <c r="H942" i="1"/>
  <c r="H180" i="97" s="1"/>
  <c r="K946" i="1"/>
  <c r="K944" i="1"/>
  <c r="K948" i="1"/>
  <c r="K947" i="1"/>
  <c r="K945" i="1"/>
  <c r="H1967" i="1"/>
  <c r="K1967" i="1"/>
  <c r="E90" i="33"/>
  <c r="G90" i="33" s="1"/>
  <c r="D1653" i="1"/>
  <c r="H1651" i="1"/>
  <c r="P1651" i="1" s="1"/>
  <c r="C1651" i="1" s="1"/>
  <c r="I1651" i="1"/>
  <c r="N2074" i="1"/>
  <c r="H2074" i="1"/>
  <c r="P2074" i="1" s="1"/>
  <c r="C2074" i="1" s="1"/>
  <c r="H2244" i="1"/>
  <c r="P2244" i="1" s="1"/>
  <c r="C2244" i="1" s="1"/>
  <c r="J2244" i="1"/>
  <c r="H2058" i="1"/>
  <c r="P2058" i="1" s="1"/>
  <c r="C2058" i="1" s="1"/>
  <c r="N2058" i="1"/>
  <c r="D1729" i="1"/>
  <c r="D1721" i="1" s="1"/>
  <c r="D1719" i="1"/>
  <c r="D1636" i="1"/>
  <c r="H2245" i="1"/>
  <c r="P2245" i="1" s="1"/>
  <c r="C2245" i="1" s="1"/>
  <c r="J2245" i="1"/>
  <c r="H2161" i="1"/>
  <c r="D2177" i="1"/>
  <c r="I1711" i="1"/>
  <c r="H1711" i="1"/>
  <c r="P1711" i="1" s="1"/>
  <c r="C1711" i="1" s="1"/>
  <c r="EK184" i="16"/>
  <c r="B126" i="42"/>
  <c r="G126" i="42"/>
  <c r="H2039" i="23"/>
  <c r="H2041" i="23"/>
  <c r="H2036" i="23"/>
  <c r="H2035" i="23"/>
  <c r="I1708" i="1"/>
  <c r="H1708" i="1"/>
  <c r="P1708" i="1" s="1"/>
  <c r="C1708" i="1" s="1"/>
  <c r="G19" i="34"/>
  <c r="B19" i="34"/>
  <c r="H2001" i="1"/>
  <c r="E124" i="33"/>
  <c r="G124" i="33" s="1"/>
  <c r="P1962" i="1"/>
  <c r="C1962" i="1" s="1"/>
  <c r="L1962" i="1"/>
  <c r="G82" i="35"/>
  <c r="B82" i="35"/>
  <c r="G294" i="42"/>
  <c r="B294" i="42"/>
  <c r="L486" i="1"/>
  <c r="L487" i="1"/>
  <c r="L924" i="1"/>
  <c r="L927" i="1"/>
  <c r="L925" i="1"/>
  <c r="L926" i="1"/>
  <c r="L923" i="1"/>
  <c r="L423" i="1"/>
  <c r="L422" i="1"/>
  <c r="L1330" i="1"/>
  <c r="L1328" i="1"/>
  <c r="L1326" i="1"/>
  <c r="L1324" i="1"/>
  <c r="L1323" i="1"/>
  <c r="L1325" i="1"/>
  <c r="L1329" i="1"/>
  <c r="L1331" i="1"/>
  <c r="L1327" i="1"/>
  <c r="L458" i="1"/>
  <c r="L457" i="1"/>
  <c r="L459" i="1"/>
  <c r="L707" i="1"/>
  <c r="L699" i="1"/>
  <c r="L700" i="1"/>
  <c r="L706" i="1"/>
  <c r="L294" i="1"/>
  <c r="L292" i="1"/>
  <c r="L293" i="1"/>
  <c r="L1092" i="1"/>
  <c r="L1093" i="1"/>
  <c r="L1089" i="1"/>
  <c r="L1091" i="1"/>
  <c r="L1088" i="1"/>
  <c r="L1090" i="1"/>
  <c r="D1993" i="1"/>
  <c r="H1992" i="1"/>
  <c r="E115" i="33"/>
  <c r="G115" i="33" s="1"/>
  <c r="H889" i="1"/>
  <c r="K890" i="1"/>
  <c r="K891" i="1"/>
  <c r="K893" i="1"/>
  <c r="K892" i="1"/>
  <c r="H1418" i="1"/>
  <c r="K1420" i="1"/>
  <c r="K1419" i="1"/>
  <c r="K1421" i="1"/>
  <c r="H913" i="1"/>
  <c r="K916" i="1"/>
  <c r="K914" i="1"/>
  <c r="K917" i="1"/>
  <c r="K915" i="1"/>
  <c r="L1227" i="1"/>
  <c r="L1225" i="1"/>
  <c r="L1223" i="1"/>
  <c r="L1226" i="1"/>
  <c r="L1224" i="1"/>
  <c r="L319" i="1"/>
  <c r="L318" i="1"/>
  <c r="L320" i="1"/>
  <c r="L1014" i="1"/>
  <c r="L1015" i="1"/>
  <c r="L1018" i="1"/>
  <c r="L1017" i="1"/>
  <c r="L1016" i="1"/>
  <c r="L69" i="1"/>
  <c r="L68" i="1"/>
  <c r="D1490" i="1"/>
  <c r="D184" i="97" s="1"/>
  <c r="P1490" i="1"/>
  <c r="I184" i="97" s="1"/>
  <c r="L1345" i="1"/>
  <c r="L1336" i="1"/>
  <c r="L1346" i="1"/>
  <c r="L1337" i="1"/>
  <c r="L1341" i="1"/>
  <c r="L1342" i="1"/>
  <c r="L1338" i="1"/>
  <c r="L1344" i="1"/>
  <c r="L1343" i="1"/>
  <c r="L1340" i="1"/>
  <c r="L1339" i="1"/>
  <c r="L613" i="1"/>
  <c r="L648" i="1"/>
  <c r="L614" i="1"/>
  <c r="L659" i="1"/>
  <c r="L649" i="1"/>
  <c r="L606" i="1"/>
  <c r="L589" i="1"/>
  <c r="L660" i="1"/>
  <c r="L647" i="1"/>
  <c r="L616" i="1"/>
  <c r="L650" i="1"/>
  <c r="L615" i="1"/>
  <c r="L646" i="1"/>
  <c r="L607" i="1"/>
  <c r="L617" i="1"/>
  <c r="L588" i="1"/>
  <c r="P2023" i="1"/>
  <c r="I274" i="23"/>
  <c r="L1474" i="1"/>
  <c r="L1473" i="1"/>
  <c r="L1475" i="1"/>
  <c r="L1148" i="1"/>
  <c r="L1150" i="1"/>
  <c r="L1152" i="1"/>
  <c r="L1149" i="1"/>
  <c r="L1147" i="1"/>
  <c r="L1151" i="1"/>
  <c r="L791" i="1"/>
  <c r="L792" i="1"/>
  <c r="L793" i="1"/>
  <c r="L790" i="1"/>
  <c r="L789" i="1"/>
  <c r="L285" i="1"/>
  <c r="L284" i="1"/>
  <c r="L1421" i="1"/>
  <c r="L1419" i="1"/>
  <c r="L1420" i="1"/>
  <c r="L983" i="1"/>
  <c r="L981" i="1"/>
  <c r="L985" i="1"/>
  <c r="L984" i="1"/>
  <c r="L982" i="1"/>
  <c r="L39" i="1"/>
  <c r="L38" i="1"/>
  <c r="L449" i="1"/>
  <c r="L450" i="1"/>
  <c r="L1302" i="1"/>
  <c r="L1300" i="1"/>
  <c r="L1298" i="1"/>
  <c r="L1296" i="1"/>
  <c r="L1294" i="1"/>
  <c r="L1303" i="1"/>
  <c r="L1295" i="1"/>
  <c r="L1297" i="1"/>
  <c r="L1299" i="1"/>
  <c r="L1301" i="1"/>
  <c r="L119" i="1"/>
  <c r="L118" i="1"/>
  <c r="L754" i="1"/>
  <c r="L753" i="1"/>
  <c r="L1437" i="1"/>
  <c r="L1438" i="1"/>
  <c r="L1439" i="1"/>
  <c r="P2311" i="1"/>
  <c r="L1311" i="1"/>
  <c r="L1314" i="1"/>
  <c r="L1318" i="1"/>
  <c r="L1313" i="1"/>
  <c r="L1312" i="1"/>
  <c r="L1309" i="1"/>
  <c r="L1317" i="1"/>
  <c r="L1316" i="1"/>
  <c r="L1315" i="1"/>
  <c r="H2040" i="1"/>
  <c r="H1280" i="1"/>
  <c r="K1289" i="1"/>
  <c r="K1282" i="1"/>
  <c r="K1283" i="1"/>
  <c r="K1281" i="1"/>
  <c r="K1288" i="1"/>
  <c r="K1284" i="1"/>
  <c r="K1285" i="1"/>
  <c r="K1286" i="1"/>
  <c r="K1287" i="1"/>
  <c r="H809" i="1"/>
  <c r="K819" i="1"/>
  <c r="K822" i="1"/>
  <c r="K811" i="1"/>
  <c r="K820" i="1"/>
  <c r="K821" i="1"/>
  <c r="K810" i="1"/>
  <c r="K812" i="1"/>
  <c r="K813" i="1"/>
  <c r="H63" i="1"/>
  <c r="K69" i="1"/>
  <c r="K68" i="1"/>
  <c r="H67" i="1"/>
  <c r="C67" i="1" s="1"/>
  <c r="H1062" i="1"/>
  <c r="K1063" i="1"/>
  <c r="K1065" i="1"/>
  <c r="K1064" i="1"/>
  <c r="K1067" i="1"/>
  <c r="K1066" i="1"/>
  <c r="H75" i="1"/>
  <c r="K97" i="1"/>
  <c r="K93" i="1"/>
  <c r="K96" i="1"/>
  <c r="K77" i="1"/>
  <c r="K78" i="1"/>
  <c r="K95" i="1"/>
  <c r="K94" i="1"/>
  <c r="K80" i="1"/>
  <c r="K79" i="1"/>
  <c r="K76" i="1"/>
  <c r="H1365" i="1"/>
  <c r="H726" i="1"/>
  <c r="K727" i="1"/>
  <c r="H196" i="1"/>
  <c r="K199" i="1"/>
  <c r="K197" i="1"/>
  <c r="K198" i="1"/>
  <c r="H356" i="1"/>
  <c r="H169" i="97" s="1"/>
  <c r="K359" i="1"/>
  <c r="K362" i="1"/>
  <c r="K364" i="1"/>
  <c r="K385" i="1"/>
  <c r="K384" i="1"/>
  <c r="K358" i="1"/>
  <c r="K387" i="1"/>
  <c r="K381" i="1"/>
  <c r="K379" i="1"/>
  <c r="K357" i="1"/>
  <c r="K382" i="1"/>
  <c r="K383" i="1"/>
  <c r="K378" i="1"/>
  <c r="K377" i="1"/>
  <c r="K380" i="1"/>
  <c r="K386" i="1"/>
  <c r="H291" i="1"/>
  <c r="K293" i="1"/>
  <c r="K294" i="1"/>
  <c r="K292" i="1"/>
  <c r="H1155" i="1"/>
  <c r="K1157" i="1"/>
  <c r="K1156" i="1"/>
  <c r="H752" i="1"/>
  <c r="H137" i="97" s="1"/>
  <c r="K754" i="1"/>
  <c r="K753" i="1"/>
  <c r="H18" i="1"/>
  <c r="K20" i="1"/>
  <c r="K154" i="1"/>
  <c r="K424" i="1"/>
  <c r="K30" i="1"/>
  <c r="K237" i="1"/>
  <c r="K145" i="1"/>
  <c r="K227" i="1"/>
  <c r="K488" i="1"/>
  <c r="K246" i="1"/>
  <c r="K310" i="1"/>
  <c r="K56" i="1"/>
  <c r="K259" i="1"/>
  <c r="K167" i="1"/>
  <c r="K498" i="1"/>
  <c r="K411" i="1"/>
  <c r="K19" i="1"/>
  <c r="H736" i="1"/>
  <c r="K738" i="1"/>
  <c r="K737" i="1"/>
  <c r="H1158" i="1"/>
  <c r="K1164" i="1"/>
  <c r="K1160" i="1"/>
  <c r="K1163" i="1"/>
  <c r="K1165" i="1"/>
  <c r="K1159" i="1"/>
  <c r="K1161" i="1"/>
  <c r="H409" i="1"/>
  <c r="H1013" i="1"/>
  <c r="K1017" i="1"/>
  <c r="K1015" i="1"/>
  <c r="K1016" i="1"/>
  <c r="K1014" i="1"/>
  <c r="K1018" i="1"/>
  <c r="CD184" i="16"/>
  <c r="I1640" i="1"/>
  <c r="H1640" i="1"/>
  <c r="P1640" i="1" s="1"/>
  <c r="C1640" i="1" s="1"/>
  <c r="H133" i="23"/>
  <c r="BF307" i="70"/>
  <c r="G119" i="42"/>
  <c r="B119" i="42"/>
  <c r="L1976" i="1"/>
  <c r="P1976" i="1"/>
  <c r="B138" i="42"/>
  <c r="E139" i="42"/>
  <c r="E140" i="42" s="1"/>
  <c r="G138" i="42"/>
  <c r="G139" i="42" s="1"/>
  <c r="G140" i="42" s="1"/>
  <c r="N2055" i="1"/>
  <c r="H2055" i="1"/>
  <c r="P2055" i="1" s="1"/>
  <c r="C2055" i="1" s="1"/>
  <c r="H1710" i="1"/>
  <c r="P1710" i="1" s="1"/>
  <c r="C1710" i="1" s="1"/>
  <c r="I1710" i="1"/>
  <c r="D1712" i="1"/>
  <c r="G80" i="35"/>
  <c r="B80" i="35"/>
  <c r="B104" i="31"/>
  <c r="G104" i="31"/>
  <c r="D2191" i="1"/>
  <c r="G116" i="35"/>
  <c r="B116" i="35"/>
  <c r="G146" i="33"/>
  <c r="B146" i="33"/>
  <c r="H1578" i="1"/>
  <c r="P1578" i="1" s="1"/>
  <c r="C1578" i="1" s="1"/>
  <c r="J1578" i="1"/>
  <c r="E179" i="31"/>
  <c r="H2291" i="1"/>
  <c r="P2291" i="1" s="1"/>
  <c r="C2291" i="1" s="1"/>
  <c r="E282" i="42"/>
  <c r="G186" i="31"/>
  <c r="B186" i="31"/>
  <c r="H1756" i="1" l="1"/>
  <c r="D20" i="97"/>
  <c r="H627" i="1"/>
  <c r="C627" i="1" s="1"/>
  <c r="H177" i="97"/>
  <c r="H1098" i="1"/>
  <c r="H22" i="97" s="1"/>
  <c r="H183" i="97"/>
  <c r="P1873" i="1"/>
  <c r="I100" i="97" s="1"/>
  <c r="H100" i="97"/>
  <c r="D2263" i="1"/>
  <c r="D176" i="97" s="1"/>
  <c r="D4" i="97"/>
  <c r="A936" i="23"/>
  <c r="I161" i="97"/>
  <c r="A923" i="23"/>
  <c r="I77" i="97"/>
  <c r="A906" i="23"/>
  <c r="I84" i="97"/>
  <c r="A927" i="23"/>
  <c r="I58" i="97"/>
  <c r="A928" i="23"/>
  <c r="I85" i="97"/>
  <c r="A929" i="23"/>
  <c r="I83" i="97"/>
  <c r="A926" i="23"/>
  <c r="I115" i="97"/>
  <c r="A931" i="23"/>
  <c r="I106" i="97"/>
  <c r="A930" i="23"/>
  <c r="I108" i="97"/>
  <c r="A894" i="23"/>
  <c r="I10" i="97"/>
  <c r="A911" i="23"/>
  <c r="I90" i="97"/>
  <c r="A921" i="23"/>
  <c r="I11" i="97"/>
  <c r="A920" i="23"/>
  <c r="A925" i="23"/>
  <c r="I62" i="97"/>
  <c r="A919" i="23"/>
  <c r="I48" i="97"/>
  <c r="A934" i="23"/>
  <c r="I91" i="97"/>
  <c r="A924" i="23"/>
  <c r="I60" i="97"/>
  <c r="A922" i="23"/>
  <c r="I74" i="97"/>
  <c r="H2675"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6" i="1"/>
  <c r="H1162" i="1"/>
  <c r="H363" i="1"/>
  <c r="H132" i="97" s="1"/>
  <c r="H371" i="1"/>
  <c r="H372" i="1"/>
  <c r="H373" i="1"/>
  <c r="H374" i="1"/>
  <c r="H361" i="1"/>
  <c r="H360" i="1"/>
  <c r="H86" i="97" s="1"/>
  <c r="A1041" i="23"/>
  <c r="A1042" i="23" s="1"/>
  <c r="H1910" i="1"/>
  <c r="E263" i="42"/>
  <c r="G263" i="42" s="1"/>
  <c r="H638" i="1"/>
  <c r="H637" i="1"/>
  <c r="H644" i="1"/>
  <c r="H635" i="1"/>
  <c r="H639" i="1"/>
  <c r="H642" i="1"/>
  <c r="H640" i="1"/>
  <c r="H641" i="1"/>
  <c r="H636" i="1"/>
  <c r="P634" i="1"/>
  <c r="H643"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73" i="1"/>
  <c r="H872" i="1"/>
  <c r="H869" i="1"/>
  <c r="H871" i="1"/>
  <c r="H870" i="1"/>
  <c r="H1506" i="1"/>
  <c r="P1506" i="1" s="1"/>
  <c r="C1506" i="1" s="1"/>
  <c r="D1507" i="1"/>
  <c r="J1506" i="1"/>
  <c r="M2154" i="1"/>
  <c r="H883" i="1"/>
  <c r="H880" i="1"/>
  <c r="H882" i="1"/>
  <c r="H881" i="1"/>
  <c r="H884" i="1"/>
  <c r="H879" i="1"/>
  <c r="P1852" i="1"/>
  <c r="H2243" i="1"/>
  <c r="P2243" i="1" s="1"/>
  <c r="C2243" i="1" s="1"/>
  <c r="H586" i="23"/>
  <c r="D1511" i="1"/>
  <c r="H1511" i="1" s="1"/>
  <c r="P1511" i="1" s="1"/>
  <c r="C1511" i="1" s="1"/>
  <c r="H588" i="23"/>
  <c r="H308" i="23"/>
  <c r="I308" i="23" s="1"/>
  <c r="A308" i="23" s="1"/>
  <c r="H585" i="23"/>
  <c r="G187" i="42"/>
  <c r="B187" i="42"/>
  <c r="A320" i="23"/>
  <c r="H305" i="23"/>
  <c r="I305" i="23" s="1"/>
  <c r="A305" i="23" s="1"/>
  <c r="D1512" i="1"/>
  <c r="H1512" i="1" s="1"/>
  <c r="P1512" i="1" s="1"/>
  <c r="C1512" i="1" s="1"/>
  <c r="D1510"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32" i="1"/>
  <c r="P1532" i="1" s="1"/>
  <c r="C1532" i="1" s="1"/>
  <c r="D81" i="115"/>
  <c r="E12" i="108"/>
  <c r="D1881" i="1"/>
  <c r="E229" i="42" s="1"/>
  <c r="G229" i="42" s="1"/>
  <c r="D1903" i="1"/>
  <c r="D151" i="97" s="1"/>
  <c r="H937" i="1"/>
  <c r="H34" i="97" s="1"/>
  <c r="H936" i="1"/>
  <c r="H26" i="97" s="1"/>
  <c r="H934" i="1"/>
  <c r="H117" i="97" s="1"/>
  <c r="H948" i="1"/>
  <c r="H35" i="97" s="1"/>
  <c r="H947" i="1"/>
  <c r="H27" i="97" s="1"/>
  <c r="H946" i="1"/>
  <c r="H32" i="97" s="1"/>
  <c r="H944" i="1"/>
  <c r="H118" i="97" s="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21"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57" i="1"/>
  <c r="E115" i="31"/>
  <c r="G115" i="31" s="1"/>
  <c r="K1757" i="1"/>
  <c r="K1749" i="1" s="1"/>
  <c r="I6" i="108"/>
  <c r="I15" i="108"/>
  <c r="I28" i="108"/>
  <c r="I13" i="108"/>
  <c r="B139" i="31"/>
  <c r="I22" i="108"/>
  <c r="I26" i="108"/>
  <c r="I32" i="108"/>
  <c r="I18" i="108"/>
  <c r="I31" i="108"/>
  <c r="L1963" i="1"/>
  <c r="J9" i="107"/>
  <c r="I20" i="108"/>
  <c r="I16" i="108"/>
  <c r="I25" i="108"/>
  <c r="N2056" i="1"/>
  <c r="H2056" i="1"/>
  <c r="H1570" i="23"/>
  <c r="I1570" i="23" s="1"/>
  <c r="A1570" i="23" s="1"/>
  <c r="D1499" i="1"/>
  <c r="F106" i="31"/>
  <c r="H2486" i="23"/>
  <c r="D1527" i="1"/>
  <c r="D1526" i="1"/>
  <c r="D1528" i="1"/>
  <c r="J1525" i="1"/>
  <c r="H1525" i="1"/>
  <c r="P1525" i="1" s="1"/>
  <c r="C1525" i="1" s="1"/>
  <c r="H1224" i="23"/>
  <c r="J1524" i="1"/>
  <c r="H1524" i="1"/>
  <c r="P1524" i="1" s="1"/>
  <c r="C1524" i="1" s="1"/>
  <c r="I4" i="108"/>
  <c r="I30" i="108"/>
  <c r="I10" i="108"/>
  <c r="I7" i="108"/>
  <c r="I5" i="108"/>
  <c r="I11" i="108"/>
  <c r="I17" i="108"/>
  <c r="I19" i="108"/>
  <c r="D34" i="115"/>
  <c r="D20" i="115"/>
  <c r="D38" i="115"/>
  <c r="D23" i="115"/>
  <c r="D55" i="115"/>
  <c r="D69" i="115"/>
  <c r="D47" i="115"/>
  <c r="D24" i="115"/>
  <c r="L1972" i="1"/>
  <c r="H2126" i="1"/>
  <c r="P2126" i="1" s="1"/>
  <c r="C2126" i="1" s="1"/>
  <c r="N2126" i="1"/>
  <c r="H667" i="23"/>
  <c r="P1868" i="1"/>
  <c r="I128" i="97" s="1"/>
  <c r="I1831" i="1"/>
  <c r="I837" i="23"/>
  <c r="I29" i="97" s="1"/>
  <c r="I824" i="23"/>
  <c r="I65" i="97" s="1"/>
  <c r="I836" i="23"/>
  <c r="I40" i="97" s="1"/>
  <c r="A833" i="23"/>
  <c r="A834" i="23" s="1"/>
  <c r="I887" i="23"/>
  <c r="I64" i="97" s="1"/>
  <c r="J1531" i="1"/>
  <c r="H1531" i="1"/>
  <c r="P1531" i="1" s="1"/>
  <c r="C1531" i="1" s="1"/>
  <c r="H1530" i="1"/>
  <c r="P1530" i="1" s="1"/>
  <c r="C1530" i="1" s="1"/>
  <c r="J1530" i="1"/>
  <c r="G173" i="31"/>
  <c r="B173" i="31"/>
  <c r="A829" i="23"/>
  <c r="J1507" i="1"/>
  <c r="H1507" i="1"/>
  <c r="P1507" i="1" s="1"/>
  <c r="C1507" i="1" s="1"/>
  <c r="I881" i="23"/>
  <c r="I194" i="97" s="1"/>
  <c r="I859" i="23"/>
  <c r="I190" i="97" s="1"/>
  <c r="A823" i="23"/>
  <c r="J1570" i="1"/>
  <c r="H1570" i="1"/>
  <c r="P1570" i="1" s="1"/>
  <c r="C1570" i="1" s="1"/>
  <c r="B177" i="31"/>
  <c r="G177" i="31"/>
  <c r="J1511" i="1"/>
  <c r="A838" i="23"/>
  <c r="I876" i="23"/>
  <c r="I192" i="97" s="1"/>
  <c r="A826" i="23"/>
  <c r="A889" i="23"/>
  <c r="H1508" i="1"/>
  <c r="P1508" i="1" s="1"/>
  <c r="C1508" i="1" s="1"/>
  <c r="J1508" i="1"/>
  <c r="G126" i="31"/>
  <c r="E127" i="31"/>
  <c r="E220" i="42"/>
  <c r="G220" i="42" s="1"/>
  <c r="B216" i="42"/>
  <c r="P1800" i="1"/>
  <c r="P1798" i="1"/>
  <c r="P1799" i="1"/>
  <c r="P1783" i="1"/>
  <c r="I102" i="97" s="1"/>
  <c r="C1794" i="1"/>
  <c r="C175" i="97" s="1"/>
  <c r="L1795" i="1"/>
  <c r="C1782" i="1"/>
  <c r="C173" i="97" s="1"/>
  <c r="C2263" i="1"/>
  <c r="C176" i="97" s="1"/>
  <c r="P1784" i="1"/>
  <c r="I54" i="97" s="1"/>
  <c r="D1814" i="1"/>
  <c r="D139" i="97" s="1"/>
  <c r="P2271" i="1"/>
  <c r="I66" i="97" s="1"/>
  <c r="L1796" i="1"/>
  <c r="C2270" i="1"/>
  <c r="C4" i="97" s="1"/>
  <c r="H1166" i="23"/>
  <c r="I1166" i="23" s="1"/>
  <c r="A1166" i="23" s="1"/>
  <c r="H1111" i="23"/>
  <c r="I1111" i="23" s="1"/>
  <c r="A1111" i="23" s="1"/>
  <c r="I835" i="23"/>
  <c r="I88" i="97" s="1"/>
  <c r="H918" i="23"/>
  <c r="H47" i="97" s="1"/>
  <c r="D1943" i="23"/>
  <c r="D1950" i="23" s="1"/>
  <c r="D1957" i="23" s="1"/>
  <c r="D1966" i="23" s="1"/>
  <c r="D1974" i="23" s="1"/>
  <c r="D1983" i="23" s="1"/>
  <c r="D2004" i="23" s="1"/>
  <c r="D2010" i="23" s="1"/>
  <c r="D2016" i="23" s="1"/>
  <c r="D2023" i="23" s="1"/>
  <c r="D2033" i="23" s="1"/>
  <c r="D2042" i="23" s="1"/>
  <c r="D2056" i="23" s="1"/>
  <c r="D2071" i="23" s="1"/>
  <c r="D2077" i="23" s="1"/>
  <c r="I891" i="23"/>
  <c r="I196" i="97" s="1"/>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59" i="97" s="1"/>
  <c r="H873" i="23"/>
  <c r="H145" i="97" s="1"/>
  <c r="H878" i="23"/>
  <c r="H129" i="97" s="1"/>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3" i="1"/>
  <c r="P1773" i="1" s="1"/>
  <c r="C1773" i="1" s="1"/>
  <c r="P1796" i="1"/>
  <c r="I79" i="97" s="1"/>
  <c r="P1795" i="1"/>
  <c r="I8" i="97" s="1"/>
  <c r="P1769" i="1"/>
  <c r="I150" i="97" s="1"/>
  <c r="H1770" i="1"/>
  <c r="H116" i="97" s="1"/>
  <c r="H1771" i="1"/>
  <c r="H28" i="97" s="1"/>
  <c r="H799" i="1"/>
  <c r="H123" i="97" s="1"/>
  <c r="H800" i="1"/>
  <c r="H119" i="97" s="1"/>
  <c r="C778" i="1"/>
  <c r="H781" i="1"/>
  <c r="H785" i="1"/>
  <c r="C785" i="1" s="1"/>
  <c r="H783" i="1"/>
  <c r="H780" i="1"/>
  <c r="H782" i="1"/>
  <c r="H786" i="1"/>
  <c r="C786" i="1" s="1"/>
  <c r="H787" i="1"/>
  <c r="C787" i="1" s="1"/>
  <c r="H784" i="1"/>
  <c r="H779" i="1"/>
  <c r="G130" i="31"/>
  <c r="E131" i="31"/>
  <c r="G131" i="31" s="1"/>
  <c r="D1929" i="23"/>
  <c r="D824" i="23"/>
  <c r="D65" i="97" s="1"/>
  <c r="H2407" i="23"/>
  <c r="H2385" i="23"/>
  <c r="H2386" i="23" s="1"/>
  <c r="H2409" i="23"/>
  <c r="H1342" i="23"/>
  <c r="D73" i="23"/>
  <c r="D79" i="23" s="1"/>
  <c r="D100" i="23" s="1"/>
  <c r="D1447" i="23"/>
  <c r="H830" i="23"/>
  <c r="H147" i="97" s="1"/>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188" i="97" s="1"/>
  <c r="I864" i="23"/>
  <c r="A864" i="23" s="1"/>
  <c r="I869" i="23"/>
  <c r="A869" i="23" s="1"/>
  <c r="H858" i="23"/>
  <c r="H167" i="97" s="1"/>
  <c r="H654" i="23"/>
  <c r="H651" i="23"/>
  <c r="H2400" i="23"/>
  <c r="I852" i="23"/>
  <c r="I71" i="97" s="1"/>
  <c r="I853" i="23"/>
  <c r="I73" i="97" s="1"/>
  <c r="D457" i="23"/>
  <c r="D458" i="23" s="1"/>
  <c r="D459" i="23" s="1"/>
  <c r="H2413" i="23"/>
  <c r="H2415" i="23"/>
  <c r="H2416" i="23"/>
  <c r="H2414" i="23"/>
  <c r="H2417" i="23"/>
  <c r="H699" i="23"/>
  <c r="H688" i="23"/>
  <c r="H700" i="23"/>
  <c r="I861" i="23"/>
  <c r="I18" i="97" s="1"/>
  <c r="I868" i="23"/>
  <c r="A868" i="23" s="1"/>
  <c r="I865" i="23"/>
  <c r="A865" i="23" s="1"/>
  <c r="H410" i="23"/>
  <c r="H411" i="23" s="1"/>
  <c r="H2401" i="23"/>
  <c r="H2402" i="23" s="1"/>
  <c r="H666" i="23"/>
  <c r="H855" i="23"/>
  <c r="H23" i="97" s="1"/>
  <c r="H653" i="23"/>
  <c r="H854" i="23"/>
  <c r="H51" i="97" s="1"/>
  <c r="H670" i="23"/>
  <c r="H671" i="23" s="1"/>
  <c r="H1591" i="23"/>
  <c r="I1591" i="23" s="1"/>
  <c r="A1591" i="23" s="1"/>
  <c r="I825" i="23"/>
  <c r="I6" i="97" s="1"/>
  <c r="H888" i="23"/>
  <c r="H67" i="97" s="1"/>
  <c r="H702" i="23"/>
  <c r="H695" i="23"/>
  <c r="H703" i="23" s="1"/>
  <c r="I872" i="23"/>
  <c r="I154" i="97" s="1"/>
  <c r="I874" i="23"/>
  <c r="I149" i="97" s="1"/>
  <c r="I870" i="23"/>
  <c r="A870" i="23" s="1"/>
  <c r="H402" i="23"/>
  <c r="H408" i="23" s="1"/>
  <c r="H662" i="23"/>
  <c r="H650" i="23"/>
  <c r="H655" i="23"/>
  <c r="H659" i="23"/>
  <c r="H669" i="23" s="1"/>
  <c r="H1340" i="23"/>
  <c r="H1339" i="23"/>
  <c r="H886" i="23"/>
  <c r="H52" i="97" s="1"/>
  <c r="H912" i="23"/>
  <c r="I912" i="23" s="1"/>
  <c r="A912" i="23" s="1"/>
  <c r="I839" i="23"/>
  <c r="A839" i="23" s="1"/>
  <c r="A840" i="23" s="1"/>
  <c r="I907" i="23"/>
  <c r="I82" i="97" s="1"/>
  <c r="I895" i="23"/>
  <c r="I13" i="97" s="1"/>
  <c r="I905" i="23"/>
  <c r="I57" i="97" s="1"/>
  <c r="H884" i="23"/>
  <c r="H103" i="97" s="1"/>
  <c r="I893" i="23"/>
  <c r="H913" i="23"/>
  <c r="H98" i="97" s="1"/>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157" i="97" s="1"/>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114" i="97" s="1"/>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79" i="1"/>
  <c r="C1977" i="1"/>
  <c r="C1976" i="1"/>
  <c r="D2028" i="1"/>
  <c r="P1959" i="1"/>
  <c r="C745" i="1"/>
  <c r="D2026" i="1"/>
  <c r="E147" i="33" s="1"/>
  <c r="G147" i="33" s="1"/>
  <c r="C1973" i="1"/>
  <c r="P1980" i="1"/>
  <c r="P1974" i="1"/>
  <c r="L1959" i="1"/>
  <c r="H2035" i="1"/>
  <c r="P2035" i="1" s="1"/>
  <c r="H618" i="1"/>
  <c r="H2036" i="1"/>
  <c r="H2041" i="1"/>
  <c r="D2027" i="1"/>
  <c r="E148" i="33" s="1"/>
  <c r="G148" i="33" s="1"/>
  <c r="C1958" i="1"/>
  <c r="H2037"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H495" i="23"/>
  <c r="I487" i="23"/>
  <c r="H493" i="23"/>
  <c r="I486" i="23"/>
  <c r="H492" i="23"/>
  <c r="H969" i="23"/>
  <c r="I969" i="23" s="1"/>
  <c r="A969" i="23" s="1"/>
  <c r="H968" i="23"/>
  <c r="I968" i="23" s="1"/>
  <c r="A968" i="23" s="1"/>
  <c r="H247" i="23"/>
  <c r="H246" i="23"/>
  <c r="H245" i="23"/>
  <c r="H248" i="23" s="1"/>
  <c r="G191" i="31"/>
  <c r="B191" i="31"/>
  <c r="L1971" i="1"/>
  <c r="K1771" i="1"/>
  <c r="E79" i="33"/>
  <c r="G79" i="33" s="1"/>
  <c r="D2047" i="1"/>
  <c r="D2048" i="1" s="1"/>
  <c r="H2048" i="1" s="1"/>
  <c r="P2048" i="1" s="1"/>
  <c r="C2048" i="1" s="1"/>
  <c r="H2033" i="1"/>
  <c r="H153" i="1"/>
  <c r="C153" i="1" s="1"/>
  <c r="C152" i="1"/>
  <c r="P1975" i="1"/>
  <c r="L1975" i="1"/>
  <c r="P840" i="1"/>
  <c r="C840" i="1" s="1"/>
  <c r="H847" i="1"/>
  <c r="C847" i="1" s="1"/>
  <c r="H841" i="1"/>
  <c r="C841" i="1" s="1"/>
  <c r="H843" i="1"/>
  <c r="C843" i="1" s="1"/>
  <c r="H844" i="1"/>
  <c r="C844" i="1" s="1"/>
  <c r="H842" i="1"/>
  <c r="C842" i="1" s="1"/>
  <c r="H845" i="1"/>
  <c r="C845" i="1" s="1"/>
  <c r="H848" i="1"/>
  <c r="C848" i="1" s="1"/>
  <c r="P1964" i="1"/>
  <c r="C1964" i="1" s="1"/>
  <c r="L1964" i="1"/>
  <c r="P1978" i="1"/>
  <c r="L1978" i="1"/>
  <c r="G179" i="31"/>
  <c r="B179" i="31"/>
  <c r="C726" i="1"/>
  <c r="H727" i="1"/>
  <c r="C727" i="1" s="1"/>
  <c r="P2040"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24" i="1"/>
  <c r="C924" i="1" s="1"/>
  <c r="H926" i="1"/>
  <c r="C926" i="1" s="1"/>
  <c r="H923" i="1"/>
  <c r="C923" i="1" s="1"/>
  <c r="H927" i="1"/>
  <c r="C927" i="1" s="1"/>
  <c r="P922" i="1"/>
  <c r="C922" i="1" s="1"/>
  <c r="H925" i="1"/>
  <c r="C925" i="1" s="1"/>
  <c r="L2340" i="1"/>
  <c r="P2340" i="1"/>
  <c r="C2340" i="1" s="1"/>
  <c r="P818" i="1"/>
  <c r="C818" i="1" s="1"/>
  <c r="H821" i="1"/>
  <c r="C821" i="1" s="1"/>
  <c r="H824" i="1"/>
  <c r="C824" i="1" s="1"/>
  <c r="H823" i="1"/>
  <c r="C823" i="1" s="1"/>
  <c r="H822" i="1"/>
  <c r="C822" i="1" s="1"/>
  <c r="H820" i="1"/>
  <c r="C820" i="1" s="1"/>
  <c r="H819" i="1"/>
  <c r="C819" i="1" s="1"/>
  <c r="P2019" i="1"/>
  <c r="C2019" i="1" s="1"/>
  <c r="P1966" i="1"/>
  <c r="C2023" i="1"/>
  <c r="H1421" i="1"/>
  <c r="C1421" i="1" s="1"/>
  <c r="H1419" i="1"/>
  <c r="C1419" i="1" s="1"/>
  <c r="P1418" i="1"/>
  <c r="C1418" i="1" s="1"/>
  <c r="H1420" i="1"/>
  <c r="C1420" i="1" s="1"/>
  <c r="H1993" i="1"/>
  <c r="D1996" i="1"/>
  <c r="D1994" i="1"/>
  <c r="E116" i="33"/>
  <c r="G116" i="33" s="1"/>
  <c r="H1383" i="1"/>
  <c r="C1383" i="1" s="1"/>
  <c r="H1379" i="1"/>
  <c r="C1379" i="1" s="1"/>
  <c r="H1385" i="1"/>
  <c r="C1385" i="1" s="1"/>
  <c r="P1378" i="1"/>
  <c r="C1378" i="1" s="1"/>
  <c r="H1386" i="1"/>
  <c r="C1386" i="1" s="1"/>
  <c r="H1381" i="1"/>
  <c r="C1381" i="1" s="1"/>
  <c r="H1380" i="1"/>
  <c r="C1380" i="1" s="1"/>
  <c r="H1384" i="1"/>
  <c r="C1384" i="1" s="1"/>
  <c r="H1382" i="1"/>
  <c r="C1382" i="1" s="1"/>
  <c r="H965" i="1"/>
  <c r="P962" i="1"/>
  <c r="H964" i="1"/>
  <c r="H969" i="1"/>
  <c r="H967" i="1"/>
  <c r="H968" i="1"/>
  <c r="H963" i="1"/>
  <c r="H966" i="1"/>
  <c r="H1343" i="1"/>
  <c r="C1343" i="1" s="1"/>
  <c r="H1342" i="1"/>
  <c r="C1342" i="1" s="1"/>
  <c r="H1339" i="1"/>
  <c r="C1339" i="1" s="1"/>
  <c r="H1346" i="1"/>
  <c r="C1346" i="1" s="1"/>
  <c r="H1337" i="1"/>
  <c r="C1337" i="1" s="1"/>
  <c r="H1338" i="1"/>
  <c r="C1338" i="1" s="1"/>
  <c r="H1345" i="1"/>
  <c r="C1345" i="1" s="1"/>
  <c r="H1336" i="1"/>
  <c r="C1336" i="1" s="1"/>
  <c r="P1335" i="1"/>
  <c r="C1335" i="1" s="1"/>
  <c r="H1344" i="1"/>
  <c r="C1344" i="1" s="1"/>
  <c r="H1341" i="1"/>
  <c r="C1341" i="1" s="1"/>
  <c r="H1340" i="1"/>
  <c r="C1340" i="1" s="1"/>
  <c r="M2160" i="1"/>
  <c r="P2160" i="1"/>
  <c r="C2160" i="1" s="1"/>
  <c r="H1243" i="1"/>
  <c r="C1243" i="1" s="1"/>
  <c r="P1238" i="1"/>
  <c r="C1238" i="1" s="1"/>
  <c r="H1242" i="1"/>
  <c r="C1242" i="1" s="1"/>
  <c r="H1240" i="1"/>
  <c r="C1240" i="1" s="1"/>
  <c r="H1239" i="1"/>
  <c r="C1239" i="1" s="1"/>
  <c r="H1246" i="1"/>
  <c r="C1246" i="1" s="1"/>
  <c r="H1245" i="1"/>
  <c r="C1245" i="1" s="1"/>
  <c r="H1247" i="1"/>
  <c r="C1247" i="1" s="1"/>
  <c r="H1244" i="1"/>
  <c r="C1244" i="1" s="1"/>
  <c r="H1241" i="1"/>
  <c r="C1241" i="1" s="1"/>
  <c r="H554" i="1"/>
  <c r="C554" i="1" s="1"/>
  <c r="C550" i="1"/>
  <c r="H551" i="1"/>
  <c r="C551" i="1" s="1"/>
  <c r="H553" i="1"/>
  <c r="C553" i="1" s="1"/>
  <c r="H552" i="1"/>
  <c r="C552" i="1" s="1"/>
  <c r="H556" i="1"/>
  <c r="C556" i="1" s="1"/>
  <c r="H996" i="1"/>
  <c r="H998" i="1"/>
  <c r="H997" i="1"/>
  <c r="P995" i="1"/>
  <c r="H999" i="1"/>
  <c r="P2310" i="1"/>
  <c r="P1985" i="1"/>
  <c r="C1985" i="1" s="1"/>
  <c r="L1985" i="1"/>
  <c r="H1089" i="1"/>
  <c r="H1093" i="1"/>
  <c r="H1090" i="1"/>
  <c r="H1091" i="1"/>
  <c r="H1088" i="1"/>
  <c r="H1092" i="1"/>
  <c r="P1087" i="1"/>
  <c r="H1057" i="1"/>
  <c r="C1057" i="1" s="1"/>
  <c r="H1054" i="1"/>
  <c r="C1054" i="1" s="1"/>
  <c r="P1052" i="1"/>
  <c r="C1052" i="1" s="1"/>
  <c r="H1056" i="1"/>
  <c r="C1056" i="1" s="1"/>
  <c r="H1053" i="1"/>
  <c r="C1053" i="1" s="1"/>
  <c r="H1055" i="1"/>
  <c r="C1055" i="1" s="1"/>
  <c r="P1080" i="1"/>
  <c r="C1080" i="1" s="1"/>
  <c r="H1081" i="1"/>
  <c r="C1081" i="1" s="1"/>
  <c r="H1082" i="1"/>
  <c r="C1082" i="1" s="1"/>
  <c r="P2323" i="1"/>
  <c r="C2323" i="1" s="1"/>
  <c r="L2323" i="1"/>
  <c r="P2342" i="1"/>
  <c r="C2342" i="1" s="1"/>
  <c r="L2342" i="1"/>
  <c r="P2325" i="1"/>
  <c r="C2325" i="1" s="1"/>
  <c r="L2325" i="1"/>
  <c r="P2341" i="1"/>
  <c r="C2341" i="1" s="1"/>
  <c r="L2341" i="1"/>
  <c r="P1251" i="1"/>
  <c r="C1251" i="1" s="1"/>
  <c r="H1259" i="1"/>
  <c r="C1259" i="1" s="1"/>
  <c r="H1261" i="1"/>
  <c r="C1261" i="1" s="1"/>
  <c r="H1254" i="1"/>
  <c r="C1254" i="1" s="1"/>
  <c r="H1252" i="1"/>
  <c r="C1252" i="1" s="1"/>
  <c r="H1260" i="1"/>
  <c r="C1260" i="1" s="1"/>
  <c r="H1258" i="1"/>
  <c r="C1258" i="1" s="1"/>
  <c r="H1253" i="1"/>
  <c r="C1253" i="1" s="1"/>
  <c r="H1256" i="1"/>
  <c r="C1256" i="1" s="1"/>
  <c r="H1255" i="1"/>
  <c r="C1255" i="1" s="1"/>
  <c r="H1257" i="1"/>
  <c r="C1257" i="1" s="1"/>
  <c r="H466" i="1"/>
  <c r="C466" i="1" s="1"/>
  <c r="H467" i="1"/>
  <c r="C467" i="1" s="1"/>
  <c r="C465" i="1"/>
  <c r="H1473" i="1"/>
  <c r="C1473" i="1" s="1"/>
  <c r="P1472" i="1"/>
  <c r="C1472" i="1" s="1"/>
  <c r="H1475" i="1"/>
  <c r="C1475" i="1" s="1"/>
  <c r="H1474" i="1"/>
  <c r="C1474" i="1" s="1"/>
  <c r="H1127" i="1"/>
  <c r="C1127" i="1" s="1"/>
  <c r="H1131" i="1"/>
  <c r="C1131" i="1" s="1"/>
  <c r="H1130" i="1"/>
  <c r="C1130" i="1" s="1"/>
  <c r="H1132" i="1"/>
  <c r="C1132" i="1" s="1"/>
  <c r="P1126" i="1"/>
  <c r="C1126" i="1" s="1"/>
  <c r="H1128" i="1"/>
  <c r="C1128" i="1" s="1"/>
  <c r="H1129" i="1"/>
  <c r="C1129" i="1" s="1"/>
  <c r="H110" i="1"/>
  <c r="C110" i="1" s="1"/>
  <c r="C109" i="1"/>
  <c r="H111" i="1"/>
  <c r="C111" i="1" s="1"/>
  <c r="H328" i="1"/>
  <c r="C328" i="1" s="1"/>
  <c r="H329" i="1"/>
  <c r="C329" i="1" s="1"/>
  <c r="H327" i="1"/>
  <c r="C327" i="1" s="1"/>
  <c r="C326" i="1"/>
  <c r="H1815" i="1"/>
  <c r="H9" i="97" s="1"/>
  <c r="H1819" i="1"/>
  <c r="H87" i="97" s="1"/>
  <c r="H1816" i="1"/>
  <c r="H110" i="97" s="1"/>
  <c r="C1818" i="1"/>
  <c r="H1817" i="1"/>
  <c r="P1817" i="1" s="1"/>
  <c r="C1817" i="1" s="1"/>
  <c r="H1820" i="1"/>
  <c r="P1820" i="1" s="1"/>
  <c r="C1820" i="1" s="1"/>
  <c r="P1814" i="1"/>
  <c r="I139" i="97" s="1"/>
  <c r="C45" i="1"/>
  <c r="H46" i="1"/>
  <c r="C46" i="1" s="1"/>
  <c r="H47" i="1"/>
  <c r="C47" i="1" s="1"/>
  <c r="H1465" i="1"/>
  <c r="C1465" i="1" s="1"/>
  <c r="H1466" i="1"/>
  <c r="C1466" i="1" s="1"/>
  <c r="H1464" i="1"/>
  <c r="C1464" i="1" s="1"/>
  <c r="P1463" i="1"/>
  <c r="C1463" i="1" s="1"/>
  <c r="P2329" i="1"/>
  <c r="C2329" i="1" s="1"/>
  <c r="L2329" i="1"/>
  <c r="L2343" i="1"/>
  <c r="P2343" i="1"/>
  <c r="C2343" i="1" s="1"/>
  <c r="B127" i="33"/>
  <c r="G127" i="33"/>
  <c r="C188" i="1"/>
  <c r="H190" i="1"/>
  <c r="C190" i="1" s="1"/>
  <c r="H189" i="1"/>
  <c r="C189" i="1" s="1"/>
  <c r="I1712" i="1"/>
  <c r="H1712" i="1"/>
  <c r="P1712" i="1" s="1"/>
  <c r="C1712" i="1" s="1"/>
  <c r="H411" i="1"/>
  <c r="C411" i="1" s="1"/>
  <c r="H410" i="1"/>
  <c r="C410" i="1" s="1"/>
  <c r="H412" i="1"/>
  <c r="C412" i="1" s="1"/>
  <c r="C409" i="1"/>
  <c r="H753" i="1"/>
  <c r="H3" i="97" s="1"/>
  <c r="H754" i="1"/>
  <c r="H755" i="1"/>
  <c r="H138" i="97" s="1"/>
  <c r="P752" i="1"/>
  <c r="I137" i="97" s="1"/>
  <c r="H359" i="1"/>
  <c r="H136" i="97" s="1"/>
  <c r="H357" i="1"/>
  <c r="H134" i="97" s="1"/>
  <c r="H358" i="1"/>
  <c r="H135" i="97" s="1"/>
  <c r="H375" i="1"/>
  <c r="H143" i="97" s="1"/>
  <c r="H365" i="1"/>
  <c r="H198" i="97" s="1"/>
  <c r="H388" i="1"/>
  <c r="C388" i="1" s="1"/>
  <c r="H384" i="1"/>
  <c r="C384" i="1" s="1"/>
  <c r="H387" i="1"/>
  <c r="C387" i="1" s="1"/>
  <c r="P356" i="1"/>
  <c r="H362" i="1"/>
  <c r="H131" i="97" s="1"/>
  <c r="H393" i="1"/>
  <c r="C393" i="1" s="1"/>
  <c r="H370" i="1"/>
  <c r="H199" i="97" s="1"/>
  <c r="H381" i="1"/>
  <c r="C381" i="1" s="1"/>
  <c r="H369" i="1"/>
  <c r="H45" i="97" s="1"/>
  <c r="H385" i="1"/>
  <c r="C385" i="1" s="1"/>
  <c r="H389" i="1"/>
  <c r="C389" i="1" s="1"/>
  <c r="H377" i="1"/>
  <c r="C377" i="1" s="1"/>
  <c r="H380" i="1"/>
  <c r="C380" i="1" s="1"/>
  <c r="H390" i="1"/>
  <c r="C390" i="1" s="1"/>
  <c r="H395" i="1"/>
  <c r="C395" i="1" s="1"/>
  <c r="H367" i="1"/>
  <c r="H38" i="97" s="1"/>
  <c r="H379" i="1"/>
  <c r="C379" i="1" s="1"/>
  <c r="H392" i="1"/>
  <c r="C392" i="1" s="1"/>
  <c r="H378" i="1"/>
  <c r="C378" i="1" s="1"/>
  <c r="H368" i="1"/>
  <c r="H42" i="97" s="1"/>
  <c r="H391" i="1"/>
  <c r="C391" i="1" s="1"/>
  <c r="H366" i="1"/>
  <c r="H171" i="97" s="1"/>
  <c r="H364" i="1"/>
  <c r="H133" i="97" s="1"/>
  <c r="H386" i="1"/>
  <c r="C386" i="1" s="1"/>
  <c r="H394" i="1"/>
  <c r="C394" i="1" s="1"/>
  <c r="H383" i="1"/>
  <c r="C383" i="1" s="1"/>
  <c r="H382" i="1"/>
  <c r="C382" i="1" s="1"/>
  <c r="H1067" i="1"/>
  <c r="C1067" i="1" s="1"/>
  <c r="H1066" i="1"/>
  <c r="C1066" i="1" s="1"/>
  <c r="H1064" i="1"/>
  <c r="C1064" i="1" s="1"/>
  <c r="H1063" i="1"/>
  <c r="C1063" i="1" s="1"/>
  <c r="P1062" i="1"/>
  <c r="C1062" i="1" s="1"/>
  <c r="H1065" i="1"/>
  <c r="C1065" i="1" s="1"/>
  <c r="H1166" i="1"/>
  <c r="H1164" i="1"/>
  <c r="H1163" i="1"/>
  <c r="P1158" i="1"/>
  <c r="H1165" i="1"/>
  <c r="H1159" i="1"/>
  <c r="H1161" i="1"/>
  <c r="H1160" i="1"/>
  <c r="C2311"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2" i="1"/>
  <c r="C1112" i="1" s="1"/>
  <c r="H1113" i="1"/>
  <c r="C1113" i="1" s="1"/>
  <c r="P1111" i="1"/>
  <c r="C1111" i="1" s="1"/>
  <c r="H1114" i="1"/>
  <c r="C1114" i="1" s="1"/>
  <c r="H1103" i="1"/>
  <c r="H1104" i="1"/>
  <c r="H1107" i="1"/>
  <c r="H1109" i="1"/>
  <c r="H1105" i="1"/>
  <c r="H1108" i="1"/>
  <c r="P1102" i="1"/>
  <c r="H1106" i="1"/>
  <c r="P1308" i="1"/>
  <c r="C1308" i="1" s="1"/>
  <c r="H1315" i="1"/>
  <c r="C1315" i="1" s="1"/>
  <c r="H1309" i="1"/>
  <c r="C1309" i="1" s="1"/>
  <c r="H1316" i="1"/>
  <c r="C1316" i="1" s="1"/>
  <c r="H1314" i="1"/>
  <c r="C1314" i="1" s="1"/>
  <c r="H1317" i="1"/>
  <c r="C1317" i="1" s="1"/>
  <c r="H1318" i="1"/>
  <c r="C1318" i="1" s="1"/>
  <c r="H1313" i="1"/>
  <c r="C1313" i="1" s="1"/>
  <c r="H1311" i="1"/>
  <c r="C1311" i="1" s="1"/>
  <c r="H1312" i="1"/>
  <c r="C1312" i="1" s="1"/>
  <c r="D1749" i="1"/>
  <c r="D146" i="97"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A278" i="23"/>
  <c r="H246" i="1"/>
  <c r="H170" i="97" s="1"/>
  <c r="H245" i="1"/>
  <c r="H200" i="97" s="1"/>
  <c r="P244" i="1"/>
  <c r="I168" i="97" s="1"/>
  <c r="H733" i="1"/>
  <c r="C733" i="1" s="1"/>
  <c r="H732" i="1"/>
  <c r="C732" i="1" s="1"/>
  <c r="H731" i="1"/>
  <c r="C731" i="1" s="1"/>
  <c r="H734" i="1"/>
  <c r="C734" i="1" s="1"/>
  <c r="C730" i="1"/>
  <c r="H475" i="1"/>
  <c r="C475" i="1" s="1"/>
  <c r="H477" i="1"/>
  <c r="C477" i="1" s="1"/>
  <c r="H474" i="1"/>
  <c r="C474" i="1" s="1"/>
  <c r="C473" i="1"/>
  <c r="H476" i="1"/>
  <c r="C476" i="1" s="1"/>
  <c r="L2352" i="1"/>
  <c r="P2352" i="1"/>
  <c r="C2352" i="1" s="1"/>
  <c r="L2350" i="1"/>
  <c r="P2350" i="1"/>
  <c r="C2350" i="1" s="1"/>
  <c r="P2328" i="1"/>
  <c r="C2328" i="1" s="1"/>
  <c r="L2328" i="1"/>
  <c r="L2347" i="1"/>
  <c r="P2347" i="1"/>
  <c r="C2347" i="1" s="1"/>
  <c r="P2354" i="1"/>
  <c r="C2354" i="1" s="1"/>
  <c r="L2354" i="1"/>
  <c r="D2241" i="1"/>
  <c r="J2242" i="1"/>
  <c r="H2242" i="1"/>
  <c r="P2242" i="1" s="1"/>
  <c r="C2242" i="1" s="1"/>
  <c r="P1146" i="1"/>
  <c r="C1146" i="1" s="1"/>
  <c r="H1148" i="1"/>
  <c r="C1148" i="1" s="1"/>
  <c r="H1150" i="1"/>
  <c r="C1150" i="1" s="1"/>
  <c r="H1152" i="1"/>
  <c r="C1152" i="1" s="1"/>
  <c r="H1147" i="1"/>
  <c r="C1147" i="1" s="1"/>
  <c r="H1149" i="1"/>
  <c r="C1149" i="1" s="1"/>
  <c r="H1151" i="1"/>
  <c r="C1151" i="1" s="1"/>
  <c r="H268" i="1"/>
  <c r="C268" i="1" s="1"/>
  <c r="C266" i="1"/>
  <c r="H267" i="1"/>
  <c r="C267" i="1" s="1"/>
  <c r="C2020" i="1"/>
  <c r="L1986" i="1"/>
  <c r="P1986" i="1"/>
  <c r="C1986" i="1" s="1"/>
  <c r="H575" i="1"/>
  <c r="C575" i="1" s="1"/>
  <c r="C574" i="1"/>
  <c r="H576" i="1"/>
  <c r="C576" i="1" s="1"/>
  <c r="H596" i="1"/>
  <c r="C596" i="1" s="1"/>
  <c r="H577" i="1"/>
  <c r="C577" i="1" s="1"/>
  <c r="H597" i="1"/>
  <c r="C597" i="1" s="1"/>
  <c r="H595" i="1"/>
  <c r="C595" i="1" s="1"/>
  <c r="H1439" i="1"/>
  <c r="C1439" i="1" s="1"/>
  <c r="H1437" i="1"/>
  <c r="C1437" i="1" s="1"/>
  <c r="H1438" i="1"/>
  <c r="C1438" i="1" s="1"/>
  <c r="P1436" i="1"/>
  <c r="C1436" i="1" s="1"/>
  <c r="H1428" i="1"/>
  <c r="C1428" i="1" s="1"/>
  <c r="H1430" i="1"/>
  <c r="C1430" i="1" s="1"/>
  <c r="P1427" i="1"/>
  <c r="C1427" i="1" s="1"/>
  <c r="H1429" i="1"/>
  <c r="C1429" i="1" s="1"/>
  <c r="H423" i="1"/>
  <c r="C423" i="1" s="1"/>
  <c r="C421" i="1"/>
  <c r="H422" i="1"/>
  <c r="C422" i="1" s="1"/>
  <c r="D298" i="23"/>
  <c r="D303" i="23" s="1"/>
  <c r="D309" i="23" s="1"/>
  <c r="P1969" i="1"/>
  <c r="H1046" i="1"/>
  <c r="C1046" i="1" s="1"/>
  <c r="H1045" i="1"/>
  <c r="C1045" i="1" s="1"/>
  <c r="P1042" i="1"/>
  <c r="C1042" i="1" s="1"/>
  <c r="H1047" i="1"/>
  <c r="C1047" i="1" s="1"/>
  <c r="H1043" i="1"/>
  <c r="C1043" i="1" s="1"/>
  <c r="H1044" i="1"/>
  <c r="C1044" i="1" s="1"/>
  <c r="H1329" i="1"/>
  <c r="C1329" i="1" s="1"/>
  <c r="H1328" i="1"/>
  <c r="C1328" i="1" s="1"/>
  <c r="H1327" i="1"/>
  <c r="C1327" i="1" s="1"/>
  <c r="H1330" i="1"/>
  <c r="C1330" i="1" s="1"/>
  <c r="H1325" i="1"/>
  <c r="C1325" i="1" s="1"/>
  <c r="H1324" i="1"/>
  <c r="C1324" i="1" s="1"/>
  <c r="P1322" i="1"/>
  <c r="C1322" i="1" s="1"/>
  <c r="H1323" i="1"/>
  <c r="C1323" i="1" s="1"/>
  <c r="H1331" i="1"/>
  <c r="C1331" i="1" s="1"/>
  <c r="H1326" i="1"/>
  <c r="C1326" i="1" s="1"/>
  <c r="D1516" i="1"/>
  <c r="H1514" i="1"/>
  <c r="P1514" i="1" s="1"/>
  <c r="C1514" i="1" s="1"/>
  <c r="J1514" i="1"/>
  <c r="H39" i="1"/>
  <c r="C39" i="1" s="1"/>
  <c r="C37" i="1"/>
  <c r="H38" i="1"/>
  <c r="C38" i="1" s="1"/>
  <c r="I279" i="23"/>
  <c r="A279" i="23" s="1"/>
  <c r="H1185" i="1"/>
  <c r="C1185" i="1" s="1"/>
  <c r="H1188" i="1"/>
  <c r="C1188" i="1" s="1"/>
  <c r="H1186" i="1"/>
  <c r="C1186" i="1" s="1"/>
  <c r="H1187" i="1"/>
  <c r="C1187" i="1" s="1"/>
  <c r="P1184" i="1"/>
  <c r="C1184" i="1" s="1"/>
  <c r="H1189" i="1"/>
  <c r="C1189" i="1" s="1"/>
  <c r="H1190" i="1"/>
  <c r="C1190" i="1" s="1"/>
  <c r="P2344" i="1"/>
  <c r="C2344" i="1" s="1"/>
  <c r="L2344" i="1"/>
  <c r="P2339" i="1"/>
  <c r="C2339" i="1" s="1"/>
  <c r="L2339" i="1"/>
  <c r="L2351" i="1"/>
  <c r="P2351" i="1"/>
  <c r="C2351" i="1" s="1"/>
  <c r="L2326" i="1"/>
  <c r="P2326" i="1"/>
  <c r="C2326" i="1" s="1"/>
  <c r="B197" i="31"/>
  <c r="G197" i="31"/>
  <c r="H933" i="1"/>
  <c r="H121" i="97" s="1"/>
  <c r="H935" i="1"/>
  <c r="C935" i="1" s="1"/>
  <c r="P932" i="1"/>
  <c r="I179" i="97" s="1"/>
  <c r="J1544" i="1"/>
  <c r="H1544" i="1"/>
  <c r="P1544" i="1" s="1"/>
  <c r="C1544" i="1" s="1"/>
  <c r="D1545" i="1"/>
  <c r="D1546" i="1"/>
  <c r="D1547" i="1"/>
  <c r="H1035" i="1"/>
  <c r="C1035" i="1" s="1"/>
  <c r="H1037" i="1"/>
  <c r="C1037" i="1" s="1"/>
  <c r="P1033" i="1"/>
  <c r="C1033" i="1" s="1"/>
  <c r="H1034" i="1"/>
  <c r="C1034" i="1" s="1"/>
  <c r="H1036" i="1"/>
  <c r="C1036" i="1" s="1"/>
  <c r="H339" i="23"/>
  <c r="I333" i="23"/>
  <c r="H335" i="23"/>
  <c r="H336" i="23"/>
  <c r="H338" i="23"/>
  <c r="H645" i="23"/>
  <c r="H644" i="23"/>
  <c r="H647" i="23"/>
  <c r="H646" i="23"/>
  <c r="P1983" i="1"/>
  <c r="C1983" i="1" s="1"/>
  <c r="L1983" i="1"/>
  <c r="G188" i="31"/>
  <c r="B188" i="31"/>
  <c r="H1116" i="1"/>
  <c r="C1116" i="1" s="1"/>
  <c r="H1120" i="1"/>
  <c r="C1120" i="1" s="1"/>
  <c r="H1117" i="1"/>
  <c r="C1117" i="1" s="1"/>
  <c r="H1122" i="1"/>
  <c r="C1122" i="1" s="1"/>
  <c r="H1121" i="1"/>
  <c r="C1121" i="1" s="1"/>
  <c r="H1119" i="1"/>
  <c r="C1119" i="1" s="1"/>
  <c r="P1115" i="1"/>
  <c r="C1115" i="1" s="1"/>
  <c r="H1118" i="1"/>
  <c r="C1118" i="1" s="1"/>
  <c r="P991" i="1"/>
  <c r="C991" i="1" s="1"/>
  <c r="C988" i="1"/>
  <c r="P992" i="1"/>
  <c r="C992" i="1" s="1"/>
  <c r="P989" i="1"/>
  <c r="C989" i="1" s="1"/>
  <c r="P990" i="1"/>
  <c r="C990" i="1" s="1"/>
  <c r="G282" i="42"/>
  <c r="B282" i="42"/>
  <c r="H2191" i="1"/>
  <c r="P2191" i="1" s="1"/>
  <c r="C2191" i="1" s="1"/>
  <c r="D2230" i="1"/>
  <c r="H2230" i="1" s="1"/>
  <c r="P2230" i="1" s="1"/>
  <c r="C2230" i="1" s="1"/>
  <c r="H1157" i="1"/>
  <c r="C1157" i="1" s="1"/>
  <c r="P1155" i="1"/>
  <c r="C1155" i="1" s="1"/>
  <c r="H1156" i="1"/>
  <c r="C1156" i="1" s="1"/>
  <c r="I1636" i="1"/>
  <c r="H1636" i="1"/>
  <c r="P1636" i="1" s="1"/>
  <c r="C1636" i="1" s="1"/>
  <c r="H943" i="1"/>
  <c r="H122" i="97" s="1"/>
  <c r="H945" i="1"/>
  <c r="C945" i="1" s="1"/>
  <c r="P942" i="1"/>
  <c r="I180" i="97" s="1"/>
  <c r="P1481" i="1"/>
  <c r="C1481" i="1" s="1"/>
  <c r="H1484" i="1"/>
  <c r="C1484" i="1" s="1"/>
  <c r="H1483" i="1"/>
  <c r="C1483" i="1" s="1"/>
  <c r="H1482" i="1"/>
  <c r="C1482" i="1" s="1"/>
  <c r="H144" i="1"/>
  <c r="C144" i="1" s="1"/>
  <c r="C142" i="1"/>
  <c r="H143" i="1"/>
  <c r="C143" i="1" s="1"/>
  <c r="H2165" i="23"/>
  <c r="H2166" i="23"/>
  <c r="P1072" i="1"/>
  <c r="C1072" i="1" s="1"/>
  <c r="H1074" i="1"/>
  <c r="C1074" i="1" s="1"/>
  <c r="H1075" i="1"/>
  <c r="C1075" i="1" s="1"/>
  <c r="H1073" i="1"/>
  <c r="C1073" i="1" s="1"/>
  <c r="H981" i="1"/>
  <c r="C981" i="1" s="1"/>
  <c r="H982" i="1"/>
  <c r="C982" i="1" s="1"/>
  <c r="H985" i="1"/>
  <c r="C985" i="1" s="1"/>
  <c r="H984" i="1"/>
  <c r="C984" i="1" s="1"/>
  <c r="H983" i="1"/>
  <c r="C983" i="1" s="1"/>
  <c r="P980" i="1"/>
  <c r="C980" i="1" s="1"/>
  <c r="G189" i="31"/>
  <c r="B189" i="31"/>
  <c r="H713" i="1"/>
  <c r="P712" i="1"/>
  <c r="H715" i="1"/>
  <c r="H714" i="1"/>
  <c r="P2355" i="1"/>
  <c r="C2355" i="1" s="1"/>
  <c r="L2355" i="1"/>
  <c r="P2357" i="1"/>
  <c r="C2357" i="1" s="1"/>
  <c r="L2357" i="1"/>
  <c r="P2331" i="1"/>
  <c r="C2331" i="1" s="1"/>
  <c r="L2331" i="1"/>
  <c r="D2231" i="1"/>
  <c r="H2231" i="1" s="1"/>
  <c r="P2231" i="1" s="1"/>
  <c r="C2231" i="1" s="1"/>
  <c r="H2206" i="1"/>
  <c r="P2206" i="1" s="1"/>
  <c r="C2206"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3" i="1"/>
  <c r="H625" i="1"/>
  <c r="H631" i="1"/>
  <c r="H148" i="97" s="1"/>
  <c r="H628" i="1"/>
  <c r="J22" i="113" s="1"/>
  <c r="H624" i="1"/>
  <c r="H633" i="1"/>
  <c r="C633" i="1" s="1"/>
  <c r="H629" i="1"/>
  <c r="H153" i="97" s="1"/>
  <c r="H632" i="1"/>
  <c r="P622" i="1"/>
  <c r="H626" i="1"/>
  <c r="C626" i="1" s="1"/>
  <c r="H630" i="1"/>
  <c r="H144" i="97" s="1"/>
  <c r="P1193" i="1"/>
  <c r="C1193" i="1" s="1"/>
  <c r="H1198" i="1"/>
  <c r="C1198" i="1" s="1"/>
  <c r="H1194" i="1"/>
  <c r="C1194" i="1" s="1"/>
  <c r="H1197" i="1"/>
  <c r="C1197" i="1" s="1"/>
  <c r="H1195" i="1"/>
  <c r="C1195" i="1" s="1"/>
  <c r="H1199" i="1"/>
  <c r="C1199" i="1" s="1"/>
  <c r="H1196" i="1"/>
  <c r="C1196" i="1" s="1"/>
  <c r="C413" i="1"/>
  <c r="H414" i="1"/>
  <c r="C414" i="1" s="1"/>
  <c r="H415" i="1"/>
  <c r="C415" i="1" s="1"/>
  <c r="B186" i="42"/>
  <c r="H1653" i="1"/>
  <c r="P1653" i="1" s="1"/>
  <c r="C1653" i="1" s="1"/>
  <c r="I1653" i="1"/>
  <c r="C2314" i="1"/>
  <c r="P612" i="1"/>
  <c r="H613" i="1"/>
  <c r="H621" i="1"/>
  <c r="C621" i="1" s="1"/>
  <c r="H614" i="1"/>
  <c r="H620" i="1"/>
  <c r="C620" i="1" s="1"/>
  <c r="H619" i="1"/>
  <c r="H616" i="1"/>
  <c r="C616" i="1" s="1"/>
  <c r="H615" i="1"/>
  <c r="H617" i="1"/>
  <c r="H80" i="1"/>
  <c r="C80" i="1" s="1"/>
  <c r="H76" i="1"/>
  <c r="C76" i="1" s="1"/>
  <c r="H79" i="1"/>
  <c r="C79" i="1" s="1"/>
  <c r="C75" i="1"/>
  <c r="H78" i="1"/>
  <c r="C78" i="1" s="1"/>
  <c r="H77" i="1"/>
  <c r="C77" i="1" s="1"/>
  <c r="H857" i="1"/>
  <c r="H41" i="97" s="1"/>
  <c r="H856" i="1"/>
  <c r="H120" i="97" s="1"/>
  <c r="H859" i="1"/>
  <c r="H43" i="97" s="1"/>
  <c r="H861" i="1"/>
  <c r="H165" i="97" s="1"/>
  <c r="H855" i="1"/>
  <c r="H124" i="97" s="1"/>
  <c r="H860" i="1"/>
  <c r="H33" i="97" s="1"/>
  <c r="H858" i="1"/>
  <c r="H44" i="97" s="1"/>
  <c r="P854" i="1"/>
  <c r="P1023" i="1"/>
  <c r="C1023" i="1" s="1"/>
  <c r="H1028" i="1"/>
  <c r="C1028" i="1" s="1"/>
  <c r="H1027" i="1"/>
  <c r="C1027" i="1" s="1"/>
  <c r="H1024" i="1"/>
  <c r="C1024" i="1" s="1"/>
  <c r="H1025" i="1"/>
  <c r="C1025" i="1" s="1"/>
  <c r="H1026" i="1"/>
  <c r="C1026" i="1" s="1"/>
  <c r="P1998" i="1"/>
  <c r="C1998" i="1" s="1"/>
  <c r="L1998" i="1"/>
  <c r="P1094" i="1"/>
  <c r="H1100" i="1"/>
  <c r="H36" i="97" s="1"/>
  <c r="H1097" i="1"/>
  <c r="H72" i="97" s="1"/>
  <c r="H1095" i="1"/>
  <c r="H70" i="97" s="1"/>
  <c r="H1101" i="1"/>
  <c r="H166" i="97" s="1"/>
  <c r="H1099" i="1"/>
  <c r="H24" i="97" s="1"/>
  <c r="C736" i="1"/>
  <c r="H737" i="1"/>
  <c r="C737" i="1" s="1"/>
  <c r="H738" i="1"/>
  <c r="C738" i="1" s="1"/>
  <c r="C196" i="1"/>
  <c r="H198" i="1"/>
  <c r="C198" i="1" s="1"/>
  <c r="H197" i="1"/>
  <c r="C197" i="1" s="1"/>
  <c r="H199" i="1"/>
  <c r="C199" i="1" s="1"/>
  <c r="P63" i="1"/>
  <c r="H64" i="1"/>
  <c r="H65" i="1"/>
  <c r="A274" i="23"/>
  <c r="H915" i="1"/>
  <c r="C915" i="1" s="1"/>
  <c r="P913" i="1"/>
  <c r="C913" i="1" s="1"/>
  <c r="H917" i="1"/>
  <c r="C917" i="1" s="1"/>
  <c r="H916" i="1"/>
  <c r="C916" i="1" s="1"/>
  <c r="H914" i="1"/>
  <c r="C914" i="1" s="1"/>
  <c r="H1719" i="1"/>
  <c r="P1719" i="1" s="1"/>
  <c r="C1719" i="1" s="1"/>
  <c r="I1719" i="1"/>
  <c r="H309" i="1"/>
  <c r="C309" i="1" s="1"/>
  <c r="H308" i="1"/>
  <c r="C308" i="1" s="1"/>
  <c r="C307" i="1"/>
  <c r="H1141" i="1"/>
  <c r="C1141" i="1" s="1"/>
  <c r="H1138" i="1"/>
  <c r="C1138" i="1" s="1"/>
  <c r="P1135" i="1"/>
  <c r="C1135" i="1" s="1"/>
  <c r="H1136" i="1"/>
  <c r="C1136" i="1" s="1"/>
  <c r="H1140" i="1"/>
  <c r="C1140" i="1" s="1"/>
  <c r="H1137" i="1"/>
  <c r="C1137" i="1" s="1"/>
  <c r="H1142" i="1"/>
  <c r="C1142" i="1" s="1"/>
  <c r="H1139" i="1"/>
  <c r="C1139" i="1" s="1"/>
  <c r="P1168" i="1"/>
  <c r="C1168" i="1" s="1"/>
  <c r="H1171" i="1"/>
  <c r="C1171" i="1" s="1"/>
  <c r="H1169" i="1"/>
  <c r="C1169" i="1" s="1"/>
  <c r="H1170" i="1"/>
  <c r="C1170" i="1" s="1"/>
  <c r="H2249" i="1"/>
  <c r="P2249" i="1" s="1"/>
  <c r="C2249" i="1" s="1"/>
  <c r="J2249" i="1"/>
  <c r="H398" i="1"/>
  <c r="C398" i="1" s="1"/>
  <c r="H397" i="1"/>
  <c r="C397" i="1" s="1"/>
  <c r="H399" i="1"/>
  <c r="C399" i="1" s="1"/>
  <c r="C396" i="1"/>
  <c r="B297" i="42"/>
  <c r="G297" i="42"/>
  <c r="H747" i="1"/>
  <c r="H746" i="1"/>
  <c r="H661" i="1"/>
  <c r="C661" i="1" s="1"/>
  <c r="H662" i="1"/>
  <c r="C662" i="1" s="1"/>
  <c r="H663" i="1"/>
  <c r="C663" i="1" s="1"/>
  <c r="C655" i="1"/>
  <c r="H664" i="1"/>
  <c r="C664" i="1" s="1"/>
  <c r="H659" i="1"/>
  <c r="C659" i="1" s="1"/>
  <c r="H656" i="1"/>
  <c r="C656" i="1" s="1"/>
  <c r="H660" i="1"/>
  <c r="C660" i="1" s="1"/>
  <c r="H658" i="1"/>
  <c r="C658" i="1" s="1"/>
  <c r="H657" i="1"/>
  <c r="C657" i="1" s="1"/>
  <c r="H1269" i="1"/>
  <c r="C1269" i="1" s="1"/>
  <c r="H1271" i="1"/>
  <c r="C1271" i="1" s="1"/>
  <c r="H1272" i="1"/>
  <c r="C1272" i="1" s="1"/>
  <c r="H1267" i="1"/>
  <c r="C1267" i="1" s="1"/>
  <c r="H1276" i="1"/>
  <c r="C1276" i="1" s="1"/>
  <c r="H1274" i="1"/>
  <c r="C1274" i="1" s="1"/>
  <c r="H1270" i="1"/>
  <c r="C1270" i="1" s="1"/>
  <c r="H1273" i="1"/>
  <c r="C1273" i="1" s="1"/>
  <c r="H1275" i="1"/>
  <c r="C1275" i="1" s="1"/>
  <c r="P1266" i="1"/>
  <c r="C1266" i="1" s="1"/>
  <c r="H1296" i="1"/>
  <c r="C1296" i="1" s="1"/>
  <c r="H1303" i="1"/>
  <c r="C1303" i="1" s="1"/>
  <c r="H1300" i="1"/>
  <c r="C1300" i="1" s="1"/>
  <c r="H1295" i="1"/>
  <c r="C1295" i="1" s="1"/>
  <c r="H1297" i="1"/>
  <c r="C1297" i="1" s="1"/>
  <c r="H1302" i="1"/>
  <c r="C1302" i="1" s="1"/>
  <c r="H1298" i="1"/>
  <c r="C1298" i="1" s="1"/>
  <c r="P1293" i="1"/>
  <c r="C1293" i="1" s="1"/>
  <c r="H1301" i="1"/>
  <c r="C1301" i="1" s="1"/>
  <c r="H1299" i="1"/>
  <c r="C1299" i="1" s="1"/>
  <c r="H1294" i="1"/>
  <c r="C1294" i="1" s="1"/>
  <c r="H835" i="1"/>
  <c r="H836" i="1"/>
  <c r="H834" i="1"/>
  <c r="P829" i="1"/>
  <c r="H831" i="1"/>
  <c r="H830" i="1"/>
  <c r="P1213" i="1"/>
  <c r="C1213" i="1" s="1"/>
  <c r="H1216" i="1"/>
  <c r="C1216" i="1" s="1"/>
  <c r="H1217" i="1"/>
  <c r="C1217" i="1" s="1"/>
  <c r="H1214" i="1"/>
  <c r="C1214" i="1" s="1"/>
  <c r="H1215" i="1"/>
  <c r="C1215" i="1" s="1"/>
  <c r="H1218" i="1"/>
  <c r="C1218" i="1" s="1"/>
  <c r="H1219" i="1"/>
  <c r="C1219" i="1" s="1"/>
  <c r="G144" i="33"/>
  <c r="P2330" i="1"/>
  <c r="C2330" i="1" s="1"/>
  <c r="L2330" i="1"/>
  <c r="P2327" i="1"/>
  <c r="C2327" i="1" s="1"/>
  <c r="L2327" i="1"/>
  <c r="H1412" i="1"/>
  <c r="H111" i="97" s="1"/>
  <c r="H1411" i="1"/>
  <c r="H127" i="97" s="1"/>
  <c r="H1413" i="1"/>
  <c r="H201" i="97" s="1"/>
  <c r="H1414" i="1"/>
  <c r="H172" i="97" s="1"/>
  <c r="P1410" i="1"/>
  <c r="I174" i="97" s="1"/>
  <c r="H1208" i="1"/>
  <c r="C1208" i="1" s="1"/>
  <c r="H1203" i="1"/>
  <c r="C1203" i="1" s="1"/>
  <c r="H1209" i="1"/>
  <c r="C1209" i="1" s="1"/>
  <c r="H1204" i="1"/>
  <c r="C1204" i="1" s="1"/>
  <c r="P1202" i="1"/>
  <c r="C1202" i="1" s="1"/>
  <c r="H1205" i="1"/>
  <c r="C1205" i="1" s="1"/>
  <c r="H1207" i="1"/>
  <c r="C1207" i="1" s="1"/>
  <c r="H1206" i="1"/>
  <c r="C1206" i="1" s="1"/>
  <c r="H528" i="1"/>
  <c r="C528" i="1" s="1"/>
  <c r="C526" i="1"/>
  <c r="H527" i="1"/>
  <c r="C527" i="1" s="1"/>
  <c r="H568" i="1"/>
  <c r="P566" i="1"/>
  <c r="H567" i="1"/>
  <c r="H571" i="1"/>
  <c r="H569" i="1"/>
  <c r="C569" i="1" s="1"/>
  <c r="H570" i="1"/>
  <c r="H506" i="1"/>
  <c r="C506" i="1" s="1"/>
  <c r="C505" i="1"/>
  <c r="H507" i="1"/>
  <c r="C507" i="1" s="1"/>
  <c r="C2006" i="1"/>
  <c r="H351" i="1"/>
  <c r="H348" i="1"/>
  <c r="H352" i="1"/>
  <c r="H346" i="1"/>
  <c r="H350" i="1"/>
  <c r="H353" i="1"/>
  <c r="H347" i="1"/>
  <c r="H355" i="1"/>
  <c r="H349" i="1"/>
  <c r="H354" i="1"/>
  <c r="H340" i="1"/>
  <c r="H344" i="1"/>
  <c r="C344" i="1" s="1"/>
  <c r="H343" i="1"/>
  <c r="C343" i="1" s="1"/>
  <c r="P339" i="1"/>
  <c r="H342" i="1"/>
  <c r="H341" i="1"/>
  <c r="H1571" i="1"/>
  <c r="P1571" i="1" s="1"/>
  <c r="C1571" i="1" s="1"/>
  <c r="E172" i="31"/>
  <c r="J1571" i="1"/>
  <c r="H496" i="1"/>
  <c r="C496" i="1" s="1"/>
  <c r="H497" i="1"/>
  <c r="C497" i="1" s="1"/>
  <c r="C495" i="1"/>
  <c r="D29" i="113"/>
  <c r="C243" i="115" s="1"/>
  <c r="I315" i="23"/>
  <c r="H487" i="1"/>
  <c r="C487" i="1" s="1"/>
  <c r="C485" i="1"/>
  <c r="H486" i="1"/>
  <c r="C486" i="1" s="1"/>
  <c r="H1231" i="1"/>
  <c r="C1231" i="1" s="1"/>
  <c r="H1235" i="1"/>
  <c r="C1235" i="1" s="1"/>
  <c r="P1230" i="1"/>
  <c r="C1230" i="1" s="1"/>
  <c r="H1233" i="1"/>
  <c r="C1233" i="1" s="1"/>
  <c r="H1232" i="1"/>
  <c r="C1232" i="1" s="1"/>
  <c r="H1234" i="1"/>
  <c r="C1234" i="1" s="1"/>
  <c r="H1455" i="1"/>
  <c r="C1455" i="1" s="1"/>
  <c r="P1454" i="1"/>
  <c r="C1454" i="1" s="1"/>
  <c r="H1457" i="1"/>
  <c r="C1457" i="1" s="1"/>
  <c r="H1456" i="1"/>
  <c r="C1456" i="1" s="1"/>
  <c r="H285" i="1"/>
  <c r="C285" i="1" s="1"/>
  <c r="H284" i="1"/>
  <c r="C284" i="1" s="1"/>
  <c r="C283" i="1"/>
  <c r="J1515" i="1"/>
  <c r="H1515" i="1"/>
  <c r="P1515" i="1" s="1"/>
  <c r="C1515" i="1" s="1"/>
  <c r="H214" i="1"/>
  <c r="C214" i="1" s="1"/>
  <c r="H216" i="1"/>
  <c r="C216" i="1" s="1"/>
  <c r="C213" i="1"/>
  <c r="H215" i="1"/>
  <c r="C215" i="1" s="1"/>
  <c r="P1967" i="1"/>
  <c r="H707" i="1"/>
  <c r="P705" i="1"/>
  <c r="H708" i="1"/>
  <c r="H700" i="1"/>
  <c r="C700" i="1" s="1"/>
  <c r="H706" i="1"/>
  <c r="H699" i="1"/>
  <c r="C699"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09" i="1"/>
  <c r="C809" i="1" s="1"/>
  <c r="H813" i="1"/>
  <c r="C813" i="1" s="1"/>
  <c r="H789" i="1"/>
  <c r="C789" i="1" s="1"/>
  <c r="H810" i="1"/>
  <c r="C810" i="1" s="1"/>
  <c r="H811" i="1"/>
  <c r="C811" i="1" s="1"/>
  <c r="H790" i="1"/>
  <c r="C790" i="1" s="1"/>
  <c r="H791" i="1"/>
  <c r="C791" i="1" s="1"/>
  <c r="H812" i="1"/>
  <c r="C812" i="1" s="1"/>
  <c r="H793" i="1"/>
  <c r="C793" i="1" s="1"/>
  <c r="H792" i="1"/>
  <c r="C792" i="1" s="1"/>
  <c r="P889" i="1"/>
  <c r="C889" i="1" s="1"/>
  <c r="H892" i="1"/>
  <c r="C892" i="1" s="1"/>
  <c r="H891" i="1"/>
  <c r="C891" i="1" s="1"/>
  <c r="H890" i="1"/>
  <c r="C890" i="1" s="1"/>
  <c r="H893" i="1"/>
  <c r="C893" i="1" s="1"/>
  <c r="E118" i="33"/>
  <c r="G118" i="33" s="1"/>
  <c r="H1995" i="1"/>
  <c r="P2001" i="1"/>
  <c r="C2001" i="1" s="1"/>
  <c r="L2001" i="1"/>
  <c r="H1721" i="1"/>
  <c r="P1721" i="1" s="1"/>
  <c r="C1721" i="1" s="1"/>
  <c r="I1721" i="1"/>
  <c r="H720" i="1"/>
  <c r="C719" i="1"/>
  <c r="H1173" i="1"/>
  <c r="H53" i="97" s="1"/>
  <c r="H1179" i="1"/>
  <c r="H130" i="97" s="1"/>
  <c r="H1180" i="1"/>
  <c r="H109" i="97" s="1"/>
  <c r="H1174" i="1"/>
  <c r="H125" i="97" s="1"/>
  <c r="H1175" i="1"/>
  <c r="H89" i="97" s="1"/>
  <c r="H1181" i="1"/>
  <c r="H159" i="97" s="1"/>
  <c r="H1177" i="1"/>
  <c r="H21" i="97" s="1"/>
  <c r="H1178" i="1"/>
  <c r="H69" i="97" s="1"/>
  <c r="E14" i="108"/>
  <c r="P1172" i="1"/>
  <c r="I140" i="97" s="1"/>
  <c r="H1448" i="1"/>
  <c r="C1448" i="1" s="1"/>
  <c r="P1445" i="1"/>
  <c r="C1445" i="1" s="1"/>
  <c r="H1447" i="1"/>
  <c r="C1447" i="1" s="1"/>
  <c r="H1446" i="1"/>
  <c r="C1446"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3" i="1"/>
  <c r="H765" i="1"/>
  <c r="C765" i="1" s="1"/>
  <c r="H764" i="1"/>
  <c r="C764" i="1" s="1"/>
  <c r="C1991" i="1"/>
  <c r="P2000" i="1"/>
  <c r="C2000" i="1" s="1"/>
  <c r="L2000" i="1"/>
  <c r="C174" i="1"/>
  <c r="H177" i="1"/>
  <c r="C177" i="1" s="1"/>
  <c r="H176" i="1"/>
  <c r="C176" i="1" s="1"/>
  <c r="H179" i="1"/>
  <c r="C179" i="1" s="1"/>
  <c r="H178" i="1"/>
  <c r="C178" i="1" s="1"/>
  <c r="H175" i="1"/>
  <c r="C175" i="1" s="1"/>
  <c r="H974" i="1"/>
  <c r="C974" i="1" s="1"/>
  <c r="P973" i="1"/>
  <c r="C973" i="1" s="1"/>
  <c r="H977" i="1"/>
  <c r="C977" i="1" s="1"/>
  <c r="H976" i="1"/>
  <c r="C976" i="1" s="1"/>
  <c r="H975" i="1"/>
  <c r="C975" i="1" s="1"/>
  <c r="P2022" i="1"/>
  <c r="P2356" i="1"/>
  <c r="C2356" i="1" s="1"/>
  <c r="L2356" i="1"/>
  <c r="P2333" i="1"/>
  <c r="C2333" i="1" s="1"/>
  <c r="L2333" i="1"/>
  <c r="L2337" i="1"/>
  <c r="P2337" i="1"/>
  <c r="C2337" i="1" s="1"/>
  <c r="L2353" i="1"/>
  <c r="P2353" i="1"/>
  <c r="C2353" i="1" s="1"/>
  <c r="H318" i="1"/>
  <c r="C318" i="1" s="1"/>
  <c r="C317" i="1"/>
  <c r="H319" i="1"/>
  <c r="C319" i="1" s="1"/>
  <c r="H320" i="1"/>
  <c r="C320" i="1" s="1"/>
  <c r="C770" i="1"/>
  <c r="H771" i="1"/>
  <c r="C771" i="1" s="1"/>
  <c r="H772" i="1"/>
  <c r="C772" i="1" s="1"/>
  <c r="G142" i="33"/>
  <c r="B142" i="33"/>
  <c r="E182" i="31"/>
  <c r="H1581" i="1"/>
  <c r="P1581" i="1" s="1"/>
  <c r="C1581" i="1" s="1"/>
  <c r="J1581" i="1"/>
  <c r="C125" i="1"/>
  <c r="H126" i="1"/>
  <c r="C126" i="1" s="1"/>
  <c r="H128" i="1"/>
  <c r="C128" i="1" s="1"/>
  <c r="H127" i="1"/>
  <c r="C127" i="1" s="1"/>
  <c r="H257" i="1"/>
  <c r="C257" i="1" s="1"/>
  <c r="C256" i="1"/>
  <c r="H258" i="1"/>
  <c r="C258" i="1" s="1"/>
  <c r="H900" i="1"/>
  <c r="C900" i="1" s="1"/>
  <c r="P898" i="1"/>
  <c r="C898" i="1" s="1"/>
  <c r="H903" i="1"/>
  <c r="C903" i="1" s="1"/>
  <c r="H902" i="1"/>
  <c r="C902" i="1" s="1"/>
  <c r="H899" i="1"/>
  <c r="C899" i="1" s="1"/>
  <c r="H901" i="1"/>
  <c r="C901" i="1" s="1"/>
  <c r="H304" i="1"/>
  <c r="C304" i="1" s="1"/>
  <c r="C302" i="1"/>
  <c r="H303" i="1"/>
  <c r="C303" i="1" s="1"/>
  <c r="H457" i="1"/>
  <c r="C457" i="1" s="1"/>
  <c r="H458" i="1"/>
  <c r="C458" i="1" s="1"/>
  <c r="H459" i="1"/>
  <c r="C459" i="1" s="1"/>
  <c r="C456" i="1"/>
  <c r="I312" i="23"/>
  <c r="A309" i="23"/>
  <c r="A310" i="23" s="1"/>
  <c r="A311" i="23" s="1"/>
  <c r="A312" i="23" s="1"/>
  <c r="A313" i="23" s="1"/>
  <c r="A314" i="23" s="1"/>
  <c r="I313" i="23"/>
  <c r="I311" i="23"/>
  <c r="I314" i="23"/>
  <c r="H119" i="1"/>
  <c r="C119" i="1" s="1"/>
  <c r="H118" i="1"/>
  <c r="C118" i="1" s="1"/>
  <c r="C117" i="1"/>
  <c r="D538" i="23"/>
  <c r="J1517" i="1"/>
  <c r="H1517" i="1"/>
  <c r="P1517" i="1" s="1"/>
  <c r="C1517" i="1" s="1"/>
  <c r="D697" i="1"/>
  <c r="C697" i="1"/>
  <c r="P2324" i="1"/>
  <c r="C2324" i="1" s="1"/>
  <c r="L2324" i="1"/>
  <c r="H760" i="1"/>
  <c r="C760" i="1" s="1"/>
  <c r="H761" i="1"/>
  <c r="C761" i="1" s="1"/>
  <c r="C759" i="1"/>
  <c r="P867" i="1"/>
  <c r="H868" i="1"/>
  <c r="P1013" i="1"/>
  <c r="C1013" i="1" s="1"/>
  <c r="H1015" i="1"/>
  <c r="C1015" i="1" s="1"/>
  <c r="H1018" i="1"/>
  <c r="C1018" i="1" s="1"/>
  <c r="H1017" i="1"/>
  <c r="C1017" i="1" s="1"/>
  <c r="H1014" i="1"/>
  <c r="C1014" i="1" s="1"/>
  <c r="H1016" i="1"/>
  <c r="C1016" i="1" s="1"/>
  <c r="H294" i="1"/>
  <c r="C294" i="1" s="1"/>
  <c r="H293" i="1"/>
  <c r="C293" i="1" s="1"/>
  <c r="H292" i="1"/>
  <c r="C292" i="1" s="1"/>
  <c r="C291" i="1"/>
  <c r="P1365" i="1"/>
  <c r="C1365" i="1" s="1"/>
  <c r="H1373" i="1"/>
  <c r="C1373" i="1" s="1"/>
  <c r="H1368" i="1"/>
  <c r="C1368" i="1" s="1"/>
  <c r="H1366" i="1"/>
  <c r="C1366" i="1" s="1"/>
  <c r="H1369" i="1"/>
  <c r="C1369" i="1" s="1"/>
  <c r="H1370" i="1"/>
  <c r="C1370" i="1" s="1"/>
  <c r="H1371" i="1"/>
  <c r="C1371" i="1" s="1"/>
  <c r="H1367" i="1"/>
  <c r="C1367" i="1" s="1"/>
  <c r="H1372" i="1"/>
  <c r="C1372" i="1" s="1"/>
  <c r="H1374" i="1"/>
  <c r="C1374" i="1" s="1"/>
  <c r="H1288" i="1"/>
  <c r="C1288" i="1" s="1"/>
  <c r="H1285" i="1"/>
  <c r="C1285" i="1" s="1"/>
  <c r="H1281" i="1"/>
  <c r="C1281" i="1" s="1"/>
  <c r="H1284" i="1"/>
  <c r="C1284" i="1" s="1"/>
  <c r="H1287" i="1"/>
  <c r="C1287" i="1" s="1"/>
  <c r="P1280" i="1"/>
  <c r="C1280" i="1" s="1"/>
  <c r="H1283" i="1"/>
  <c r="C1283" i="1" s="1"/>
  <c r="H1289" i="1"/>
  <c r="C1289" i="1" s="1"/>
  <c r="H1282" i="1"/>
  <c r="C1282" i="1" s="1"/>
  <c r="H1286" i="1"/>
  <c r="C1286" i="1" s="1"/>
  <c r="P1992" i="1"/>
  <c r="D8" i="114" s="1"/>
  <c r="L1992" i="1"/>
  <c r="P2161" i="1"/>
  <c r="C2161" i="1" s="1"/>
  <c r="M2161" i="1"/>
  <c r="H685" i="1"/>
  <c r="C685" i="1" s="1"/>
  <c r="H689" i="1"/>
  <c r="C689" i="1" s="1"/>
  <c r="H683" i="1"/>
  <c r="C683" i="1" s="1"/>
  <c r="C665" i="1"/>
  <c r="H674" i="1"/>
  <c r="C674" i="1" s="1"/>
  <c r="H667" i="1"/>
  <c r="C667" i="1" s="1"/>
  <c r="H677" i="1"/>
  <c r="C677" i="1" s="1"/>
  <c r="H679" i="1"/>
  <c r="C679" i="1" s="1"/>
  <c r="H688" i="1"/>
  <c r="C688" i="1" s="1"/>
  <c r="H676" i="1"/>
  <c r="C676" i="1" s="1"/>
  <c r="H678" i="1"/>
  <c r="C678" i="1" s="1"/>
  <c r="H690" i="1"/>
  <c r="C690" i="1" s="1"/>
  <c r="H668" i="1"/>
  <c r="C668" i="1" s="1"/>
  <c r="H666" i="1"/>
  <c r="C666" i="1" s="1"/>
  <c r="H684" i="1"/>
  <c r="C684" i="1" s="1"/>
  <c r="H687" i="1"/>
  <c r="C687" i="1" s="1"/>
  <c r="H675" i="1"/>
  <c r="C675" i="1" s="1"/>
  <c r="H686" i="1"/>
  <c r="C686" i="1" s="1"/>
  <c r="C94" i="115"/>
  <c r="P1960" i="1"/>
  <c r="L1960" i="1"/>
  <c r="H646" i="1"/>
  <c r="C645" i="1"/>
  <c r="H1406" i="1"/>
  <c r="H1405" i="1"/>
  <c r="H1404" i="1"/>
  <c r="P1402" i="1"/>
  <c r="H1403" i="1"/>
  <c r="C156" i="1"/>
  <c r="H157" i="1"/>
  <c r="P1390" i="1"/>
  <c r="C1390" i="1" s="1"/>
  <c r="H1394" i="1"/>
  <c r="C1394" i="1" s="1"/>
  <c r="H1393" i="1"/>
  <c r="C1393" i="1" s="1"/>
  <c r="H1395" i="1"/>
  <c r="C1395" i="1" s="1"/>
  <c r="H1392" i="1"/>
  <c r="C1392" i="1" s="1"/>
  <c r="H1396" i="1"/>
  <c r="C1396" i="1" s="1"/>
  <c r="H1398" i="1"/>
  <c r="C1398" i="1" s="1"/>
  <c r="H1391" i="1"/>
  <c r="C1391" i="1" s="1"/>
  <c r="H1397" i="1"/>
  <c r="C1397" i="1" s="1"/>
  <c r="C134" i="1"/>
  <c r="H135" i="1"/>
  <c r="C135" i="1" s="1"/>
  <c r="H136" i="1"/>
  <c r="C136" i="1" s="1"/>
  <c r="H1007" i="1"/>
  <c r="C1007" i="1" s="1"/>
  <c r="H1005" i="1"/>
  <c r="C1005" i="1" s="1"/>
  <c r="H1004" i="1"/>
  <c r="C1004" i="1" s="1"/>
  <c r="P1003" i="1"/>
  <c r="C1003" i="1" s="1"/>
  <c r="H1008" i="1"/>
  <c r="C1008" i="1" s="1"/>
  <c r="H1006" i="1"/>
  <c r="C1006" i="1" s="1"/>
  <c r="H955" i="1"/>
  <c r="H956" i="1"/>
  <c r="H957" i="1"/>
  <c r="H958" i="1"/>
  <c r="H954" i="1"/>
  <c r="P953" i="1"/>
  <c r="P1351" i="1"/>
  <c r="C1351" i="1" s="1"/>
  <c r="H1357" i="1"/>
  <c r="C1357" i="1" s="1"/>
  <c r="H1361" i="1"/>
  <c r="C1361" i="1" s="1"/>
  <c r="H1268" i="1"/>
  <c r="C1268" i="1" s="1"/>
  <c r="H1359" i="1"/>
  <c r="C1359" i="1" s="1"/>
  <c r="H1310" i="1"/>
  <c r="C1310" i="1" s="1"/>
  <c r="H1358" i="1"/>
  <c r="C1358" i="1" s="1"/>
  <c r="H1354" i="1"/>
  <c r="C1354" i="1" s="1"/>
  <c r="H1356" i="1"/>
  <c r="C1356" i="1" s="1"/>
  <c r="H1352" i="1"/>
  <c r="C1352" i="1" s="1"/>
  <c r="H1353" i="1"/>
  <c r="C1353" i="1" s="1"/>
  <c r="H1355" i="1"/>
  <c r="C1355" i="1" s="1"/>
  <c r="H1360" i="1"/>
  <c r="C1360" i="1" s="1"/>
  <c r="P2322" i="1"/>
  <c r="C2322" i="1" s="1"/>
  <c r="L2322" i="1"/>
  <c r="P2345" i="1"/>
  <c r="C2345" i="1" s="1"/>
  <c r="L2345" i="1"/>
  <c r="P2336" i="1"/>
  <c r="C2336" i="1" s="1"/>
  <c r="L2336" i="1"/>
  <c r="L2338" i="1"/>
  <c r="P2338" i="1"/>
  <c r="C2338" i="1" s="1"/>
  <c r="P2004" i="1"/>
  <c r="C2004" i="1" s="1"/>
  <c r="P1982" i="1"/>
  <c r="C1982" i="1" s="1"/>
  <c r="L1982" i="1"/>
  <c r="C1965" i="1"/>
  <c r="P798" i="1"/>
  <c r="I181" i="97" s="1"/>
  <c r="H805" i="1"/>
  <c r="H164" i="97" s="1"/>
  <c r="H804" i="1"/>
  <c r="H39" i="97" s="1"/>
  <c r="H801" i="1"/>
  <c r="H802" i="1"/>
  <c r="H25" i="97" s="1"/>
  <c r="H803" i="1"/>
  <c r="H31" i="97" s="1"/>
  <c r="B176" i="31"/>
  <c r="G176" i="31"/>
  <c r="H2124" i="23"/>
  <c r="H2117" i="23"/>
  <c r="H2121" i="23"/>
  <c r="H2119" i="23" s="1"/>
  <c r="H2120" i="23" s="1"/>
  <c r="H1968" i="1"/>
  <c r="K1968" i="1"/>
  <c r="E91" i="33"/>
  <c r="G91" i="33" s="1"/>
  <c r="H1225" i="1"/>
  <c r="C1225" i="1" s="1"/>
  <c r="H1227" i="1"/>
  <c r="C1227" i="1" s="1"/>
  <c r="P1222" i="1"/>
  <c r="C1222" i="1" s="1"/>
  <c r="H1223" i="1"/>
  <c r="C1223" i="1" s="1"/>
  <c r="H1226" i="1"/>
  <c r="C1226" i="1" s="1"/>
  <c r="H1224" i="1"/>
  <c r="C1224" i="1" s="1"/>
  <c r="C448" i="1"/>
  <c r="H450" i="1"/>
  <c r="C450" i="1" s="1"/>
  <c r="H449" i="1"/>
  <c r="C449" i="1" s="1"/>
  <c r="N2127" i="1"/>
  <c r="H2127" i="1"/>
  <c r="P2127" i="1" s="1"/>
  <c r="C2127"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4" i="1"/>
  <c r="H1924" i="1" s="1"/>
  <c r="H93" i="97" l="1"/>
  <c r="J21" i="113"/>
  <c r="D21" i="113" s="1"/>
  <c r="I177" i="97"/>
  <c r="P632" i="1"/>
  <c r="I141" i="97" s="1"/>
  <c r="P628" i="1"/>
  <c r="P631" i="1"/>
  <c r="P630" i="1"/>
  <c r="K18" i="113"/>
  <c r="P629" i="1"/>
  <c r="H80" i="97"/>
  <c r="J20" i="113"/>
  <c r="H19" i="97"/>
  <c r="J19" i="113"/>
  <c r="D238" i="115"/>
  <c r="D22" i="113"/>
  <c r="C238" i="115" s="1"/>
  <c r="H20" i="97"/>
  <c r="P1756" i="1"/>
  <c r="I20" i="97" s="1"/>
  <c r="P363" i="1"/>
  <c r="I169" i="97"/>
  <c r="P1910" i="1"/>
  <c r="I152" i="97" s="1"/>
  <c r="H152" i="97"/>
  <c r="P1098" i="1"/>
  <c r="I183" i="97"/>
  <c r="I182" i="97"/>
  <c r="C632" i="1"/>
  <c r="C141" i="97" s="1"/>
  <c r="H141" i="97"/>
  <c r="C628" i="1"/>
  <c r="C112" i="97" s="1"/>
  <c r="H112" i="97"/>
  <c r="H901" i="23"/>
  <c r="H61" i="97" s="1"/>
  <c r="H76" i="97"/>
  <c r="H885" i="23"/>
  <c r="H46" i="97"/>
  <c r="P1176" i="1"/>
  <c r="C1176" i="1" s="1"/>
  <c r="P1162" i="1"/>
  <c r="P361" i="1"/>
  <c r="C361" i="1" s="1"/>
  <c r="P360" i="1"/>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12" i="97"/>
  <c r="A228" i="97"/>
  <c r="A232" i="97"/>
  <c r="A236" i="97"/>
  <c r="A240" i="97"/>
  <c r="A244" i="97"/>
  <c r="A248" i="97"/>
  <c r="A252" i="97"/>
  <c r="A256" i="97"/>
  <c r="A260" i="97"/>
  <c r="A264" i="97"/>
  <c r="A268" i="97"/>
  <c r="A13" i="97"/>
  <c r="A229" i="97"/>
  <c r="A233" i="97"/>
  <c r="A237" i="97"/>
  <c r="A241" i="97"/>
  <c r="A245" i="97"/>
  <c r="A249" i="97"/>
  <c r="A253" i="97"/>
  <c r="A257" i="97"/>
  <c r="A261" i="97"/>
  <c r="A265" i="97"/>
  <c r="A269" i="97"/>
  <c r="P642" i="1"/>
  <c r="C642" i="1" s="1"/>
  <c r="P639" i="1"/>
  <c r="C639" i="1" s="1"/>
  <c r="P641" i="1"/>
  <c r="C641" i="1" s="1"/>
  <c r="P635" i="1"/>
  <c r="C635" i="1" s="1"/>
  <c r="P638" i="1"/>
  <c r="C638" i="1" s="1"/>
  <c r="P637" i="1"/>
  <c r="C637" i="1" s="1"/>
  <c r="P643" i="1"/>
  <c r="C643" i="1" s="1"/>
  <c r="C634" i="1"/>
  <c r="P636" i="1"/>
  <c r="C636" i="1" s="1"/>
  <c r="P644" i="1"/>
  <c r="C644" i="1" s="1"/>
  <c r="P640" i="1"/>
  <c r="D20" i="113"/>
  <c r="C236" i="115" s="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7" i="1"/>
  <c r="P880" i="1"/>
  <c r="P879" i="1"/>
  <c r="P872" i="1"/>
  <c r="P869" i="1"/>
  <c r="P884" i="1"/>
  <c r="P871" i="1"/>
  <c r="P881" i="1"/>
  <c r="P870" i="1"/>
  <c r="P868" i="1"/>
  <c r="P883" i="1"/>
  <c r="P882" i="1"/>
  <c r="P873" i="1"/>
  <c r="J1512" i="1"/>
  <c r="J1510" i="1"/>
  <c r="H1510" i="1"/>
  <c r="P1510" i="1" s="1"/>
  <c r="C1510"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41" i="97"/>
  <c r="A224" i="97"/>
  <c r="A210" i="97"/>
  <c r="A218" i="97"/>
  <c r="A225" i="97"/>
  <c r="A211" i="97"/>
  <c r="A219" i="97"/>
  <c r="A204" i="97"/>
  <c r="A212" i="97"/>
  <c r="A220" i="97"/>
  <c r="A205" i="97"/>
  <c r="A213" i="97"/>
  <c r="A221" i="97"/>
  <c r="A206" i="97"/>
  <c r="A214" i="97"/>
  <c r="A222" i="97"/>
  <c r="A207" i="97"/>
  <c r="A215" i="97"/>
  <c r="A223" i="97"/>
  <c r="A208" i="97"/>
  <c r="A216" i="97"/>
  <c r="A209" i="97"/>
  <c r="A217" i="97"/>
  <c r="D236" i="115"/>
  <c r="F12" i="108"/>
  <c r="H1903" i="1"/>
  <c r="H151" i="97" s="1"/>
  <c r="D62" i="115"/>
  <c r="H1881" i="1"/>
  <c r="C942" i="1"/>
  <c r="C180" i="97" s="1"/>
  <c r="P946" i="1"/>
  <c r="I32" i="97" s="1"/>
  <c r="P948" i="1"/>
  <c r="I35" i="97" s="1"/>
  <c r="P944" i="1"/>
  <c r="I118" i="97" s="1"/>
  <c r="P947" i="1"/>
  <c r="I27" i="97" s="1"/>
  <c r="P943" i="1"/>
  <c r="I122" i="97" s="1"/>
  <c r="C932" i="1"/>
  <c r="C179" i="97" s="1"/>
  <c r="P934" i="1"/>
  <c r="I117" i="97" s="1"/>
  <c r="P937" i="1"/>
  <c r="I34" i="97" s="1"/>
  <c r="P933" i="1"/>
  <c r="I121" i="97" s="1"/>
  <c r="P936" i="1"/>
  <c r="I26" i="97" s="1"/>
  <c r="D260" i="115"/>
  <c r="A177" i="23"/>
  <c r="I1604" i="23"/>
  <c r="H1606" i="23"/>
  <c r="A188" i="23"/>
  <c r="H2112" i="23"/>
  <c r="H2113" i="23"/>
  <c r="H2128" i="23"/>
  <c r="H2131" i="23"/>
  <c r="D672" i="23"/>
  <c r="D677" i="23" s="1"/>
  <c r="D686" i="23" s="1"/>
  <c r="D705" i="23" s="1"/>
  <c r="A32" i="97"/>
  <c r="A201" i="97"/>
  <c r="A87" i="97"/>
  <c r="A22" i="97"/>
  <c r="A186" i="97"/>
  <c r="A94" i="97"/>
  <c r="A189" i="97"/>
  <c r="A98" i="97"/>
  <c r="A58" i="97"/>
  <c r="A121" i="97"/>
  <c r="A28" i="97"/>
  <c r="A199" i="97"/>
  <c r="A55" i="97"/>
  <c r="A187" i="97"/>
  <c r="A163" i="97"/>
  <c r="A129" i="97"/>
  <c r="A127" i="97"/>
  <c r="A99" i="97"/>
  <c r="A162" i="97"/>
  <c r="A152" i="97"/>
  <c r="A59" i="97"/>
  <c r="A33" i="97"/>
  <c r="A111" i="97"/>
  <c r="A158" i="97"/>
  <c r="A126" i="97"/>
  <c r="A154" i="97"/>
  <c r="A89" i="97"/>
  <c r="A24" i="97"/>
  <c r="A95" i="97"/>
  <c r="A178" i="97"/>
  <c r="A113" i="97"/>
  <c r="A47" i="97"/>
  <c r="A37" i="97"/>
  <c r="A143" i="97"/>
  <c r="A78" i="97"/>
  <c r="A18" i="97"/>
  <c r="A150" i="97"/>
  <c r="A85" i="97"/>
  <c r="A80" i="97"/>
  <c r="A182" i="97"/>
  <c r="A120" i="97"/>
  <c r="A51" i="97"/>
  <c r="A159" i="97"/>
  <c r="A181" i="97"/>
  <c r="A116" i="97"/>
  <c r="A50" i="97"/>
  <c r="A118" i="97"/>
  <c r="A155" i="97"/>
  <c r="A90" i="97"/>
  <c r="A25" i="97"/>
  <c r="A146" i="97"/>
  <c r="A81" i="97"/>
  <c r="A69" i="97"/>
  <c r="A169" i="97"/>
  <c r="A105" i="97"/>
  <c r="A39" i="97"/>
  <c r="A20" i="97"/>
  <c r="A177" i="97"/>
  <c r="A70" i="97"/>
  <c r="A9" i="97"/>
  <c r="A141" i="97"/>
  <c r="A76" i="97"/>
  <c r="A16" i="97"/>
  <c r="A173" i="97"/>
  <c r="A109" i="97"/>
  <c r="A43" i="97"/>
  <c r="A133" i="97"/>
  <c r="A172" i="97"/>
  <c r="A108" i="97"/>
  <c r="A42" i="97"/>
  <c r="A45" i="97"/>
  <c r="A147" i="97"/>
  <c r="A82" i="97"/>
  <c r="A21" i="97"/>
  <c r="A203" i="97"/>
  <c r="A137" i="97"/>
  <c r="A72" i="97"/>
  <c r="A10" i="97"/>
  <c r="A53" i="97"/>
  <c r="A161" i="97"/>
  <c r="A97" i="97"/>
  <c r="A31" i="97"/>
  <c r="A190" i="97"/>
  <c r="A130" i="97"/>
  <c r="A62" i="97"/>
  <c r="A196" i="97"/>
  <c r="A132" i="97"/>
  <c r="A68" i="97"/>
  <c r="A7" i="97"/>
  <c r="A165" i="97"/>
  <c r="A101" i="97"/>
  <c r="A35" i="97"/>
  <c r="A103" i="97"/>
  <c r="A164" i="97"/>
  <c r="A100" i="97"/>
  <c r="A34" i="97"/>
  <c r="A2" i="97"/>
  <c r="A138" i="97"/>
  <c r="A73" i="97"/>
  <c r="A11" i="97"/>
  <c r="A192" i="97"/>
  <c r="A135" i="97"/>
  <c r="A64" i="97"/>
  <c r="A3" i="97"/>
  <c r="A17" i="97"/>
  <c r="A153" i="97"/>
  <c r="A88" i="97"/>
  <c r="A23" i="97"/>
  <c r="A200" i="97"/>
  <c r="A124" i="97"/>
  <c r="A54" i="97"/>
  <c r="A188" i="97"/>
  <c r="A128" i="97"/>
  <c r="A60" i="97"/>
  <c r="A151" i="97"/>
  <c r="A157" i="97"/>
  <c r="A92" i="97"/>
  <c r="A27" i="97"/>
  <c r="A77" i="97"/>
  <c r="A156" i="97"/>
  <c r="A91" i="97"/>
  <c r="A26" i="97"/>
  <c r="A193" i="97"/>
  <c r="A198" i="97"/>
  <c r="A65" i="97"/>
  <c r="A4" i="97"/>
  <c r="A184" i="97"/>
  <c r="A122" i="97"/>
  <c r="A56" i="97"/>
  <c r="A197" i="97"/>
  <c r="A8" i="97"/>
  <c r="A145" i="97"/>
  <c r="A79" i="97"/>
  <c r="A19" i="97"/>
  <c r="A176" i="97"/>
  <c r="A112" i="97"/>
  <c r="A46" i="97"/>
  <c r="A183" i="97"/>
  <c r="A117" i="97"/>
  <c r="A52" i="97"/>
  <c r="A86" i="97"/>
  <c r="A149" i="97"/>
  <c r="A84" i="97"/>
  <c r="A119" i="97"/>
  <c r="A61" i="97"/>
  <c r="A148" i="97"/>
  <c r="A83" i="97"/>
  <c r="A123" i="97"/>
  <c r="A185" i="97"/>
  <c r="A125" i="97"/>
  <c r="A57" i="97"/>
  <c r="A179" i="97"/>
  <c r="A114" i="97"/>
  <c r="A48" i="97"/>
  <c r="A167" i="97"/>
  <c r="A202" i="97"/>
  <c r="A144" i="97"/>
  <c r="A71" i="97"/>
  <c r="A168" i="97"/>
  <c r="A104" i="97"/>
  <c r="A38" i="97"/>
  <c r="A174" i="97"/>
  <c r="A110" i="97"/>
  <c r="A44" i="97"/>
  <c r="A93" i="97"/>
  <c r="A140" i="97"/>
  <c r="A75" i="97"/>
  <c r="A15" i="97"/>
  <c r="A29" i="97"/>
  <c r="A139" i="97"/>
  <c r="A74" i="97"/>
  <c r="A14" i="97"/>
  <c r="A180" i="97"/>
  <c r="A115" i="97"/>
  <c r="A49" i="97"/>
  <c r="A170" i="97"/>
  <c r="A106" i="97"/>
  <c r="A40" i="97"/>
  <c r="A142" i="97"/>
  <c r="A191" i="97"/>
  <c r="A134" i="97"/>
  <c r="A63" i="97"/>
  <c r="A175" i="97"/>
  <c r="A160" i="97"/>
  <c r="A96" i="97"/>
  <c r="A30" i="97"/>
  <c r="A166" i="97"/>
  <c r="A102" i="97"/>
  <c r="A36" i="97"/>
  <c r="A195" i="97"/>
  <c r="A131" i="97"/>
  <c r="A67" i="97"/>
  <c r="A6" i="97"/>
  <c r="A194" i="97"/>
  <c r="A136" i="97"/>
  <c r="A66" i="97"/>
  <c r="A5" i="97"/>
  <c r="A171" i="97"/>
  <c r="A107"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57" i="1"/>
  <c r="I17" i="97" s="1"/>
  <c r="H1831" i="1"/>
  <c r="H185" i="97" s="1"/>
  <c r="C1831" i="1"/>
  <c r="C185" i="97" s="1"/>
  <c r="C7" i="108"/>
  <c r="C9" i="108"/>
  <c r="C6" i="108"/>
  <c r="C4" i="108"/>
  <c r="C5" i="108"/>
  <c r="C8" i="108"/>
  <c r="C11" i="108"/>
  <c r="C10" i="108"/>
  <c r="J1526" i="1"/>
  <c r="H1526" i="1"/>
  <c r="P1526" i="1" s="1"/>
  <c r="C1526" i="1" s="1"/>
  <c r="J1527" i="1"/>
  <c r="H1527" i="1"/>
  <c r="P1527" i="1" s="1"/>
  <c r="C1527" i="1" s="1"/>
  <c r="J1499" i="1"/>
  <c r="H1499" i="1"/>
  <c r="P1499" i="1" s="1"/>
  <c r="C1499" i="1" s="1"/>
  <c r="D1491" i="1"/>
  <c r="C1491" i="1" s="1"/>
  <c r="D18" i="113"/>
  <c r="C234" i="115" s="1"/>
  <c r="D234" i="115"/>
  <c r="P2056" i="1"/>
  <c r="C2056" i="1" s="1"/>
  <c r="H2139" i="1"/>
  <c r="P2139" i="1" s="1"/>
  <c r="C2139" i="1" s="1"/>
  <c r="J1528" i="1"/>
  <c r="H1528" i="1"/>
  <c r="P1528" i="1" s="1"/>
  <c r="C1528" i="1" s="1"/>
  <c r="I896" i="23"/>
  <c r="I14" i="97" s="1"/>
  <c r="I901" i="23"/>
  <c r="I61" i="97" s="1"/>
  <c r="I888" i="23"/>
  <c r="I67" i="97" s="1"/>
  <c r="I867" i="23"/>
  <c r="I92" i="97" s="1"/>
  <c r="I878" i="23"/>
  <c r="I129" i="97" s="1"/>
  <c r="A903" i="23"/>
  <c r="A893" i="23"/>
  <c r="A825" i="23"/>
  <c r="I873" i="23"/>
  <c r="I145" i="97" s="1"/>
  <c r="A891" i="23"/>
  <c r="A892" i="23" s="1"/>
  <c r="A859" i="23"/>
  <c r="A860" i="23" s="1"/>
  <c r="A824" i="23"/>
  <c r="I884" i="23"/>
  <c r="I103" i="97" s="1"/>
  <c r="I886" i="23"/>
  <c r="I52" i="97" s="1"/>
  <c r="I915" i="23"/>
  <c r="I49" i="97" s="1"/>
  <c r="I879" i="23"/>
  <c r="I59" i="97" s="1"/>
  <c r="A905" i="23"/>
  <c r="I858" i="23"/>
  <c r="I167" i="97" s="1"/>
  <c r="I880" i="23"/>
  <c r="I46" i="97" s="1"/>
  <c r="A881" i="23"/>
  <c r="A882" i="23" s="1"/>
  <c r="A887" i="23"/>
  <c r="A837" i="23"/>
  <c r="A895" i="23"/>
  <c r="A874" i="23"/>
  <c r="I854" i="23"/>
  <c r="I51" i="97" s="1"/>
  <c r="A861" i="23"/>
  <c r="I866" i="23"/>
  <c r="I113" i="97" s="1"/>
  <c r="D247" i="115"/>
  <c r="I830" i="23"/>
  <c r="I147" i="97" s="1"/>
  <c r="D825" i="23"/>
  <c r="D6" i="97" s="1"/>
  <c r="A835" i="23"/>
  <c r="A876" i="23"/>
  <c r="A877" i="23" s="1"/>
  <c r="I890" i="23"/>
  <c r="I157" i="97" s="1"/>
  <c r="A907" i="23"/>
  <c r="A872" i="23"/>
  <c r="D1906" i="23"/>
  <c r="D1907" i="23" s="1"/>
  <c r="D1908" i="23" s="1"/>
  <c r="D1909" i="23" s="1"/>
  <c r="I902" i="23"/>
  <c r="I855" i="23"/>
  <c r="I23" i="97" s="1"/>
  <c r="A853" i="23"/>
  <c r="I857" i="23"/>
  <c r="I37" i="97" s="1"/>
  <c r="I913" i="23"/>
  <c r="I98" i="97" s="1"/>
  <c r="H916" i="23"/>
  <c r="A852" i="23"/>
  <c r="A850" i="23"/>
  <c r="A851" i="23" s="1"/>
  <c r="A836" i="23"/>
  <c r="D2044" i="1"/>
  <c r="H2044" i="1" s="1"/>
  <c r="P2044" i="1" s="1"/>
  <c r="C2044" i="1" s="1"/>
  <c r="G127" i="31"/>
  <c r="E128" i="31"/>
  <c r="G128" i="31" s="1"/>
  <c r="C1796" i="1"/>
  <c r="C79" i="97" s="1"/>
  <c r="C780" i="1"/>
  <c r="D237" i="115"/>
  <c r="H1923" i="1"/>
  <c r="H162" i="97" s="1"/>
  <c r="C1799" i="1"/>
  <c r="C1798" i="1"/>
  <c r="C1800" i="1"/>
  <c r="D1929" i="1"/>
  <c r="D158" i="97" s="1"/>
  <c r="C241" i="115"/>
  <c r="P1819" i="1"/>
  <c r="I87" i="97" s="1"/>
  <c r="C1795" i="1"/>
  <c r="C8" i="97" s="1"/>
  <c r="C783" i="1"/>
  <c r="C779" i="1"/>
  <c r="C782" i="1"/>
  <c r="C781" i="1"/>
  <c r="C2271" i="1"/>
  <c r="C66" i="97" s="1"/>
  <c r="C1784" i="1"/>
  <c r="C54" i="97" s="1"/>
  <c r="D43" i="115"/>
  <c r="D89" i="115"/>
  <c r="C784" i="1"/>
  <c r="H1941" i="1"/>
  <c r="H163" i="97" s="1"/>
  <c r="C1783" i="1"/>
  <c r="C102" i="97" s="1"/>
  <c r="H2102" i="23"/>
  <c r="I898" i="23"/>
  <c r="I935" i="23"/>
  <c r="I50" i="97" s="1"/>
  <c r="I937" i="23"/>
  <c r="I156" i="97" s="1"/>
  <c r="I918" i="23"/>
  <c r="I47" i="97" s="1"/>
  <c r="H875" i="23"/>
  <c r="H142" i="97" s="1"/>
  <c r="I899" i="23"/>
  <c r="I76" i="97" s="1"/>
  <c r="H1341" i="23"/>
  <c r="H704" i="23"/>
  <c r="I863" i="23"/>
  <c r="I81" i="97" s="1"/>
  <c r="H2387" i="23"/>
  <c r="I917" i="23"/>
  <c r="I155" i="97" s="1"/>
  <c r="H1932" i="23"/>
  <c r="H2027" i="1"/>
  <c r="H2026" i="1"/>
  <c r="P2026" i="1" s="1"/>
  <c r="H2028" i="1"/>
  <c r="C1769" i="1"/>
  <c r="C150" i="97" s="1"/>
  <c r="P1771" i="1"/>
  <c r="I28" i="97" s="1"/>
  <c r="P1770" i="1"/>
  <c r="I116" i="97" s="1"/>
  <c r="P1957" i="1"/>
  <c r="C1957" i="1" s="1"/>
  <c r="B220" i="42"/>
  <c r="I883" i="23"/>
  <c r="I16" i="97" s="1"/>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D188" i="97"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33" i="1"/>
  <c r="P2041" i="1"/>
  <c r="C1959" i="1"/>
  <c r="C1975" i="1"/>
  <c r="P2037" i="1"/>
  <c r="P2036" i="1"/>
  <c r="C1960" i="1"/>
  <c r="C1974" i="1"/>
  <c r="J8" i="107"/>
  <c r="D44" i="115"/>
  <c r="C1978" i="1"/>
  <c r="C1980" i="1"/>
  <c r="P1956" i="1"/>
  <c r="D726" i="23"/>
  <c r="D728" i="23" s="1"/>
  <c r="D730" i="23" s="1"/>
  <c r="D315" i="23"/>
  <c r="H2047" i="1"/>
  <c r="P2047" i="1" s="1"/>
  <c r="C2047" i="1" s="1"/>
  <c r="C746" i="1"/>
  <c r="H1749" i="1"/>
  <c r="H146" i="97" s="1"/>
  <c r="P1088" i="1"/>
  <c r="P1089" i="1"/>
  <c r="C1087" i="1"/>
  <c r="P1091" i="1"/>
  <c r="P1090" i="1"/>
  <c r="P1092" i="1"/>
  <c r="P1093" i="1"/>
  <c r="H1996" i="1"/>
  <c r="E119" i="33"/>
  <c r="G119" i="33" s="1"/>
  <c r="A362" i="23"/>
  <c r="A359" i="23"/>
  <c r="I323" i="23"/>
  <c r="P860" i="1"/>
  <c r="I33" i="97" s="1"/>
  <c r="P856" i="1"/>
  <c r="I120" i="97" s="1"/>
  <c r="P858" i="1"/>
  <c r="P859" i="1"/>
  <c r="I43" i="97" s="1"/>
  <c r="P857" i="1"/>
  <c r="I41" i="97" s="1"/>
  <c r="C854" i="1"/>
  <c r="C182" i="97" s="1"/>
  <c r="P855" i="1"/>
  <c r="I124" i="97" s="1"/>
  <c r="P861" i="1"/>
  <c r="I165" i="97" s="1"/>
  <c r="I335" i="23"/>
  <c r="C244" i="1"/>
  <c r="C168" i="97" s="1"/>
  <c r="P245" i="1"/>
  <c r="I200" i="97" s="1"/>
  <c r="P246" i="1"/>
  <c r="I170" i="97" s="1"/>
  <c r="C1158" i="1"/>
  <c r="P1160" i="1"/>
  <c r="P1164" i="1"/>
  <c r="P1161" i="1"/>
  <c r="P1159" i="1"/>
  <c r="P1163" i="1"/>
  <c r="P1166" i="1"/>
  <c r="P1165" i="1"/>
  <c r="P997" i="1"/>
  <c r="C997" i="1" s="1"/>
  <c r="P999" i="1"/>
  <c r="C999" i="1" s="1"/>
  <c r="P1000" i="1"/>
  <c r="C1000" i="1" s="1"/>
  <c r="P996" i="1"/>
  <c r="C996" i="1" s="1"/>
  <c r="P998" i="1"/>
  <c r="C998" i="1" s="1"/>
  <c r="C995" i="1"/>
  <c r="A351" i="23"/>
  <c r="P1101" i="1"/>
  <c r="I166" i="97" s="1"/>
  <c r="P1097" i="1"/>
  <c r="I72" i="97" s="1"/>
  <c r="P1099" i="1"/>
  <c r="I24" i="97" s="1"/>
  <c r="P1100" i="1"/>
  <c r="I36" i="97" s="1"/>
  <c r="P1095" i="1"/>
  <c r="I70" i="97" s="1"/>
  <c r="C1094" i="1"/>
  <c r="C183" i="97" s="1"/>
  <c r="P617" i="1"/>
  <c r="C617" i="1" s="1"/>
  <c r="P613" i="1"/>
  <c r="P614" i="1"/>
  <c r="C612" i="1"/>
  <c r="P619" i="1"/>
  <c r="P615" i="1"/>
  <c r="P618" i="1"/>
  <c r="P1993" i="1"/>
  <c r="L1993" i="1"/>
  <c r="A363" i="23"/>
  <c r="A360" i="23"/>
  <c r="A364" i="23"/>
  <c r="C2040" i="1"/>
  <c r="E33" i="108"/>
  <c r="P831" i="1"/>
  <c r="C829" i="1"/>
  <c r="P834" i="1"/>
  <c r="P836" i="1"/>
  <c r="P830" i="1"/>
  <c r="P835" i="1"/>
  <c r="A333" i="23"/>
  <c r="A334" i="23" s="1"/>
  <c r="C1402" i="1"/>
  <c r="P1405" i="1"/>
  <c r="P1404" i="1"/>
  <c r="P1403" i="1"/>
  <c r="P1406" i="1"/>
  <c r="C1992" i="1"/>
  <c r="C2022" i="1"/>
  <c r="C705" i="1"/>
  <c r="P706" i="1"/>
  <c r="C706" i="1" s="1"/>
  <c r="P708" i="1"/>
  <c r="C708" i="1" s="1"/>
  <c r="P707" i="1"/>
  <c r="C707" i="1" s="1"/>
  <c r="P1414" i="1"/>
  <c r="I172" i="97" s="1"/>
  <c r="D63" i="115"/>
  <c r="C1410" i="1"/>
  <c r="C174" i="97" s="1"/>
  <c r="P1411" i="1"/>
  <c r="I127" i="97" s="1"/>
  <c r="P1412" i="1"/>
  <c r="I111" i="97" s="1"/>
  <c r="P1413" i="1"/>
  <c r="I201" i="97" s="1"/>
  <c r="D276" i="23"/>
  <c r="H1546" i="1"/>
  <c r="P1546" i="1" s="1"/>
  <c r="C1546" i="1" s="1"/>
  <c r="J1546" i="1"/>
  <c r="H1516" i="1"/>
  <c r="P1516" i="1" s="1"/>
  <c r="C1516" i="1" s="1"/>
  <c r="J1516" i="1"/>
  <c r="P965" i="1"/>
  <c r="C965" i="1" s="1"/>
  <c r="P969" i="1"/>
  <c r="C969" i="1" s="1"/>
  <c r="P966" i="1"/>
  <c r="C966" i="1" s="1"/>
  <c r="C962" i="1"/>
  <c r="P964" i="1"/>
  <c r="C964" i="1" s="1"/>
  <c r="P968" i="1"/>
  <c r="C968" i="1" s="1"/>
  <c r="P967" i="1"/>
  <c r="C967" i="1" s="1"/>
  <c r="P963" i="1"/>
  <c r="C963" i="1" s="1"/>
  <c r="A357" i="23"/>
  <c r="H158" i="1"/>
  <c r="C157" i="1"/>
  <c r="I325" i="23"/>
  <c r="H1545" i="1"/>
  <c r="P1545" i="1" s="1"/>
  <c r="C1545" i="1" s="1"/>
  <c r="J1545" i="1"/>
  <c r="P1108" i="1"/>
  <c r="C1108" i="1" s="1"/>
  <c r="P1107" i="1"/>
  <c r="C1107" i="1" s="1"/>
  <c r="P1106" i="1"/>
  <c r="C1106" i="1" s="1"/>
  <c r="P1109" i="1"/>
  <c r="C1109" i="1" s="1"/>
  <c r="P1103" i="1"/>
  <c r="C1103" i="1" s="1"/>
  <c r="C1102" i="1"/>
  <c r="P1104" i="1"/>
  <c r="C1104" i="1" s="1"/>
  <c r="P1105" i="1"/>
  <c r="C1105" i="1" s="1"/>
  <c r="C1966" i="1"/>
  <c r="A354" i="23"/>
  <c r="C953" i="1"/>
  <c r="P956" i="1"/>
  <c r="C956" i="1" s="1"/>
  <c r="P955" i="1"/>
  <c r="C955" i="1" s="1"/>
  <c r="P957" i="1"/>
  <c r="C957" i="1" s="1"/>
  <c r="P958" i="1"/>
  <c r="C958" i="1" s="1"/>
  <c r="P954" i="1"/>
  <c r="C954" i="1" s="1"/>
  <c r="I328" i="23"/>
  <c r="I336" i="23"/>
  <c r="H721" i="1"/>
  <c r="C720" i="1"/>
  <c r="B172" i="31"/>
  <c r="G172" i="31"/>
  <c r="H1547" i="1"/>
  <c r="P1547" i="1" s="1"/>
  <c r="C1547" i="1" s="1"/>
  <c r="J1547" i="1"/>
  <c r="P799" i="1"/>
  <c r="I123" i="97" s="1"/>
  <c r="P802" i="1"/>
  <c r="I25" i="97" s="1"/>
  <c r="C798" i="1"/>
  <c r="C181" i="97" s="1"/>
  <c r="P801" i="1"/>
  <c r="C801" i="1" s="1"/>
  <c r="P803" i="1"/>
  <c r="I31" i="97" s="1"/>
  <c r="P805" i="1"/>
  <c r="I164" i="97" s="1"/>
  <c r="P800" i="1"/>
  <c r="I119" i="97" s="1"/>
  <c r="P804" i="1"/>
  <c r="I39" i="97" s="1"/>
  <c r="I326" i="23"/>
  <c r="H342" i="23"/>
  <c r="H343" i="23"/>
  <c r="I339" i="23"/>
  <c r="C1969" i="1"/>
  <c r="C1814" i="1"/>
  <c r="C139" i="97" s="1"/>
  <c r="P1816" i="1"/>
  <c r="I110" i="97" s="1"/>
  <c r="P1815" i="1"/>
  <c r="I9" i="97" s="1"/>
  <c r="A358" i="23"/>
  <c r="A353" i="23"/>
  <c r="H647" i="1"/>
  <c r="C646" i="1"/>
  <c r="C2035" i="1"/>
  <c r="P1968" i="1"/>
  <c r="C1967"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67" i="1"/>
  <c r="C567" i="1" s="1"/>
  <c r="P571" i="1"/>
  <c r="C571" i="1" s="1"/>
  <c r="P570" i="1"/>
  <c r="C570" i="1" s="1"/>
  <c r="P568" i="1"/>
  <c r="C568" i="1" s="1"/>
  <c r="C566" i="1"/>
  <c r="P65" i="1"/>
  <c r="C65" i="1" s="1"/>
  <c r="P64" i="1"/>
  <c r="C64" i="1" s="1"/>
  <c r="C63" i="1"/>
  <c r="C622" i="1"/>
  <c r="C177" i="97" s="1"/>
  <c r="P625" i="1"/>
  <c r="P624" i="1"/>
  <c r="P623" i="1"/>
  <c r="I153" i="97"/>
  <c r="I148" i="97"/>
  <c r="I144" i="97"/>
  <c r="P589" i="1"/>
  <c r="C589" i="1" s="1"/>
  <c r="P588" i="1"/>
  <c r="C588" i="1" s="1"/>
  <c r="C584" i="1"/>
  <c r="C248" i="1"/>
  <c r="P250" i="1"/>
  <c r="C250" i="1" s="1"/>
  <c r="P252" i="1"/>
  <c r="C252" i="1" s="1"/>
  <c r="P249" i="1"/>
  <c r="C249" i="1" s="1"/>
  <c r="P251" i="1"/>
  <c r="C251" i="1" s="1"/>
  <c r="C356" i="1"/>
  <c r="C169" i="97" s="1"/>
  <c r="P369" i="1"/>
  <c r="P365" i="1"/>
  <c r="I198" i="97" s="1"/>
  <c r="P358" i="1"/>
  <c r="I135" i="97" s="1"/>
  <c r="P367" i="1"/>
  <c r="P373" i="1"/>
  <c r="C373" i="1" s="1"/>
  <c r="P368" i="1"/>
  <c r="P366" i="1"/>
  <c r="P374" i="1"/>
  <c r="C374" i="1" s="1"/>
  <c r="P362" i="1"/>
  <c r="I131" i="97" s="1"/>
  <c r="P364" i="1"/>
  <c r="P357" i="1"/>
  <c r="I134" i="97" s="1"/>
  <c r="P372" i="1"/>
  <c r="C372" i="1" s="1"/>
  <c r="P359" i="1"/>
  <c r="I136" i="97" s="1"/>
  <c r="P371" i="1"/>
  <c r="C371" i="1" s="1"/>
  <c r="P375" i="1"/>
  <c r="I143" i="97" s="1"/>
  <c r="P370" i="1"/>
  <c r="C2310" i="1"/>
  <c r="A361" i="23"/>
  <c r="A350" i="23"/>
  <c r="B182" i="31"/>
  <c r="G182" i="31"/>
  <c r="P1174" i="1"/>
  <c r="I125" i="97" s="1"/>
  <c r="P1179" i="1"/>
  <c r="I130" i="97" s="1"/>
  <c r="P1177" i="1"/>
  <c r="I21" i="97" s="1"/>
  <c r="F14" i="108"/>
  <c r="P1178" i="1"/>
  <c r="I69" i="97" s="1"/>
  <c r="P1173" i="1"/>
  <c r="I53" i="97" s="1"/>
  <c r="P1180" i="1"/>
  <c r="I109" i="97" s="1"/>
  <c r="P1175" i="1"/>
  <c r="I89" i="97" s="1"/>
  <c r="P1181" i="1"/>
  <c r="I159" i="97" s="1"/>
  <c r="C1172" i="1"/>
  <c r="C140" i="97" s="1"/>
  <c r="P1995" i="1"/>
  <c r="L1995" i="1"/>
  <c r="A315" i="23"/>
  <c r="A316" i="23" s="1"/>
  <c r="P713" i="1"/>
  <c r="C713" i="1" s="1"/>
  <c r="C712" i="1"/>
  <c r="P715" i="1"/>
  <c r="C715" i="1" s="1"/>
  <c r="P714" i="1"/>
  <c r="C714" i="1" s="1"/>
  <c r="I338" i="23"/>
  <c r="C747" i="1"/>
  <c r="P754" i="1"/>
  <c r="C754" i="1" s="1"/>
  <c r="C752" i="1"/>
  <c r="C137" i="97" s="1"/>
  <c r="P755" i="1"/>
  <c r="P753" i="1"/>
  <c r="H1994" i="1"/>
  <c r="E117" i="33"/>
  <c r="G117" i="33" s="1"/>
  <c r="A365" i="23"/>
  <c r="A352" i="23"/>
  <c r="I19" i="97" l="1"/>
  <c r="K19" i="113"/>
  <c r="I80" i="97"/>
  <c r="K20" i="113"/>
  <c r="I93" i="97"/>
  <c r="K21" i="113"/>
  <c r="K22" i="113"/>
  <c r="G22" i="113" s="1"/>
  <c r="I112" i="97"/>
  <c r="C367" i="1"/>
  <c r="C38" i="97" s="1"/>
  <c r="I38" i="97"/>
  <c r="C755" i="1"/>
  <c r="C138" i="97" s="1"/>
  <c r="I138" i="97"/>
  <c r="C366" i="1"/>
  <c r="C171" i="97" s="1"/>
  <c r="I171" i="97"/>
  <c r="C858" i="1"/>
  <c r="C44" i="97" s="1"/>
  <c r="I44" i="97"/>
  <c r="C360" i="1"/>
  <c r="C86" i="97" s="1"/>
  <c r="I86" i="97"/>
  <c r="C370" i="1"/>
  <c r="C199" i="97" s="1"/>
  <c r="I199" i="97"/>
  <c r="C364" i="1"/>
  <c r="C133" i="97" s="1"/>
  <c r="I133" i="97"/>
  <c r="C368" i="1"/>
  <c r="C42" i="97" s="1"/>
  <c r="I42" i="97"/>
  <c r="C369" i="1"/>
  <c r="C45" i="97" s="1"/>
  <c r="I45" i="97"/>
  <c r="C753" i="1"/>
  <c r="C3" i="97" s="1"/>
  <c r="I3" i="97"/>
  <c r="C1098" i="1"/>
  <c r="C22" i="97" s="1"/>
  <c r="I22" i="97"/>
  <c r="C363" i="1"/>
  <c r="C132" i="97" s="1"/>
  <c r="I132" i="97"/>
  <c r="C1162" i="1"/>
  <c r="I916" i="23"/>
  <c r="I160" i="97" s="1"/>
  <c r="H160" i="97"/>
  <c r="I885" i="23"/>
  <c r="H101" i="97"/>
  <c r="C640" i="1"/>
  <c r="C881" i="1"/>
  <c r="C871" i="1"/>
  <c r="C884" i="1"/>
  <c r="C1100" i="1"/>
  <c r="C36" i="97" s="1"/>
  <c r="C873" i="1"/>
  <c r="C869" i="1"/>
  <c r="C1099" i="1"/>
  <c r="C24" i="97" s="1"/>
  <c r="C882" i="1"/>
  <c r="C872" i="1"/>
  <c r="C1095" i="1"/>
  <c r="C70" i="97" s="1"/>
  <c r="C1097" i="1"/>
  <c r="C72" i="97" s="1"/>
  <c r="C883" i="1"/>
  <c r="C879" i="1"/>
  <c r="C868" i="1"/>
  <c r="C880" i="1"/>
  <c r="C1101" i="1"/>
  <c r="C166" i="97" s="1"/>
  <c r="P1903" i="1"/>
  <c r="C870" i="1"/>
  <c r="G36" i="113"/>
  <c r="D333" i="23"/>
  <c r="A322" i="23"/>
  <c r="A345" i="23"/>
  <c r="I337" i="23"/>
  <c r="A6" i="78"/>
  <c r="A1643" i="23"/>
  <c r="A1614" i="23"/>
  <c r="I1627" i="23"/>
  <c r="I1647" i="23"/>
  <c r="A1647" i="23" s="1"/>
  <c r="D1449" i="23"/>
  <c r="I1628" i="23"/>
  <c r="I1606" i="23"/>
  <c r="A1606" i="23" s="1"/>
  <c r="D1497" i="23"/>
  <c r="A1604" i="23"/>
  <c r="A1626" i="23"/>
  <c r="A1624" i="23"/>
  <c r="A1625" i="23"/>
  <c r="A1639" i="23"/>
  <c r="A77" i="78"/>
  <c r="C77" i="78" s="1"/>
  <c r="A85" i="78"/>
  <c r="C85" i="78" s="1"/>
  <c r="A93" i="78"/>
  <c r="C93" i="78" s="1"/>
  <c r="A101" i="78"/>
  <c r="A109" i="78"/>
  <c r="A117" i="78"/>
  <c r="A125" i="78"/>
  <c r="A78" i="78"/>
  <c r="C78" i="78" s="1"/>
  <c r="A86" i="78"/>
  <c r="C86" i="78" s="1"/>
  <c r="A94" i="78"/>
  <c r="A102" i="78"/>
  <c r="A110" i="78"/>
  <c r="A118" i="78"/>
  <c r="A126" i="78"/>
  <c r="A79" i="78"/>
  <c r="C79" i="78" s="1"/>
  <c r="A87" i="78"/>
  <c r="C87" i="78" s="1"/>
  <c r="A95" i="78"/>
  <c r="A103" i="78"/>
  <c r="A111" i="78"/>
  <c r="A119" i="78"/>
  <c r="A127" i="78"/>
  <c r="A80" i="78"/>
  <c r="C80" i="78" s="1"/>
  <c r="A88" i="78"/>
  <c r="C88" i="78" s="1"/>
  <c r="A96" i="78"/>
  <c r="A104" i="78"/>
  <c r="A112" i="78"/>
  <c r="A120" i="78"/>
  <c r="A81" i="78"/>
  <c r="C81" i="78" s="1"/>
  <c r="A89" i="78"/>
  <c r="C89" i="78" s="1"/>
  <c r="A97" i="78"/>
  <c r="A105" i="78"/>
  <c r="A113" i="78"/>
  <c r="A121" i="78"/>
  <c r="A82" i="78"/>
  <c r="C82" i="78" s="1"/>
  <c r="A90" i="78"/>
  <c r="C90" i="78" s="1"/>
  <c r="A98" i="78"/>
  <c r="A106" i="78"/>
  <c r="A114" i="78"/>
  <c r="A122" i="78"/>
  <c r="A83" i="78"/>
  <c r="C83" i="78" s="1"/>
  <c r="A91" i="78"/>
  <c r="C91" i="78" s="1"/>
  <c r="A99" i="78"/>
  <c r="A107" i="78"/>
  <c r="A115" i="78"/>
  <c r="A123" i="78"/>
  <c r="A84" i="78"/>
  <c r="C84" i="78" s="1"/>
  <c r="A92" i="78"/>
  <c r="C92" i="78" s="1"/>
  <c r="A100" i="78"/>
  <c r="A108" i="78"/>
  <c r="A116" i="78"/>
  <c r="A124" i="78"/>
  <c r="A7" i="78"/>
  <c r="B3" i="111" s="1"/>
  <c r="D3" i="111" s="1"/>
  <c r="A8" i="78"/>
  <c r="B4" i="111" s="1"/>
  <c r="D4" i="111" s="1"/>
  <c r="D102" i="115"/>
  <c r="C102" i="115" s="1"/>
  <c r="I12" i="108"/>
  <c r="C12" i="108" s="1"/>
  <c r="C933" i="1"/>
  <c r="C121" i="97" s="1"/>
  <c r="C946" i="1"/>
  <c r="C32" i="97" s="1"/>
  <c r="C937" i="1"/>
  <c r="C34" i="97" s="1"/>
  <c r="C836" i="1"/>
  <c r="C934" i="1"/>
  <c r="C117" i="97" s="1"/>
  <c r="C629" i="1"/>
  <c r="C153" i="97" s="1"/>
  <c r="C834" i="1"/>
  <c r="C857" i="1"/>
  <c r="C41" i="97" s="1"/>
  <c r="C835" i="1"/>
  <c r="P1831" i="1"/>
  <c r="I185" i="97" s="1"/>
  <c r="C624" i="1"/>
  <c r="C80" i="97" s="1"/>
  <c r="C859" i="1"/>
  <c r="C43" i="97" s="1"/>
  <c r="C943" i="1"/>
  <c r="C122" i="97" s="1"/>
  <c r="C860" i="1"/>
  <c r="C33" i="97" s="1"/>
  <c r="C630" i="1"/>
  <c r="C144" i="97" s="1"/>
  <c r="C830" i="1"/>
  <c r="C831" i="1"/>
  <c r="C947" i="1"/>
  <c r="C27" i="97" s="1"/>
  <c r="C861" i="1"/>
  <c r="C165" i="97" s="1"/>
  <c r="C855" i="1"/>
  <c r="C124" i="97" s="1"/>
  <c r="C856" i="1"/>
  <c r="C120" i="97" s="1"/>
  <c r="C944" i="1"/>
  <c r="C118" i="97" s="1"/>
  <c r="C936" i="1"/>
  <c r="C26" i="97" s="1"/>
  <c r="C948" i="1"/>
  <c r="C35" i="97" s="1"/>
  <c r="B228" i="42"/>
  <c r="B221" i="42"/>
  <c r="B229" i="42" s="1"/>
  <c r="C1995" i="1"/>
  <c r="A190" i="23"/>
  <c r="A16" i="78"/>
  <c r="B12" i="111" s="1"/>
  <c r="D12" i="111" s="1"/>
  <c r="A21" i="78"/>
  <c r="A33" i="78"/>
  <c r="C33" i="78" s="1"/>
  <c r="A9" i="78"/>
  <c r="B5" i="111" s="1"/>
  <c r="D5" i="111" s="1"/>
  <c r="A28" i="78"/>
  <c r="A11" i="78"/>
  <c r="B7" i="111" s="1"/>
  <c r="D7" i="111" s="1"/>
  <c r="A22" i="78"/>
  <c r="B18" i="111" s="1"/>
  <c r="D18" i="111" s="1"/>
  <c r="A29" i="78"/>
  <c r="A23" i="78"/>
  <c r="A15" i="78"/>
  <c r="A64" i="78"/>
  <c r="A27" i="78"/>
  <c r="A38" i="78"/>
  <c r="A13" i="78"/>
  <c r="B9" i="111" s="1"/>
  <c r="D9" i="111" s="1"/>
  <c r="A30" i="78"/>
  <c r="A26" i="78"/>
  <c r="A74" i="78"/>
  <c r="A40" i="78"/>
  <c r="C40" i="78" s="1"/>
  <c r="A17" i="78"/>
  <c r="B13" i="111" s="1"/>
  <c r="D13" i="111" s="1"/>
  <c r="A31" i="78"/>
  <c r="A20" i="78"/>
  <c r="A67" i="78"/>
  <c r="A10" i="78"/>
  <c r="B6" i="111" s="1"/>
  <c r="D6" i="111" s="1"/>
  <c r="A32" i="78"/>
  <c r="C32" i="78" s="1"/>
  <c r="A59" i="78"/>
  <c r="A49" i="78"/>
  <c r="C49" i="78" s="1"/>
  <c r="A24" i="78"/>
  <c r="B20" i="111" s="1"/>
  <c r="D20" i="111" s="1"/>
  <c r="A53" i="78"/>
  <c r="A45" i="78"/>
  <c r="A19" i="78"/>
  <c r="B15" i="111" s="1"/>
  <c r="D15" i="111" s="1"/>
  <c r="A25" i="78"/>
  <c r="A52" i="78"/>
  <c r="A71" i="78"/>
  <c r="A14" i="78"/>
  <c r="A12" i="78"/>
  <c r="B8" i="111" s="1"/>
  <c r="D8" i="111" s="1"/>
  <c r="A18" i="78"/>
  <c r="B14" i="111" s="1"/>
  <c r="D14" i="111" s="1"/>
  <c r="A47" i="78"/>
  <c r="A70" i="78"/>
  <c r="A35" i="78"/>
  <c r="A50" i="78"/>
  <c r="A36" i="78"/>
  <c r="C36" i="78" s="1"/>
  <c r="A41" i="78"/>
  <c r="A39" i="78"/>
  <c r="C39" i="78" s="1"/>
  <c r="A62" i="78"/>
  <c r="C62" i="78" s="1"/>
  <c r="A42" i="78"/>
  <c r="A73" i="78"/>
  <c r="C73" i="78" s="1"/>
  <c r="A54" i="78"/>
  <c r="A69" i="78"/>
  <c r="A34" i="78"/>
  <c r="A65" i="78"/>
  <c r="C65" i="78" s="1"/>
  <c r="A46" i="78"/>
  <c r="A61" i="78"/>
  <c r="A75" i="78"/>
  <c r="C75" i="78" s="1"/>
  <c r="A57" i="78"/>
  <c r="A72" i="78"/>
  <c r="C72" i="78" s="1"/>
  <c r="A56" i="78"/>
  <c r="A63" i="78"/>
  <c r="A68" i="78"/>
  <c r="C68" i="78" s="1"/>
  <c r="A37" i="78"/>
  <c r="A51" i="78"/>
  <c r="A66" i="78"/>
  <c r="C66" i="78" s="1"/>
  <c r="A76" i="78"/>
  <c r="C76" i="78" s="1"/>
  <c r="A48" i="78"/>
  <c r="A55" i="78"/>
  <c r="A44" i="78"/>
  <c r="A43" i="78"/>
  <c r="A58" i="78"/>
  <c r="A60" i="78"/>
  <c r="D154" i="23"/>
  <c r="D109" i="23"/>
  <c r="H1641" i="23"/>
  <c r="I1640" i="23"/>
  <c r="I164" i="23"/>
  <c r="A156" i="23"/>
  <c r="A167" i="23"/>
  <c r="C1757" i="1"/>
  <c r="C17" i="97" s="1"/>
  <c r="C237" i="115"/>
  <c r="C235" i="115"/>
  <c r="D235" i="115"/>
  <c r="C248" i="115"/>
  <c r="D248" i="115"/>
  <c r="D31" i="115"/>
  <c r="I914" i="23"/>
  <c r="I96" i="97" s="1"/>
  <c r="A898" i="23"/>
  <c r="A855" i="23"/>
  <c r="A886" i="23"/>
  <c r="D859" i="23"/>
  <c r="D190" i="97" s="1"/>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I142" i="97" s="1"/>
  <c r="A916" i="23"/>
  <c r="D826" i="23"/>
  <c r="D7" i="97" s="1"/>
  <c r="A858" i="23"/>
  <c r="A867" i="23"/>
  <c r="G34" i="113"/>
  <c r="G20" i="113"/>
  <c r="P1923" i="1"/>
  <c r="I162" i="97" s="1"/>
  <c r="C355" i="1"/>
  <c r="C1815" i="1"/>
  <c r="C9" i="97" s="1"/>
  <c r="C805" i="1"/>
  <c r="C164" i="97" s="1"/>
  <c r="C802" i="1"/>
  <c r="C25" i="97" s="1"/>
  <c r="P1941" i="1"/>
  <c r="I163" i="97" s="1"/>
  <c r="C1816" i="1"/>
  <c r="C110" i="97" s="1"/>
  <c r="C803" i="1"/>
  <c r="C31" i="97" s="1"/>
  <c r="C799" i="1"/>
  <c r="C123" i="97" s="1"/>
  <c r="C1770" i="1"/>
  <c r="C116" i="97" s="1"/>
  <c r="C1756" i="1"/>
  <c r="C20" i="97" s="1"/>
  <c r="C346" i="1"/>
  <c r="C341" i="1"/>
  <c r="C804" i="1"/>
  <c r="C39" i="97" s="1"/>
  <c r="C1771" i="1"/>
  <c r="C28" i="97" s="1"/>
  <c r="C1819" i="1"/>
  <c r="C87" i="97" s="1"/>
  <c r="C623" i="1"/>
  <c r="C19" i="97" s="1"/>
  <c r="C340" i="1"/>
  <c r="C631" i="1"/>
  <c r="C148" i="97" s="1"/>
  <c r="C342" i="1"/>
  <c r="C800" i="1"/>
  <c r="C119" i="97" s="1"/>
  <c r="P1749" i="1"/>
  <c r="I146" i="97" s="1"/>
  <c r="J7" i="107"/>
  <c r="H1929" i="1"/>
  <c r="H158" i="97" s="1"/>
  <c r="I932" i="23"/>
  <c r="I99" i="97" s="1"/>
  <c r="P2027" i="1"/>
  <c r="P2028" i="1"/>
  <c r="C2028" i="1" s="1"/>
  <c r="C1934" i="1"/>
  <c r="C1933" i="1"/>
  <c r="A493" i="23"/>
  <c r="A495" i="23"/>
  <c r="D510" i="23"/>
  <c r="D461" i="23"/>
  <c r="D462" i="23" s="1"/>
  <c r="A492" i="23"/>
  <c r="C2033" i="1"/>
  <c r="C1956" i="1"/>
  <c r="C362" i="1"/>
  <c r="C131" i="97" s="1"/>
  <c r="C1405" i="1"/>
  <c r="C1161" i="1"/>
  <c r="C618" i="1"/>
  <c r="C1164" i="1"/>
  <c r="C2037" i="1"/>
  <c r="G21" i="113"/>
  <c r="C1160" i="1"/>
  <c r="D90" i="115"/>
  <c r="C619" i="1"/>
  <c r="C1165" i="1"/>
  <c r="C1406" i="1"/>
  <c r="C1166" i="1"/>
  <c r="C375" i="1"/>
  <c r="C143" i="97" s="1"/>
  <c r="C359" i="1"/>
  <c r="C136" i="97" s="1"/>
  <c r="C357" i="1"/>
  <c r="C134" i="97" s="1"/>
  <c r="C358" i="1"/>
  <c r="C135" i="97" s="1"/>
  <c r="C1403" i="1"/>
  <c r="C1163" i="1"/>
  <c r="C2041" i="1"/>
  <c r="C365" i="1"/>
  <c r="C198" i="97" s="1"/>
  <c r="C1404" i="1"/>
  <c r="C2026" i="1"/>
  <c r="G19" i="113"/>
  <c r="C1159" i="1"/>
  <c r="C2036" i="1"/>
  <c r="D339" i="23"/>
  <c r="B96" i="33"/>
  <c r="C1749" i="1"/>
  <c r="C146" i="97" s="1"/>
  <c r="A338" i="23"/>
  <c r="C1181" i="1"/>
  <c r="C159" i="97" s="1"/>
  <c r="C1174" i="1"/>
  <c r="C125" i="97" s="1"/>
  <c r="C1178" i="1"/>
  <c r="C69" i="97" s="1"/>
  <c r="C1968" i="1"/>
  <c r="C647" i="1"/>
  <c r="H648" i="1"/>
  <c r="C1090" i="1"/>
  <c r="C1179" i="1"/>
  <c r="C130" i="97" s="1"/>
  <c r="C158" i="1"/>
  <c r="C1092" i="1"/>
  <c r="D104" i="115"/>
  <c r="F33" i="108"/>
  <c r="C1177" i="1"/>
  <c r="C21" i="97" s="1"/>
  <c r="G33" i="113"/>
  <c r="A324" i="23"/>
  <c r="C721" i="1"/>
  <c r="H722" i="1"/>
  <c r="C722" i="1" s="1"/>
  <c r="C1413" i="1"/>
  <c r="C201" i="97" s="1"/>
  <c r="C614" i="1"/>
  <c r="C1091" i="1"/>
  <c r="I341" i="23"/>
  <c r="H347" i="23"/>
  <c r="A326" i="23"/>
  <c r="C1412" i="1"/>
  <c r="C111" i="97" s="1"/>
  <c r="C246" i="1"/>
  <c r="C170" i="97" s="1"/>
  <c r="A339" i="23"/>
  <c r="A340" i="23" s="1"/>
  <c r="A336" i="23"/>
  <c r="A325" i="23"/>
  <c r="C1411" i="1"/>
  <c r="C127" i="97" s="1"/>
  <c r="I14" i="108"/>
  <c r="C613" i="1"/>
  <c r="C245" i="1"/>
  <c r="C200" i="97" s="1"/>
  <c r="C1089" i="1"/>
  <c r="I343" i="23"/>
  <c r="P777" i="1"/>
  <c r="D277" i="23"/>
  <c r="P1996" i="1"/>
  <c r="L1996" i="1"/>
  <c r="C1088" i="1"/>
  <c r="A328" i="23"/>
  <c r="C1993" i="1"/>
  <c r="C1175" i="1"/>
  <c r="C89" i="97" s="1"/>
  <c r="P1994" i="1"/>
  <c r="L1994" i="1"/>
  <c r="C1180" i="1"/>
  <c r="C109" i="97" s="1"/>
  <c r="G27" i="113"/>
  <c r="C625" i="1"/>
  <c r="C93" i="97" s="1"/>
  <c r="I342" i="23"/>
  <c r="C1173" i="1"/>
  <c r="C53" i="97" s="1"/>
  <c r="C1414" i="1"/>
  <c r="C172" i="97" s="1"/>
  <c r="C615" i="1"/>
  <c r="A335" i="23"/>
  <c r="C1871" i="1"/>
  <c r="C104" i="97" s="1"/>
  <c r="C1925" i="1"/>
  <c r="C1910" i="1"/>
  <c r="C152" i="97" s="1"/>
  <c r="C1852" i="1"/>
  <c r="C1898" i="1"/>
  <c r="C1849" i="1"/>
  <c r="C94" i="97" s="1"/>
  <c r="A323" i="23"/>
  <c r="C1093" i="1"/>
  <c r="C15" i="78" l="1"/>
  <c r="B11" i="111"/>
  <c r="D11" i="111" s="1"/>
  <c r="C20" i="78"/>
  <c r="B16" i="111"/>
  <c r="D16" i="111" s="1"/>
  <c r="C23" i="78"/>
  <c r="B19" i="111"/>
  <c r="D19" i="111" s="1"/>
  <c r="C14" i="78"/>
  <c r="B11" i="79" s="1"/>
  <c r="G11" i="79" s="1"/>
  <c r="B10" i="111"/>
  <c r="D10" i="111" s="1"/>
  <c r="C21" i="78"/>
  <c r="B17" i="111"/>
  <c r="D17" i="111" s="1"/>
  <c r="C1903" i="1"/>
  <c r="C151" i="97" s="1"/>
  <c r="I151" i="97"/>
  <c r="A885" i="23"/>
  <c r="I101" i="97"/>
  <c r="E60" i="78"/>
  <c r="D57" i="79" s="1"/>
  <c r="C60" i="78"/>
  <c r="B57" i="117" s="1"/>
  <c r="C51" i="78"/>
  <c r="B48" i="79" s="1"/>
  <c r="G48" i="79" s="1"/>
  <c r="E61" i="78"/>
  <c r="D58" i="117" s="1"/>
  <c r="G58" i="117" s="1"/>
  <c r="C61" i="78"/>
  <c r="O61" i="78" s="1"/>
  <c r="E18" i="78"/>
  <c r="D15" i="79" s="1"/>
  <c r="C18" i="78"/>
  <c r="O18" i="78" s="1"/>
  <c r="E53" i="78"/>
  <c r="D50" i="79" s="1"/>
  <c r="C53" i="78"/>
  <c r="B50" i="79" s="1"/>
  <c r="G50" i="79" s="1"/>
  <c r="C31" i="78"/>
  <c r="O31" i="78" s="1"/>
  <c r="E27" i="78"/>
  <c r="D24" i="117" s="1"/>
  <c r="G24" i="117" s="1"/>
  <c r="C27" i="78"/>
  <c r="O27" i="78" s="1"/>
  <c r="E9" i="78"/>
  <c r="D6" i="117" s="1"/>
  <c r="G6" i="117" s="1"/>
  <c r="C9" i="78"/>
  <c r="O9" i="78" s="1"/>
  <c r="H118" i="26"/>
  <c r="I118" i="26"/>
  <c r="J118" i="26"/>
  <c r="K118" i="26"/>
  <c r="C105" i="78"/>
  <c r="O105" i="78" s="1"/>
  <c r="H121" i="26"/>
  <c r="I121" i="26"/>
  <c r="J121" i="26"/>
  <c r="K121" i="26"/>
  <c r="C58" i="78"/>
  <c r="B55" i="117" s="1"/>
  <c r="D37" i="78"/>
  <c r="C34" i="79" s="1"/>
  <c r="C37" i="78"/>
  <c r="O37" i="78" s="1"/>
  <c r="E46" i="78"/>
  <c r="D43" i="79" s="1"/>
  <c r="C46" i="78"/>
  <c r="B43" i="79" s="1"/>
  <c r="G43" i="79" s="1"/>
  <c r="C12" i="78"/>
  <c r="O12" i="78" s="1"/>
  <c r="D24" i="78"/>
  <c r="C24" i="78"/>
  <c r="O24" i="78" s="1"/>
  <c r="C17" i="78"/>
  <c r="O17" i="78" s="1"/>
  <c r="I60" i="26"/>
  <c r="C64" i="78"/>
  <c r="B61" i="117" s="1"/>
  <c r="H110" i="26"/>
  <c r="I110" i="26"/>
  <c r="J110" i="26"/>
  <c r="K110" i="26"/>
  <c r="C97" i="78"/>
  <c r="H122" i="26"/>
  <c r="I122" i="26"/>
  <c r="J122" i="26"/>
  <c r="K122" i="26"/>
  <c r="H113" i="26"/>
  <c r="I113" i="26"/>
  <c r="J113" i="26"/>
  <c r="K113" i="26"/>
  <c r="E41" i="78"/>
  <c r="D38" i="117" s="1"/>
  <c r="G38" i="117" s="1"/>
  <c r="C41" i="78"/>
  <c r="B38" i="117" s="1"/>
  <c r="C8" i="78"/>
  <c r="O8" i="78" s="1"/>
  <c r="H119" i="26"/>
  <c r="I119" i="26"/>
  <c r="J119" i="26"/>
  <c r="K119"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D31" i="79" s="1"/>
  <c r="C34" i="78"/>
  <c r="B31" i="79" s="1"/>
  <c r="G31" i="79" s="1"/>
  <c r="E71" i="78"/>
  <c r="D69" i="117" s="1"/>
  <c r="G69" i="117" s="1"/>
  <c r="C71" i="78"/>
  <c r="B68" i="79" s="1"/>
  <c r="G68" i="79" s="1"/>
  <c r="C59" i="78"/>
  <c r="B56" i="79" s="1"/>
  <c r="G56" i="79" s="1"/>
  <c r="J70" i="26"/>
  <c r="C74" i="78"/>
  <c r="B71" i="79" s="1"/>
  <c r="G71" i="79" s="1"/>
  <c r="E16" i="78"/>
  <c r="D13" i="79" s="1"/>
  <c r="C16" i="78"/>
  <c r="O16" i="78" s="1"/>
  <c r="D7" i="78"/>
  <c r="C7" i="78"/>
  <c r="B4" i="79" s="1"/>
  <c r="G4" i="79" s="1"/>
  <c r="H111" i="26"/>
  <c r="I111" i="26"/>
  <c r="J111" i="26"/>
  <c r="K111" i="26"/>
  <c r="C98" i="78"/>
  <c r="O98" i="78" s="1"/>
  <c r="H115" i="26"/>
  <c r="I115" i="26"/>
  <c r="J115" i="26"/>
  <c r="K115" i="26"/>
  <c r="H106" i="26"/>
  <c r="I106" i="26"/>
  <c r="J106" i="26"/>
  <c r="K106" i="26"/>
  <c r="C101" i="78"/>
  <c r="O101" i="78" s="1"/>
  <c r="D43" i="78"/>
  <c r="C40" i="117" s="1"/>
  <c r="C43" i="78"/>
  <c r="B40" i="79" s="1"/>
  <c r="G40" i="79" s="1"/>
  <c r="C55" i="78"/>
  <c r="B52" i="79" s="1"/>
  <c r="G52" i="79" s="1"/>
  <c r="C56" i="78"/>
  <c r="B53" i="79" s="1"/>
  <c r="G53" i="79" s="1"/>
  <c r="E69" i="78"/>
  <c r="D67" i="117" s="1"/>
  <c r="G67" i="117" s="1"/>
  <c r="C69" i="78"/>
  <c r="B66" i="79" s="1"/>
  <c r="G66" i="79" s="1"/>
  <c r="D50" i="78"/>
  <c r="C47" i="117" s="1"/>
  <c r="C50" i="78"/>
  <c r="B47" i="117" s="1"/>
  <c r="C52" i="78"/>
  <c r="B49" i="79" s="1"/>
  <c r="G49" i="79" s="1"/>
  <c r="E26" i="78"/>
  <c r="D23" i="117" s="1"/>
  <c r="G23" i="117" s="1"/>
  <c r="C26" i="78"/>
  <c r="O26" i="78" s="1"/>
  <c r="C29" i="78"/>
  <c r="B26" i="79" s="1"/>
  <c r="G26" i="79" s="1"/>
  <c r="H120" i="26"/>
  <c r="I120" i="26"/>
  <c r="J120" i="26"/>
  <c r="K120" i="26"/>
  <c r="H116" i="26"/>
  <c r="I116" i="26"/>
  <c r="J116" i="26"/>
  <c r="K116" i="26"/>
  <c r="H107" i="26"/>
  <c r="I107" i="26"/>
  <c r="J107" i="26"/>
  <c r="K107" i="26"/>
  <c r="C102" i="78"/>
  <c r="O102" i="78" s="1"/>
  <c r="D48" i="78"/>
  <c r="C45" i="117" s="1"/>
  <c r="C48" i="78"/>
  <c r="O48" i="78" s="1"/>
  <c r="E54" i="78"/>
  <c r="D51" i="117" s="1"/>
  <c r="G51" i="117" s="1"/>
  <c r="C54" i="78"/>
  <c r="O54" i="78" s="1"/>
  <c r="D35" i="78"/>
  <c r="C32" i="79" s="1"/>
  <c r="C35" i="78"/>
  <c r="B32" i="117" s="1"/>
  <c r="E25" i="78"/>
  <c r="D22" i="117" s="1"/>
  <c r="G22" i="117" s="1"/>
  <c r="C25" i="78"/>
  <c r="O25" i="78" s="1"/>
  <c r="C10" i="78"/>
  <c r="O10" i="78" s="1"/>
  <c r="E30" i="78"/>
  <c r="D27" i="117" s="1"/>
  <c r="G27" i="117" s="1"/>
  <c r="C30" i="78"/>
  <c r="O30" i="78" s="1"/>
  <c r="E22" i="78"/>
  <c r="D19" i="117" s="1"/>
  <c r="G19" i="117" s="1"/>
  <c r="C22" i="78"/>
  <c r="O22" i="78" s="1"/>
  <c r="H112" i="26"/>
  <c r="I112" i="26"/>
  <c r="J112" i="26"/>
  <c r="K112" i="26"/>
  <c r="C99" i="78"/>
  <c r="O99" i="78" s="1"/>
  <c r="H108" i="26"/>
  <c r="I108" i="26"/>
  <c r="J108" i="26"/>
  <c r="K108" i="26"/>
  <c r="C103" i="78"/>
  <c r="O103" i="78" s="1"/>
  <c r="C94" i="78"/>
  <c r="D6" i="78"/>
  <c r="C6" i="78"/>
  <c r="B3" i="117" s="1"/>
  <c r="E57" i="78"/>
  <c r="C57" i="78"/>
  <c r="O57" i="78" s="1"/>
  <c r="E70" i="78"/>
  <c r="D68" i="117" s="1"/>
  <c r="G68" i="117" s="1"/>
  <c r="C70" i="78"/>
  <c r="O70" i="78" s="1"/>
  <c r="D19" i="78"/>
  <c r="C19" i="78"/>
  <c r="B16" i="79" s="1"/>
  <c r="G16" i="79" s="1"/>
  <c r="D67" i="78"/>
  <c r="C64" i="117" s="1"/>
  <c r="C67" i="78"/>
  <c r="B64" i="79" s="1"/>
  <c r="G64" i="79" s="1"/>
  <c r="C13" i="78"/>
  <c r="O13" i="78" s="1"/>
  <c r="E11" i="78"/>
  <c r="D8" i="117" s="1"/>
  <c r="G8" i="117" s="1"/>
  <c r="C11" i="78"/>
  <c r="B8" i="117" s="1"/>
  <c r="H104" i="26"/>
  <c r="I104" i="26"/>
  <c r="J104" i="26"/>
  <c r="K104" i="26"/>
  <c r="H117" i="26"/>
  <c r="I117" i="26"/>
  <c r="J117" i="26"/>
  <c r="K117" i="26"/>
  <c r="C104" i="78"/>
  <c r="O104" i="78" s="1"/>
  <c r="C95" i="78"/>
  <c r="D42" i="78"/>
  <c r="C39" i="79" s="1"/>
  <c r="C42" i="78"/>
  <c r="O42" i="78" s="1"/>
  <c r="D47" i="78"/>
  <c r="C44" i="117" s="1"/>
  <c r="C47" i="78"/>
  <c r="O47" i="78" s="1"/>
  <c r="E45" i="78"/>
  <c r="D42" i="117" s="1"/>
  <c r="G42" i="117" s="1"/>
  <c r="C45" i="78"/>
  <c r="O45" i="78" s="1"/>
  <c r="E38" i="78"/>
  <c r="D35" i="117" s="1"/>
  <c r="G35" i="117" s="1"/>
  <c r="C38" i="78"/>
  <c r="B35" i="79" s="1"/>
  <c r="G35" i="79" s="1"/>
  <c r="D28" i="78"/>
  <c r="C28" i="78"/>
  <c r="O28" i="78" s="1"/>
  <c r="C100" i="78"/>
  <c r="O100" i="78" s="1"/>
  <c r="H109" i="26"/>
  <c r="I109" i="26"/>
  <c r="J109" i="26"/>
  <c r="K109" i="26"/>
  <c r="C96" i="78"/>
  <c r="P1879" i="1"/>
  <c r="I63" i="97" s="1"/>
  <c r="D259" i="115"/>
  <c r="D8" i="78"/>
  <c r="B237" i="42"/>
  <c r="B238" i="42" s="1"/>
  <c r="P1862" i="1"/>
  <c r="C1862" i="1" s="1"/>
  <c r="P1878" i="1"/>
  <c r="I78" i="97" s="1"/>
  <c r="P1953" i="1"/>
  <c r="C1953" i="1" s="1"/>
  <c r="P1918" i="1"/>
  <c r="C1918" i="1" s="1"/>
  <c r="P1926" i="1"/>
  <c r="C1926" i="1" s="1"/>
  <c r="P1927" i="1"/>
  <c r="C1927" i="1" s="1"/>
  <c r="P1911" i="1"/>
  <c r="C1911" i="1" s="1"/>
  <c r="P1919" i="1"/>
  <c r="C1919" i="1" s="1"/>
  <c r="P1840" i="1"/>
  <c r="C1840" i="1" s="1"/>
  <c r="P1937" i="1"/>
  <c r="C1937" i="1" s="1"/>
  <c r="P1906" i="1"/>
  <c r="C1906" i="1" s="1"/>
  <c r="P1836" i="1"/>
  <c r="C1836" i="1" s="1"/>
  <c r="P1890" i="1"/>
  <c r="P1912" i="1"/>
  <c r="C1912" i="1" s="1"/>
  <c r="P1855" i="1"/>
  <c r="C1855" i="1" s="1"/>
  <c r="P1866" i="1"/>
  <c r="C1866" i="1" s="1"/>
  <c r="P1949" i="1"/>
  <c r="C1949" i="1" s="1"/>
  <c r="P1924" i="1"/>
  <c r="C1924" i="1" s="1"/>
  <c r="P1935" i="1"/>
  <c r="C1935" i="1" s="1"/>
  <c r="P1856" i="1"/>
  <c r="C1856" i="1" s="1"/>
  <c r="P1870" i="1"/>
  <c r="C1870" i="1" s="1"/>
  <c r="P1943" i="1"/>
  <c r="C1943" i="1" s="1"/>
  <c r="P1939" i="1"/>
  <c r="C1939" i="1" s="1"/>
  <c r="P1952" i="1"/>
  <c r="C1952" i="1" s="1"/>
  <c r="P1904" i="1"/>
  <c r="C1904" i="1" s="1"/>
  <c r="P1887" i="1"/>
  <c r="C1887" i="1" s="1"/>
  <c r="P1835" i="1"/>
  <c r="C1835" i="1" s="1"/>
  <c r="P1863" i="1"/>
  <c r="C1863" i="1" s="1"/>
  <c r="P1842" i="1"/>
  <c r="C1842" i="1" s="1"/>
  <c r="P1846" i="1"/>
  <c r="C1846" i="1" s="1"/>
  <c r="P1930" i="1"/>
  <c r="C1930" i="1" s="1"/>
  <c r="P1922" i="1"/>
  <c r="C1922" i="1" s="1"/>
  <c r="P1913" i="1"/>
  <c r="C1913" i="1" s="1"/>
  <c r="P1882" i="1"/>
  <c r="C1882" i="1" s="1"/>
  <c r="P1881" i="1"/>
  <c r="C1881" i="1" s="1"/>
  <c r="P1900" i="1"/>
  <c r="C1900" i="1" s="1"/>
  <c r="P1894" i="1"/>
  <c r="C1894" i="1" s="1"/>
  <c r="P1854" i="1"/>
  <c r="C1854" i="1" s="1"/>
  <c r="P1867" i="1"/>
  <c r="C1867" i="1" s="1"/>
  <c r="P1932" i="1"/>
  <c r="C1932" i="1" s="1"/>
  <c r="P1917" i="1"/>
  <c r="C1917" i="1" s="1"/>
  <c r="P1915" i="1"/>
  <c r="C1915" i="1" s="1"/>
  <c r="P1945" i="1"/>
  <c r="C1945" i="1" s="1"/>
  <c r="P1851" i="1"/>
  <c r="C1851" i="1" s="1"/>
  <c r="P1885" i="1"/>
  <c r="C1885" i="1" s="1"/>
  <c r="P1839" i="1"/>
  <c r="C1839" i="1" s="1"/>
  <c r="P1837" i="1"/>
  <c r="C1837" i="1" s="1"/>
  <c r="P1884" i="1"/>
  <c r="C1884" i="1" s="1"/>
  <c r="P1928" i="1"/>
  <c r="C1928" i="1" s="1"/>
  <c r="P1876" i="1"/>
  <c r="I15" i="97" s="1"/>
  <c r="P1892" i="1"/>
  <c r="P1948" i="1"/>
  <c r="C1948" i="1" s="1"/>
  <c r="P1850" i="1"/>
  <c r="C1850" i="1" s="1"/>
  <c r="P1841" i="1"/>
  <c r="C1841" i="1" s="1"/>
  <c r="P1861" i="1"/>
  <c r="C1861" i="1" s="1"/>
  <c r="P1853" i="1"/>
  <c r="C1853" i="1" s="1"/>
  <c r="P1883" i="1"/>
  <c r="C1883" i="1" s="1"/>
  <c r="P1897" i="1"/>
  <c r="C1897" i="1" s="1"/>
  <c r="P1858" i="1"/>
  <c r="C1858" i="1" s="1"/>
  <c r="P1951" i="1"/>
  <c r="C1951" i="1" s="1"/>
  <c r="P1889" i="1"/>
  <c r="C1889" i="1" s="1"/>
  <c r="P1880" i="1"/>
  <c r="C1880" i="1" s="1"/>
  <c r="P1891" i="1"/>
  <c r="P1907" i="1"/>
  <c r="C1907" i="1" s="1"/>
  <c r="P1875" i="1"/>
  <c r="C1875" i="1" s="1"/>
  <c r="P1857" i="1"/>
  <c r="C1857" i="1" s="1"/>
  <c r="P1865" i="1"/>
  <c r="C1865" i="1" s="1"/>
  <c r="P1888" i="1"/>
  <c r="C1888" i="1" s="1"/>
  <c r="P1874" i="1"/>
  <c r="C1874" i="1" s="1"/>
  <c r="P1843" i="1"/>
  <c r="C1843" i="1" s="1"/>
  <c r="P1936" i="1"/>
  <c r="C1936" i="1" s="1"/>
  <c r="P1896" i="1"/>
  <c r="C1896" i="1" s="1"/>
  <c r="P1848" i="1"/>
  <c r="C1848" i="1" s="1"/>
  <c r="P1859" i="1"/>
  <c r="C1859" i="1" s="1"/>
  <c r="P1942" i="1"/>
  <c r="C1942" i="1" s="1"/>
  <c r="P1908" i="1"/>
  <c r="C1908" i="1" s="1"/>
  <c r="P1886" i="1"/>
  <c r="C1886" i="1" s="1"/>
  <c r="P1950" i="1"/>
  <c r="C1950" i="1" s="1"/>
  <c r="P1834" i="1"/>
  <c r="C1834" i="1" s="1"/>
  <c r="P1845" i="1"/>
  <c r="C1845" i="1" s="1"/>
  <c r="P1902" i="1"/>
  <c r="I55" i="97" s="1"/>
  <c r="P1944" i="1"/>
  <c r="C1944" i="1" s="1"/>
  <c r="P1844" i="1"/>
  <c r="C1844" i="1" s="1"/>
  <c r="P1895" i="1"/>
  <c r="C1895" i="1" s="1"/>
  <c r="P1872" i="1"/>
  <c r="C1872" i="1" s="1"/>
  <c r="P1920" i="1"/>
  <c r="C1920" i="1" s="1"/>
  <c r="P1931" i="1"/>
  <c r="C1931" i="1" s="1"/>
  <c r="P1869" i="1"/>
  <c r="I126" i="97" s="1"/>
  <c r="P1940" i="1"/>
  <c r="C1940" i="1" s="1"/>
  <c r="P1905" i="1"/>
  <c r="C1905" i="1" s="1"/>
  <c r="P1832" i="1"/>
  <c r="C1832" i="1" s="1"/>
  <c r="P1938" i="1"/>
  <c r="C1938" i="1" s="1"/>
  <c r="P1914" i="1"/>
  <c r="C1914" i="1" s="1"/>
  <c r="P1838" i="1"/>
  <c r="C1838" i="1" s="1"/>
  <c r="P1909" i="1"/>
  <c r="C1909" i="1" s="1"/>
  <c r="P1916" i="1"/>
  <c r="C1916" i="1" s="1"/>
  <c r="P1899" i="1"/>
  <c r="C1899" i="1" s="1"/>
  <c r="P1921" i="1"/>
  <c r="C1921" i="1" s="1"/>
  <c r="P1864" i="1"/>
  <c r="C1864" i="1" s="1"/>
  <c r="P1847" i="1"/>
  <c r="C1847" i="1" s="1"/>
  <c r="P1893" i="1"/>
  <c r="C1893" i="1" s="1"/>
  <c r="P1860" i="1"/>
  <c r="C1860" i="1" s="1"/>
  <c r="P1947" i="1"/>
  <c r="C1947" i="1" s="1"/>
  <c r="P1833" i="1"/>
  <c r="C1833" i="1" s="1"/>
  <c r="P1946" i="1"/>
  <c r="C1946" i="1" s="1"/>
  <c r="E8" i="78"/>
  <c r="D5" i="117" s="1"/>
  <c r="G5" i="117" s="1"/>
  <c r="E6" i="78"/>
  <c r="D3" i="117" s="1"/>
  <c r="G3" i="117" s="1"/>
  <c r="A3" i="117" s="1"/>
  <c r="B2" i="111"/>
  <c r="D2" i="111" s="1"/>
  <c r="D11" i="114"/>
  <c r="C263" i="115" s="1"/>
  <c r="G9" i="114"/>
  <c r="A337" i="23"/>
  <c r="D348" i="23"/>
  <c r="I63" i="26"/>
  <c r="E64" i="78"/>
  <c r="D61" i="79" s="1"/>
  <c r="D33" i="78"/>
  <c r="C30" i="79" s="1"/>
  <c r="D64" i="78"/>
  <c r="C61" i="79" s="1"/>
  <c r="E33" i="78"/>
  <c r="D30" i="79" s="1"/>
  <c r="D55" i="78"/>
  <c r="C52" i="117" s="1"/>
  <c r="D26" i="78"/>
  <c r="E52" i="78"/>
  <c r="D49" i="79" s="1"/>
  <c r="E29" i="78"/>
  <c r="D26" i="79" s="1"/>
  <c r="D11" i="78"/>
  <c r="D52" i="78"/>
  <c r="C49" i="79" s="1"/>
  <c r="D29" i="78"/>
  <c r="C26" i="79" s="1"/>
  <c r="E67" i="78"/>
  <c r="D64" i="79" s="1"/>
  <c r="A1628" i="23"/>
  <c r="A1627" i="23"/>
  <c r="D1506" i="23"/>
  <c r="D1514" i="23" s="1"/>
  <c r="D1523" i="23" s="1"/>
  <c r="E7" i="78"/>
  <c r="E66" i="78"/>
  <c r="D63" i="117" s="1"/>
  <c r="G63" i="117" s="1"/>
  <c r="D1450" i="23"/>
  <c r="A1640" i="23"/>
  <c r="D100" i="78"/>
  <c r="D83" i="78"/>
  <c r="C113" i="78"/>
  <c r="O113" i="78" s="1"/>
  <c r="D113" i="78"/>
  <c r="D96" i="78"/>
  <c r="D87" i="78"/>
  <c r="D78" i="78"/>
  <c r="O92" i="78"/>
  <c r="D92" i="78"/>
  <c r="C122" i="78"/>
  <c r="O122" i="78" s="1"/>
  <c r="D122" i="78"/>
  <c r="D105" i="78"/>
  <c r="D88" i="78"/>
  <c r="D79" i="78"/>
  <c r="C125" i="78"/>
  <c r="O125" i="78" s="1"/>
  <c r="D125" i="78"/>
  <c r="D84" i="78"/>
  <c r="C114" i="78"/>
  <c r="O114" i="78" s="1"/>
  <c r="D114" i="78"/>
  <c r="D97" i="78"/>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D81" i="78"/>
  <c r="C119" i="78"/>
  <c r="O119" i="78" s="1"/>
  <c r="D119" i="78"/>
  <c r="D110" i="78"/>
  <c r="C110" i="78"/>
  <c r="O110" i="78" s="1"/>
  <c r="D101" i="78"/>
  <c r="C124" i="78"/>
  <c r="O124" i="78" s="1"/>
  <c r="D124" i="78"/>
  <c r="C107" i="78"/>
  <c r="O107" i="78" s="1"/>
  <c r="D107" i="78"/>
  <c r="D90" i="78"/>
  <c r="C120" i="78"/>
  <c r="O120" i="78" s="1"/>
  <c r="D120" i="78"/>
  <c r="C111" i="78"/>
  <c r="O111" i="78" s="1"/>
  <c r="D111" i="78"/>
  <c r="D102" i="78"/>
  <c r="D93" i="78"/>
  <c r="C116" i="78"/>
  <c r="O116" i="78" s="1"/>
  <c r="D116" i="78"/>
  <c r="D99" i="78"/>
  <c r="D82" i="78"/>
  <c r="C112" i="78"/>
  <c r="O112" i="78" s="1"/>
  <c r="D112" i="78"/>
  <c r="D103" i="78"/>
  <c r="D94" i="78"/>
  <c r="D85" i="78"/>
  <c r="C108" i="78"/>
  <c r="O108" i="78" s="1"/>
  <c r="D108" i="78"/>
  <c r="D91" i="78"/>
  <c r="C121" i="78"/>
  <c r="O121" i="78" s="1"/>
  <c r="D121" i="78"/>
  <c r="D104" i="78"/>
  <c r="D95" i="78"/>
  <c r="D86" i="78"/>
  <c r="D77" i="78"/>
  <c r="E37" i="78"/>
  <c r="D34" i="79" s="1"/>
  <c r="E28" i="78"/>
  <c r="D25" i="117" s="1"/>
  <c r="G25" i="117" s="1"/>
  <c r="D25" i="78"/>
  <c r="E55" i="78"/>
  <c r="D52" i="79" s="1"/>
  <c r="D56" i="78"/>
  <c r="C53" i="117" s="1"/>
  <c r="D45" i="78"/>
  <c r="C42" i="79" s="1"/>
  <c r="C13" i="108"/>
  <c r="E74" i="78"/>
  <c r="D72" i="117" s="1"/>
  <c r="G72" i="117" s="1"/>
  <c r="D74" i="78"/>
  <c r="C72" i="79" s="1"/>
  <c r="D59" i="78"/>
  <c r="C56" i="79" s="1"/>
  <c r="D71" i="78"/>
  <c r="C69" i="117" s="1"/>
  <c r="D16" i="78"/>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E15" i="78"/>
  <c r="D12" i="79" s="1"/>
  <c r="D40" i="78"/>
  <c r="C37" i="117" s="1"/>
  <c r="E40" i="78"/>
  <c r="D37" i="79" s="1"/>
  <c r="E68" i="78"/>
  <c r="D65" i="79" s="1"/>
  <c r="D76" i="78"/>
  <c r="C74" i="79" s="1"/>
  <c r="D264" i="115"/>
  <c r="D12" i="114"/>
  <c r="E49" i="78"/>
  <c r="D46" i="117" s="1"/>
  <c r="G46" i="117" s="1"/>
  <c r="H64" i="26"/>
  <c r="D14" i="78"/>
  <c r="E56" i="78"/>
  <c r="D32" i="78"/>
  <c r="C29" i="117" s="1"/>
  <c r="D58" i="78"/>
  <c r="C55" i="79" s="1"/>
  <c r="O62" i="26"/>
  <c r="O75" i="78"/>
  <c r="E50" i="78"/>
  <c r="D47" i="117" s="1"/>
  <c r="G47" i="117" s="1"/>
  <c r="E23" i="78"/>
  <c r="D20" i="79" s="1"/>
  <c r="B20" i="117"/>
  <c r="O20" i="78"/>
  <c r="E43" i="78"/>
  <c r="D40" i="117" s="1"/>
  <c r="G40" i="117" s="1"/>
  <c r="E76" i="78"/>
  <c r="D74" i="79" s="1"/>
  <c r="I72" i="26"/>
  <c r="E59" i="78"/>
  <c r="D56" i="79" s="1"/>
  <c r="D57" i="78"/>
  <c r="C54" i="117" s="1"/>
  <c r="E17" i="78"/>
  <c r="E14" i="78"/>
  <c r="D11" i="79" s="1"/>
  <c r="O66" i="78"/>
  <c r="D23" i="78"/>
  <c r="D75" i="78"/>
  <c r="C73" i="117" s="1"/>
  <c r="D66" i="78"/>
  <c r="C63" i="79" s="1"/>
  <c r="J71" i="26"/>
  <c r="D60" i="78"/>
  <c r="C57" i="117" s="1"/>
  <c r="D36" i="78"/>
  <c r="C33" i="79" s="1"/>
  <c r="D63" i="78"/>
  <c r="C60" i="117" s="1"/>
  <c r="D12" i="78"/>
  <c r="D39" i="78"/>
  <c r="C36" i="79" s="1"/>
  <c r="D41" i="78"/>
  <c r="C38" i="117" s="1"/>
  <c r="K67" i="26"/>
  <c r="D18" i="78"/>
  <c r="D38" i="78"/>
  <c r="C35" i="79" s="1"/>
  <c r="H61" i="26"/>
  <c r="D13" i="78"/>
  <c r="E21" i="78"/>
  <c r="D49" i="78"/>
  <c r="C46" i="79" s="1"/>
  <c r="D15" i="78"/>
  <c r="D68" i="78"/>
  <c r="C65" i="79" s="1"/>
  <c r="D65" i="78"/>
  <c r="C62" i="79" s="1"/>
  <c r="D21" i="78"/>
  <c r="D53" i="78"/>
  <c r="C50" i="79" s="1"/>
  <c r="D17" i="78"/>
  <c r="O21" i="78"/>
  <c r="D22" i="78"/>
  <c r="E10" i="78"/>
  <c r="D7" i="79" s="1"/>
  <c r="D44" i="78"/>
  <c r="C41" i="79" s="1"/>
  <c r="D10" i="78"/>
  <c r="O36" i="78"/>
  <c r="E48" i="78"/>
  <c r="D45" i="117" s="1"/>
  <c r="G45" i="117" s="1"/>
  <c r="E75" i="78"/>
  <c r="D73" i="117" s="1"/>
  <c r="G73" i="117" s="1"/>
  <c r="D30" i="78"/>
  <c r="C27" i="117" s="1"/>
  <c r="D72" i="78"/>
  <c r="C70" i="117" s="1"/>
  <c r="D34" i="78"/>
  <c r="C31" i="117" s="1"/>
  <c r="E32" i="78"/>
  <c r="E35" i="78"/>
  <c r="D27" i="78"/>
  <c r="H65" i="26"/>
  <c r="D69" i="78"/>
  <c r="C67" i="79" s="1"/>
  <c r="B70" i="79"/>
  <c r="G70" i="79" s="1"/>
  <c r="E20" i="78"/>
  <c r="D20" i="78"/>
  <c r="E72" i="78"/>
  <c r="D70" i="79" s="1"/>
  <c r="O65" i="78"/>
  <c r="E12" i="78"/>
  <c r="D9" i="79" s="1"/>
  <c r="E24" i="78"/>
  <c r="D21" i="117" s="1"/>
  <c r="G21" i="117" s="1"/>
  <c r="E73" i="78"/>
  <c r="D71" i="79" s="1"/>
  <c r="E51" i="78"/>
  <c r="D48" i="79" s="1"/>
  <c r="E31" i="78"/>
  <c r="D28" i="79" s="1"/>
  <c r="D9" i="78"/>
  <c r="E42" i="78"/>
  <c r="D39" i="117" s="1"/>
  <c r="G39" i="117" s="1"/>
  <c r="D70" i="78"/>
  <c r="C68" i="117" s="1"/>
  <c r="D51" i="78"/>
  <c r="C48" i="79" s="1"/>
  <c r="K68" i="26"/>
  <c r="D46" i="78"/>
  <c r="C43" i="117" s="1"/>
  <c r="E19" i="78"/>
  <c r="D16" i="79" s="1"/>
  <c r="D31" i="78"/>
  <c r="C28" i="79" s="1"/>
  <c r="E13" i="78"/>
  <c r="D54" i="78"/>
  <c r="C51" i="117" s="1"/>
  <c r="D73" i="78"/>
  <c r="C71" i="79" s="1"/>
  <c r="E47" i="78"/>
  <c r="D44" i="79" s="1"/>
  <c r="O72" i="78"/>
  <c r="D61" i="78"/>
  <c r="C58" i="79" s="1"/>
  <c r="I69" i="26"/>
  <c r="D62" i="78"/>
  <c r="C59" i="79" s="1"/>
  <c r="E62" i="78"/>
  <c r="E39" i="78"/>
  <c r="H66" i="26"/>
  <c r="A164" i="23"/>
  <c r="O33" i="78"/>
  <c r="B30" i="117"/>
  <c r="B30" i="79"/>
  <c r="G30" i="79" s="1"/>
  <c r="C40" i="79"/>
  <c r="O49" i="78"/>
  <c r="B46" i="79"/>
  <c r="G46" i="79" s="1"/>
  <c r="B46" i="117"/>
  <c r="O32" i="78"/>
  <c r="B29" i="79"/>
  <c r="G29" i="79" s="1"/>
  <c r="B29" i="117"/>
  <c r="O39" i="78"/>
  <c r="B36" i="79"/>
  <c r="G36" i="79" s="1"/>
  <c r="B36" i="117"/>
  <c r="O68" i="78"/>
  <c r="B65" i="79"/>
  <c r="G65" i="79" s="1"/>
  <c r="B65" i="117"/>
  <c r="O40" i="78"/>
  <c r="B37" i="117"/>
  <c r="B37" i="79"/>
  <c r="G37" i="79" s="1"/>
  <c r="O15" i="78"/>
  <c r="B12" i="79"/>
  <c r="G12" i="79" s="1"/>
  <c r="B12" i="117"/>
  <c r="O62" i="78"/>
  <c r="B59" i="117"/>
  <c r="B59" i="79"/>
  <c r="G59" i="79" s="1"/>
  <c r="O76" i="78"/>
  <c r="B74" i="117"/>
  <c r="B74" i="79"/>
  <c r="G74" i="79" s="1"/>
  <c r="D110" i="23"/>
  <c r="H1642" i="23"/>
  <c r="E65" i="78" s="1"/>
  <c r="I1641" i="23"/>
  <c r="D160" i="23"/>
  <c r="H1954" i="1"/>
  <c r="C1923" i="1"/>
  <c r="A875" i="23"/>
  <c r="D827" i="23"/>
  <c r="D829" i="23" s="1"/>
  <c r="D178" i="97" s="1"/>
  <c r="D828" i="23"/>
  <c r="A900" i="23"/>
  <c r="D876" i="23"/>
  <c r="D192" i="97" s="1"/>
  <c r="A914" i="23"/>
  <c r="C1941" i="1"/>
  <c r="C163" i="97" s="1"/>
  <c r="C1868" i="1"/>
  <c r="C128" i="97" s="1"/>
  <c r="A932" i="23"/>
  <c r="I933" i="23"/>
  <c r="I97" i="97" s="1"/>
  <c r="P1929" i="1"/>
  <c r="I158" i="97" s="1"/>
  <c r="C2027" i="1"/>
  <c r="D528" i="23"/>
  <c r="G18" i="113"/>
  <c r="G29" i="113"/>
  <c r="G42" i="113" s="1"/>
  <c r="B100" i="33"/>
  <c r="C1994" i="1"/>
  <c r="C648" i="1"/>
  <c r="H649" i="1"/>
  <c r="A341" i="23"/>
  <c r="C1901" i="1"/>
  <c r="C1996" i="1"/>
  <c r="A343" i="23"/>
  <c r="C26" i="108"/>
  <c r="C25" i="108"/>
  <c r="C23" i="108"/>
  <c r="C22" i="108"/>
  <c r="C18" i="108"/>
  <c r="C30" i="108"/>
  <c r="C24" i="108"/>
  <c r="C21" i="108"/>
  <c r="C17" i="108"/>
  <c r="C20" i="108"/>
  <c r="C32" i="108"/>
  <c r="C29" i="108"/>
  <c r="C14" i="108"/>
  <c r="C31" i="108"/>
  <c r="C16" i="108"/>
  <c r="C19" i="108"/>
  <c r="C28" i="108"/>
  <c r="C15" i="108"/>
  <c r="C27" i="108"/>
  <c r="C1873" i="1"/>
  <c r="C100" i="97" s="1"/>
  <c r="A342" i="23"/>
  <c r="D278" i="23"/>
  <c r="I347" i="23"/>
  <c r="C104" i="115"/>
  <c r="D93" i="115"/>
  <c r="C17" i="79" l="1"/>
  <c r="E16" i="111"/>
  <c r="C24" i="79"/>
  <c r="E23" i="111"/>
  <c r="C14" i="117"/>
  <c r="E13" i="111"/>
  <c r="C15" i="117"/>
  <c r="E14" i="111"/>
  <c r="C20" i="79"/>
  <c r="E19" i="111"/>
  <c r="C13" i="117"/>
  <c r="E12" i="111"/>
  <c r="C22" i="117"/>
  <c r="E21" i="111"/>
  <c r="C21" i="79"/>
  <c r="E20" i="111"/>
  <c r="C6" i="117"/>
  <c r="E5" i="111"/>
  <c r="C10" i="79"/>
  <c r="E9" i="111"/>
  <c r="C16" i="79"/>
  <c r="E15" i="111"/>
  <c r="C19" i="117"/>
  <c r="E18" i="111"/>
  <c r="C12" i="79"/>
  <c r="E11" i="111"/>
  <c r="C9" i="79"/>
  <c r="E8" i="111"/>
  <c r="C23" i="79"/>
  <c r="E22" i="111"/>
  <c r="C5" i="79"/>
  <c r="E4" i="111"/>
  <c r="C25" i="117"/>
  <c r="E24" i="111"/>
  <c r="C4" i="79"/>
  <c r="E3" i="111"/>
  <c r="C7" i="79"/>
  <c r="E6" i="111"/>
  <c r="C18" i="117"/>
  <c r="E17" i="111"/>
  <c r="C11" i="79"/>
  <c r="E10" i="111"/>
  <c r="C8" i="117"/>
  <c r="E7" i="111"/>
  <c r="C3" i="117"/>
  <c r="E2" i="111"/>
  <c r="F16" i="78"/>
  <c r="E12" i="117" s="1"/>
  <c r="C162" i="97"/>
  <c r="C21" i="117"/>
  <c r="C4" i="117"/>
  <c r="C45" i="79"/>
  <c r="D67" i="79"/>
  <c r="D8" i="79"/>
  <c r="D68" i="79"/>
  <c r="D66" i="79"/>
  <c r="C44" i="79"/>
  <c r="C16" i="117"/>
  <c r="C39" i="117"/>
  <c r="D50" i="117"/>
  <c r="G50" i="117" s="1"/>
  <c r="D58" i="79"/>
  <c r="D57" i="117"/>
  <c r="G57" i="117" s="1"/>
  <c r="D51" i="79"/>
  <c r="D24" i="79"/>
  <c r="D31" i="117"/>
  <c r="G31" i="117" s="1"/>
  <c r="C34" i="117"/>
  <c r="D13" i="117"/>
  <c r="G13" i="117" s="1"/>
  <c r="C25" i="79"/>
  <c r="C47" i="79"/>
  <c r="D23" i="79"/>
  <c r="D41" i="117"/>
  <c r="G41" i="117" s="1"/>
  <c r="D27" i="79"/>
  <c r="D42" i="79"/>
  <c r="F6" i="78"/>
  <c r="E3" i="117" s="1"/>
  <c r="M6" i="78"/>
  <c r="B5" i="117"/>
  <c r="B5" i="79"/>
  <c r="G5" i="79" s="1"/>
  <c r="A5" i="79" s="1"/>
  <c r="O74" i="78"/>
  <c r="D69" i="79"/>
  <c r="C32" i="117"/>
  <c r="D22" i="79"/>
  <c r="D43" i="117"/>
  <c r="G43" i="117" s="1"/>
  <c r="K60" i="26"/>
  <c r="B72" i="117"/>
  <c r="D60" i="117"/>
  <c r="G60" i="117" s="1"/>
  <c r="H60" i="26"/>
  <c r="K70" i="26"/>
  <c r="K74" i="78" s="1"/>
  <c r="D6" i="79"/>
  <c r="J60" i="26"/>
  <c r="H70" i="26"/>
  <c r="F74" i="78" s="1"/>
  <c r="O60" i="26"/>
  <c r="D38" i="79"/>
  <c r="I70" i="26"/>
  <c r="G74" i="78" s="1"/>
  <c r="O70" i="26"/>
  <c r="D19" i="79"/>
  <c r="D15" i="117"/>
  <c r="G15" i="117" s="1"/>
  <c r="D35" i="79"/>
  <c r="C3" i="79"/>
  <c r="C64" i="79"/>
  <c r="H91" i="26"/>
  <c r="F95" i="78" s="1"/>
  <c r="I91" i="26"/>
  <c r="G95" i="78" s="1"/>
  <c r="J91" i="26"/>
  <c r="J95" i="78" s="1"/>
  <c r="K91" i="26"/>
  <c r="K95" i="78" s="1"/>
  <c r="H102" i="26"/>
  <c r="I102" i="26"/>
  <c r="J102" i="26"/>
  <c r="K102" i="26"/>
  <c r="K106" i="78" s="1"/>
  <c r="H100" i="26"/>
  <c r="I100" i="26"/>
  <c r="J100" i="26"/>
  <c r="J104" i="78" s="1"/>
  <c r="K100" i="26"/>
  <c r="K104" i="78" s="1"/>
  <c r="H93" i="26"/>
  <c r="F97" i="78" s="1"/>
  <c r="I93" i="26"/>
  <c r="G97" i="78" s="1"/>
  <c r="J93" i="26"/>
  <c r="J97" i="78" s="1"/>
  <c r="K93" i="26"/>
  <c r="K97" i="78" s="1"/>
  <c r="H101" i="26"/>
  <c r="I101" i="26"/>
  <c r="G105" i="78" s="1"/>
  <c r="J101" i="26"/>
  <c r="J105" i="78" s="1"/>
  <c r="K101" i="26"/>
  <c r="K105" i="78" s="1"/>
  <c r="H90" i="26"/>
  <c r="I90" i="26"/>
  <c r="J90" i="26"/>
  <c r="K90" i="26"/>
  <c r="H95" i="26"/>
  <c r="F99" i="78" s="1"/>
  <c r="I95" i="26"/>
  <c r="G99" i="78" s="1"/>
  <c r="J95" i="26"/>
  <c r="J99" i="78" s="1"/>
  <c r="K95" i="26"/>
  <c r="K99" i="78" s="1"/>
  <c r="H99" i="26"/>
  <c r="I99" i="26"/>
  <c r="G103" i="78" s="1"/>
  <c r="J99" i="26"/>
  <c r="K99" i="26"/>
  <c r="K103" i="78" s="1"/>
  <c r="H96" i="26"/>
  <c r="F100" i="78" s="1"/>
  <c r="I96" i="26"/>
  <c r="J96" i="26"/>
  <c r="J100" i="78" s="1"/>
  <c r="K96" i="26"/>
  <c r="K100" i="78" s="1"/>
  <c r="H97" i="26"/>
  <c r="F101" i="78" s="1"/>
  <c r="I97" i="26"/>
  <c r="G101" i="78" s="1"/>
  <c r="J97" i="26"/>
  <c r="J101" i="78" s="1"/>
  <c r="K97" i="26"/>
  <c r="K101" i="78" s="1"/>
  <c r="H92" i="26"/>
  <c r="F96" i="78" s="1"/>
  <c r="I92" i="26"/>
  <c r="G96" i="78" s="1"/>
  <c r="J92" i="26"/>
  <c r="J96" i="78" s="1"/>
  <c r="K92" i="26"/>
  <c r="K96" i="78" s="1"/>
  <c r="H98" i="26"/>
  <c r="F102" i="78" s="1"/>
  <c r="I98" i="26"/>
  <c r="G102" i="78" s="1"/>
  <c r="J98" i="26"/>
  <c r="J102" i="78" s="1"/>
  <c r="K98" i="26"/>
  <c r="K102" i="78" s="1"/>
  <c r="H94" i="26"/>
  <c r="F98" i="78" s="1"/>
  <c r="I94" i="26"/>
  <c r="J94" i="26"/>
  <c r="J98" i="78" s="1"/>
  <c r="K94" i="26"/>
  <c r="K98" i="78" s="1"/>
  <c r="J103" i="78"/>
  <c r="F106" i="78"/>
  <c r="F104" i="78"/>
  <c r="J106" i="78"/>
  <c r="F103" i="78"/>
  <c r="G104" i="78"/>
  <c r="G100" i="78"/>
  <c r="F105" i="78"/>
  <c r="G106" i="78"/>
  <c r="G98" i="78"/>
  <c r="K6" i="78"/>
  <c r="G6" i="78"/>
  <c r="F3" i="79" s="1"/>
  <c r="L6" i="78"/>
  <c r="C5" i="117"/>
  <c r="B3" i="79"/>
  <c r="A3" i="79" s="1"/>
  <c r="O6" i="78"/>
  <c r="B6" i="78" s="1"/>
  <c r="C1891" i="1"/>
  <c r="D17" i="114"/>
  <c r="C1890" i="1"/>
  <c r="C1892" i="1"/>
  <c r="C1876" i="1"/>
  <c r="C15" i="97" s="1"/>
  <c r="C1902" i="1"/>
  <c r="C55" i="97" s="1"/>
  <c r="C1878" i="1"/>
  <c r="C78" i="97" s="1"/>
  <c r="C1869" i="1"/>
  <c r="C126" i="97" s="1"/>
  <c r="C1879" i="1"/>
  <c r="C63" i="97" s="1"/>
  <c r="G11" i="114"/>
  <c r="D3" i="79"/>
  <c r="D263" i="115"/>
  <c r="B239" i="42"/>
  <c r="B248" i="42" s="1"/>
  <c r="B263" i="42" s="1"/>
  <c r="B264" i="42" s="1"/>
  <c r="B265" i="42" s="1"/>
  <c r="O12" i="26"/>
  <c r="L16" i="78"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B69" i="117"/>
  <c r="D75" i="79"/>
  <c r="C42" i="117"/>
  <c r="D77" i="79"/>
  <c r="D78" i="117"/>
  <c r="G78" i="117" s="1"/>
  <c r="D82" i="117"/>
  <c r="G82" i="117" s="1"/>
  <c r="D90" i="79"/>
  <c r="D72" i="79"/>
  <c r="D88" i="79"/>
  <c r="D84" i="79"/>
  <c r="D79" i="117"/>
  <c r="G79" i="117" s="1"/>
  <c r="D62" i="79"/>
  <c r="D62" i="117"/>
  <c r="G62" i="117" s="1"/>
  <c r="D1451" i="23"/>
  <c r="D4" i="79"/>
  <c r="D4" i="117"/>
  <c r="G4" i="117" s="1"/>
  <c r="A5" i="117" s="1"/>
  <c r="D1544" i="23"/>
  <c r="A1641"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G18" i="78"/>
  <c r="C15" i="79"/>
  <c r="C7" i="117"/>
  <c r="C27" i="79"/>
  <c r="F18" i="78"/>
  <c r="E14" i="117" s="1"/>
  <c r="J18" i="78"/>
  <c r="C68" i="79"/>
  <c r="K18" i="78"/>
  <c r="O14" i="78"/>
  <c r="D55" i="117"/>
  <c r="G55" i="117" s="1"/>
  <c r="H62" i="26"/>
  <c r="F66" i="78" s="1"/>
  <c r="E62" i="117" s="1"/>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F13" i="78"/>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L72" i="78"/>
  <c r="B13" i="117"/>
  <c r="K71" i="26"/>
  <c r="K75" i="78" s="1"/>
  <c r="G13" i="78"/>
  <c r="L71" i="78"/>
  <c r="L50" i="78"/>
  <c r="M38" i="78"/>
  <c r="C51" i="79"/>
  <c r="O73" i="78"/>
  <c r="B13" i="79"/>
  <c r="G13" i="79" s="1"/>
  <c r="O71" i="26"/>
  <c r="G73" i="78"/>
  <c r="F68" i="78"/>
  <c r="K71" i="78"/>
  <c r="M67" i="78"/>
  <c r="M74" i="78"/>
  <c r="G67" i="78"/>
  <c r="L76" i="78"/>
  <c r="L67" i="78"/>
  <c r="M72" i="78"/>
  <c r="D70" i="117"/>
  <c r="G70" i="117" s="1"/>
  <c r="B32" i="79"/>
  <c r="G32" i="79" s="1"/>
  <c r="K72" i="78"/>
  <c r="L68" i="78"/>
  <c r="M76" i="78"/>
  <c r="L73" i="78"/>
  <c r="G76" i="78"/>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I67" i="26"/>
  <c r="G71" i="78" s="1"/>
  <c r="B7" i="79"/>
  <c r="G7" i="79" s="1"/>
  <c r="M75" i="78"/>
  <c r="M73" i="78"/>
  <c r="L75" i="78"/>
  <c r="M71" i="78"/>
  <c r="M69" i="78"/>
  <c r="B10" i="79"/>
  <c r="G10" i="79" s="1"/>
  <c r="C46" i="117"/>
  <c r="I71" i="26"/>
  <c r="G75" i="78" s="1"/>
  <c r="B21" i="79"/>
  <c r="G21" i="79" s="1"/>
  <c r="C43" i="79"/>
  <c r="C58" i="117"/>
  <c r="M27" i="78"/>
  <c r="M28"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56" i="117"/>
  <c r="G56" i="117" s="1"/>
  <c r="L34" i="78"/>
  <c r="L60" i="78"/>
  <c r="C48" i="117"/>
  <c r="D20" i="117"/>
  <c r="G20" i="117" s="1"/>
  <c r="M53" i="78"/>
  <c r="M15" i="78"/>
  <c r="L36" i="78"/>
  <c r="B15" i="117"/>
  <c r="M34" i="78"/>
  <c r="M59" i="78"/>
  <c r="D44" i="117"/>
  <c r="G44" i="117" s="1"/>
  <c r="I68" i="26"/>
  <c r="G72" i="78" s="1"/>
  <c r="B68" i="117"/>
  <c r="J68" i="26"/>
  <c r="J72" i="78" s="1"/>
  <c r="K69" i="26"/>
  <c r="K73" i="78" s="1"/>
  <c r="C19" i="79"/>
  <c r="D14" i="79"/>
  <c r="D14" i="117"/>
  <c r="G14" i="117" s="1"/>
  <c r="L20" i="78"/>
  <c r="B67" i="79"/>
  <c r="G67" i="79" s="1"/>
  <c r="C71" i="117"/>
  <c r="L42" i="78"/>
  <c r="D10" i="79"/>
  <c r="D45" i="79"/>
  <c r="M18" i="78"/>
  <c r="L57" i="78"/>
  <c r="M14" i="78"/>
  <c r="D18" i="117"/>
  <c r="G18" i="117" s="1"/>
  <c r="D18" i="79"/>
  <c r="B15" i="79"/>
  <c r="G15" i="79" s="1"/>
  <c r="L63" i="78"/>
  <c r="M39" i="78"/>
  <c r="L56" i="78"/>
  <c r="M65" i="78"/>
  <c r="L62" i="78"/>
  <c r="L65" i="78"/>
  <c r="M55" i="78"/>
  <c r="B69" i="79"/>
  <c r="G69" i="79" s="1"/>
  <c r="M40" i="78"/>
  <c r="M41" i="78"/>
  <c r="L37" i="78"/>
  <c r="L55" i="78"/>
  <c r="M57" i="78"/>
  <c r="L45" i="78"/>
  <c r="M30" i="78"/>
  <c r="M47" i="78"/>
  <c r="L54" i="78"/>
  <c r="B51" i="79"/>
  <c r="G51" i="79" s="1"/>
  <c r="B51" i="117"/>
  <c r="D29" i="79"/>
  <c r="D29" i="117"/>
  <c r="G29" i="117" s="1"/>
  <c r="L64" i="78"/>
  <c r="L47" i="78"/>
  <c r="M54" i="78"/>
  <c r="M19" i="78"/>
  <c r="M20" i="78"/>
  <c r="D32" i="79"/>
  <c r="D32" i="117"/>
  <c r="G32" i="117" s="1"/>
  <c r="M36" i="78"/>
  <c r="M42" i="78"/>
  <c r="L66" i="78"/>
  <c r="L61" i="78"/>
  <c r="F65" i="78"/>
  <c r="E61" i="79" s="1"/>
  <c r="D17" i="79"/>
  <c r="D17" i="117"/>
  <c r="G17" i="117" s="1"/>
  <c r="L53" i="78"/>
  <c r="M51" i="78"/>
  <c r="M48" i="78"/>
  <c r="M44" i="78"/>
  <c r="J17" i="78"/>
  <c r="M61" i="78"/>
  <c r="L52" i="78"/>
  <c r="M62" i="78"/>
  <c r="J66" i="26"/>
  <c r="J70" i="78" s="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L125" i="78"/>
  <c r="M104" i="78"/>
  <c r="D21" i="79"/>
  <c r="D39" i="79"/>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79"/>
  <c r="D59" i="117"/>
  <c r="G59" i="117" s="1"/>
  <c r="D36" i="117"/>
  <c r="G36" i="117" s="1"/>
  <c r="D36" i="79"/>
  <c r="D111" i="23"/>
  <c r="A4" i="79"/>
  <c r="D173" i="23"/>
  <c r="H1645" i="23"/>
  <c r="I1642" i="23"/>
  <c r="C1954" i="1"/>
  <c r="B114" i="33"/>
  <c r="B125" i="33" s="1"/>
  <c r="B143" i="33" s="1"/>
  <c r="B144" i="33" s="1"/>
  <c r="B145" i="33" s="1"/>
  <c r="D881" i="23"/>
  <c r="D194" i="97" s="1"/>
  <c r="D830" i="23"/>
  <c r="D147" i="97" s="1"/>
  <c r="D54" i="79"/>
  <c r="D54" i="117"/>
  <c r="G54" i="117" s="1"/>
  <c r="D53" i="79"/>
  <c r="D53" i="117"/>
  <c r="G53" i="117" s="1"/>
  <c r="A933" i="23"/>
  <c r="C1929" i="1"/>
  <c r="C158" i="97" s="1"/>
  <c r="G10" i="114"/>
  <c r="G43" i="113"/>
  <c r="A347" i="23"/>
  <c r="H650" i="1"/>
  <c r="C649" i="1"/>
  <c r="D279" i="23"/>
  <c r="G12" i="114"/>
  <c r="C264" i="115"/>
  <c r="G18" i="109" l="1"/>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50" i="23"/>
  <c r="D1556" i="23" s="1"/>
  <c r="D1452" i="23"/>
  <c r="D1453" i="23" s="1"/>
  <c r="I1645" i="23"/>
  <c r="A1645" i="23" s="1"/>
  <c r="E36" i="78"/>
  <c r="A1642" i="23"/>
  <c r="E8" i="117"/>
  <c r="F14" i="117"/>
  <c r="F14" i="79"/>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A15" i="117"/>
  <c r="A26" i="117"/>
  <c r="L13" i="78"/>
  <c r="A11" i="117"/>
  <c r="E13" i="79"/>
  <c r="A19" i="117"/>
  <c r="A29" i="117"/>
  <c r="F61" i="117"/>
  <c r="A18" i="117"/>
  <c r="A24" i="117"/>
  <c r="L17" i="78"/>
  <c r="A23" i="117"/>
  <c r="A20" i="117"/>
  <c r="A27" i="117"/>
  <c r="A16" i="117"/>
  <c r="A32" i="117"/>
  <c r="A21" i="117"/>
  <c r="A31" i="117"/>
  <c r="A22" i="117"/>
  <c r="F13" i="79"/>
  <c r="A30" i="117"/>
  <c r="A17" i="117"/>
  <c r="A25" i="117"/>
  <c r="D112" i="23"/>
  <c r="D113" i="23" s="1"/>
  <c r="D192" i="23"/>
  <c r="D891" i="23"/>
  <c r="D196" i="97" s="1"/>
  <c r="C650" i="1"/>
  <c r="H651"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E5" i="79"/>
  <c r="D33" i="117"/>
  <c r="G33" i="117" s="1"/>
  <c r="D33" i="79"/>
  <c r="D1563" i="23"/>
  <c r="D1573" i="23" s="1"/>
  <c r="D1582" i="23" s="1"/>
  <c r="D1596" i="23" s="1"/>
  <c r="D918" i="23"/>
  <c r="D47" i="97" s="1"/>
  <c r="C651" i="1"/>
  <c r="H652"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3" i="111"/>
  <c r="G2" i="111"/>
  <c r="G7" i="111"/>
  <c r="F14" i="111"/>
  <c r="D216" i="115" s="1"/>
  <c r="F22" i="111"/>
  <c r="G14" i="111"/>
  <c r="G22" i="111"/>
  <c r="F15" i="111"/>
  <c r="D217" i="115" s="1"/>
  <c r="F23" i="111"/>
  <c r="G17" i="111"/>
  <c r="F3" i="111"/>
  <c r="C206" i="115" s="1"/>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O4" i="105" s="1"/>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52" i="1"/>
  <c r="H653" i="1"/>
  <c r="D204" i="115" l="1"/>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F5" i="107"/>
  <c r="O8" i="105"/>
  <c r="K8" i="105"/>
  <c r="J15" i="109"/>
  <c r="D140" i="115"/>
  <c r="O5" i="105"/>
  <c r="K5" i="105"/>
  <c r="D199" i="115"/>
  <c r="C199" i="115"/>
  <c r="I5" i="110"/>
  <c r="J12" i="109"/>
  <c r="D133" i="115"/>
  <c r="D141" i="115"/>
  <c r="J16" i="109"/>
  <c r="J7" i="109"/>
  <c r="D128" i="115"/>
  <c r="O9" i="105"/>
  <c r="K9" i="105"/>
  <c r="F6" i="107"/>
  <c r="D132" i="115"/>
  <c r="J11" i="109"/>
  <c r="D139" i="115"/>
  <c r="J14" i="109"/>
  <c r="D130" i="115"/>
  <c r="J9" i="109"/>
  <c r="O6" i="105"/>
  <c r="F4" i="107"/>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4" i="1"/>
  <c r="C653" i="1"/>
  <c r="G5" i="107" l="1"/>
  <c r="D87" i="115" s="1"/>
  <c r="G4" i="107"/>
  <c r="F11" i="107"/>
  <c r="G6" i="107"/>
  <c r="D88" i="115" s="1"/>
  <c r="F19" i="110"/>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54"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8" i="113"/>
  <c r="P2003" i="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K89" i="78" s="1"/>
  <c r="J82" i="26"/>
  <c r="J86" i="78" s="1"/>
  <c r="H78" i="26"/>
  <c r="F82" i="78" s="1"/>
  <c r="O75" i="26"/>
  <c r="H74" i="26"/>
  <c r="F78" i="78" s="1"/>
  <c r="O50" i="26"/>
  <c r="O43" i="26"/>
  <c r="O31" i="26"/>
  <c r="K77" i="26"/>
  <c r="K81" i="78" s="1"/>
  <c r="O29" i="26"/>
  <c r="O76" i="26"/>
  <c r="J85" i="26"/>
  <c r="J89" i="78" s="1"/>
  <c r="I82" i="26"/>
  <c r="G86" i="78" s="1"/>
  <c r="K78" i="26"/>
  <c r="K82" i="78" s="1"/>
  <c r="K75" i="26"/>
  <c r="O55" i="26"/>
  <c r="O45" i="26"/>
  <c r="O36" i="26"/>
  <c r="O30" i="26"/>
  <c r="O21" i="26"/>
  <c r="O17" i="26"/>
  <c r="H85" i="26"/>
  <c r="F89" i="78" s="1"/>
  <c r="H75" i="26"/>
  <c r="O51" i="26"/>
  <c r="O39" i="26"/>
  <c r="H81" i="26"/>
  <c r="F85" i="78" s="1"/>
  <c r="O53" i="26"/>
  <c r="I85" i="26"/>
  <c r="G89" i="78" s="1"/>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F26" i="78"/>
  <c r="E22" i="79" s="1"/>
  <c r="H45" i="26"/>
  <c r="F49" i="78" s="1"/>
  <c r="E45" i="117" s="1"/>
  <c r="H41" i="26"/>
  <c r="F45" i="78" s="1"/>
  <c r="E41" i="117" s="1"/>
  <c r="I57" i="26"/>
  <c r="G61" i="78" s="1"/>
  <c r="F57" i="117" s="1"/>
  <c r="H27" i="26"/>
  <c r="F31" i="78" s="1"/>
  <c r="E27" i="117" s="1"/>
  <c r="I56" i="26"/>
  <c r="G60" i="78" s="1"/>
  <c r="F27" i="78"/>
  <c r="E23" i="117" s="1"/>
  <c r="G22" i="78"/>
  <c r="F18" i="117" s="1"/>
  <c r="G25" i="78"/>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F25" i="78"/>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C2003" i="1" l="1"/>
  <c r="G5" i="106"/>
  <c r="D76" i="115" s="1"/>
  <c r="G4" i="106"/>
  <c r="F8" i="106"/>
  <c r="F7" i="106"/>
  <c r="F13" i="106"/>
  <c r="G10" i="106"/>
  <c r="F6" i="106"/>
  <c r="F5" i="106"/>
  <c r="F11" i="106"/>
  <c r="F4" i="106"/>
  <c r="F15" i="106"/>
  <c r="F12" i="106"/>
  <c r="G13" i="106"/>
  <c r="F10" i="106"/>
  <c r="J10" i="106" s="1"/>
  <c r="G6" i="106"/>
  <c r="D77" i="115" s="1"/>
  <c r="G14" i="106"/>
  <c r="G12" i="106"/>
  <c r="G7" i="106"/>
  <c r="D78" i="115" s="1"/>
  <c r="G15" i="106"/>
  <c r="F9" i="106"/>
  <c r="G11" i="106"/>
  <c r="G8" i="106"/>
  <c r="F14" i="106"/>
  <c r="G9" i="106"/>
  <c r="K94" i="78"/>
  <c r="K93" i="78"/>
  <c r="F94" i="78"/>
  <c r="E91" i="117" s="1"/>
  <c r="F93" i="78"/>
  <c r="E90" i="117" s="1"/>
  <c r="J94" i="78"/>
  <c r="J93" i="78"/>
  <c r="G94" i="78"/>
  <c r="G93" i="78"/>
  <c r="L19" i="78"/>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J14" i="106" l="1"/>
  <c r="J5" i="106"/>
  <c r="J15" i="106"/>
  <c r="J6" i="106"/>
  <c r="J8" i="106"/>
  <c r="F16" i="106"/>
  <c r="J4" i="106"/>
  <c r="C4" i="106" s="1"/>
  <c r="G16" i="106"/>
  <c r="D75" i="115"/>
  <c r="D74" i="115" s="1"/>
  <c r="D123" i="115" s="1"/>
  <c r="J11" i="106"/>
  <c r="J13" i="106"/>
  <c r="J9" i="106"/>
  <c r="J12" i="106"/>
  <c r="J7" i="106"/>
  <c r="E86" i="117"/>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G16" i="105"/>
  <c r="H16" i="105" s="1"/>
  <c r="D7" i="105"/>
  <c r="D6" i="105"/>
  <c r="D9" i="105"/>
  <c r="D8" i="105"/>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79" authorId="0">
      <text>
        <r>
          <rPr>
            <b/>
            <sz val="12"/>
            <color indexed="81"/>
            <rFont val="Times New Roman"/>
            <family val="1"/>
          </rPr>
          <t xml:space="preserve">Lưu ý: cáp hạ thế 0,6kV
</t>
        </r>
      </text>
    </comment>
    <comment ref="B2081" authorId="0">
      <text>
        <r>
          <rPr>
            <b/>
            <sz val="12"/>
            <color indexed="81"/>
            <rFont val="Times New Roman"/>
            <family val="1"/>
          </rPr>
          <t xml:space="preserve">Lưu ý: cáp hạ thế 0,6kV
</t>
        </r>
      </text>
    </comment>
    <comment ref="B2082" authorId="0">
      <text>
        <r>
          <rPr>
            <b/>
            <sz val="12"/>
            <color indexed="81"/>
            <rFont val="Times New Roman"/>
            <family val="1"/>
          </rPr>
          <t xml:space="preserve">Lưu ý: cáp hạ thế 0,6kV
</t>
        </r>
      </text>
    </comment>
    <comment ref="B231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authors>
    <author>Author</author>
  </authors>
  <commentList>
    <comment ref="G23" authorId="0">
      <text>
        <r>
          <rPr>
            <b/>
            <sz val="9"/>
            <color indexed="81"/>
            <rFont val="Tahoma"/>
            <family val="2"/>
          </rPr>
          <t>Author:</t>
        </r>
        <r>
          <rPr>
            <sz val="9"/>
            <color indexed="81"/>
            <rFont val="Tahoma"/>
            <family val="2"/>
          </rPr>
          <t xml:space="preserve">
Chưa có bản vẽ</t>
        </r>
      </text>
    </comment>
    <comment ref="H23" authorId="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<sst xmlns="http://schemas.openxmlformats.org/spreadsheetml/2006/main" count="17285" uniqueCount="5233">
  <si>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</si>
  <si>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</si>
  <si>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</si>
  <si>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</si>
  <si>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</si>
  <si>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</si>
  <si>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</si>
  <si>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</si>
  <si>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</si>
  <si>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</si>
  <si>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</si>
  <si>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</si>
  <si>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</si>
  <si>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</si>
  <si>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</si>
  <si>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</si>
  <si>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</si>
  <si>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</si>
  <si>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</si>
  <si>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</si>
  <si>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</si>
  <si>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</si>
  <si>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</si>
  <si>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</si>
  <si>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</si>
  <si>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</si>
  <si>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</si>
  <si>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</si>
  <si>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</si>
  <si>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</si>
  <si>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</si>
  <si>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</si>
  <si>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</si>
  <si>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</si>
  <si>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</si>
  <si>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</si>
  <si>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</si>
  <si>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</si>
  <si>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</si>
  <si>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</si>
  <si>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</si>
  <si>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</si>
  <si>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</si>
  <si>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</si>
  <si>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</si>
  <si>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</si>
  <si>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</si>
  <si>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</si>
  <si>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</si>
  <si>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</si>
  <si>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</si>
  <si>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</si>
  <si>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</si>
  <si>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</si>
  <si>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</si>
  <si>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</si>
  <si>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</si>
  <si>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</si>
  <si>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</si>
  <si>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</si>
  <si>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</si>
  <si>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</si>
  <si>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</si>
  <si>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</si>
  <si>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</si>
  <si>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</si>
  <si>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</si>
  <si>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</si>
  <si>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</si>
  <si>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</si>
  <si>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</si>
  <si>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</si>
  <si>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</si>
  <si>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</si>
  <si>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</si>
  <si>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</si>
  <si>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</si>
  <si>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</si>
  <si>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</si>
  <si>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</si>
  <si>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</si>
  <si>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</si>
  <si>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</si>
  <si>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</si>
  <si>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</si>
  <si>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</si>
  <si>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</si>
  <si>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</si>
  <si>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</si>
  <si>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</si>
  <si>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</si>
  <si>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</si>
  <si>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</si>
  <si>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</si>
  <si>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</si>
  <si>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</si>
  <si>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</si>
  <si>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</si>
  <si>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</si>
  <si>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</si>
  <si>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</si>
  <si>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</si>
  <si>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</si>
  <si>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</si>
  <si>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</si>
  <si>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</si>
  <si>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</si>
  <si>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</si>
  <si>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</si>
  <si>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</si>
  <si>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</si>
  <si>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</si>
  <si>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</si>
  <si>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</si>
  <si>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</si>
  <si>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</si>
  <si>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</si>
  <si>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</si>
  <si>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</si>
  <si>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</si>
  <si>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</si>
  <si>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</si>
  <si>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</si>
  <si>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</si>
  <si>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</si>
  <si>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</si>
  <si>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</si>
  <si>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</si>
  <si>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</si>
  <si>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</si>
  <si>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</si>
  <si>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</si>
  <si>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</si>
  <si>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</si>
  <si>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</si>
  <si>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</si>
  <si>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</si>
  <si>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</si>
  <si>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</si>
  <si>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</si>
  <si>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</si>
  <si>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</si>
  <si>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</si>
  <si>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</si>
  <si>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</si>
  <si>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</si>
  <si>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</si>
  <si>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</si>
  <si>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</si>
  <si>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</si>
  <si>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</si>
  <si>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</si>
  <si>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</si>
  <si>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</si>
  <si>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</si>
  <si>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</si>
  <si>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</si>
  <si>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</si>
  <si>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</si>
  <si>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</si>
  <si>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</si>
  <si>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</si>
  <si>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</si>
  <si>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</si>
  <si>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</si>
  <si>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</si>
  <si>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</si>
  <si>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</si>
  <si>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</si>
  <si>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</si>
  <si>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</si>
  <si>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</si>
  <si>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</si>
  <si>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</si>
  <si>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</si>
  <si>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</si>
  <si>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</si>
  <si>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</si>
  <si>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</si>
  <si>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</si>
  <si>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</si>
  <si>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</si>
  <si>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</si>
  <si>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</si>
  <si>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</si>
  <si>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</si>
  <si>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</si>
  <si>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</si>
  <si>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</si>
  <si>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</si>
  <si>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</si>
  <si>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</si>
  <si>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</si>
  <si>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</si>
  <si>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</si>
  <si>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</si>
  <si>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</si>
  <si>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</si>
  <si>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</si>
  <si>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</si>
  <si>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</si>
  <si>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</si>
  <si>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</si>
  <si>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</si>
  <si>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</si>
  <si>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</si>
  <si>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</si>
  <si>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</si>
  <si>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</si>
  <si>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</si>
  <si>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</si>
  <si>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</si>
  <si>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</si>
  <si>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</si>
  <si>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</si>
  <si>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</si>
  <si>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</si>
  <si>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</si>
  <si>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</si>
  <si>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</si>
  <si>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</si>
  <si>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</si>
  <si>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</si>
  <si>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</si>
  <si>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</si>
  <si>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</si>
  <si>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</si>
  <si>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</si>
  <si>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</si>
  <si>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</si>
  <si>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</si>
  <si>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</si>
  <si>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</si>
  <si>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</si>
  <si>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</si>
  <si>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</si>
  <si>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</si>
  <si>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</si>
  <si>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</si>
  <si>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</si>
  <si>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</si>
  <si>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</si>
  <si>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</si>
  <si>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</si>
  <si>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</si>
  <si>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</si>
  <si>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</si>
  <si>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</si>
  <si>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</si>
  <si>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</si>
  <si>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</si>
  <si>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</si>
  <si>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</si>
  <si>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</si>
  <si>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</si>
  <si>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</si>
  <si>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</si>
  <si>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</si>
  <si>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</si>
  <si>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</si>
  <si>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</si>
  <si>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</si>
  <si>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</si>
  <si>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</si>
  <si>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</si>
  <si>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</si>
  <si>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</si>
  <si>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</si>
  <si>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</si>
  <si>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</si>
  <si>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</si>
  <si>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</si>
  <si>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</si>
  <si>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</si>
  <si>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</si>
  <si>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</si>
  <si>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</si>
  <si>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</si>
  <si>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</si>
  <si>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</si>
  <si>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</si>
  <si>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</si>
  <si>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</si>
  <si>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</si>
  <si>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</si>
  <si>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</si>
  <si>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</si>
  <si>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</si>
  <si>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</si>
  <si>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</si>
  <si>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</si>
  <si>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</si>
  <si>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</si>
  <si>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</si>
  <si>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</si>
  <si>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</si>
  <si>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</si>
  <si>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</si>
  <si>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</si>
  <si>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</si>
  <si>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</si>
  <si>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</si>
  <si>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</si>
  <si>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</si>
  <si>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</si>
  <si>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</si>
  <si>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</si>
  <si>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</si>
  <si>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</si>
  <si>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</si>
  <si>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</si>
  <si>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</si>
  <si>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</si>
  <si>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</si>
  <si>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</si>
  <si>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</si>
  <si>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</si>
  <si>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</si>
  <si>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</si>
  <si>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</si>
  <si>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</si>
  <si>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</si>
  <si>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</si>
  <si>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</si>
  <si>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</si>
  <si>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</si>
  <si>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</si>
  <si>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</si>
  <si>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</si>
  <si>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</si>
  <si>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</si>
  <si>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</si>
  <si>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</si>
  <si>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</si>
  <si>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</si>
  <si>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</si>
  <si>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</si>
  <si>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</si>
  <si>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</si>
  <si>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</si>
  <si>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</si>
  <si>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</si>
  <si>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</si>
  <si>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</si>
  <si>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</si>
  <si>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</si>
  <si>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</si>
  <si>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</si>
  <si>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</si>
  <si>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</si>
  <si>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</si>
  <si>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</si>
  <si>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</si>
  <si>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</si>
  <si>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</si>
  <si>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</si>
  <si>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</si>
  <si>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</si>
  <si>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</si>
  <si>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</si>
  <si>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</si>
  <si>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</si>
  <si>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</si>
  <si>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</si>
  <si>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</si>
  <si>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</si>
  <si>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</si>
  <si>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</si>
  <si>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</si>
  <si>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</si>
  <si>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</si>
  <si>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</si>
  <si>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</si>
  <si>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</si>
  <si>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</si>
  <si>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</si>
  <si>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</si>
  <si>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</si>
  <si>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</si>
  <si>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</si>
  <si>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</si>
  <si>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</si>
  <si>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</si>
  <si>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</si>
  <si>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</si>
  <si>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</si>
  <si>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</si>
  <si>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</si>
  <si>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</si>
  <si>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</si>
  <si>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</si>
  <si>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</si>
  <si>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</si>
  <si>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</si>
  <si>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</si>
  <si>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</si>
  <si>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</si>
  <si>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</si>
  <si>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</si>
  <si>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</si>
  <si>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</si>
  <si>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</si>
  <si>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</si>
  <si>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</si>
  <si>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</si>
  <si>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</si>
  <si>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</si>
  <si>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</si>
  <si>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</si>
  <si>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</si>
  <si>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</si>
  <si>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</si>
  <si>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</si>
  <si>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</si>
  <si>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</si>
  <si>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</si>
  <si>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</si>
  <si>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</si>
  <si>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</si>
  <si>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</si>
  <si>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</si>
  <si>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</si>
  <si>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</si>
  <si>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</si>
  <si>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</si>
  <si>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</si>
  <si>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</si>
  <si>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</si>
  <si>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</si>
  <si>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</si>
  <si>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</si>
  <si>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</si>
  <si>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</si>
  <si>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</si>
  <si>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</si>
  <si>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</si>
  <si>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</si>
  <si>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</si>
  <si>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</si>
  <si>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</si>
  <si>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</si>
  <si>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</si>
  <si>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</si>
  <si>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</si>
  <si>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</si>
  <si>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</si>
  <si>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</si>
  <si>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</si>
  <si>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</si>
  <si>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</si>
  <si>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</si>
  <si>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</si>
  <si>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</si>
  <si>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</si>
  <si>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</si>
  <si>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</si>
  <si>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</si>
  <si>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</si>
  <si>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</si>
  <si>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</si>
  <si>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</si>
  <si>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</si>
  <si>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</si>
  <si>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</si>
  <si>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</si>
  <si>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</si>
  <si>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</si>
  <si>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</si>
  <si>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</si>
  <si>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</si>
  <si>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</si>
  <si>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</si>
  <si>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</si>
  <si>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</si>
  <si>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</si>
  <si>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</si>
  <si>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</si>
  <si>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</si>
  <si>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</si>
  <si>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</si>
  <si>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</si>
  <si>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</si>
  <si>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</si>
  <si>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</si>
  <si>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</si>
  <si>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</si>
  <si>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</si>
  <si>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</si>
  <si>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</si>
  <si>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</si>
  <si>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</si>
  <si>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</si>
  <si>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</si>
  <si>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</si>
  <si>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</si>
  <si>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</si>
  <si>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</si>
  <si>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</si>
  <si>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</si>
  <si>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</si>
  <si>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</si>
  <si>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</si>
  <si>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</si>
  <si>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</si>
  <si>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</si>
  <si>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</si>
  <si>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</si>
  <si>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</si>
  <si>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</si>
  <si>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</si>
  <si>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</si>
  <si>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</si>
  <si>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</si>
  <si>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</si>
  <si>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</si>
  <si>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</si>
  <si>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</si>
  <si>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</si>
  <si>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</si>
  <si>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</si>
  <si>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</si>
  <si>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</si>
  <si>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</si>
  <si>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</si>
  <si>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</si>
  <si>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</si>
  <si>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</si>
  <si>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</si>
  <si>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</si>
  <si>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</si>
  <si>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</si>
  <si>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</si>
  <si>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</si>
  <si>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</si>
  <si>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</si>
  <si>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</si>
  <si>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</si>
  <si>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</si>
  <si>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</si>
  <si>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</si>
  <si>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</si>
  <si>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</si>
  <si>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</si>
  <si>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</si>
  <si>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</si>
  <si>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</si>
  <si>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</si>
  <si>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</si>
  <si>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</si>
  <si>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</si>
  <si>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</si>
  <si>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</si>
  <si>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</si>
  <si>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</si>
  <si>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</si>
  <si>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</si>
  <si>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</si>
  <si>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</si>
  <si>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</si>
  <si>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</si>
  <si>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</si>
  <si>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</si>
  <si>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</si>
  <si>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</si>
  <si>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</si>
  <si>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</si>
  <si>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</si>
  <si>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</si>
  <si>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</si>
  <si>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</si>
  <si>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</si>
  <si>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</si>
  <si>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</si>
  <si>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</si>
  <si>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</si>
  <si>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</si>
  <si>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</si>
  <si>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</si>
  <si>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</si>
  <si>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</si>
  <si>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</si>
  <si>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</si>
  <si>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</si>
  <si>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</si>
  <si>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</si>
  <si>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</si>
  <si>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</si>
  <si>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</si>
  <si>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</si>
  <si>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</si>
  <si>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</si>
  <si>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</si>
  <si>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</si>
  <si>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</si>
  <si>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</si>
  <si>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</si>
  <si>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</si>
  <si>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</si>
  <si>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</si>
  <si>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</si>
  <si>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</si>
  <si>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</si>
  <si>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</si>
  <si>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</si>
  <si>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</si>
  <si>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</si>
  <si>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</si>
  <si>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</si>
  <si>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</si>
  <si>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</si>
  <si>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</si>
  <si>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</si>
  <si>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</si>
  <si>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</si>
  <si>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</si>
  <si>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</si>
  <si>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</si>
  <si>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</si>
  <si>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</si>
  <si>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</si>
  <si>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</si>
  <si>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</si>
  <si>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</si>
  <si>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</si>
  <si>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</si>
  <si>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</si>
  <si>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</si>
  <si>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</si>
  <si>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</si>
  <si>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</si>
  <si>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</si>
  <si>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</si>
  <si>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</si>
  <si>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</si>
  <si>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</si>
  <si>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</si>
  <si>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</si>
  <si>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</si>
  <si>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</si>
  <si>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</si>
  <si>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</si>
  <si>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</si>
  <si>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</si>
  <si>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</si>
  <si>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</si>
  <si>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</si>
  <si>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</si>
  <si>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</si>
  <si>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</si>
  <si>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</si>
  <si>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</si>
  <si>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</si>
  <si>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</si>
  <si>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</si>
  <si>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</si>
  <si>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</si>
  <si>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</si>
  <si>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</si>
  <si>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</si>
  <si>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</si>
  <si>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</si>
  <si>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</si>
  <si>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</si>
  <si>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</si>
  <si>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</si>
  <si>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</si>
  <si>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</si>
  <si>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</si>
  <si>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</si>
  <si>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</si>
  <si>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</si>
  <si>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</si>
  <si>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</si>
  <si>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</si>
  <si>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</si>
  <si>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</si>
  <si>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</si>
  <si>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</si>
  <si>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</si>
  <si>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</si>
  <si>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</si>
  <si>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</si>
  <si>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</si>
  <si>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</si>
  <si>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</si>
  <si>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</si>
  <si>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</si>
  <si>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</si>
  <si>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</si>
  <si>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</si>
  <si>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</si>
  <si>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</si>
  <si>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</si>
  <si>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</si>
  <si>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</si>
  <si>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</si>
  <si>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</si>
  <si>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</si>
  <si>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</si>
  <si>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</si>
  <si>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</si>
  <si>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</si>
  <si>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</si>
  <si>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</si>
  <si>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</si>
  <si>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</si>
  <si>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</si>
  <si>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</si>
  <si>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</si>
  <si>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</si>
  <si>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</si>
  <si>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</si>
  <si>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</si>
  <si>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</si>
  <si>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</si>
  <si>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</si>
  <si>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</si>
  <si>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</si>
  <si>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</si>
  <si>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</si>
  <si>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</si>
  <si>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</si>
  <si>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</si>
  <si>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</si>
  <si>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</si>
  <si>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</si>
  <si>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</si>
  <si>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</si>
  <si>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</si>
  <si>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</si>
  <si>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</si>
  <si>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</si>
  <si>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</si>
  <si>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</si>
  <si>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</si>
  <si>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</si>
  <si>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</si>
  <si>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</si>
  <si>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</si>
  <si>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</si>
  <si>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</si>
  <si>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</si>
  <si>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</si>
  <si>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</si>
  <si>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</si>
  <si>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</si>
  <si>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</si>
  <si>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</si>
  <si>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</si>
  <si>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</si>
  <si>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</si>
  <si>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</si>
  <si>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</si>
  <si>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</si>
  <si>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</si>
  <si>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</si>
  <si>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</si>
  <si>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</si>
  <si>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</si>
  <si>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</si>
  <si>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</si>
  <si>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</si>
  <si>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</si>
  <si>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</si>
  <si>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</si>
  <si>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</si>
  <si>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</si>
  <si>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</si>
  <si>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</si>
  <si>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</si>
  <si>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</si>
  <si>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</si>
  <si>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</si>
  <si>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</si>
  <si>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</si>
  <si>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</si>
  <si>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</si>
  <si>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</si>
  <si>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</si>
  <si>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</si>
  <si>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</si>
  <si>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</si>
  <si>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</si>
  <si>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</si>
  <si>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</si>
  <si>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</si>
  <si>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</si>
  <si>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</si>
  <si>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</si>
  <si>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</si>
  <si>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</si>
  <si>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</si>
  <si>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</si>
  <si>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</si>
  <si>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</si>
  <si>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</si>
  <si>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</si>
  <si>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</si>
  <si>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</si>
  <si>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</si>
  <si>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</si>
  <si>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</si>
  <si>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</si>
  <si>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</si>
  <si>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</si>
  <si>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</si>
  <si>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</si>
  <si>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</si>
  <si>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</si>
  <si>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</si>
  <si>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</si>
  <si>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</si>
  <si>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</si>
  <si>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</si>
  <si>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</si>
  <si>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</si>
  <si>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</si>
  <si>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</si>
  <si>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</si>
  <si>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</si>
  <si>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</si>
  <si>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</si>
  <si>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</si>
  <si>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</si>
  <si>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</si>
  <si>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</si>
  <si>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</si>
  <si>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</si>
  <si>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</si>
  <si>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</si>
  <si>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</si>
  <si>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</si>
  <si>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</si>
  <si>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</si>
  <si>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</si>
  <si>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</si>
  <si>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</si>
  <si>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</si>
  <si>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</si>
  <si>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</si>
  <si>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</si>
  <si>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</si>
  <si>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</si>
  <si>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</si>
  <si>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</si>
  <si>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</si>
  <si>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</si>
  <si>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</si>
  <si>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</si>
  <si>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</si>
  <si>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</si>
  <si>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</si>
  <si>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</si>
  <si>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</si>
  <si>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</si>
  <si>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</si>
  <si>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</si>
  <si>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</si>
  <si>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</si>
  <si>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</si>
  <si>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</si>
  <si>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</si>
  <si>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</si>
  <si>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</si>
  <si>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</si>
  <si>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</si>
  <si>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</si>
  <si>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</si>
  <si>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</si>
  <si>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</si>
  <si>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</si>
  <si>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</si>
  <si>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</si>
  <si>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</si>
  <si>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</si>
  <si>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</si>
  <si>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</si>
  <si>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</si>
  <si>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</si>
  <si>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</si>
  <si>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</si>
  <si>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</si>
  <si>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</si>
  <si>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</si>
  <si>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</si>
  <si>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</si>
  <si>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</si>
  <si>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</si>
  <si>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</si>
  <si>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</si>
  <si>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</si>
  <si>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</si>
  <si>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</si>
  <si>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</si>
  <si>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</si>
  <si>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</si>
  <si>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</si>
  <si>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</si>
  <si>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</si>
  <si>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</si>
  <si>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</si>
  <si>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</si>
  <si>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</si>
  <si>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</si>
  <si>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</si>
  <si>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</si>
  <si>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</si>
  <si>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</si>
  <si>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</si>
  <si>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</si>
  <si>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</si>
  <si>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</si>
  <si>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</si>
  <si>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</si>
  <si>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</si>
  <si>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</si>
  <si>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</si>
  <si>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</si>
  <si>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</si>
  <si>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</si>
  <si>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</si>
  <si>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</si>
  <si>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</si>
  <si>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</si>
  <si>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</si>
  <si>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</si>
  <si>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</si>
  <si>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</si>
  <si>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</si>
  <si>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</si>
  <si>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</si>
  <si>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</si>
  <si>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</si>
  <si>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</si>
  <si>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</si>
  <si>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</si>
  <si>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</si>
  <si>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</si>
  <si>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</si>
  <si>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</si>
  <si>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</si>
  <si>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</si>
  <si>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</si>
  <si>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</si>
  <si>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</si>
  <si>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</si>
  <si>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</si>
  <si>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</si>
  <si>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</si>
  <si>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</si>
  <si>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</si>
  <si>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</si>
  <si>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</si>
  <si>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</si>
  <si>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</si>
  <si>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</si>
  <si>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</si>
  <si>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</si>
  <si>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</si>
  <si>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</si>
  <si>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</si>
  <si>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</si>
  <si>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</si>
  <si>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</si>
  <si>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</si>
  <si>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</si>
  <si>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</si>
  <si>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</si>
  <si>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</si>
  <si>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</si>
  <si>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</si>
  <si>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</si>
  <si>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</si>
  <si>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</si>
  <si>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</si>
  <si>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</si>
  <si>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</si>
  <si>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</si>
  <si>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</si>
  <si>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</si>
  <si>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</si>
  <si>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</si>
  <si>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</si>
  <si>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</si>
  <si>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</si>
  <si>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</si>
  <si>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</si>
  <si>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</si>
  <si>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</si>
  <si>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</si>
  <si>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</si>
  <si>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</si>
  <si>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</si>
  <si>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</si>
  <si>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</si>
  <si>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</si>
  <si>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</si>
  <si>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</si>
  <si>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</si>
  <si>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</si>
  <si>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</si>
  <si>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</si>
  <si>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</si>
  <si>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</si>
  <si>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</si>
  <si>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</si>
  <si>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</si>
  <si>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</si>
  <si>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</si>
  <si>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</si>
  <si>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</si>
  <si>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</si>
  <si>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</si>
  <si>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</si>
  <si>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</si>
  <si>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</si>
  <si>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</si>
  <si>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</si>
  <si>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</si>
  <si>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</si>
  <si>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</si>
  <si>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</si>
  <si>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</si>
  <si>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</si>
  <si>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</si>
  <si>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</si>
  <si>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</si>
  <si>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</si>
  <si>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</si>
  <si>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</si>
  <si>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</si>
  <si>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</si>
  <si>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</si>
  <si>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</si>
  <si>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</si>
  <si>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</si>
  <si>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</si>
  <si>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</si>
  <si>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</si>
  <si>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</si>
  <si>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</si>
  <si>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</si>
  <si>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</si>
  <si>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</si>
  <si>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</si>
  <si>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</si>
  <si>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</si>
  <si>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</si>
  <si>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</si>
  <si>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</si>
  <si>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</si>
  <si>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</si>
  <si>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</si>
  <si>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</si>
  <si>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</si>
  <si>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</si>
  <si>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</si>
  <si>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</si>
  <si>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</si>
  <si>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</si>
  <si>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</si>
  <si>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</si>
  <si>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</si>
  <si>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</si>
  <si>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</si>
  <si>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</si>
  <si>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</si>
  <si>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</si>
  <si>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</si>
  <si>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</si>
  <si>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</si>
  <si>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</si>
  <si>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</si>
  <si>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</si>
  <si>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</si>
  <si>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</si>
  <si>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</si>
  <si>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</si>
  <si>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</si>
  <si>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</si>
  <si>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</si>
  <si>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</si>
  <si>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</si>
  <si>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</si>
  <si>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</si>
  <si>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</si>
  <si>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</si>
  <si>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</si>
  <si>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</si>
  <si>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</si>
  <si>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</si>
  <si>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</si>
  <si>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</si>
  <si>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</si>
  <si>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</si>
  <si>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</si>
  <si>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</si>
  <si>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</si>
  <si>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</si>
  <si>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</si>
  <si>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</si>
  <si>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</si>
  <si>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</si>
  <si>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</si>
  <si>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</si>
  <si>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</si>
  <si>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</si>
  <si>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</si>
  <si>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</si>
  <si>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</si>
  <si>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</si>
  <si>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</si>
  <si>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</si>
  <si>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</si>
  <si>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</si>
  <si>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</si>
  <si>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</si>
  <si>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</si>
  <si>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</si>
  <si>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</si>
  <si>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</si>
  <si>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</si>
  <si>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</si>
  <si>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</si>
  <si>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</si>
  <si>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</si>
  <si>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</si>
  <si>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</si>
  <si>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</si>
  <si>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</si>
  <si>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</si>
  <si>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</si>
  <si>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</si>
  <si>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</si>
  <si>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</si>
  <si>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</si>
  <si>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</si>
  <si>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</si>
  <si>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</si>
  <si>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</si>
  <si>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</si>
  <si>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</si>
  <si>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</si>
  <si>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</si>
  <si>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</si>
  <si>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</si>
  <si>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</si>
  <si>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</si>
  <si>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</si>
  <si>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</si>
  <si>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</si>
  <si>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</si>
  <si>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</si>
  <si>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</si>
  <si>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</si>
  <si>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</si>
  <si>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</si>
  <si>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</si>
  <si>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</si>
  <si>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</si>
  <si>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</si>
  <si>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</si>
  <si>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</si>
  <si>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</si>
  <si>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</si>
  <si>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</si>
  <si>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</si>
  <si>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</si>
  <si>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</si>
  <si>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</si>
  <si>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</si>
  <si>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</si>
  <si>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</si>
  <si>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</si>
  <si>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</si>
  <si>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</si>
  <si>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</si>
  <si>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</si>
  <si>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</si>
  <si>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</si>
  <si>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</si>
  <si>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</si>
  <si>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</si>
  <si>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</si>
  <si>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</si>
  <si>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</si>
  <si>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</si>
  <si>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</si>
  <si>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</si>
  <si>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</si>
  <si>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</si>
  <si>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</si>
  <si>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</si>
  <si>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</si>
  <si>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</si>
  <si>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</si>
  <si>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</si>
  <si>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</si>
  <si>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</si>
  <si>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</si>
  <si>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</si>
  <si>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</si>
  <si>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</si>
  <si>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</si>
  <si>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</si>
  <si>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</si>
  <si>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</si>
  <si>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</si>
  <si>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</si>
  <si>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</si>
  <si>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</si>
  <si>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</si>
  <si>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</si>
  <si>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</si>
  <si>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</si>
  <si>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</si>
  <si>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</si>
  <si>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</si>
  <si>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</si>
  <si>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</si>
  <si>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</si>
  <si>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</si>
  <si>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</si>
  <si>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</si>
  <si>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</si>
  <si>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</si>
  <si>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</si>
  <si>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</si>
  <si>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</si>
  <si>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</si>
  <si>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</si>
  <si>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</si>
  <si>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</si>
  <si>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</si>
  <si>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</si>
  <si>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</si>
  <si>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</si>
  <si>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</si>
  <si>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</si>
  <si>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</si>
  <si>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</si>
  <si>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</si>
  <si>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</si>
  <si>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</si>
  <si>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</si>
  <si>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</si>
  <si>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</si>
  <si>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</si>
  <si>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</si>
  <si>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</si>
  <si>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</si>
  <si>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</si>
  <si>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</si>
  <si>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</si>
  <si>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</si>
  <si>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</si>
  <si>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</si>
  <si>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</si>
  <si>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</si>
  <si>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</si>
  <si>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</si>
  <si>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</si>
  <si>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</si>
  <si>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</si>
  <si>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</si>
  <si>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</si>
  <si>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</si>
  <si>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</si>
  <si>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</si>
  <si>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</si>
  <si>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</si>
  <si>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</si>
  <si>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</si>
  <si>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</si>
  <si>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</si>
  <si>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</si>
  <si>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</si>
  <si>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</si>
  <si>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</si>
  <si>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</si>
  <si>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</si>
  <si>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</si>
  <si>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</si>
  <si>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</si>
  <si>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</si>
  <si>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</si>
  <si>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</si>
  <si>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</si>
  <si>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</si>
  <si>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</si>
  <si>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</si>
  <si>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</si>
  <si>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</si>
  <si>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</si>
  <si>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</si>
  <si>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</si>
  <si>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</si>
  <si>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</si>
  <si>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</si>
  <si>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</si>
  <si>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</si>
  <si>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</si>
  <si>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</si>
  <si>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</si>
  <si>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</si>
  <si>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</si>
  <si>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</si>
  <si>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</si>
  <si>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</si>
  <si>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</si>
  <si>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</si>
  <si>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</si>
  <si>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</si>
  <si>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</si>
  <si>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</si>
  <si>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</si>
  <si>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</si>
  <si>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</si>
  <si>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</si>
  <si>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</si>
  <si>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</si>
  <si>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</si>
  <si>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</si>
  <si>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</si>
  <si>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</si>
  <si>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</si>
  <si>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</si>
  <si>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</si>
  <si>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</si>
  <si>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</si>
  <si>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</si>
  <si>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</si>
  <si>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</si>
  <si>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</si>
  <si>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</si>
  <si>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</si>
  <si>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</si>
  <si>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</si>
  <si>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</si>
  <si>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</si>
  <si>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</si>
  <si>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</si>
  <si>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</si>
  <si>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</si>
  <si>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</si>
  <si>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</si>
  <si>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</si>
  <si>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</si>
  <si>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</si>
  <si>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</si>
  <si>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</si>
  <si>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</si>
  <si>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</si>
  <si>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</si>
  <si>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</si>
  <si>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</si>
  <si>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</si>
  <si>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</si>
  <si>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</si>
  <si>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</si>
  <si>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</si>
  <si>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</si>
  <si>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</si>
  <si>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</si>
  <si>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</si>
  <si>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</si>
  <si>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</si>
  <si>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</si>
  <si>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</si>
  <si>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</si>
  <si>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</si>
  <si>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</si>
  <si>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</si>
  <si>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</si>
  <si>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</si>
  <si>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</si>
  <si>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</si>
  <si>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</si>
  <si>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</si>
  <si>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</si>
  <si>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</si>
  <si>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</si>
  <si>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</si>
  <si>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</si>
  <si>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</si>
  <si>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</si>
  <si>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</si>
  <si>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</si>
  <si>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</si>
  <si>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</si>
  <si>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</si>
  <si>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</si>
  <si>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</si>
  <si>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</si>
  <si>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</si>
  <si>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</si>
  <si>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</si>
  <si>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</si>
  <si>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</si>
  <si>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</si>
  <si>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</si>
  <si>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</si>
  <si>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</si>
  <si>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</si>
  <si>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</si>
  <si>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</si>
  <si>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</si>
  <si>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</si>
  <si>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</si>
  <si>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</si>
  <si>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</si>
  <si>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</si>
  <si>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</si>
  <si>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</si>
  <si>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</si>
  <si>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</si>
  <si>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</si>
  <si>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</si>
  <si>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</si>
  <si>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</si>
  <si>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</si>
  <si>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</si>
  <si>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</si>
  <si>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</si>
  <si>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</si>
  <si>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</si>
  <si>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</si>
  <si>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</si>
  <si>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</si>
  <si>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</si>
  <si>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</si>
  <si>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</si>
  <si>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</si>
  <si>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</si>
  <si>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</si>
  <si>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</si>
  <si>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</si>
  <si>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</si>
  <si>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</si>
  <si>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</si>
  <si>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</si>
  <si>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</si>
  <si>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</si>
  <si>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</si>
  <si>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</si>
  <si>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</si>
  <si>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</si>
  <si>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</si>
  <si>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</si>
  <si>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</si>
  <si>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</si>
  <si>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</si>
  <si>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</si>
  <si>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</si>
  <si>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</si>
  <si>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</si>
  <si>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</si>
  <si>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</si>
  <si>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</si>
  <si>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</si>
  <si>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</si>
  <si>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</si>
  <si>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</si>
  <si>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</si>
  <si>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</si>
  <si>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</si>
  <si>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</si>
  <si>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</si>
  <si>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</si>
  <si>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</si>
  <si>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</si>
  <si>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</si>
  <si>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</si>
  <si>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</si>
  <si>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</si>
  <si>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</si>
  <si>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</si>
  <si>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</si>
  <si>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</si>
  <si>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</si>
  <si>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</si>
  <si>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</si>
  <si>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</si>
  <si>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</si>
  <si>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</si>
  <si>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</si>
  <si>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</si>
  <si>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</si>
  <si>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</si>
  <si>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</si>
  <si>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</si>
  <si>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</si>
  <si>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</si>
  <si>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</si>
  <si>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</si>
  <si>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</si>
  <si>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</si>
  <si>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</si>
  <si>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</si>
  <si>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</si>
  <si>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</si>
  <si>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</si>
  <si>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</si>
  <si>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</si>
  <si>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</si>
  <si>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</si>
  <si>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</si>
  <si>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</si>
  <si>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</si>
  <si>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</si>
  <si>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</si>
  <si>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</si>
  <si>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</si>
  <si>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</si>
  <si>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</si>
  <si>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</si>
  <si>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</si>
  <si>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</si>
  <si>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</si>
  <si>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</si>
  <si>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</si>
  <si>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</si>
  <si>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</si>
  <si>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</si>
  <si>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</si>
  <si>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</si>
  <si>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</si>
  <si>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</si>
  <si>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</si>
  <si>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</si>
  <si>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</si>
  <si>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</si>
  <si>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</si>
  <si>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</si>
  <si>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</si>
  <si>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</si>
  <si>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</si>
  <si>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</si>
  <si>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</si>
  <si>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</si>
  <si>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</si>
  <si>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</si>
  <si>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</si>
  <si>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</si>
  <si>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</si>
  <si>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</si>
  <si>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</si>
  <si>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</si>
  <si>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</si>
  <si>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</si>
  <si>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</si>
  <si>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</si>
  <si>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</si>
  <si>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</si>
  <si>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</si>
  <si>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</si>
  <si>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</si>
  <si>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</si>
  <si>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</si>
  <si>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</si>
  <si>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</si>
  <si>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</si>
  <si>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</si>
  <si>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</si>
  <si>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</si>
  <si>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</si>
  <si>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</si>
  <si>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</si>
  <si>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</si>
  <si>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</si>
  <si>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</si>
  <si>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</si>
  <si>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</si>
  <si>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</si>
  <si>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</si>
  <si>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</si>
  <si>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</si>
  <si>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</si>
  <si>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</si>
  <si>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</si>
  <si>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</si>
  <si>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</si>
  <si>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</si>
  <si>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</si>
  <si>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</si>
  <si>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</si>
  <si>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</si>
  <si>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</si>
  <si>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</si>
  <si>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</si>
  <si>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</si>
  <si>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</si>
  <si>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</si>
  <si>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</si>
  <si>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</si>
  <si>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</si>
  <si>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</si>
  <si>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</si>
  <si>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</si>
  <si>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</si>
  <si>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</si>
  <si>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</si>
  <si>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</si>
  <si>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</si>
  <si>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</si>
  <si>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</si>
  <si>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</si>
  <si>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</si>
  <si>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</si>
  <si>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</si>
  <si>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</si>
  <si>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</si>
  <si>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</si>
  <si>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</si>
  <si>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</si>
  <si>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</si>
  <si>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</si>
  <si>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</si>
  <si>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</si>
  <si>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</si>
  <si>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</si>
  <si>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</si>
  <si>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</si>
  <si>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</si>
  <si>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</si>
  <si>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</si>
  <si>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</si>
  <si>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</si>
  <si>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</si>
  <si>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</si>
  <si>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</si>
  <si>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</si>
  <si>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</si>
  <si>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</si>
  <si>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</si>
  <si>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</si>
  <si>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</si>
  <si>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</si>
  <si>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</si>
  <si>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</si>
  <si>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</si>
  <si>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</si>
  <si>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</si>
  <si>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</si>
  <si>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</si>
  <si>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</si>
  <si>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</si>
  <si>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</si>
  <si>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</si>
  <si>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</si>
  <si>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</si>
  <si>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</si>
  <si>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</si>
  <si>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</si>
  <si>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</si>
  <si>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</si>
  <si>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</si>
  <si>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</si>
  <si>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</si>
  <si>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</si>
  <si>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</si>
  <si>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</si>
  <si>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</si>
  <si>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</si>
  <si>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</si>
  <si>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</si>
  <si>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</si>
  <si>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</si>
  <si>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</si>
  <si>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</si>
  <si>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</si>
  <si>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</si>
  <si>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</si>
  <si>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</si>
  <si>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</si>
  <si>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</si>
  <si>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</si>
  <si>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</si>
  <si>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</si>
  <si>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</si>
  <si>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</si>
  <si>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</si>
  <si>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</si>
  <si>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</si>
  <si>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</si>
  <si>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</si>
  <si>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</si>
  <si>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</si>
  <si>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</si>
  <si>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</si>
  <si>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</si>
  <si>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</si>
  <si>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</si>
  <si>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</si>
  <si>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</si>
  <si>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</si>
  <si>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</si>
  <si>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</si>
  <si>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</si>
  <si>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</si>
  <si>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</si>
  <si>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</si>
  <si>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</si>
  <si>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</si>
  <si>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</si>
  <si>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</si>
  <si>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</si>
  <si>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</si>
  <si>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</si>
  <si>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</si>
  <si>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</si>
  <si>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</si>
  <si>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</si>
  <si>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</si>
  <si>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</si>
  <si>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</si>
  <si>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</si>
  <si>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</si>
  <si>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</si>
  <si>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</si>
  <si>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</si>
  <si>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</si>
  <si>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</si>
  <si>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</si>
  <si>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</si>
  <si>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</si>
  <si>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</si>
  <si>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</si>
  <si>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</si>
  <si>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</si>
  <si>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</si>
  <si>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</si>
  <si>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</si>
  <si>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</si>
  <si>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</si>
  <si>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</si>
  <si>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</si>
  <si>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</si>
  <si>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</si>
  <si>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</si>
  <si>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</si>
  <si>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</si>
  <si>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</si>
  <si>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</si>
  <si>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</si>
  <si>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</si>
  <si>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</si>
  <si>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</si>
  <si>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</si>
  <si>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</si>
  <si>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</si>
  <si>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</si>
  <si>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</si>
  <si>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</si>
  <si>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</si>
  <si>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</si>
  <si>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</si>
  <si>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</si>
  <si>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</si>
  <si>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</si>
  <si>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</si>
  <si>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</si>
  <si>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</si>
  <si>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</si>
  <si>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</si>
  <si>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</si>
  <si>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</si>
  <si>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</si>
  <si>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</si>
  <si>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</si>
  <si>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</si>
  <si>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</si>
  <si>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</si>
  <si>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</si>
  <si>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</si>
  <si>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</si>
  <si>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</si>
  <si>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</si>
  <si>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</si>
  <si>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</si>
  <si>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</si>
  <si>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</si>
  <si>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</si>
  <si>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</si>
  <si>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</si>
  <si>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</si>
  <si>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</si>
  <si>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</si>
  <si>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</si>
  <si>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</si>
  <si>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</si>
  <si>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</si>
  <si>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</si>
  <si>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</si>
  <si>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</si>
  <si>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</si>
  <si>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</si>
  <si>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</si>
  <si>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</si>
  <si>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</si>
  <si>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</si>
  <si>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</si>
  <si>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</si>
  <si>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</si>
  <si>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</si>
  <si>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</si>
  <si>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</si>
  <si>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</si>
  <si>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</si>
  <si>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</si>
  <si>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</si>
  <si>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</si>
  <si>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</si>
  <si>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</si>
  <si>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</si>
  <si>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</si>
  <si>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</si>
  <si>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</si>
  <si>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</si>
  <si>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</si>
  <si>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</si>
  <si>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</si>
  <si>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</si>
  <si>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</si>
  <si>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</si>
  <si>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</si>
  <si>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</si>
  <si>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</si>
  <si>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</si>
  <si>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</si>
  <si>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</si>
  <si>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</si>
  <si>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</si>
  <si>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</si>
  <si>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</si>
  <si>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</si>
  <si>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</si>
  <si>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</si>
  <si>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</si>
  <si>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</si>
  <si>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</si>
  <si>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</si>
  <si>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</si>
  <si>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</si>
  <si>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</si>
  <si>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</si>
  <si>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</si>
  <si>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</si>
  <si>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</si>
  <si>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</si>
  <si>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</si>
  <si>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</si>
  <si>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</si>
  <si>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</si>
  <si>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</si>
  <si>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</si>
  <si>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</si>
  <si>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</si>
  <si>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</si>
  <si>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</si>
  <si>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</si>
  <si>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</si>
  <si>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</si>
  <si>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</si>
  <si>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</si>
  <si>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</si>
  <si>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</si>
  <si>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</si>
  <si>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</si>
  <si>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</si>
  <si>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</si>
  <si>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</si>
  <si>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</si>
  <si>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</si>
  <si>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</si>
  <si>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</si>
  <si>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</si>
  <si>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</si>
  <si>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</si>
  <si>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</si>
  <si>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</si>
  <si>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</si>
  <si>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</si>
  <si>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</si>
  <si>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</si>
  <si>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</si>
  <si>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</si>
  <si>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</si>
  <si>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</si>
  <si>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</si>
  <si>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</si>
  <si>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</si>
  <si>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</si>
  <si>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</si>
  <si>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</si>
  <si>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</si>
  <si>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</si>
  <si>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</si>
  <si>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</si>
  <si>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</si>
  <si>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</si>
  <si>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</si>
  <si>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</si>
  <si>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</si>
  <si>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</si>
  <si>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</si>
  <si>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</si>
  <si>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</si>
  <si>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</si>
  <si>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</si>
  <si>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</si>
  <si>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</si>
  <si>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</si>
  <si>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</si>
  <si>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</si>
  <si>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</si>
  <si>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</si>
  <si>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</si>
  <si>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</si>
  <si>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</si>
  <si>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</si>
  <si>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</si>
  <si>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</si>
  <si>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</si>
  <si>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</si>
  <si>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</si>
  <si>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</si>
  <si>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</si>
  <si>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</si>
  <si>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</si>
  <si>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</si>
  <si>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</si>
  <si>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</si>
  <si>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</si>
  <si>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</si>
  <si>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</si>
  <si>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</si>
  <si>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</si>
  <si>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</si>
  <si>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</si>
  <si>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</si>
  <si>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</si>
  <si>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</si>
  <si>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</si>
  <si>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</si>
  <si>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</si>
  <si>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</si>
  <si>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</si>
  <si>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</si>
  <si>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</si>
  <si>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</si>
  <si>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</si>
  <si>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</si>
  <si>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</si>
  <si>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</si>
  <si>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</si>
  <si>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</si>
  <si>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</si>
  <si>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</si>
  <si>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</si>
  <si>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</si>
  <si>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</si>
  <si>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</si>
  <si>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</si>
  <si>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</si>
  <si>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</si>
  <si>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</si>
  <si>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</si>
  <si>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</si>
  <si>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</si>
  <si>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</si>
  <si>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</si>
  <si>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</si>
  <si>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</si>
  <si>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</si>
  <si>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</si>
  <si>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</si>
  <si>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</si>
  <si>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</si>
  <si>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</si>
  <si>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</si>
  <si>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</si>
  <si>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</si>
  <si>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</si>
  <si>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</si>
  <si>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</si>
  <si>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</si>
  <si>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</si>
  <si>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</si>
  <si>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</si>
  <si>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</si>
  <si>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</si>
  <si>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</si>
  <si>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</si>
  <si>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</si>
  <si>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</si>
  <si>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</si>
  <si>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</si>
  <si>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</si>
  <si>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</si>
  <si>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</si>
  <si>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</si>
  <si>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</si>
  <si>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</si>
  <si>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</si>
  <si>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</si>
  <si>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</si>
  <si>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</si>
  <si>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</si>
  <si>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</si>
  <si>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</si>
  <si>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</si>
  <si>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</si>
  <si>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</si>
  <si>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</si>
  <si>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</si>
  <si>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</si>
  <si>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</si>
  <si>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</si>
  <si>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</si>
  <si>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</si>
  <si>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</si>
  <si>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</si>
  <si>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</si>
  <si>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</si>
  <si>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</si>
  <si>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</si>
  <si>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</si>
  <si>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</si>
  <si>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</si>
  <si>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</si>
  <si>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</si>
  <si>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</si>
  <si>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</si>
  <si>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</si>
  <si>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</si>
  <si>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</si>
  <si>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</si>
  <si>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</si>
  <si>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</si>
  <si>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</si>
  <si>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</si>
  <si>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</si>
  <si>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</si>
  <si>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</si>
  <si>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</si>
  <si>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</si>
  <si>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</si>
  <si>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</si>
  <si>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</si>
  <si>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</si>
  <si>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</si>
  <si>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</si>
  <si>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</si>
  <si>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</si>
  <si>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</si>
  <si>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</si>
  <si>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</si>
  <si>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</si>
  <si>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</si>
  <si>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</si>
  <si>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</si>
  <si>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</si>
  <si>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</si>
  <si>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</si>
  <si>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</si>
  <si>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</si>
  <si>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</si>
  <si>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</si>
  <si>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</si>
  <si>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</si>
  <si>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</si>
  <si>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</si>
  <si>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</si>
  <si>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</si>
  <si>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</si>
  <si>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</si>
  <si>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</si>
  <si>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</si>
  <si>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</si>
  <si>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</si>
  <si>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</si>
  <si>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</si>
  <si>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</si>
  <si>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</si>
  <si>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</si>
  <si>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</si>
  <si>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</si>
  <si>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</si>
  <si>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</si>
  <si>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</si>
  <si>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</si>
  <si>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</si>
  <si>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</si>
  <si>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</si>
  <si>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</si>
  <si>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</si>
  <si>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</si>
  <si>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</si>
  <si>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</si>
  <si>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</si>
  <si>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</si>
  <si>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</si>
  <si>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</si>
  <si>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</si>
  <si>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</si>
  <si>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</si>
  <si>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</si>
  <si>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</si>
  <si>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</si>
  <si>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</si>
  <si>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</si>
  <si>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</si>
  <si>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</si>
  <si>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</si>
  <si>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</si>
  <si>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</si>
  <si>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</si>
  <si>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</si>
  <si>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</si>
  <si>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</si>
  <si>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</si>
  <si>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</si>
  <si>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</si>
  <si>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</si>
  <si>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</si>
  <si>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</si>
  <si>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</si>
  <si>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</si>
  <si>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</si>
  <si>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</si>
  <si>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</si>
  <si>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</si>
  <si>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</si>
  <si>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</si>
  <si>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</si>
  <si>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</si>
  <si>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</si>
  <si>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</si>
  <si>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</si>
  <si>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</si>
  <si>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</si>
  <si>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</si>
  <si>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</si>
  <si>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</si>
  <si>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</si>
  <si>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</si>
  <si>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</si>
  <si>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</si>
  <si>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</si>
  <si>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</si>
  <si>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</si>
  <si>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</si>
  <si>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</si>
  <si>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</si>
  <si>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</si>
  <si>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</si>
  <si>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</si>
  <si>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</si>
  <si>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</si>
  <si>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</si>
  <si>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</si>
  <si>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</si>
  <si>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</si>
  <si>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</si>
  <si>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</si>
  <si>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</si>
  <si>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</si>
  <si>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</si>
  <si>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</si>
  <si>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</si>
  <si>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</si>
  <si>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</si>
  <si>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</si>
  <si>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</si>
  <si>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</si>
  <si>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</si>
  <si>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</si>
  <si>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</si>
  <si>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</si>
  <si>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</si>
  <si>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</si>
  <si>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</si>
  <si>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</si>
  <si>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</si>
  <si>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</si>
  <si>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</si>
  <si>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</si>
  <si>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</si>
  <si>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</si>
  <si>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</si>
  <si>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</si>
  <si>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</si>
  <si>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</si>
  <si>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</si>
  <si>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</si>
  <si>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</si>
  <si>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</si>
  <si>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</si>
  <si>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</si>
  <si>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</si>
  <si>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</si>
  <si>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</si>
  <si>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</si>
  <si>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</si>
  <si>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</si>
  <si>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</si>
  <si>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</si>
  <si>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</si>
  <si>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</si>
  <si>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</si>
  <si>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</si>
  <si>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</si>
  <si>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</si>
  <si>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</si>
  <si>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</si>
  <si>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</si>
  <si>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</si>
  <si>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</si>
  <si>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</si>
  <si>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</si>
  <si>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</si>
  <si>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</si>
  <si>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</si>
  <si>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</si>
  <si>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</si>
  <si>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</si>
  <si>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</si>
  <si>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</si>
  <si>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</si>
  <si>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</si>
  <si>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</si>
  <si>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</si>
  <si>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</si>
  <si>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</si>
  <si>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</si>
  <si>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</si>
  <si>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</si>
  <si>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</si>
  <si>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</si>
  <si>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</si>
  <si>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</si>
  <si>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</si>
  <si>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</si>
  <si>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</si>
  <si>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</si>
  <si>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</si>
  <si>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</si>
  <si>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</si>
  <si>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</si>
  <si>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</si>
  <si>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</si>
  <si>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</si>
  <si>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</si>
  <si>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</si>
  <si>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</si>
  <si>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</si>
  <si>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</si>
  <si>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</si>
  <si>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</si>
  <si>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</si>
  <si>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</si>
  <si>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</si>
  <si>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</si>
  <si>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</si>
  <si>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</si>
  <si>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</si>
  <si>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</si>
  <si>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</si>
  <si>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</si>
  <si>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</si>
  <si>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</si>
  <si>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</si>
  <si>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</si>
  <si>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</si>
  <si>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</si>
  <si>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</si>
  <si>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</si>
  <si>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</si>
  <si>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</si>
  <si>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</si>
  <si>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</si>
  <si>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</si>
  <si>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</si>
  <si>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</si>
  <si>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</si>
  <si>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</si>
  <si>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</si>
  <si>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</si>
  <si>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</si>
  <si>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</si>
  <si>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</si>
  <si>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</si>
  <si>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</si>
  <si>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</si>
  <si>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</si>
  <si>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</si>
  <si>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</si>
  <si>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</si>
  <si>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</si>
  <si>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</si>
  <si>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</si>
  <si>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</si>
  <si>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</si>
  <si>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</si>
  <si>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</si>
  <si>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</si>
  <si>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</si>
  <si>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</si>
  <si>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</si>
  <si>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</si>
  <si>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</si>
  <si>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</si>
  <si>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</si>
  <si>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</si>
  <si>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</si>
  <si>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</si>
  <si>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</si>
  <si>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</si>
  <si>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</si>
  <si>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</si>
  <si>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</si>
  <si>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</si>
  <si>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</si>
  <si>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</si>
  <si>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</si>
  <si>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</si>
  <si>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</si>
  <si>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</si>
  <si>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</si>
  <si>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</si>
  <si>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</si>
  <si>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</si>
  <si>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</si>
  <si>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</si>
  <si>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</si>
  <si>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</si>
  <si>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</si>
  <si>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</si>
  <si>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</si>
  <si>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</si>
  <si>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</si>
  <si>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</si>
  <si>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</si>
  <si>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</si>
  <si>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</si>
  <si>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</si>
  <si>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</si>
  <si>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</si>
  <si>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</si>
  <si>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</si>
  <si>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</si>
  <si>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</si>
  <si>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</si>
  <si>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</si>
  <si>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</si>
  <si>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</si>
  <si>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</si>
  <si>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</si>
  <si>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</si>
  <si>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</si>
  <si>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</si>
  <si>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</si>
  <si>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</si>
  <si>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</si>
  <si>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</si>
  <si>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</si>
  <si>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</si>
  <si>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</si>
  <si>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</si>
  <si>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</si>
  <si>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</si>
  <si>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</si>
  <si>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</si>
  <si>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</si>
  <si>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</si>
  <si>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</si>
  <si>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</si>
  <si>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</si>
  <si>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</si>
  <si>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</si>
  <si>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</si>
  <si>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</si>
  <si>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</si>
  <si>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</si>
  <si>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</si>
  <si>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</si>
  <si>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</si>
  <si>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</si>
  <si>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</si>
  <si>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</si>
  <si>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</si>
  <si>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</si>
  <si>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</si>
  <si>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</si>
  <si>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</si>
  <si>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</si>
  <si>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</si>
  <si>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</si>
  <si>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</si>
  <si>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</si>
  <si>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</si>
  <si>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</si>
  <si>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</si>
  <si>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</si>
  <si>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</si>
  <si>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</si>
  <si>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</si>
  <si>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</si>
  <si>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</si>
  <si>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</si>
  <si>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</si>
  <si>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</si>
  <si>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</si>
  <si>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</si>
  <si>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</si>
  <si>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</si>
  <si>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</si>
  <si>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</si>
  <si>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</si>
  <si>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</si>
  <si>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</si>
  <si>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</si>
  <si>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</si>
  <si>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</si>
  <si>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</si>
  <si>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</si>
  <si>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</si>
  <si>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</si>
  <si>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</si>
  <si>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</si>
  <si>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</si>
  <si>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</si>
  <si>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</si>
  <si>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</si>
  <si>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</si>
  <si>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</si>
  <si>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</si>
  <si>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</si>
  <si>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</si>
  <si>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</si>
  <si>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</si>
  <si>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</si>
  <si>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</si>
  <si>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</si>
  <si>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</si>
  <si>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</si>
  <si>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</si>
  <si>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</si>
  <si>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</si>
  <si>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</si>
  <si>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</si>
  <si>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</si>
  <si>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</si>
  <si>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</si>
  <si>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</si>
  <si>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</si>
  <si>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</si>
  <si>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</si>
  <si>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</si>
  <si>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</si>
  <si>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</si>
  <si>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</si>
  <si>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</si>
  <si>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</si>
  <si>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</si>
  <si>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</si>
  <si>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</si>
  <si>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</si>
  <si>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</si>
  <si>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</si>
  <si>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</si>
  <si>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</si>
  <si>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</si>
  <si>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</si>
  <si>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</si>
  <si>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</si>
  <si>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</si>
  <si>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</si>
  <si>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</si>
  <si>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</si>
  <si>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</si>
  <si>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</si>
  <si>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</si>
  <si>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</si>
  <si>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</si>
  <si>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</si>
  <si>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</si>
  <si>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</si>
  <si>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</si>
  <si>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</si>
  <si>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</si>
  <si>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</si>
  <si>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</si>
  <si>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</si>
  <si>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</si>
  <si>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</si>
  <si>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</si>
  <si>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</si>
  <si>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</si>
  <si>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</si>
  <si>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</si>
  <si>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</si>
  <si>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</si>
  <si>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</si>
  <si>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</si>
  <si>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</si>
  <si>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</si>
  <si>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</si>
  <si>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</si>
  <si>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</si>
  <si>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</si>
  <si>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</si>
  <si>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</si>
  <si>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</si>
  <si>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</si>
  <si>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</si>
  <si>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</si>
  <si>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</si>
  <si>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</si>
  <si>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</si>
  <si>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</si>
  <si>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</si>
  <si>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</si>
  <si>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</si>
  <si>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</si>
  <si>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</si>
  <si>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</si>
  <si>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</si>
  <si>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</si>
  <si>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</si>
  <si>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</si>
  <si>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</si>
  <si>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</si>
  <si>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</si>
  <si>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</si>
  <si>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</si>
  <si>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</si>
  <si>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</si>
  <si>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</si>
  <si>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</si>
  <si>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</si>
  <si>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</si>
  <si>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</si>
  <si>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</si>
  <si>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</si>
  <si>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</si>
  <si>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</si>
  <si>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</si>
  <si>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</si>
  <si>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</si>
  <si>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</si>
  <si>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</si>
  <si>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</si>
  <si>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</si>
  <si>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</si>
  <si>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</si>
  <si>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</si>
  <si>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</si>
  <si>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</si>
  <si>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</si>
  <si>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</si>
  <si>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</si>
  <si>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</si>
  <si>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</si>
  <si>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</si>
  <si>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</si>
  <si>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</si>
  <si>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</si>
  <si>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</si>
  <si>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</si>
  <si>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</si>
  <si>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</si>
  <si>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</si>
  <si>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</si>
  <si>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</si>
  <si>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</si>
  <si>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</si>
  <si>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</si>
  <si>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</si>
  <si>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</si>
  <si>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</si>
  <si>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</si>
  <si>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</si>
  <si>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</si>
  <si>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</si>
  <si>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</si>
  <si>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</si>
  <si>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</si>
  <si>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</si>
  <si>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</si>
  <si>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</si>
  <si>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</si>
  <si>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</si>
  <si>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</si>
  <si>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</si>
  <si>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</si>
  <si>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</si>
  <si>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</si>
  <si>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</si>
  <si>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</si>
  <si>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</si>
  <si>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</si>
  <si>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</si>
  <si>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</si>
  <si>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</si>
  <si>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</si>
  <si>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</si>
  <si>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</si>
  <si>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</si>
  <si>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</si>
  <si>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</si>
  <si>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</si>
  <si>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</si>
  <si>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</si>
  <si>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</si>
  <si>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</si>
  <si>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</si>
  <si>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</si>
  <si>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</si>
  <si>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</si>
  <si>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</si>
  <si>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</si>
  <si>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</si>
  <si>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</si>
  <si>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</si>
  <si>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</si>
  <si>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</si>
  <si>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</si>
  <si>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</si>
  <si>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</si>
  <si>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</si>
  <si>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</si>
  <si>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</si>
  <si>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</si>
  <si>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</si>
  <si>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</si>
  <si>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</si>
  <si>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</si>
  <si>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</si>
  <si>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</si>
  <si>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</si>
  <si>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</si>
  <si>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</si>
  <si>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</si>
  <si>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</si>
  <si>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</si>
  <si>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</si>
  <si>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</si>
  <si>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</si>
  <si>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</si>
  <si>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</si>
  <si>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</si>
  <si>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</si>
  <si>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</si>
  <si>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</si>
  <si>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</si>
  <si>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</si>
  <si>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</si>
  <si>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</si>
  <si>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</si>
  <si>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</si>
  <si>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</si>
  <si>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</si>
  <si>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</si>
  <si>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</si>
  <si>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</si>
  <si>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</si>
  <si>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</si>
  <si>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</si>
  <si>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</si>
  <si>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</si>
  <si>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</si>
  <si>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</si>
  <si>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</si>
  <si>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</si>
  <si>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</si>
  <si>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</si>
  <si>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</si>
  <si>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</si>
  <si>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</si>
  <si>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</si>
  <si>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</si>
  <si>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</si>
  <si>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</si>
  <si>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</si>
  <si>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</si>
  <si>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</si>
  <si>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</si>
  <si>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</si>
  <si>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</si>
  <si>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</si>
  <si>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</si>
  <si>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</si>
  <si>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</si>
  <si>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</si>
  <si>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</si>
  <si>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</si>
  <si>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</si>
  <si>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</si>
  <si>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</si>
  <si>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</si>
  <si>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</si>
  <si>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</si>
  <si>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</si>
  <si>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</si>
  <si>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</si>
  <si>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</si>
  <si>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</si>
  <si>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</si>
  <si>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</si>
  <si>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</si>
  <si>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</si>
  <si>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</si>
  <si>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</si>
  <si>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</si>
  <si>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</si>
  <si>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</si>
  <si>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</si>
  <si>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</si>
  <si>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</si>
  <si>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</si>
  <si>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</si>
  <si>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</si>
  <si>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</si>
  <si>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</si>
  <si>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</si>
  <si>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</si>
  <si>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</si>
  <si>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</si>
  <si>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</si>
  <si>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</si>
  <si>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</si>
  <si>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</si>
  <si>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</si>
  <si>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</si>
  <si>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</si>
  <si>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</si>
  <si>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</si>
  <si>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</si>
  <si>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</si>
  <si>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</si>
  <si>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</si>
  <si>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</si>
  <si>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</si>
  <si>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</si>
  <si>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</si>
  <si>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</si>
  <si>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</si>
  <si>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</si>
  <si>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</si>
  <si>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</si>
  <si>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</si>
  <si>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</si>
  <si>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</si>
  <si>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</si>
  <si>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</si>
  <si>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</si>
  <si>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</si>
  <si>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</si>
  <si>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</si>
  <si>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</si>
  <si>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</si>
  <si>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</si>
  <si>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</si>
  <si>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</si>
  <si>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</si>
  <si>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</si>
  <si>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</si>
  <si>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</si>
  <si>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</si>
  <si>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</si>
  <si>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</si>
  <si>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</si>
  <si>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</si>
  <si>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</si>
  <si>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</si>
  <si>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</si>
  <si>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</si>
  <si>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</si>
  <si>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</si>
  <si>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</si>
  <si>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</si>
  <si>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</si>
  <si>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</si>
  <si>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</si>
  <si>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</si>
  <si>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</si>
  <si>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</si>
  <si>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</si>
  <si>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</si>
  <si>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</si>
  <si>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</si>
  <si>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</si>
  <si>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</si>
  <si>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</si>
  <si>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</si>
  <si>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</si>
  <si>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</si>
  <si>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</si>
  <si>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</si>
  <si>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</si>
  <si>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</si>
  <si>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</si>
  <si>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</si>
  <si>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</si>
  <si>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</si>
  <si>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</si>
  <si>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</si>
  <si>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</si>
  <si>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</si>
  <si>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</si>
  <si>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</si>
  <si>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</si>
  <si>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</si>
  <si>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</si>
  <si>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</si>
  <si>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</si>
  <si>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</si>
  <si>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</si>
  <si>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</si>
  <si>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</si>
  <si>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</si>
  <si>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</si>
  <si>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</si>
  <si>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</si>
  <si>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</si>
  <si>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</si>
  <si>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</si>
  <si>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</si>
  <si>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</si>
  <si>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</si>
  <si>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</si>
  <si>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</si>
  <si>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</si>
  <si>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</si>
  <si>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</si>
  <si>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</si>
  <si>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</si>
  <si>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</si>
  <si>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</si>
  <si>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</si>
  <si>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</si>
  <si>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</si>
  <si>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</si>
  <si>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</si>
  <si>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</si>
  <si>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</si>
  <si>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</si>
  <si>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</si>
  <si>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</si>
  <si>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</si>
  <si>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</si>
  <si>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</si>
  <si>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</si>
  <si>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</si>
  <si>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</si>
  <si>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</si>
  <si>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</si>
  <si>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</si>
  <si>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</si>
  <si>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</si>
  <si>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</si>
  <si>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</si>
  <si>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</si>
  <si>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</si>
  <si>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</si>
  <si>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</si>
  <si>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</si>
  <si>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</si>
  <si>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</si>
  <si>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</si>
  <si>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</si>
  <si>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</si>
  <si>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</si>
  <si>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</si>
  <si>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</si>
  <si>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</si>
  <si>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</si>
  <si>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</si>
  <si>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</si>
  <si>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</si>
  <si>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</si>
  <si>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</si>
  <si>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</si>
  <si>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</si>
  <si>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</si>
  <si>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</si>
  <si>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</si>
  <si>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</si>
  <si>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</si>
  <si>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</si>
  <si>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</si>
  <si>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</si>
  <si>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</si>
  <si>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</si>
  <si>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</si>
  <si>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</si>
  <si>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</si>
  <si>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</si>
  <si>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</si>
  <si>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</si>
  <si>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</si>
  <si>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</si>
  <si>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</si>
  <si>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</si>
  <si>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</si>
  <si>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</si>
  <si>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</si>
  <si>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</si>
  <si>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</si>
  <si>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</si>
  <si>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</si>
  <si>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</si>
  <si>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</si>
  <si>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</si>
  <si>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</si>
  <si>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</si>
  <si>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</si>
  <si>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</si>
  <si>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</si>
  <si>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</si>
  <si>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</si>
  <si>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</si>
  <si>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</si>
  <si>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</si>
  <si>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</si>
  <si>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</si>
  <si>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</si>
  <si>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</si>
  <si>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</si>
  <si>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</si>
  <si>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</si>
  <si>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</si>
  <si>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</si>
  <si>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</si>
  <si>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</si>
  <si>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</si>
  <si>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</si>
  <si>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</si>
  <si>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</si>
  <si>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</si>
  <si>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</si>
  <si>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</si>
  <si>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</si>
  <si>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</si>
  <si>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</si>
  <si>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</si>
  <si>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</si>
  <si>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</si>
  <si>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</si>
  <si>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</si>
  <si>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</si>
  <si>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</si>
  <si>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</si>
  <si>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</si>
  <si>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</si>
  <si>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</si>
  <si>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</si>
  <si>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</si>
  <si>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</si>
  <si>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</si>
  <si>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</si>
  <si>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</si>
  <si>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</si>
  <si>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</si>
  <si>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</si>
  <si>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</si>
  <si>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</si>
  <si>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</si>
  <si>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</si>
  <si>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</si>
  <si>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</si>
  <si>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</si>
  <si>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</si>
  <si>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</si>
  <si>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</si>
  <si>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</si>
  <si>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</si>
  <si>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</si>
  <si>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</si>
  <si>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</si>
  <si>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</si>
  <si>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</si>
  <si>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</si>
  <si>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</si>
  <si>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</si>
  <si>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</si>
  <si>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</si>
  <si>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</si>
  <si>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</si>
  <si>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</si>
  <si>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</si>
  <si>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</si>
  <si>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</si>
  <si>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</si>
  <si>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</si>
  <si>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</si>
  <si>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</si>
  <si>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</si>
  <si>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</si>
  <si>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</si>
  <si>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</si>
  <si>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</si>
  <si>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</si>
  <si>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</si>
  <si>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</si>
  <si>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</si>
  <si>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</si>
  <si>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</si>
  <si>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</si>
  <si>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</si>
  <si>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</si>
  <si>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</si>
  <si>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</si>
  <si>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</si>
  <si>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</si>
  <si>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</si>
  <si>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</si>
  <si>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</si>
  <si>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</si>
  <si>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</si>
  <si>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</si>
  <si>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</si>
  <si>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</si>
  <si>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</si>
  <si>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</si>
  <si>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</si>
  <si>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</si>
  <si>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</si>
  <si>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</si>
  <si>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</si>
  <si>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</si>
  <si>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</si>
  <si>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</si>
  <si>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</si>
  <si>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</si>
  <si>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</si>
  <si>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</si>
  <si>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</si>
  <si>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</si>
  <si>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</si>
  <si>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</si>
  <si>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</si>
  <si>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</si>
  <si>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</si>
  <si>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</si>
  <si>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</si>
  <si>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</si>
  <si>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</si>
  <si>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</si>
  <si>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</si>
  <si>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</si>
  <si>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</si>
  <si>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</si>
  <si>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</si>
  <si>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</si>
  <si>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</si>
  <si>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</si>
  <si>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</si>
  <si>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</si>
  <si>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</si>
  <si>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</si>
  <si>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</si>
  <si>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</si>
  <si>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</si>
  <si>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</si>
  <si>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</si>
  <si>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</si>
  <si>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</si>
  <si>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</si>
  <si>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</si>
  <si>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</si>
  <si>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</si>
  <si>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</si>
  <si>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</si>
  <si>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</si>
  <si>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</si>
  <si>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</si>
  <si>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</si>
  <si>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</si>
  <si>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</si>
  <si>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</si>
  <si>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</si>
  <si>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</si>
  <si>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</si>
  <si>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</si>
  <si>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</si>
  <si>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</si>
  <si>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</si>
  <si>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</si>
  <si>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</si>
  <si>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</si>
  <si>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</si>
  <si>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</si>
  <si>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</si>
  <si>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</si>
  <si>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</si>
  <si>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</si>
  <si>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</si>
  <si>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</si>
  <si>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</si>
  <si>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</si>
  <si>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</si>
  <si>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</si>
  <si>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</si>
  <si>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</si>
  <si>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</si>
  <si>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</si>
  <si>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</si>
  <si>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</si>
  <si>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</si>
  <si>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</si>
  <si>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</si>
  <si>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</si>
  <si>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</si>
  <si>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</si>
  <si>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</si>
  <si>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</si>
  <si>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</si>
  <si>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</si>
  <si>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</si>
  <si>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</si>
  <si>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</si>
  <si>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</si>
  <si>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</si>
  <si>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</si>
  <si>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</si>
  <si>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</si>
  <si>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</si>
  <si>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</si>
  <si>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</si>
  <si>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</si>
  <si>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</si>
  <si>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</si>
  <si>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</si>
  <si>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</si>
  <si>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</si>
  <si>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</si>
  <si>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</si>
  <si>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</si>
  <si>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</si>
  <si>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</si>
  <si>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</si>
  <si>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</si>
  <si>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</si>
  <si>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</si>
  <si>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</si>
  <si>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</si>
  <si>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</si>
  <si>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</si>
  <si>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</si>
  <si>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</si>
  <si>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</si>
  <si>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</si>
  <si>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</si>
  <si>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</si>
  <si>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</si>
  <si>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</si>
  <si>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</si>
  <si>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</si>
  <si>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</si>
  <si>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</si>
  <si>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</si>
  <si>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</si>
  <si>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</si>
  <si>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</si>
  <si>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</si>
  <si>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</si>
  <si>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</si>
  <si>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</si>
  <si>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</si>
  <si>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</si>
  <si>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</si>
  <si>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</si>
  <si>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</si>
  <si>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</si>
  <si>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</si>
  <si>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</si>
  <si>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</si>
  <si>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</si>
  <si>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</si>
  <si>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</si>
  <si>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</si>
  <si>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</si>
  <si>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</si>
  <si>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</si>
  <si>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</si>
  <si>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</si>
  <si>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</si>
  <si>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</si>
  <si>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</si>
  <si>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</si>
  <si>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</si>
  <si>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</si>
  <si>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</si>
  <si>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</si>
  <si>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</si>
  <si>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</si>
  <si>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</si>
  <si>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</si>
  <si>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</si>
  <si>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</si>
  <si>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</si>
  <si>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</si>
  <si>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</si>
  <si>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</si>
  <si>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</si>
  <si>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</si>
  <si>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</si>
  <si>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</si>
  <si>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</si>
  <si>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</si>
  <si>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</si>
  <si>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</si>
  <si>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</si>
  <si>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</si>
  <si>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</si>
  <si>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</si>
  <si>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</si>
  <si>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</si>
  <si>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</si>
  <si>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</si>
  <si>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</si>
  <si>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</si>
  <si>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</si>
  <si>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</si>
  <si>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</si>
  <si>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</si>
  <si>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</si>
  <si>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</si>
  <si>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</si>
  <si>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</si>
  <si>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</si>
  <si>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</si>
  <si>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</si>
  <si>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</si>
  <si>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</si>
  <si>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</si>
  <si>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</si>
  <si>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</si>
  <si>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</si>
  <si>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</si>
  <si>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</si>
  <si>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</si>
  <si>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</si>
  <si>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</si>
  <si>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</si>
  <si>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</si>
  <si>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</si>
  <si>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</si>
  <si>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</si>
  <si>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</si>
  <si>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</si>
  <si>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</si>
  <si>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</si>
  <si>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</si>
  <si>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</si>
  <si>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</si>
  <si>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</si>
  <si>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</si>
  <si>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</si>
  <si>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</si>
  <si>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</si>
  <si>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</si>
  <si>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</si>
  <si>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</si>
  <si>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</si>
  <si>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</si>
  <si>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</si>
  <si>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</si>
  <si>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</si>
  <si>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</si>
  <si>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</si>
  <si>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</si>
  <si>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</si>
  <si>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</si>
  <si>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</si>
  <si>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</si>
  <si>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</si>
  <si>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</si>
  <si>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</si>
  <si>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</si>
  <si>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</si>
  <si>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</si>
  <si>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</si>
  <si>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</si>
  <si>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</si>
  <si>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</si>
  <si>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</si>
  <si>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</si>
  <si>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</si>
  <si>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</si>
  <si>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</si>
  <si>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</si>
  <si>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</si>
  <si>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</si>
  <si>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</si>
  <si>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</si>
  <si>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</si>
  <si>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</si>
  <si>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</si>
  <si>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</si>
  <si>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</si>
  <si>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</si>
  <si>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</si>
  <si>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</si>
  <si>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</si>
  <si>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</si>
  <si>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</si>
  <si>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</si>
  <si>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</si>
  <si>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</si>
  <si>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</si>
  <si>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</si>
  <si>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</si>
  <si>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</si>
  <si>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</si>
  <si>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</si>
  <si>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</si>
  <si>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</si>
  <si>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</si>
  <si>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</si>
  <si>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</si>
  <si>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</si>
  <si>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</si>
  <si>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</si>
  <si>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</si>
  <si>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</si>
  <si>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</si>
  <si>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</si>
  <si>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</si>
  <si>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</si>
  <si>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</si>
  <si>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</si>
  <si>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</si>
  <si>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</si>
  <si>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</si>
  <si>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</si>
  <si>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</si>
  <si>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</si>
  <si>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</si>
  <si>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</si>
  <si>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</si>
  <si>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</si>
  <si>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</si>
  <si>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</si>
  <si>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</si>
  <si>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</si>
  <si>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</si>
  <si>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</si>
  <si>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</si>
  <si>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</si>
  <si>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</si>
  <si>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</si>
  <si>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</si>
  <si>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</si>
  <si>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</si>
  <si>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</si>
  <si>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</si>
  <si>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</si>
  <si>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</si>
  <si>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</si>
  <si>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</si>
  <si>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</si>
  <si>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</si>
  <si>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</si>
  <si>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</si>
  <si>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</si>
  <si>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</si>
  <si>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</si>
  <si>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</si>
  <si>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</si>
  <si>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</si>
  <si>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</si>
  <si>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</si>
  <si>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</si>
  <si>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</si>
  <si>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</si>
  <si>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</si>
  <si>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</si>
  <si>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</si>
  <si>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</si>
  <si>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</si>
  <si>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</si>
  <si>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</si>
  <si>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</si>
  <si>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</si>
  <si>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</si>
  <si>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</si>
  <si>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</si>
  <si>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</si>
  <si>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</si>
  <si>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</si>
  <si>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</si>
  <si>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</si>
  <si>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</si>
  <si>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</si>
  <si>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</si>
  <si>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</si>
  <si>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</si>
  <si>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</si>
  <si>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</si>
  <si>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</si>
  <si>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</si>
  <si>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</si>
  <si>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</si>
  <si>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</si>
  <si>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</si>
  <si>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</si>
  <si>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</si>
  <si>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</si>
  <si>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</si>
  <si>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</si>
  <si>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</si>
  <si>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</si>
  <si>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</si>
  <si>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</si>
  <si>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</si>
  <si>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</si>
  <si>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</si>
  <si>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</si>
  <si>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</si>
  <si>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</si>
  <si>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</si>
  <si>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</si>
  <si>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</si>
  <si>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</si>
  <si>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</si>
  <si>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</si>
  <si>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</si>
  <si>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</si>
  <si>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</si>
  <si>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</si>
  <si>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</si>
  <si>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</si>
  <si>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</si>
  <si>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</si>
  <si>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</si>
  <si>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</si>
  <si>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</si>
  <si>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</si>
  <si>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</si>
  <si>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</si>
  <si>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</si>
  <si>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</si>
  <si>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</si>
  <si>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</si>
  <si>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</si>
  <si>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</si>
  <si>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</si>
  <si>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</si>
  <si>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</si>
  <si>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</si>
  <si>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</si>
  <si>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</si>
  <si>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</si>
  <si>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</si>
  <si>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</si>
  <si>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</si>
  <si>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</si>
  <si>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</si>
  <si>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</si>
  <si>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</si>
  <si>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</si>
  <si>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</si>
  <si>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</si>
  <si>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</si>
  <si>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</si>
  <si>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</si>
  <si>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</si>
  <si>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</si>
  <si>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</si>
  <si>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</si>
  <si>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</si>
  <si>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</si>
  <si>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</si>
  <si>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</si>
  <si>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</si>
  <si>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</si>
  <si>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</si>
  <si>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</si>
  <si>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</si>
  <si>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</si>
  <si>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</si>
  <si>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</si>
  <si>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</si>
  <si>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</si>
  <si>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</si>
  <si>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</si>
  <si>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</si>
  <si>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</si>
  <si>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</si>
  <si>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</si>
  <si>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</si>
  <si>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</si>
  <si>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</si>
  <si>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</si>
  <si>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</si>
  <si>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</si>
  <si>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</si>
  <si>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</si>
  <si>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</si>
  <si>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</si>
  <si>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</si>
  <si>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</si>
  <si>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</si>
  <si>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</si>
  <si>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</si>
  <si>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</si>
  <si>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</si>
  <si>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</si>
  <si>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</si>
  <si>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</si>
  <si>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</si>
  <si>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</si>
  <si>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</si>
  <si>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</si>
  <si>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</si>
  <si>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</si>
  <si>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</si>
  <si>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</si>
  <si>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</si>
  <si>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</si>
  <si>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</si>
  <si>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</si>
  <si>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</si>
  <si>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</si>
  <si>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</si>
  <si>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</si>
  <si>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</si>
  <si>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</si>
  <si>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</si>
  <si>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</si>
  <si>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</si>
  <si>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</si>
  <si>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</si>
  <si>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</si>
  <si>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</si>
  <si>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</si>
  <si>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</si>
  <si>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</si>
  <si>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</si>
  <si>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</si>
  <si>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</si>
  <si>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</si>
  <si>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</si>
  <si>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</si>
  <si>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</si>
  <si>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</si>
  <si>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</si>
  <si>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</si>
  <si>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</si>
  <si>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</si>
  <si>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</si>
  <si>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</si>
  <si>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</si>
  <si>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</si>
  <si>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</si>
  <si>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</si>
  <si>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</si>
  <si>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</si>
  <si>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</si>
  <si>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</si>
  <si>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</si>
  <si>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</si>
  <si>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</si>
  <si>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</si>
  <si>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</si>
  <si>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</si>
  <si>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</si>
  <si>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</si>
  <si>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</si>
  <si>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</si>
  <si>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</si>
  <si>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</si>
  <si>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</si>
  <si>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</si>
  <si>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</si>
  <si>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</si>
  <si>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</si>
  <si>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</si>
  <si>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</si>
  <si>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</si>
  <si>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</si>
  <si>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</si>
  <si>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</si>
  <si>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</si>
  <si>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</si>
  <si>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</si>
  <si>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</si>
  <si>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</si>
  <si>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</si>
  <si>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</si>
  <si>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</si>
  <si>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</si>
  <si>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</si>
  <si>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</si>
  <si>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</si>
  <si>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</si>
  <si>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</si>
  <si>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</si>
  <si>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</si>
  <si>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</si>
  <si>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</si>
  <si>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</si>
  <si>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</si>
  <si>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</si>
  <si>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</si>
  <si>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</si>
  <si>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</si>
  <si>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</si>
  <si>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</si>
  <si>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</si>
  <si>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</si>
  <si>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</si>
  <si>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</si>
  <si>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</si>
  <si>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</si>
  <si>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</si>
  <si>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</si>
  <si>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</si>
  <si>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</si>
  <si>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</si>
  <si>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</si>
  <si>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</si>
  <si>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</si>
  <si>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</si>
  <si>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</si>
  <si>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</si>
  <si>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</si>
  <si>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</si>
  <si>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</si>
  <si>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</si>
  <si>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</si>
  <si>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</si>
  <si>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</si>
  <si>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</si>
  <si>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</si>
  <si>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</si>
  <si>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</si>
  <si>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</si>
  <si>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</si>
  <si>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</si>
  <si>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</si>
  <si>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</si>
  <si>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</si>
  <si>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</si>
  <si>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</si>
  <si>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</si>
  <si>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</si>
  <si>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</si>
  <si>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</si>
  <si>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</si>
  <si>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</si>
  <si>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</si>
  <si>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</si>
  <si>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</si>
  <si>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</si>
  <si>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</si>
  <si>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</si>
  <si>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</si>
  <si>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</si>
  <si>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</si>
  <si>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</si>
  <si>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</si>
  <si>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</si>
  <si>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</si>
  <si>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</si>
  <si>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</si>
  <si>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</si>
  <si>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</si>
  <si>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</si>
  <si>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</si>
  <si>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</si>
  <si>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</si>
  <si>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</si>
  <si>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</si>
  <si>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</si>
  <si>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</si>
  <si>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</si>
  <si>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</si>
  <si>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</si>
  <si>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</si>
  <si>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</si>
  <si>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</si>
  <si>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</si>
  <si>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</si>
  <si>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</si>
  <si>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</si>
  <si>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</si>
  <si>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</si>
  <si>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</si>
  <si>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</si>
  <si>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</si>
  <si>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</si>
  <si>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</si>
  <si>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</si>
  <si>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</si>
  <si>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</si>
  <si>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</si>
  <si>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</si>
  <si>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</si>
  <si>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</si>
  <si>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</si>
  <si>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</si>
  <si>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</si>
  <si>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</si>
  <si>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</si>
  <si>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</si>
  <si>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</si>
  <si>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</si>
  <si>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</si>
  <si>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</si>
  <si>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</si>
  <si>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</si>
  <si>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</si>
  <si>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</si>
  <si>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</si>
  <si>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</si>
  <si>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</si>
  <si>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</si>
  <si>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</si>
  <si>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</si>
  <si>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</si>
  <si>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</si>
  <si>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</si>
  <si>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</si>
  <si>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</si>
  <si>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</si>
  <si>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</si>
  <si>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</si>
  <si>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</si>
  <si>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</si>
  <si>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</si>
  <si>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</si>
  <si>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</si>
  <si>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</si>
  <si>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</si>
  <si>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</si>
  <si>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</si>
  <si>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</si>
  <si>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</si>
  <si>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</si>
  <si>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</si>
  <si>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</si>
  <si>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</si>
  <si>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</si>
  <si>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</si>
  <si>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</si>
  <si>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</si>
  <si>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</si>
  <si>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</si>
  <si>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</si>
  <si>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</si>
  <si>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</si>
  <si>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</si>
  <si>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</si>
  <si>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</si>
  <si>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</si>
  <si>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</si>
  <si>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</si>
  <si>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</si>
  <si>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</si>
  <si>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</si>
  <si>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</si>
  <si>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</si>
  <si>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</si>
  <si>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</si>
  <si>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</si>
  <si>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</si>
  <si>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</si>
  <si>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</si>
  <si>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</si>
  <si>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</si>
  <si>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</si>
  <si>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</si>
  <si>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</si>
  <si>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</si>
  <si>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</si>
  <si>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</si>
  <si>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</si>
  <si>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</si>
  <si>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</si>
  <si>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</si>
  <si>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</si>
  <si>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</si>
  <si>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</si>
  <si>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</si>
  <si>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</si>
  <si>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</si>
  <si>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</si>
  <si>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</si>
  <si>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</si>
  <si>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</si>
  <si>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</si>
  <si>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</si>
  <si>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</si>
  <si>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</si>
  <si>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</si>
  <si>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</si>
  <si>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</si>
  <si>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</si>
  <si>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</si>
  <si>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</si>
  <si>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</si>
  <si>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</si>
  <si>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</si>
  <si>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</si>
  <si>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</si>
  <si>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</si>
  <si>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</si>
  <si>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</si>
  <si>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</si>
  <si>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</si>
  <si>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</si>
  <si>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</si>
  <si>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</si>
  <si>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</si>
  <si>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</si>
  <si>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</si>
  <si>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</si>
  <si>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</si>
  <si>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</si>
  <si>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</si>
  <si>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</si>
  <si>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</si>
  <si>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</si>
  <si>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</si>
  <si>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</si>
  <si>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</si>
  <si>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</si>
  <si>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</si>
  <si>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</si>
  <si>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</si>
  <si>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</si>
  <si>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</si>
  <si>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</si>
  <si>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</si>
  <si>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</si>
  <si>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</si>
  <si>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</si>
  <si>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</si>
  <si>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</si>
  <si>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</si>
  <si>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</si>
  <si>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</si>
  <si>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</si>
  <si>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</si>
  <si>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</si>
  <si>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</si>
  <si>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</si>
  <si>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</si>
  <si>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</si>
  <si>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</si>
  <si>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</si>
  <si>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</si>
  <si>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</si>
  <si>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</si>
  <si>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</si>
  <si>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</si>
  <si>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</si>
  <si>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</si>
  <si>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</si>
  <si>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</si>
  <si>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</si>
  <si>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</si>
  <si>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</si>
  <si>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</si>
  <si>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</si>
  <si>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</si>
  <si>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</si>
  <si>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</si>
  <si>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</si>
  <si>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</si>
  <si>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</si>
  <si>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</si>
  <si>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</si>
  <si>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</si>
  <si>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</si>
  <si>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</si>
  <si>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</si>
  <si>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</si>
  <si>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</si>
  <si>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</si>
  <si>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</si>
  <si>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</si>
  <si>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</si>
  <si>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</si>
  <si>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</si>
  <si>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</si>
  <si>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</si>
  <si>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</si>
  <si>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</si>
  <si>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</si>
  <si>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</si>
  <si>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</si>
  <si>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</si>
  <si>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</si>
  <si>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</si>
  <si>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</si>
  <si>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</si>
  <si>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</si>
  <si>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</si>
  <si>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</si>
  <si>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</si>
  <si>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</si>
  <si>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</si>
  <si>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</si>
  <si>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</si>
  <si>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</si>
  <si>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</si>
  <si>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</si>
  <si>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</si>
  <si>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</si>
  <si>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</si>
  <si>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</si>
  <si>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</si>
  <si>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</si>
  <si>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</si>
  <si>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</si>
  <si>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</si>
  <si>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</si>
  <si>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</si>
  <si>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</si>
  <si>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</si>
  <si>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</si>
  <si>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</si>
  <si>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</si>
  <si>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</si>
  <si>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</si>
  <si>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</si>
  <si>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</si>
  <si>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</si>
  <si>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</si>
  <si>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</si>
  <si>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</si>
  <si>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</si>
  <si>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</si>
  <si>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</si>
  <si>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</si>
  <si>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</si>
  <si>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</si>
  <si>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</si>
  <si>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</si>
  <si>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</si>
  <si>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</si>
  <si>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</si>
  <si>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</si>
  <si>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</si>
  <si>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</si>
  <si>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</si>
  <si>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</si>
  <si>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</si>
  <si>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</si>
  <si>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</si>
  <si>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</si>
  <si>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</si>
  <si>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</si>
  <si>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</si>
  <si>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</si>
  <si>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</si>
  <si>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</si>
  <si>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</si>
  <si>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</si>
  <si>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</si>
  <si>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</si>
  <si>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</si>
  <si>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</si>
  <si>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</si>
  <si>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</si>
  <si>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</si>
  <si>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</si>
  <si>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</si>
  <si>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</si>
  <si>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</si>
  <si>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</si>
  <si>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</si>
  <si>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</si>
  <si>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</si>
  <si>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</si>
  <si>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</si>
  <si>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</si>
  <si>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</si>
  <si>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</si>
  <si>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</si>
  <si>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</si>
  <si>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</si>
  <si>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</si>
  <si>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</si>
  <si>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</si>
  <si>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</si>
  <si>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</si>
  <si>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</si>
  <si>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</si>
  <si>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</si>
  <si>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</si>
  <si>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</si>
  <si>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</si>
  <si>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</si>
  <si>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</si>
  <si>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</si>
  <si>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</si>
  <si>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</si>
  <si>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</si>
  <si>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</si>
  <si>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</si>
  <si>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</si>
  <si>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</si>
  <si>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</si>
  <si>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</si>
  <si>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</si>
  <si>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</si>
  <si>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</si>
  <si>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</si>
  <si>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</si>
  <si>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</si>
  <si>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</si>
  <si>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</si>
  <si>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</si>
  <si>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</si>
  <si>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</si>
  <si>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</si>
  <si>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</si>
  <si>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</si>
  <si>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</si>
  <si>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</si>
  <si>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</si>
  <si>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</si>
  <si>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</si>
  <si>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</si>
  <si>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</si>
  <si>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</si>
  <si>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</si>
  <si>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</si>
  <si>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</si>
  <si>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</si>
  <si>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</si>
  <si>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</si>
  <si>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</si>
  <si>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</si>
  <si>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</si>
  <si>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</si>
  <si>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</si>
  <si>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</si>
  <si>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</si>
  <si>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</si>
  <si>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</si>
  <si>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</si>
  <si>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</si>
  <si>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</si>
  <si>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</si>
  <si>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</si>
  <si>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</si>
  <si>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</si>
  <si>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</si>
  <si>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</si>
  <si>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</si>
  <si>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</si>
  <si>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</si>
  <si>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</si>
  <si>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</si>
  <si>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</si>
  <si>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</si>
  <si>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</si>
  <si>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</si>
  <si>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</si>
  <si>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</si>
  <si>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</si>
  <si>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</si>
  <si>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</si>
  <si>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</si>
  <si>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</si>
  <si>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</si>
  <si>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</si>
  <si>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</si>
  <si>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</si>
  <si>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</si>
  <si>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</si>
  <si>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</si>
  <si>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</si>
  <si>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</si>
  <si>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</si>
  <si>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</si>
  <si>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</si>
  <si>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</si>
  <si>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</si>
  <si>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</si>
  <si>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</si>
  <si>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</si>
  <si>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</si>
  <si>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</si>
  <si>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</si>
  <si>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</si>
  <si>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</si>
  <si>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</si>
  <si>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</si>
  <si>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</si>
  <si>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</si>
  <si>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</si>
  <si>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</si>
  <si>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</si>
  <si>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</si>
  <si>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</si>
  <si>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</si>
  <si>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</si>
  <si>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</si>
  <si>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</si>
  <si>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</si>
  <si>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</si>
  <si>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</si>
  <si>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</si>
  <si>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</si>
  <si>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</si>
  <si>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</si>
  <si>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</si>
  <si>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</si>
  <si>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</si>
  <si>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</si>
  <si>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</si>
  <si>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</si>
  <si>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</si>
  <si>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</si>
  <si>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</si>
  <si>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</si>
  <si>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</si>
  <si>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</si>
  <si>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</si>
  <si>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</si>
  <si>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</si>
  <si>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</si>
  <si>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</si>
  <si>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</si>
  <si>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</si>
  <si>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</si>
  <si>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</si>
  <si>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</si>
  <si>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</si>
  <si>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</si>
  <si>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</si>
  <si>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</si>
  <si>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</si>
  <si>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</si>
  <si>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</si>
  <si>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</si>
  <si>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</si>
  <si>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</si>
  <si>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</si>
  <si>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</si>
  <si>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</si>
  <si>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</si>
  <si>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</si>
  <si>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</si>
  <si>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</si>
  <si>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</si>
  <si>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</si>
  <si>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</si>
  <si>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</si>
  <si>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</si>
  <si>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</si>
  <si>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</si>
  <si>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</si>
  <si>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</si>
  <si>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</si>
  <si>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</si>
  <si>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</si>
  <si>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</si>
  <si>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</si>
  <si>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</si>
  <si>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</si>
  <si>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</si>
  <si>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</si>
  <si>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</si>
  <si>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</si>
  <si>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</si>
  <si>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</si>
  <si>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</si>
  <si>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</si>
  <si>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</si>
  <si>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</si>
  <si>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</si>
  <si>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</si>
  <si>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</si>
  <si>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</si>
  <si>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</si>
  <si>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</si>
  <si>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</si>
  <si>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</si>
  <si>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</si>
  <si>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</si>
  <si>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</si>
  <si>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</si>
  <si>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</si>
  <si>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</si>
  <si>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</si>
  <si>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</si>
  <si>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</si>
  <si>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</si>
  <si>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</si>
  <si>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</si>
  <si>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</si>
  <si>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</si>
  <si>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</si>
  <si>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</si>
  <si>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</si>
  <si>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</si>
  <si>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</si>
  <si>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</si>
  <si>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</si>
  <si>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</si>
  <si>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</si>
  <si>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</si>
  <si>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</si>
  <si>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</si>
  <si>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</si>
  <si>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</si>
  <si>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</si>
  <si>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</si>
  <si>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</si>
  <si>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</si>
  <si>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</si>
  <si>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</si>
  <si>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</si>
  <si>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</si>
  <si>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</si>
  <si>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</si>
  <si>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</si>
  <si>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</si>
  <si>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</si>
  <si>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</si>
  <si>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</si>
  <si>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</si>
  <si>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</si>
  <si>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</si>
  <si>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</si>
  <si>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</si>
  <si>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</si>
  <si>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</si>
  <si>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</si>
  <si>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</si>
  <si>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</si>
  <si>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</si>
  <si>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</si>
  <si>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</si>
  <si>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</si>
  <si>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</si>
  <si>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</si>
  <si>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</si>
  <si>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</si>
  <si>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</si>
  <si>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</si>
  <si>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</si>
  <si>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</si>
  <si>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</si>
  <si>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</si>
  <si>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</si>
  <si>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</si>
  <si>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</si>
  <si>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</si>
  <si>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</si>
  <si>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</si>
  <si>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</si>
  <si>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</si>
  <si>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</si>
  <si>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</si>
  <si>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</si>
  <si>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</si>
  <si>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</si>
  <si>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</si>
  <si>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</si>
  <si>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</si>
  <si>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</si>
  <si>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</si>
  <si>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</si>
  <si>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</si>
  <si>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</si>
  <si>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</si>
  <si>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</si>
  <si>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</si>
  <si>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</si>
  <si>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</si>
  <si>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</si>
  <si>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</si>
  <si>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</si>
  <si>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</si>
  <si>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</si>
  <si>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</si>
  <si>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</si>
  <si>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</si>
  <si>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</si>
  <si>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</si>
  <si>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</si>
  <si>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</si>
  <si>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</si>
  <si>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</si>
  <si>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</si>
  <si>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</si>
  <si>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</si>
  <si>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</si>
  <si>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</si>
  <si>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</si>
  <si>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</si>
  <si>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</si>
  <si>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</si>
  <si>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</si>
  <si>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</si>
  <si>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</si>
  <si>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</si>
  <si>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</si>
  <si>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</si>
  <si>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</si>
  <si>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</si>
  <si>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</si>
  <si>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</si>
  <si>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</si>
  <si>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</si>
  <si>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</si>
  <si>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</si>
  <si>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</si>
  <si>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</si>
  <si>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</si>
  <si>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</si>
  <si>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</si>
  <si>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</si>
  <si>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</si>
  <si>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</si>
  <si>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</si>
  <si>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</si>
  <si>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</si>
  <si>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</si>
  <si>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</si>
  <si>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</si>
  <si>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</si>
  <si>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</si>
  <si>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</si>
  <si>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</si>
  <si>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</si>
  <si>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</si>
  <si>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</si>
  <si>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</si>
  <si>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</si>
  <si>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</si>
  <si>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</si>
  <si>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</si>
  <si>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</si>
  <si>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</si>
  <si>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</si>
  <si>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</si>
  <si>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</si>
  <si>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</si>
  <si>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</si>
  <si>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</si>
  <si>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</si>
  <si>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</si>
  <si>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</si>
  <si>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</si>
  <si>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</si>
  <si>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</si>
  <si>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</si>
  <si>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</si>
  <si>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</si>
  <si>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</si>
  <si>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</si>
  <si>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</si>
  <si>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</si>
  <si>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</si>
  <si>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</si>
  <si>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</si>
  <si>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</si>
  <si>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</si>
  <si>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</si>
  <si>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</si>
  <si>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</si>
  <si>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</si>
  <si>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</si>
  <si>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</si>
  <si>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</si>
  <si>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</si>
  <si>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</si>
  <si>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</si>
  <si>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</si>
  <si>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</si>
  <si>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</si>
  <si>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</si>
  <si>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</si>
  <si>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</si>
  <si>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</si>
  <si>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</si>
  <si>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</si>
  <si>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</si>
  <si>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</si>
  <si>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</si>
  <si>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</si>
  <si>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</si>
  <si>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</si>
  <si>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</si>
  <si>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</si>
  <si>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</si>
  <si>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</si>
  <si>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</si>
  <si>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</si>
  <si>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</si>
  <si>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</si>
  <si>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</si>
  <si>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</si>
  <si>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</si>
  <si>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</si>
  <si>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</si>
  <si>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</si>
  <si>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</si>
  <si>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</si>
  <si>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</si>
  <si>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</si>
  <si>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</si>
  <si>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</si>
  <si>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</si>
  <si>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</si>
  <si>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</si>
  <si>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</si>
  <si>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</si>
  <si>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</si>
  <si>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</si>
  <si>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</si>
  <si>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</si>
  <si>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</si>
  <si>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</si>
  <si>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</si>
  <si>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</si>
  <si>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</si>
  <si>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</si>
  <si>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</si>
  <si>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</si>
  <si>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</si>
  <si>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</si>
  <si>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</si>
  <si>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</si>
  <si>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</si>
  <si>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</si>
  <si>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</si>
  <si>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</si>
  <si>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</si>
  <si>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</si>
  <si>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</si>
  <si>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</si>
  <si>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</si>
  <si>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</si>
  <si>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</si>
  <si>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</si>
  <si>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</si>
  <si>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</si>
  <si>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</si>
  <si>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</si>
  <si>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</si>
  <si>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</si>
  <si>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</si>
  <si>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</si>
  <si>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</si>
  <si>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</si>
  <si>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</si>
  <si>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</si>
  <si>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</si>
  <si>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</si>
  <si>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</si>
  <si>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</si>
  <si>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</si>
  <si>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</si>
  <si>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</si>
  <si>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</si>
  <si>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</si>
  <si>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</si>
  <si>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</si>
  <si>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</si>
  <si>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</si>
  <si>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</si>
  <si>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</si>
  <si>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</si>
  <si>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</si>
  <si>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</si>
  <si>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</si>
  <si>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</si>
  <si>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</si>
  <si>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</si>
  <si>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</si>
  <si>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</si>
  <si>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</si>
  <si>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</si>
  <si>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</si>
  <si>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</si>
  <si>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</si>
  <si>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</si>
  <si>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</si>
  <si>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</si>
  <si>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</si>
  <si>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</si>
  <si>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</si>
  <si>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</si>
  <si>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</si>
  <si>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</si>
  <si>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</si>
  <si>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</si>
  <si>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</si>
  <si>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</si>
  <si>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</si>
  <si>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</si>
  <si>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</si>
  <si>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</si>
  <si>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</si>
  <si>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</si>
  <si>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</si>
  <si>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</si>
  <si>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</si>
  <si>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</si>
  <si>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</si>
  <si>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</si>
  <si>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</si>
  <si>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</si>
  <si>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</si>
  <si>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</si>
  <si>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</si>
  <si>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</si>
  <si>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</si>
  <si>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</si>
  <si>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</si>
  <si>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</si>
  <si>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</si>
  <si>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</si>
  <si>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</si>
  <si>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</si>
  <si>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</si>
  <si>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</si>
  <si>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</si>
  <si>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</si>
  <si>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</si>
  <si>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</si>
  <si>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</si>
  <si>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</si>
  <si>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</si>
  <si>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</si>
  <si>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</si>
  <si>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</si>
  <si>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</si>
  <si>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</si>
  <si>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</si>
  <si>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</si>
  <si>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</si>
  <si>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</si>
  <si>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</si>
  <si>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</si>
  <si>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</si>
  <si>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</si>
  <si>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</si>
  <si>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</si>
  <si>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</si>
  <si>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</si>
  <si>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</si>
  <si>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</si>
  <si>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</si>
  <si>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</si>
  <si>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</si>
  <si>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</si>
  <si>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</si>
  <si>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</si>
  <si>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</si>
  <si>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</si>
  <si>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</si>
  <si>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</si>
  <si>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</si>
  <si>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</si>
  <si>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</si>
  <si>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</si>
  <si>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</si>
  <si>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</si>
  <si>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</si>
  <si>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</si>
  <si>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</si>
  <si>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</si>
  <si>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</si>
  <si>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</si>
  <si>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</si>
  <si>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</si>
  <si>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</si>
  <si>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</si>
  <si>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</si>
  <si>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</si>
  <si>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</si>
  <si>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</si>
  <si>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</si>
  <si>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</si>
  <si>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</si>
  <si>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</si>
  <si>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</si>
  <si>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</si>
  <si>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</si>
  <si>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</si>
  <si>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</si>
  <si>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</si>
  <si>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</si>
  <si>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</si>
  <si>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</si>
  <si>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</si>
  <si>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</si>
  <si>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</si>
  <si>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</si>
  <si>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</si>
  <si>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</si>
  <si>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</si>
  <si>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</si>
  <si>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</si>
  <si>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</si>
  <si>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</si>
  <si>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</si>
  <si>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</si>
  <si>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</si>
  <si>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</si>
  <si>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</si>
  <si>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</si>
  <si>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</si>
  <si>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</si>
  <si>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</si>
  <si>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</si>
  <si>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</si>
  <si>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</si>
  <si>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</si>
  <si>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</si>
  <si>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</si>
  <si>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</si>
  <si>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</si>
  <si>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</si>
  <si>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</si>
  <si>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</si>
  <si>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</si>
  <si>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</si>
  <si>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</si>
  <si>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</si>
  <si>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</si>
  <si>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</si>
  <si>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</si>
  <si>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</si>
  <si>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</si>
  <si>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</si>
  <si>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</si>
  <si>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</si>
  <si>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</si>
  <si>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</si>
  <si>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</si>
  <si>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</si>
  <si>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</si>
  <si>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</si>
  <si>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</si>
  <si>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</si>
  <si>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</si>
  <si>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</si>
  <si>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</si>
  <si>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</si>
  <si>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</si>
  <si>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</si>
  <si>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</si>
  <si>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</si>
  <si>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</si>
  <si>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</si>
  <si>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</si>
  <si>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</si>
  <si>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</si>
  <si>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</si>
  <si>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</si>
  <si>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</si>
  <si>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</si>
  <si>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</si>
  <si>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</si>
  <si>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</si>
  <si>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</si>
  <si>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</si>
  <si>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</si>
  <si>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</si>
  <si>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</si>
  <si>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</si>
  <si>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</si>
  <si>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</si>
  <si>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</si>
  <si>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</si>
  <si>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</si>
  <si>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</si>
  <si>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</si>
  <si>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</si>
  <si>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</si>
  <si>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</si>
  <si>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</si>
  <si>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</si>
  <si>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</si>
  <si>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</si>
  <si>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</si>
  <si>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</si>
  <si>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</si>
  <si>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</si>
  <si>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</si>
  <si>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</si>
  <si>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</si>
  <si>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</si>
  <si>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</si>
  <si>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</si>
  <si>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</si>
  <si>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</si>
  <si>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</si>
  <si>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</si>
  <si>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</si>
  <si>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</si>
  <si>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</si>
  <si>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</si>
  <si>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</si>
  <si>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</si>
  <si>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</si>
  <si>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</si>
  <si>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</si>
  <si>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</si>
  <si>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</si>
  <si>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</si>
  <si>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</si>
  <si>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</si>
  <si>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</si>
  <si>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</si>
  <si>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</si>
  <si>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</si>
  <si>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</si>
  <si>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</si>
  <si>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</si>
  <si>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</si>
  <si>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</si>
  <si>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</si>
  <si>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</si>
  <si>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</si>
  <si>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</si>
  <si>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</si>
  <si>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</si>
  <si>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</si>
  <si>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</si>
  <si>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</si>
  <si>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</si>
  <si>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</si>
  <si>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</si>
  <si>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</si>
  <si>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</si>
  <si>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</si>
  <si>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</si>
  <si>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</si>
  <si>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</si>
  <si>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</si>
  <si>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</si>
  <si>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</si>
  <si>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</si>
  <si>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</si>
  <si>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</si>
  <si>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</si>
  <si>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</si>
  <si>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</si>
  <si>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</si>
  <si>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</si>
  <si>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</si>
  <si>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</si>
  <si>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</si>
  <si>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</si>
  <si>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</si>
  <si>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</si>
  <si>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</si>
  <si>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</si>
  <si>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</si>
  <si>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</si>
  <si>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</si>
  <si>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</si>
  <si>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</si>
  <si>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</si>
  <si>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</si>
  <si>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</si>
  <si>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</si>
  <si>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</si>
  <si>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</si>
  <si>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</si>
  <si>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</si>
  <si>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</si>
  <si>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</si>
  <si>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</si>
  <si>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</si>
  <si>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</si>
  <si>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</si>
  <si>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</si>
  <si>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</si>
  <si>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</si>
  <si>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</si>
  <si>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</si>
  <si>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</si>
  <si>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</si>
  <si>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</si>
  <si>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</si>
  <si>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</si>
  <si>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</si>
  <si>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</si>
  <si>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</si>
  <si>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</si>
  <si>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</si>
  <si>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</si>
  <si>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</si>
  <si>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</si>
  <si>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</si>
  <si>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</si>
  <si>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</si>
  <si>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</si>
  <si>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</si>
  <si>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</si>
  <si>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</si>
  <si>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</si>
  <si>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</si>
  <si>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</si>
  <si>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</si>
  <si>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</si>
  <si>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</si>
  <si>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</si>
  <si>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</si>
  <si>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</si>
  <si>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</si>
  <si>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</si>
  <si>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</si>
  <si>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</si>
  <si>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</si>
  <si>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</si>
  <si>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</si>
  <si>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</si>
  <si>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</si>
  <si>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</si>
  <si>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</si>
  <si>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</si>
  <si>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</si>
  <si>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</si>
  <si>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</si>
  <si>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</si>
  <si>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</si>
  <si>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</si>
  <si>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</si>
  <si>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</si>
  <si>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</si>
  <si>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</si>
  <si>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</si>
  <si>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</si>
  <si>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</si>
  <si>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</si>
  <si>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</si>
  <si>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</si>
  <si>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</si>
  <si>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</si>
  <si>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</si>
  <si>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</si>
  <si>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</si>
  <si>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</si>
  <si>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</si>
  <si>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</si>
  <si>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</si>
  <si>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</si>
  <si>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</si>
  <si>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</si>
  <si>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</si>
  <si>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</si>
  <si>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</si>
  <si>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</si>
  <si>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</si>
  <si>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</si>
  <si>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</si>
  <si>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</si>
  <si>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</si>
  <si>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</si>
  <si>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</si>
  <si>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</si>
  <si>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</si>
  <si>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</si>
  <si>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</si>
  <si>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</si>
  <si>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</si>
  <si>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</si>
  <si>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</si>
  <si>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</si>
  <si>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</si>
  <si>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</si>
  <si>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</si>
  <si>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</si>
  <si>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</si>
  <si>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</si>
  <si>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</si>
  <si>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</si>
  <si>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</si>
  <si>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</si>
  <si>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</si>
  <si>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</si>
  <si>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</si>
  <si>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</si>
  <si>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</si>
  <si>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</si>
  <si>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</si>
  <si>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</si>
  <si>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</si>
  <si>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</si>
  <si>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</si>
  <si>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</si>
  <si>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</si>
  <si>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</si>
  <si>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</si>
  <si>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</si>
  <si>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</si>
  <si>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</si>
  <si>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</si>
  <si>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</si>
  <si>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</si>
  <si>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</si>
  <si>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</si>
  <si>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</si>
  <si>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</si>
  <si>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</si>
  <si>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</si>
  <si>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</si>
  <si>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</si>
  <si>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</si>
  <si>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</si>
  <si>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</si>
  <si>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</si>
  <si>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</si>
  <si>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</si>
  <si>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</si>
  <si>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</si>
  <si>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</si>
  <si>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</si>
  <si>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</si>
  <si>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</si>
  <si>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</si>
  <si>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</si>
  <si>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</si>
  <si>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</si>
  <si>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</si>
  <si>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</si>
  <si>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</si>
  <si>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</si>
  <si>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</si>
  <si>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</si>
  <si>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</si>
  <si>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</si>
  <si>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</si>
  <si>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</si>
  <si>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</si>
  <si>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</si>
  <si>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</si>
  <si>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</si>
  <si>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</si>
  <si>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</si>
  <si>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</si>
  <si>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</si>
  <si>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</si>
  <si>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</si>
  <si>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</si>
  <si>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</si>
  <si>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</si>
  <si>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</si>
  <si>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</si>
  <si>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</si>
  <si>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</si>
  <si>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</si>
  <si>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</si>
  <si>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</si>
  <si>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</si>
  <si>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</si>
  <si>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</si>
  <si>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</si>
  <si>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</si>
  <si>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</si>
  <si>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</si>
  <si>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</si>
  <si>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</si>
  <si>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</si>
  <si>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</si>
  <si>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</si>
  <si>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</si>
  <si>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</si>
  <si>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</si>
  <si>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</si>
  <si>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</si>
  <si>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</si>
  <si>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</si>
  <si>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</si>
  <si>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</si>
  <si>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</si>
  <si>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</si>
  <si>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</si>
  <si>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</si>
  <si>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</si>
  <si>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</si>
  <si>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</si>
  <si>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</si>
  <si>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</si>
  <si>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</si>
  <si>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</si>
  <si>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</si>
  <si>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</si>
  <si>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</si>
  <si>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</si>
  <si>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</si>
  <si>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</si>
  <si>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</si>
  <si>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</si>
  <si>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</si>
  <si>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</si>
  <si>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</si>
  <si>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</si>
  <si>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</si>
  <si>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</si>
  <si>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</si>
  <si>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</si>
  <si>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</si>
  <si>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</si>
  <si>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</si>
  <si>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</si>
  <si>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</si>
  <si>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</si>
  <si>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</si>
  <si>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</si>
  <si>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</si>
  <si>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</si>
  <si>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</si>
  <si>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</si>
  <si>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</si>
  <si>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</si>
  <si>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</si>
  <si>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</si>
  <si>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</si>
  <si>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</si>
  <si>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</si>
  <si>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</si>
  <si>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</si>
  <si>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</si>
  <si>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</si>
  <si>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</si>
  <si>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</si>
  <si>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</si>
  <si>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</si>
  <si>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</si>
  <si>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</si>
  <si>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</si>
  <si>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</si>
  <si>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</si>
  <si>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</si>
  <si>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</si>
  <si>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</si>
  <si>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</si>
  <si>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</si>
  <si>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</si>
  <si>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</si>
  <si>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</si>
  <si>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</si>
  <si>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</si>
  <si>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</si>
  <si>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</si>
  <si>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</si>
  <si>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</si>
  <si>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</si>
  <si>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</si>
  <si>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</si>
  <si>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</si>
  <si>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</si>
  <si>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</si>
  <si>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</si>
  <si>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</si>
  <si>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</si>
  <si>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</si>
  <si>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</si>
  <si>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</si>
  <si>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</si>
  <si>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</si>
  <si>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</si>
  <si>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</si>
  <si>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</si>
  <si>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</si>
  <si>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</si>
  <si>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</si>
  <si>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</si>
  <si>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</si>
  <si>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</si>
  <si>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</si>
  <si>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</si>
  <si>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</si>
  <si>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</si>
  <si>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</si>
  <si>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</si>
  <si>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</si>
  <si>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</si>
  <si>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</si>
  <si>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</si>
  <si>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</si>
  <si>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</si>
  <si>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</si>
  <si>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</si>
  <si>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</si>
  <si>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</si>
  <si>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</si>
  <si>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</si>
  <si>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</si>
  <si>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</si>
  <si>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</si>
  <si>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</si>
  <si>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</si>
  <si>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</si>
  <si>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</si>
  <si>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</si>
  <si>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</si>
  <si>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</si>
  <si>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</si>
  <si>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</si>
  <si>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</si>
  <si>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</si>
  <si>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</si>
  <si>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</si>
  <si>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</si>
  <si>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</si>
  <si>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</si>
  <si>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</si>
  <si>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</si>
  <si>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</si>
  <si>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</si>
  <si>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</si>
  <si>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</si>
  <si>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</si>
  <si>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</si>
  <si>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</si>
  <si>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</si>
  <si>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</si>
  <si>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</si>
  <si>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</si>
  <si>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</si>
  <si>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</si>
  <si>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</si>
  <si>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</si>
  <si>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</si>
  <si>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</si>
  <si>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</si>
  <si>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</si>
  <si>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</si>
  <si>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</si>
  <si>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</si>
  <si>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</si>
  <si>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</si>
  <si>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</si>
  <si>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</si>
  <si>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</si>
  <si>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</si>
  <si>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</si>
  <si>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</si>
  <si>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</si>
  <si>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</si>
  <si>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</si>
  <si>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</si>
  <si>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</si>
  <si>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</si>
  <si>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</si>
  <si>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</si>
  <si>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</si>
  <si>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</si>
  <si>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</si>
  <si>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</si>
  <si>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</si>
  <si>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</si>
  <si>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</si>
  <si>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</si>
  <si>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</si>
  <si>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</si>
  <si>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Ống co nhiệt cách điện trung thế F65/25</t>
  </si>
  <si>
    <t>cxv25</t>
  </si>
  <si>
    <t>Cáp đồng bọc 24KV-CXV-25</t>
  </si>
  <si>
    <t>Kep5U</t>
  </si>
  <si>
    <t>Kẹo dừng 5 U</t>
  </si>
  <si>
    <t>BM16350</t>
  </si>
  <si>
    <t>Boulon mắt 16x350+ 2 long đền vuông D18-50x50x3/Zn</t>
  </si>
  <si>
    <t xml:space="preserve">MCCB - 3P-400V-250A-25KA  Icu=Ics </t>
  </si>
  <si>
    <t>KT3-0638ADI</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</si>
  <si>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</si>
  <si>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</si>
  <si>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</si>
  <si>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</si>
  <si>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</si>
  <si>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</si>
  <si>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</si>
  <si>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</si>
  <si>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</si>
  <si>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</si>
  <si>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</si>
  <si>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</si>
  <si>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</si>
  <si>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Đường dây trung thế &amp; TBA Suối Lá, ấp Gia Ui, xã Xuân Tâm</t>
  </si>
  <si>
    <t>Xuân Tâm</t>
  </si>
  <si>
    <t>174/106</t>
  </si>
  <si>
    <t>dinh</t>
  </si>
  <si>
    <t>Đào hố móng đất cấp 3 sâu &gt;1m</t>
  </si>
  <si>
    <t>C5/8m</t>
  </si>
  <si>
    <t>atm200</t>
  </si>
  <si>
    <t>cos5</t>
  </si>
  <si>
    <t>SL50-810</t>
  </si>
  <si>
    <t>gỗ</t>
  </si>
  <si>
    <t>174/106/020</t>
  </si>
  <si>
    <t>476 Xuân Hòa</t>
  </si>
  <si>
    <t>Nhánh rẽGia Ui</t>
  </si>
  <si>
    <t>Từ trụ</t>
  </si>
  <si>
    <t>Đến trụ</t>
  </si>
  <si>
    <t>bên</t>
  </si>
  <si>
    <t>Nội dung bàn giao</t>
  </si>
  <si>
    <t>019</t>
  </si>
  <si>
    <t>019/002</t>
  </si>
  <si>
    <t>trái</t>
  </si>
  <si>
    <t>019/003</t>
  </si>
  <si>
    <t>phải</t>
  </si>
  <si>
    <t>019/008</t>
  </si>
  <si>
    <t>019/010</t>
  </si>
  <si>
    <t>019/019</t>
  </si>
  <si>
    <t>019/031</t>
  </si>
  <si>
    <t>019/033</t>
  </si>
  <si>
    <t>019/035</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</si>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</sst>
</file>

<file path=xl/styles.xml><?xml version="1.0" encoding="utf-8"?>
<styleSheet xmlns="http://schemas.openxmlformats.org/spreadsheetml/2006/main" xmlns:mc="http://schemas.openxmlformats.org/markup-compatibility/2006" xmlns:x14ac="http://schemas.microsoft.com/office/spreadsheetml/2009/9/ac" mc:Ignorable="x14ac">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0.00000"/>
    <numFmt numFmtId="184" formatCode="_(* #,##0.00_);_(* \(#,##0.00\);_(* &quot;-&quot;&quot;?&quot;&quot;?&quot;_);_(@_)"/>
    <numFmt numFmtId="185" formatCode="_(* #,##0_);_(* \(#,##0\);_(* &quot;-&quot;&quot;?&quot;&quot;?&quot;_);_(@_)"/>
    <numFmt numFmtId="186" formatCode="_(* #,##0.000_);_(* \(#,##0.000\);_(* &quot;-&quot;&quot;?&quot;&quot;?&quot;_);_(@_)"/>
  </numFmts>
  <fonts count="192">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7">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9" fillId="0" borderId="0" applyFont="0" applyFill="0" applyBorder="0" applyAlignment="0" applyProtection="0"/>
    <xf numFmtId="0" fontId="155" fillId="0" borderId="4"/>
    <xf numFmtId="0" fontId="1" fillId="0" borderId="0"/>
    <xf numFmtId="0" fontId="107" fillId="0" borderId="0"/>
    <xf numFmtId="38" fontId="156" fillId="2" borderId="0" applyNumberFormat="0" applyBorder="0" applyAlignment="0" applyProtection="0"/>
    <xf numFmtId="0" fontId="1" fillId="0" borderId="0"/>
    <xf numFmtId="0" fontId="159" fillId="0" borderId="0"/>
    <xf numFmtId="10" fontId="156" fillId="2" borderId="3" applyNumberFormat="0" applyBorder="0" applyAlignment="0" applyProtection="0"/>
    <xf numFmtId="0" fontId="160" fillId="0" borderId="0"/>
    <xf numFmtId="43" fontId="159" fillId="0" borderId="0" applyFont="0" applyFill="0" applyBorder="0" applyAlignment="0" applyProtection="0"/>
    <xf numFmtId="0" fontId="158" fillId="0" borderId="0">
      <alignment horizontal="left"/>
    </xf>
    <xf numFmtId="10" fontId="97" fillId="0" borderId="0" applyFont="0" applyFill="0" applyBorder="0" applyAlignment="0" applyProtection="0"/>
    <xf numFmtId="9" fontId="159" fillId="0" borderId="0" applyFont="0" applyFill="0" applyBorder="0" applyAlignment="0" applyProtection="0"/>
    <xf numFmtId="9" fontId="159" fillId="0" borderId="0" applyFont="0" applyFill="0" applyBorder="0" applyAlignment="0" applyProtection="0"/>
    <xf numFmtId="175" fontId="157" fillId="0" borderId="5" applyFill="0" applyBorder="0" applyProtection="0"/>
    <xf numFmtId="0" fontId="155" fillId="0" borderId="0"/>
    <xf numFmtId="0" fontId="162" fillId="0" borderId="0">
      <alignment horizontal="center" vertical="center"/>
    </xf>
    <xf numFmtId="0" fontId="165" fillId="0" borderId="0" applyNumberFormat="0" applyFill="0" applyBorder="0" applyAlignment="0" applyProtection="0"/>
    <xf numFmtId="0" fontId="163" fillId="0" borderId="0"/>
    <xf numFmtId="0" fontId="164" fillId="0" borderId="0"/>
    <xf numFmtId="38" fontId="169" fillId="2" borderId="0" applyNumberFormat="0" applyBorder="0" applyAlignment="0" applyProtection="0"/>
    <xf numFmtId="0" fontId="163" fillId="0" borderId="0"/>
    <xf numFmtId="0" fontId="166" fillId="0" borderId="0"/>
    <xf numFmtId="0" fontId="167" fillId="0" borderId="0"/>
    <xf numFmtId="10" fontId="169" fillId="2" borderId="3" applyNumberFormat="0" applyBorder="0" applyAlignment="0" applyProtection="0"/>
    <xf numFmtId="0" fontId="168" fillId="0" borderId="1" applyNumberFormat="0" applyAlignment="0" applyProtection="0">
      <alignment horizontal="left" vertical="center"/>
    </xf>
    <xf numFmtId="0" fontId="168" fillId="0" borderId="2">
      <alignment horizontal="left" vertical="center"/>
    </xf>
    <xf numFmtId="10" fontId="167" fillId="0" borderId="0" applyFont="0" applyFill="0" applyBorder="0" applyAlignment="0" applyProtection="0"/>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0" fontId="162" fillId="0" borderId="0">
      <alignment horizontal="center" vertical="center"/>
    </xf>
    <xf numFmtId="9" fontId="46" fillId="0" borderId="0" applyFont="0" applyFill="0" applyBorder="0" applyAlignment="0" applyProtection="0"/>
    <xf numFmtId="0" fontId="97" fillId="0" borderId="0"/>
    <xf numFmtId="0" fontId="97" fillId="0" borderId="0"/>
    <xf numFmtId="0" fontId="97" fillId="0" borderId="0"/>
    <xf numFmtId="0" fontId="21" fillId="0" borderId="6" applyBorder="0"/>
    <xf numFmtId="184" fontId="97" fillId="0" borderId="0" applyFont="0" applyFill="0" applyBorder="0" applyAlignment="0" applyProtection="0"/>
  </cellStyleXfs>
  <cellXfs count="2763">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6"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6" fillId="0" borderId="100" xfId="0" applyFont="1" applyBorder="1" applyAlignment="1">
      <alignment horizontal="left" vertical="center" wrapText="1"/>
    </xf>
    <xf numFmtId="0" fontId="136"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7" fillId="0" borderId="15" xfId="0" applyFont="1" applyBorder="1" applyAlignment="1" applyProtection="1">
      <alignment horizontal="center" vertical="center"/>
    </xf>
    <xf numFmtId="0" fontId="147" fillId="0" borderId="17" xfId="0" applyFont="1" applyBorder="1" applyAlignment="1" applyProtection="1">
      <alignment horizontal="center" vertical="center"/>
    </xf>
    <xf numFmtId="0" fontId="147" fillId="0" borderId="3" xfId="0" applyFont="1" applyBorder="1" applyAlignment="1" applyProtection="1">
      <alignment horizontal="center" vertical="center"/>
    </xf>
    <xf numFmtId="0" fontId="147" fillId="0" borderId="26" xfId="0" applyFont="1" applyBorder="1" applyAlignment="1" applyProtection="1">
      <alignment horizontal="center" vertical="center"/>
    </xf>
    <xf numFmtId="0" fontId="147" fillId="0" borderId="6" xfId="0" applyFont="1" applyBorder="1" applyAlignment="1" applyProtection="1">
      <alignment horizontal="center" vertical="center"/>
    </xf>
    <xf numFmtId="164" fontId="147" fillId="3" borderId="6" xfId="2" applyNumberFormat="1" applyFont="1" applyFill="1" applyBorder="1" applyAlignment="1" applyProtection="1">
      <alignment vertical="center"/>
    </xf>
    <xf numFmtId="167" fontId="147" fillId="0" borderId="6" xfId="2" applyNumberFormat="1" applyFont="1" applyBorder="1" applyAlignment="1" applyProtection="1">
      <alignment vertical="center"/>
    </xf>
    <xf numFmtId="43" fontId="147" fillId="0" borderId="6" xfId="2" applyFont="1" applyBorder="1" applyAlignment="1" applyProtection="1">
      <alignment vertical="center"/>
    </xf>
    <xf numFmtId="164" fontId="147" fillId="0" borderId="6" xfId="2" applyNumberFormat="1" applyFont="1" applyBorder="1" applyAlignment="1" applyProtection="1">
      <alignment vertical="center"/>
    </xf>
    <xf numFmtId="167" fontId="147" fillId="0" borderId="6" xfId="2" applyNumberFormat="1" applyFont="1" applyFill="1" applyBorder="1" applyAlignment="1" applyProtection="1">
      <alignment vertical="center"/>
    </xf>
    <xf numFmtId="43" fontId="147" fillId="0" borderId="6" xfId="2" applyFont="1" applyFill="1" applyBorder="1" applyAlignment="1" applyProtection="1">
      <alignment vertical="center"/>
    </xf>
    <xf numFmtId="164" fontId="147" fillId="0" borderId="6" xfId="2" applyNumberFormat="1" applyFont="1" applyFill="1" applyBorder="1" applyAlignment="1" applyProtection="1">
      <alignment vertical="center"/>
    </xf>
    <xf numFmtId="166" fontId="147" fillId="0" borderId="6" xfId="2" applyNumberFormat="1" applyFont="1" applyFill="1" applyBorder="1" applyAlignment="1" applyProtection="1">
      <alignment vertical="center"/>
    </xf>
    <xf numFmtId="43" fontId="147" fillId="0" borderId="6" xfId="2" applyNumberFormat="1" applyFont="1" applyFill="1" applyBorder="1" applyAlignment="1" applyProtection="1">
      <alignment vertical="center"/>
    </xf>
    <xf numFmtId="166" fontId="147" fillId="0" borderId="6" xfId="2" applyNumberFormat="1" applyFont="1" applyBorder="1" applyAlignment="1" applyProtection="1">
      <alignment vertical="center"/>
    </xf>
    <xf numFmtId="43" fontId="147" fillId="6" borderId="6" xfId="2" applyFont="1" applyFill="1" applyBorder="1" applyAlignment="1" applyProtection="1">
      <alignment vertical="center"/>
    </xf>
    <xf numFmtId="174" fontId="147" fillId="0" borderId="6" xfId="2" applyNumberFormat="1" applyFont="1" applyFill="1" applyBorder="1" applyAlignment="1" applyProtection="1">
      <alignment vertical="center"/>
    </xf>
    <xf numFmtId="167" fontId="147" fillId="3" borderId="6" xfId="2" applyNumberFormat="1" applyFont="1" applyFill="1" applyBorder="1" applyAlignment="1" applyProtection="1">
      <alignment vertical="center"/>
    </xf>
    <xf numFmtId="43" fontId="147" fillId="0" borderId="6" xfId="2" applyNumberFormat="1" applyFont="1" applyBorder="1" applyAlignment="1" applyProtection="1">
      <alignment vertical="center"/>
    </xf>
    <xf numFmtId="43" fontId="147"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7" fillId="0" borderId="6" xfId="2" quotePrefix="1" applyNumberFormat="1" applyFont="1" applyBorder="1" applyAlignment="1" applyProtection="1">
      <alignment vertical="center"/>
    </xf>
    <xf numFmtId="164" fontId="147" fillId="0" borderId="6" xfId="2" quotePrefix="1" applyNumberFormat="1" applyFont="1" applyFill="1" applyBorder="1" applyAlignment="1" applyProtection="1">
      <alignment vertical="center"/>
    </xf>
    <xf numFmtId="0" fontId="147" fillId="0" borderId="0" xfId="0" applyFont="1" applyAlignment="1" applyProtection="1">
      <alignment horizontal="center" vertical="center"/>
    </xf>
    <xf numFmtId="164" fontId="147" fillId="6" borderId="6" xfId="2" quotePrefix="1" applyNumberFormat="1" applyFont="1" applyFill="1" applyBorder="1" applyAlignment="1" applyProtection="1">
      <alignment vertical="center"/>
    </xf>
    <xf numFmtId="164" fontId="147" fillId="3" borderId="6" xfId="2" quotePrefix="1" applyNumberFormat="1" applyFont="1" applyFill="1" applyBorder="1" applyAlignment="1" applyProtection="1">
      <alignment vertical="center"/>
    </xf>
    <xf numFmtId="164" fontId="147" fillId="11" borderId="6" xfId="2" applyNumberFormat="1" applyFont="1" applyFill="1" applyBorder="1" applyAlignment="1" applyProtection="1">
      <alignment vertical="center"/>
    </xf>
    <xf numFmtId="164" fontId="147" fillId="6" borderId="6" xfId="2" quotePrefix="1" applyNumberFormat="1" applyFont="1" applyFill="1" applyBorder="1" applyAlignment="1" applyProtection="1">
      <alignment vertical="center"/>
      <protection locked="0"/>
    </xf>
    <xf numFmtId="164" fontId="147" fillId="7" borderId="6" xfId="2" applyNumberFormat="1" applyFont="1" applyFill="1" applyBorder="1" applyAlignment="1" applyProtection="1">
      <alignment vertical="center"/>
    </xf>
    <xf numFmtId="43" fontId="147" fillId="3" borderId="6" xfId="2" applyFont="1" applyFill="1" applyBorder="1" applyAlignment="1" applyProtection="1">
      <alignment vertical="center"/>
    </xf>
    <xf numFmtId="164" fontId="147" fillId="0" borderId="6" xfId="2" quotePrefix="1" applyNumberFormat="1" applyFont="1" applyFill="1" applyBorder="1" applyAlignment="1" applyProtection="1">
      <alignment horizontal="center" vertical="center"/>
    </xf>
    <xf numFmtId="3" fontId="147" fillId="0" borderId="6" xfId="13" applyNumberFormat="1" applyFont="1" applyFill="1" applyBorder="1" applyAlignment="1" applyProtection="1">
      <alignment horizontal="center" vertical="center"/>
    </xf>
    <xf numFmtId="168" fontId="147" fillId="0" borderId="6" xfId="13" applyNumberFormat="1" applyFont="1" applyFill="1" applyBorder="1" applyAlignment="1" applyProtection="1">
      <alignment horizontal="center" vertical="center"/>
    </xf>
    <xf numFmtId="3" fontId="147" fillId="8" borderId="6" xfId="13" applyNumberFormat="1" applyFont="1" applyFill="1" applyBorder="1" applyAlignment="1" applyProtection="1">
      <alignment horizontal="center" vertical="center"/>
    </xf>
    <xf numFmtId="4" fontId="147" fillId="0" borderId="6" xfId="13" applyNumberFormat="1" applyFont="1" applyFill="1" applyBorder="1" applyAlignment="1" applyProtection="1">
      <alignment horizontal="center" vertical="center"/>
    </xf>
    <xf numFmtId="164" fontId="147" fillId="3" borderId="7" xfId="2" applyNumberFormat="1" applyFont="1" applyFill="1" applyBorder="1" applyAlignment="1" applyProtection="1">
      <alignment vertical="center"/>
    </xf>
    <xf numFmtId="4" fontId="147" fillId="0" borderId="6" xfId="2" applyNumberFormat="1" applyFont="1" applyFill="1" applyBorder="1" applyAlignment="1" applyProtection="1">
      <alignment vertical="center"/>
    </xf>
    <xf numFmtId="43" fontId="147" fillId="0" borderId="8" xfId="2" applyFont="1" applyFill="1" applyBorder="1" applyAlignment="1" applyProtection="1">
      <alignment vertical="center"/>
    </xf>
    <xf numFmtId="0" fontId="147"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8" fillId="0" borderId="0" xfId="2" applyNumberFormat="1" applyFont="1" applyFill="1" applyBorder="1" applyAlignment="1">
      <alignment vertical="center"/>
    </xf>
    <xf numFmtId="164" fontId="149" fillId="0" borderId="6" xfId="2" applyNumberFormat="1" applyFont="1" applyBorder="1" applyAlignment="1" applyProtection="1">
      <alignment vertical="center"/>
    </xf>
    <xf numFmtId="0" fontId="150" fillId="0" borderId="54" xfId="2" applyNumberFormat="1" applyFont="1" applyFill="1" applyBorder="1" applyAlignment="1" applyProtection="1">
      <alignment horizontal="lef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1" fillId="0" borderId="3" xfId="19" applyFont="1" applyFill="1" applyBorder="1" applyAlignment="1">
      <alignment horizontal="center" vertical="center" wrapText="1"/>
    </xf>
    <xf numFmtId="0" fontId="151" fillId="0" borderId="3" xfId="0" applyFont="1" applyBorder="1" applyAlignment="1" applyProtection="1">
      <alignment horizontal="left" vertical="center" wrapText="1"/>
    </xf>
    <xf numFmtId="0" fontId="151" fillId="0" borderId="3" xfId="19" applyFont="1" applyFill="1" applyBorder="1" applyAlignment="1">
      <alignment horizontal="center" vertical="center"/>
    </xf>
    <xf numFmtId="0" fontId="151" fillId="0" borderId="3" xfId="19" applyNumberFormat="1" applyFont="1" applyFill="1" applyBorder="1" applyAlignment="1">
      <alignment horizontal="center" vertical="center"/>
    </xf>
    <xf numFmtId="14" fontId="151" fillId="0" borderId="3" xfId="19" applyNumberFormat="1" applyFont="1" applyFill="1" applyBorder="1" applyAlignment="1">
      <alignment horizontal="center" vertical="center" wrapText="1"/>
    </xf>
    <xf numFmtId="0" fontId="151" fillId="0" borderId="3" xfId="0" applyFont="1" applyFill="1" applyBorder="1" applyAlignment="1">
      <alignment horizontal="center" vertical="center" wrapText="1"/>
    </xf>
    <xf numFmtId="14" fontId="151"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2"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3"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4"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6"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1"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1"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1" fillId="0" borderId="0" xfId="19" applyFont="1" applyFill="1" applyBorder="1" applyAlignment="1">
      <alignment horizontal="center" vertical="center" wrapText="1"/>
    </xf>
    <xf numFmtId="0" fontId="151" fillId="0" borderId="0" xfId="0" applyFont="1" applyBorder="1" applyAlignment="1" applyProtection="1">
      <alignment horizontal="left" vertical="center" wrapText="1"/>
    </xf>
    <xf numFmtId="0" fontId="151" fillId="0" borderId="0" xfId="19" applyFont="1" applyFill="1" applyBorder="1" applyAlignment="1">
      <alignment horizontal="center" vertical="center"/>
    </xf>
    <xf numFmtId="0" fontId="151" fillId="0" borderId="0" xfId="19" applyNumberFormat="1" applyFont="1" applyFill="1" applyBorder="1" applyAlignment="1">
      <alignment horizontal="center" vertical="center"/>
    </xf>
    <xf numFmtId="14" fontId="151" fillId="0" borderId="0" xfId="19" applyNumberFormat="1" applyFont="1" applyFill="1" applyBorder="1" applyAlignment="1">
      <alignment horizontal="center" vertical="center" wrapText="1"/>
    </xf>
    <xf numFmtId="0" fontId="151" fillId="0" borderId="0" xfId="0" applyFont="1" applyFill="1" applyBorder="1" applyAlignment="1">
      <alignment horizontal="center" vertical="center" wrapText="1"/>
    </xf>
    <xf numFmtId="14" fontId="151" fillId="0" borderId="0" xfId="0" applyNumberFormat="1" applyFont="1" applyFill="1" applyBorder="1" applyAlignment="1">
      <alignment horizontal="center" vertical="center"/>
    </xf>
    <xf numFmtId="1" fontId="151"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0" fillId="0" borderId="0" xfId="0" applyFont="1">
      <alignment horizontal="center" vertical="center"/>
    </xf>
    <xf numFmtId="0" fontId="24" fillId="0" borderId="0" xfId="12" applyNumberFormat="1" applyFont="1" applyAlignment="1">
      <alignment horizontal="center"/>
    </xf>
    <xf numFmtId="0" fontId="170"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1" fillId="0" borderId="0" xfId="0" applyFont="1">
      <alignment horizontal="center" vertical="center"/>
    </xf>
    <xf numFmtId="0" fontId="172" fillId="0" borderId="12" xfId="0" applyFont="1" applyFill="1" applyBorder="1" applyAlignment="1" applyProtection="1">
      <alignment horizontal="center" vertical="center"/>
      <protection hidden="1"/>
    </xf>
    <xf numFmtId="0" fontId="171" fillId="0" borderId="3" xfId="0" applyFont="1" applyBorder="1">
      <alignment horizontal="center" vertical="center"/>
    </xf>
    <xf numFmtId="0" fontId="171"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12" xfId="0" applyFont="1" applyFill="1" applyBorder="1" applyAlignment="1">
      <alignment horizontal="left" vertical="center" shrinkToFit="1"/>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0"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1"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1" fillId="0" borderId="0" xfId="0" applyFont="1" applyAlignment="1">
      <alignment horizontal="center" vertical="center" wrapText="1" shrinkToFit="1"/>
    </xf>
    <xf numFmtId="0" fontId="171"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50"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0"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0"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5" fillId="0" borderId="6" xfId="0" applyNumberFormat="1" applyFont="1" applyFill="1" applyBorder="1" applyAlignment="1" applyProtection="1">
      <alignment horizontal="left" vertical="center" shrinkToFit="1"/>
      <protection hidden="1"/>
    </xf>
    <xf numFmtId="3" fontId="145" fillId="0" borderId="6" xfId="0" applyNumberFormat="1" applyFont="1" applyFill="1" applyBorder="1" applyAlignment="1" applyProtection="1">
      <alignment horizontal="center" vertical="center" shrinkToFit="1"/>
      <protection hidden="1"/>
    </xf>
    <xf numFmtId="0" fontId="175" fillId="0" borderId="0" xfId="19" applyFont="1"/>
    <xf numFmtId="0" fontId="175"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100" xfId="0" applyFont="1" applyBorder="1" applyAlignment="1">
      <alignment horizontal="left" vertical="center"/>
    </xf>
    <xf numFmtId="0" fontId="150"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8" fillId="0" borderId="0" xfId="2" applyNumberFormat="1" applyFont="1" applyFill="1" applyBorder="1" applyAlignment="1">
      <alignment horizontal="center" vertical="top"/>
    </xf>
    <xf numFmtId="0" fontId="148"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3" fillId="0" borderId="0" xfId="0" applyFont="1" applyAlignment="1">
      <alignment horizontal="center" vertical="center"/>
    </xf>
    <xf numFmtId="0" fontId="151" fillId="0" borderId="0" xfId="0" applyFont="1" applyFill="1" applyAlignment="1">
      <alignment horizontal="left" vertical="center" shrinkToFit="1"/>
    </xf>
    <xf numFmtId="1" fontId="151" fillId="0" borderId="3" xfId="19" applyNumberFormat="1" applyFont="1" applyFill="1" applyBorder="1" applyAlignment="1">
      <alignment horizontal="center" vertical="center"/>
    </xf>
    <xf numFmtId="0" fontId="26" fillId="0" borderId="0" xfId="0" applyFont="1">
      <alignment horizontal="center" vertical="center"/>
    </xf>
    <xf numFmtId="0" fontId="174" fillId="0" borderId="5" xfId="0" applyFont="1" applyBorder="1">
      <alignment horizontal="center" vertical="center"/>
    </xf>
    <xf numFmtId="0" fontId="172" fillId="0" borderId="12" xfId="19" applyFont="1" applyBorder="1" applyAlignment="1">
      <alignment horizontal="center" vertical="center" wrapText="1" shrinkToFit="1"/>
    </xf>
    <xf numFmtId="0" fontId="172" fillId="0" borderId="12" xfId="19" applyFont="1" applyBorder="1" applyAlignment="1">
      <alignment horizontal="center" vertical="center" shrinkToFit="1"/>
    </xf>
    <xf numFmtId="0" fontId="174"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3" fillId="0" borderId="12" xfId="0" applyFont="1" applyBorder="1" applyAlignment="1">
      <alignment horizontal="center" vertical="center" shrinkToFit="1"/>
    </xf>
    <xf numFmtId="0" fontId="173"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1" fillId="0" borderId="0" xfId="0" applyNumberFormat="1" applyFont="1">
      <alignment horizontal="center" vertical="center"/>
    </xf>
    <xf numFmtId="0" fontId="151"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1"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1" fillId="0" borderId="0" xfId="19" applyFont="1" applyAlignment="1">
      <alignment horizontal="center" vertical="center" shrinkToFit="1"/>
    </xf>
    <xf numFmtId="14" fontId="151"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74" fillId="0" borderId="0" xfId="0" applyFont="1">
      <alignment horizontal="center" vertical="center"/>
    </xf>
    <xf numFmtId="0" fontId="117" fillId="0" borderId="0" xfId="0" applyFont="1" applyBorder="1" applyAlignment="1">
      <alignment horizontal="left" vertical="center" wrapText="1"/>
    </xf>
    <xf numFmtId="0" fontId="118" fillId="0" borderId="0" xfId="0" applyFont="1" applyBorder="1" applyAlignment="1">
      <alignment horizontal="left" vertical="center" wrapText="1"/>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quotePrefix="1" applyNumberFormat="1" applyFont="1" applyFill="1" applyBorder="1" applyAlignment="1">
      <alignment horizontal="center" vertical="center"/>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1" fillId="0" borderId="0" xfId="0" applyNumberFormat="1" applyFont="1" applyAlignment="1">
      <alignment horizontal="left" vertical="center"/>
    </xf>
    <xf numFmtId="16" fontId="174" fillId="19" borderId="0" xfId="0" applyNumberFormat="1" applyFont="1" applyFill="1">
      <alignment horizontal="center" vertical="center"/>
    </xf>
    <xf numFmtId="0" fontId="0" fillId="0" borderId="0" xfId="0" applyBorder="1" applyAlignment="1">
      <alignment horizontal="left" vertical="center"/>
    </xf>
    <xf numFmtId="0" fontId="98" fillId="0" borderId="0" xfId="0" applyFont="1" applyBorder="1" applyAlignment="1">
      <alignment horizontal="center" vertical="center" wrapText="1"/>
    </xf>
    <xf numFmtId="0" fontId="0" fillId="0" borderId="0" xfId="0" applyBorder="1" applyAlignment="1">
      <alignment horizontal="center" vertical="center"/>
    </xf>
    <xf numFmtId="0" fontId="99" fillId="0" borderId="0" xfId="0" applyFont="1" applyBorder="1" applyAlignment="1">
      <alignment horizontal="center" vertical="center" wrapText="1"/>
    </xf>
    <xf numFmtId="0" fontId="0" fillId="0" borderId="0" xfId="0" applyBorder="1" applyAlignment="1">
      <alignment vertical="center"/>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1"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7" fillId="0" borderId="0" xfId="12" applyNumberFormat="1" applyFont="1" applyAlignment="1">
      <alignment horizontal="center" vertical="top" wrapText="1"/>
    </xf>
    <xf numFmtId="0" fontId="178"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8" fillId="0" borderId="6" xfId="0" quotePrefix="1" applyNumberFormat="1" applyFont="1" applyFill="1" applyBorder="1" applyAlignment="1">
      <alignment horizontal="center"/>
    </xf>
    <xf numFmtId="0" fontId="178" fillId="0" borderId="6" xfId="0" applyFont="1" applyFill="1" applyBorder="1" applyAlignment="1">
      <alignment horizontal="left" wrapText="1"/>
    </xf>
    <xf numFmtId="2" fontId="151" fillId="0" borderId="6" xfId="15" applyNumberFormat="1" applyFont="1" applyFill="1" applyBorder="1" applyAlignment="1" applyProtection="1">
      <alignment horizontal="center" vertical="center"/>
    </xf>
    <xf numFmtId="0" fontId="151"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136" fillId="0" borderId="12" xfId="0" applyFont="1" applyBorder="1" applyAlignment="1">
      <alignment horizontal="left" vertical="center"/>
    </xf>
    <xf numFmtId="0" fontId="26" fillId="0" borderId="67" xfId="0" applyFont="1" applyBorder="1">
      <alignment horizontal="center" vertical="center"/>
    </xf>
    <xf numFmtId="0" fontId="26" fillId="0" borderId="121" xfId="0" applyFont="1" applyBorder="1">
      <alignment horizontal="center" vertical="center"/>
    </xf>
    <xf numFmtId="0" fontId="26" fillId="0" borderId="122" xfId="0" applyFont="1" applyBorder="1">
      <alignment horizontal="center" vertical="center"/>
    </xf>
    <xf numFmtId="14" fontId="0" fillId="0" borderId="0" xfId="0" applyNumberFormat="1" applyBorder="1">
      <alignment horizontal="center" vertical="center"/>
    </xf>
    <xf numFmtId="0" fontId="0" fillId="0" borderId="124" xfId="0" applyBorder="1">
      <alignment horizontal="center" vertical="center"/>
    </xf>
    <xf numFmtId="0" fontId="26" fillId="0" borderId="123"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3" xfId="0" applyFont="1" applyBorder="1" applyAlignment="1">
      <alignment vertical="center"/>
    </xf>
    <xf numFmtId="0" fontId="26" fillId="0" borderId="123" xfId="0" applyFont="1" applyBorder="1" applyAlignment="1">
      <alignment horizontal="left" vertical="center"/>
    </xf>
    <xf numFmtId="0" fontId="26" fillId="0" borderId="125"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6"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1" xfId="0" applyBorder="1" applyAlignment="1">
      <alignment vertical="center"/>
    </xf>
    <xf numFmtId="0" fontId="0" fillId="0" borderId="121" xfId="0" applyBorder="1">
      <alignment horizontal="center" vertical="center"/>
    </xf>
    <xf numFmtId="14" fontId="0" fillId="0" borderId="121" xfId="0" applyNumberFormat="1" applyBorder="1">
      <alignment horizontal="center" vertical="center"/>
    </xf>
    <xf numFmtId="0" fontId="0" fillId="0" borderId="122"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66" fontId="22" fillId="0" borderId="6" xfId="22" applyNumberFormat="1" applyFont="1" applyBorder="1"/>
    <xf numFmtId="43" fontId="180" fillId="0" borderId="6" xfId="22" applyFont="1" applyBorder="1" applyAlignment="1">
      <alignment vertical="center"/>
    </xf>
    <xf numFmtId="164" fontId="30" fillId="0" borderId="6" xfId="22" applyNumberFormat="1" applyFont="1" applyBorder="1" applyAlignment="1">
      <alignment horizontal="center"/>
    </xf>
    <xf numFmtId="164" fontId="180" fillId="0" borderId="6" xfId="22" applyNumberFormat="1" applyFont="1" applyBorder="1" applyAlignment="1">
      <alignment vertical="center"/>
    </xf>
    <xf numFmtId="167" fontId="22" fillId="0" borderId="6" xfId="22" applyNumberFormat="1" applyFont="1" applyBorder="1" applyAlignment="1">
      <alignment horizontal="center"/>
    </xf>
    <xf numFmtId="164" fontId="22" fillId="0" borderId="6" xfId="22" applyNumberFormat="1" applyFont="1" applyBorder="1" applyAlignment="1">
      <alignment horizontal="right"/>
    </xf>
    <xf numFmtId="167" fontId="22" fillId="0" borderId="6" xfId="22" applyNumberFormat="1" applyFont="1" applyBorder="1" applyAlignment="1">
      <alignment horizontal="right"/>
    </xf>
    <xf numFmtId="43" fontId="22" fillId="0" borderId="6" xfId="22" applyFont="1" applyBorder="1" applyAlignment="1">
      <alignment horizontal="right"/>
    </xf>
    <xf numFmtId="164" fontId="37" fillId="0" borderId="6" xfId="22" quotePrefix="1" applyNumberFormat="1" applyFont="1" applyBorder="1" applyAlignment="1">
      <alignment horizontal="right"/>
    </xf>
    <xf numFmtId="164" fontId="22" fillId="0" borderId="6" xfId="22" quotePrefix="1" applyNumberFormat="1" applyFont="1" applyBorder="1" applyAlignment="1">
      <alignment horizontal="right"/>
    </xf>
    <xf numFmtId="43"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43" fontId="180"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5"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9"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80" fillId="0" borderId="6" xfId="21" applyFont="1" applyBorder="1" applyAlignment="1">
      <alignment horizontal="center" vertical="center"/>
    </xf>
    <xf numFmtId="0" fontId="186"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7" fillId="0" borderId="0" xfId="21" applyFont="1" applyAlignment="1">
      <alignment vertical="center"/>
    </xf>
    <xf numFmtId="0" fontId="6" fillId="0" borderId="6" xfId="21" applyFont="1" applyBorder="1" applyProtection="1">
      <protection hidden="1"/>
    </xf>
    <xf numFmtId="164" fontId="188"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4"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4" fontId="189" fillId="0" borderId="6" xfId="22" applyNumberFormat="1" applyFont="1" applyBorder="1" applyProtection="1">
      <protection hidden="1"/>
    </xf>
    <xf numFmtId="3" fontId="186" fillId="0" borderId="0" xfId="21" applyNumberFormat="1" applyFont="1" applyAlignment="1">
      <alignment vertical="center"/>
    </xf>
    <xf numFmtId="3" fontId="187" fillId="0" borderId="0" xfId="21" applyNumberFormat="1" applyFont="1" applyAlignment="1">
      <alignment vertical="center"/>
    </xf>
    <xf numFmtId="0" fontId="30" fillId="0" borderId="6" xfId="21" applyFont="1" applyBorder="1" applyAlignment="1">
      <alignment horizontal="right"/>
    </xf>
    <xf numFmtId="0" fontId="87" fillId="0" borderId="6" xfId="21" applyFont="1" applyBorder="1" applyAlignment="1">
      <alignment horizontal="center" vertical="center"/>
    </xf>
    <xf numFmtId="0" fontId="86" fillId="0" borderId="6" xfId="21" applyFont="1" applyBorder="1" applyAlignment="1">
      <alignment horizontal="left" vertical="center" wrapText="1"/>
    </xf>
    <xf numFmtId="0" fontId="86" fillId="0" borderId="6" xfId="21" applyFont="1" applyBorder="1" applyAlignment="1">
      <alignment horizontal="center" vertical="center"/>
    </xf>
    <xf numFmtId="0" fontId="115" fillId="0" borderId="6" xfId="21" applyFont="1" applyBorder="1" applyAlignment="1">
      <alignment horizontal="left" vertical="center" wrapText="1"/>
    </xf>
    <xf numFmtId="0" fontId="115"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9" fillId="0" borderId="6" xfId="21" applyFont="1" applyBorder="1" applyAlignment="1">
      <alignment horizontal="left" vertical="center" wrapText="1"/>
    </xf>
    <xf numFmtId="1" fontId="22" fillId="0" borderId="6" xfId="21" applyNumberFormat="1" applyFont="1" applyBorder="1" applyAlignment="1">
      <alignment horizontal="right"/>
    </xf>
    <xf numFmtId="164"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8" fontId="22" fillId="0" borderId="6" xfId="68" applyNumberFormat="1" applyFont="1" applyBorder="1" applyAlignment="1">
      <alignment horizontal="right"/>
    </xf>
    <xf numFmtId="165"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8"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3"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6" fillId="0" borderId="6" xfId="21" applyFont="1" applyBorder="1" applyAlignment="1">
      <alignment horizontal="justify" vertical="center" wrapText="1"/>
    </xf>
    <xf numFmtId="0" fontId="86"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80" fillId="0" borderId="19" xfId="21" applyFont="1" applyBorder="1" applyAlignment="1">
      <alignment horizontal="center" vertical="center"/>
    </xf>
    <xf numFmtId="0" fontId="181" fillId="0" borderId="0" xfId="21" applyFont="1" applyAlignment="1">
      <alignment horizontal="left" vertical="center"/>
    </xf>
    <xf numFmtId="0" fontId="181"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81" fillId="0" borderId="0" xfId="21" applyFont="1" applyAlignment="1">
      <alignment horizontal="center" vertical="center"/>
    </xf>
    <xf numFmtId="0" fontId="182"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82" fillId="0" borderId="0" xfId="21" applyNumberFormat="1" applyFont="1" applyAlignment="1">
      <alignment horizontal="left" vertical="center"/>
    </xf>
    <xf numFmtId="0" fontId="182" fillId="0" borderId="0" xfId="21" applyFont="1" applyAlignment="1">
      <alignment horizontal="left" vertical="center"/>
    </xf>
    <xf numFmtId="0" fontId="182" fillId="0" borderId="0" xfId="21" applyFont="1" applyAlignment="1">
      <alignment horizontal="center" vertical="center"/>
    </xf>
    <xf numFmtId="0" fontId="183" fillId="0" borderId="0" xfId="21" applyFont="1" applyAlignment="1">
      <alignment vertical="center"/>
    </xf>
    <xf numFmtId="0" fontId="184" fillId="0" borderId="0" xfId="21" applyFont="1" applyAlignment="1">
      <alignment horizontal="center" vertical="center"/>
    </xf>
    <xf numFmtId="1" fontId="182"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4" fontId="25" fillId="0" borderId="0" xfId="71" applyNumberFormat="1" applyFont="1" applyAlignment="1">
      <alignment vertical="center"/>
    </xf>
    <xf numFmtId="0" fontId="190" fillId="0" borderId="0" xfId="21" applyFont="1" applyAlignment="1">
      <alignment horizontal="center" vertical="center" wrapText="1"/>
    </xf>
    <xf numFmtId="185" fontId="190" fillId="0" borderId="0" xfId="21" applyNumberFormat="1" applyFont="1" applyAlignment="1">
      <alignment horizontal="right" vertical="center" wrapText="1"/>
    </xf>
    <xf numFmtId="185" fontId="190" fillId="0" borderId="0" xfId="71" applyNumberFormat="1" applyFont="1" applyAlignment="1">
      <alignment horizontal="center" vertical="center" wrapText="1"/>
    </xf>
    <xf numFmtId="164" fontId="34" fillId="0" borderId="0" xfId="71" applyNumberFormat="1" applyFont="1" applyAlignment="1">
      <alignment vertical="center"/>
    </xf>
    <xf numFmtId="0" fontId="34" fillId="0" borderId="0" xfId="21" applyFont="1" applyAlignment="1">
      <alignment vertical="center"/>
    </xf>
    <xf numFmtId="0" fontId="179" fillId="0" borderId="6" xfId="21" applyFont="1" applyBorder="1" applyAlignment="1">
      <alignment vertical="center" wrapText="1"/>
    </xf>
    <xf numFmtId="164" fontId="36" fillId="0" borderId="6" xfId="71" applyNumberFormat="1" applyFont="1" applyBorder="1" applyAlignment="1">
      <alignment vertical="center"/>
    </xf>
    <xf numFmtId="164" fontId="36" fillId="0" borderId="0" xfId="71" applyNumberFormat="1" applyFont="1" applyAlignment="1">
      <alignment vertical="center"/>
    </xf>
    <xf numFmtId="164" fontId="29" fillId="0" borderId="6" xfId="71" applyNumberFormat="1" applyFont="1" applyBorder="1" applyAlignment="1">
      <alignment horizontal="right" vertical="center" wrapText="1"/>
    </xf>
    <xf numFmtId="164" fontId="36" fillId="0" borderId="6" xfId="71" applyNumberFormat="1" applyFont="1" applyBorder="1" applyAlignment="1">
      <alignment vertical="center" wrapText="1"/>
    </xf>
    <xf numFmtId="164" fontId="36" fillId="0" borderId="0" xfId="71" applyNumberFormat="1" applyFont="1" applyAlignment="1">
      <alignment vertical="center" wrapText="1"/>
    </xf>
    <xf numFmtId="0" fontId="36" fillId="0" borderId="0" xfId="21" applyFont="1" applyAlignment="1">
      <alignment vertical="center" wrapText="1"/>
    </xf>
    <xf numFmtId="164" fontId="25" fillId="0" borderId="6" xfId="71" applyNumberFormat="1" applyFont="1" applyBorder="1" applyAlignment="1">
      <alignment vertical="center" wrapText="1"/>
    </xf>
    <xf numFmtId="164" fontId="25" fillId="0" borderId="0" xfId="71" applyNumberFormat="1" applyFont="1" applyAlignment="1">
      <alignment vertical="center" wrapText="1"/>
    </xf>
    <xf numFmtId="0" fontId="25" fillId="0" borderId="0" xfId="21" applyFont="1" applyAlignment="1">
      <alignment vertical="center" wrapText="1"/>
    </xf>
    <xf numFmtId="184" fontId="25" fillId="0" borderId="6" xfId="71" applyFont="1" applyBorder="1" applyAlignment="1">
      <alignment vertical="center" wrapText="1"/>
    </xf>
    <xf numFmtId="3" fontId="29" fillId="0" borderId="6" xfId="21" applyNumberFormat="1" applyFont="1" applyBorder="1" applyAlignment="1">
      <alignment horizontal="center" vertical="center"/>
    </xf>
    <xf numFmtId="164" fontId="86" fillId="0" borderId="6" xfId="71" applyNumberFormat="1" applyFont="1" applyBorder="1" applyAlignment="1">
      <alignment horizontal="right" vertical="center" wrapText="1"/>
    </xf>
    <xf numFmtId="164" fontId="115" fillId="0" borderId="6" xfId="71" applyNumberFormat="1" applyFont="1" applyBorder="1" applyAlignment="1">
      <alignment horizontal="right" vertical="center" wrapText="1"/>
    </xf>
    <xf numFmtId="164" fontId="84" fillId="0" borderId="6" xfId="71" applyNumberFormat="1" applyFont="1" applyBorder="1" applyAlignment="1">
      <alignment vertical="center" wrapText="1"/>
    </xf>
    <xf numFmtId="164" fontId="34" fillId="0" borderId="6" xfId="71" applyNumberFormat="1" applyFont="1" applyBorder="1" applyAlignment="1">
      <alignment horizontal="right" vertical="center" wrapText="1"/>
    </xf>
    <xf numFmtId="0" fontId="87"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5" fontId="36" fillId="0" borderId="0" xfId="21" applyNumberFormat="1" applyFont="1" applyAlignment="1">
      <alignment horizontal="centerContinuous" vertical="center"/>
    </xf>
    <xf numFmtId="185"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6"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5" fontId="25" fillId="0" borderId="0" xfId="21" applyNumberFormat="1" applyFont="1" applyAlignment="1">
      <alignment horizontal="right" vertical="center"/>
    </xf>
    <xf numFmtId="185"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1" fontId="99" fillId="0" borderId="3" xfId="0" applyNumberFormat="1" applyFont="1" applyBorder="1" applyAlignment="1">
      <alignment horizontal="center" vertical="center" wrapText="1"/>
    </xf>
    <xf numFmtId="0" fontId="0" fillId="0" borderId="0" xfId="0" quotePrefix="1">
      <alignment horizontal="center" vertical="center"/>
    </xf>
    <xf numFmtId="9" fontId="171" fillId="0" borderId="0" xfId="66" applyFont="1" applyAlignment="1">
      <alignment horizontal="center" vertical="center"/>
    </xf>
    <xf numFmtId="0" fontId="171"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1" fillId="0" borderId="0" xfId="0" quotePrefix="1" applyFont="1" applyAlignment="1">
      <alignment vertical="center" shrinkToFit="1"/>
    </xf>
    <xf numFmtId="0" fontId="171" fillId="0" borderId="0" xfId="0" quotePrefix="1" applyFont="1">
      <alignment horizontal="center" vertical="center"/>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29" fillId="22" borderId="6" xfId="21" applyFont="1" applyFill="1" applyBorder="1" applyAlignment="1">
      <alignment horizontal="justify" vertical="center" wrapText="1"/>
    </xf>
    <xf numFmtId="168" fontId="30" fillId="9" borderId="101"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136" fillId="0" borderId="12" xfId="0" applyFont="1" applyBorder="1" applyAlignment="1">
      <alignment horizontal="left" vertical="center" shrinkToFit="1"/>
    </xf>
    <xf numFmtId="0" fontId="136" fillId="0" borderId="12" xfId="0" applyNumberFormat="1" applyFont="1" applyBorder="1" applyAlignment="1">
      <alignment horizontal="center" vertical="center"/>
    </xf>
    <xf numFmtId="0" fontId="136" fillId="0" borderId="3" xfId="0" applyNumberFormat="1" applyFont="1" applyBorder="1" applyAlignment="1">
      <alignment horizontal="center" vertical="center"/>
    </xf>
    <xf numFmtId="169" fontId="151"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181"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9"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9" fillId="0" borderId="109" xfId="21" applyFont="1" applyBorder="1" applyAlignment="1">
      <alignment horizontal="center" vertical="center" wrapText="1"/>
    </xf>
    <xf numFmtId="0" fontId="129" fillId="0" borderId="110" xfId="21" applyFont="1" applyBorder="1" applyAlignment="1">
      <alignment horizontal="center" vertical="center" wrapText="1"/>
    </xf>
    <xf numFmtId="0" fontId="129" fillId="0" borderId="28" xfId="21" applyFont="1" applyBorder="1" applyAlignment="1">
      <alignment horizontal="center" vertical="center" wrapText="1"/>
    </xf>
    <xf numFmtId="185"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4" fontId="34" fillId="0" borderId="12" xfId="71" applyNumberFormat="1" applyFont="1" applyBorder="1" applyAlignment="1">
      <alignment horizontal="center" vertical="center"/>
    </xf>
    <xf numFmtId="164" fontId="34" fillId="0" borderId="7" xfId="71" applyNumberFormat="1" applyFont="1" applyBorder="1" applyAlignment="1">
      <alignment horizontal="center" vertical="center"/>
    </xf>
    <xf numFmtId="184" fontId="84" fillId="0" borderId="8" xfId="71" applyFont="1" applyBorder="1" applyAlignment="1">
      <alignment horizontal="center" vertical="center" wrapText="1"/>
    </xf>
    <xf numFmtId="184" fontId="84" fillId="0" borderId="7" xfId="71" applyFont="1" applyBorder="1" applyAlignment="1">
      <alignment horizontal="center" vertical="center" wrapText="1"/>
    </xf>
    <xf numFmtId="164" fontId="84" fillId="0" borderId="8" xfId="71" applyNumberFormat="1" applyFont="1" applyBorder="1" applyAlignment="1">
      <alignment horizontal="center" vertical="center" wrapText="1"/>
    </xf>
    <xf numFmtId="164" fontId="84"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cellStyle name="category 2" xfId="37"/>
    <cellStyle name="Comma" xfId="2" builtinId="3"/>
    <cellStyle name="Comma 2" xfId="22"/>
    <cellStyle name="Comma 2 2" xfId="38"/>
    <cellStyle name="Comma 3" xfId="29"/>
    <cellStyle name="Comma 4" xfId="71"/>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68"/>
    <cellStyle name="Normal_DuToan KCN3" xfId="27"/>
    <cellStyle name="Normal_HANUL" xfId="70"/>
    <cellStyle name="Normal_Vinh Thanh" xfId="14"/>
    <cellStyle name="Normal_Vinh Thanh 2" xfId="67"/>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20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300318</xdr:colOff>
      <xdr:row>121</xdr:row>
      <xdr:rowOff>76452</xdr:rowOff>
    </xdr:to>
    <xdr:grpSp>
      <xdr:nvGrpSpPr>
        <xdr:cNvPr id="7" name="Group 6">
          <a:extLst>
            <a:ext uri="{FF2B5EF4-FFF2-40B4-BE49-F238E27FC236}">
              <a16:creationId xmlns="" xmlns:a16="http://schemas.microsoft.com/office/drawing/2014/main" id="{00000000-0008-0000-0E00-000007000000}"/>
            </a:ext>
          </a:extLst>
        </xdr:cNvPr>
        <xdr:cNvGrpSpPr/>
      </xdr:nvGrpSpPr>
      <xdr:grpSpPr>
        <a:xfrm>
          <a:off x="31750" y="10583962"/>
          <a:ext cx="9535833" cy="1482784"/>
          <a:chOff x="85725" y="16135350"/>
          <a:chExt cx="7563657" cy="1495427"/>
        </a:xfrm>
      </xdr:grpSpPr>
      <xdr:sp macro="" textlink="">
        <xdr:nvSpPr>
          <xdr:cNvPr id="8" name="TextBox 7">
            <a:extLst>
              <a:ext uri="{FF2B5EF4-FFF2-40B4-BE49-F238E27FC236}">
                <a16:creationId xmlns=""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2736</xdr:row>
      <xdr:rowOff>0</xdr:rowOff>
    </xdr:from>
    <xdr:to>
      <xdr:col>11</xdr:col>
      <xdr:colOff>880284</xdr:colOff>
      <xdr:row>2753</xdr:row>
      <xdr:rowOff>162486</xdr:rowOff>
    </xdr:to>
    <xdr:grpSp>
      <xdr:nvGrpSpPr>
        <xdr:cNvPr id="14" name="Group 13">
          <a:extLst>
            <a:ext uri="{FF2B5EF4-FFF2-40B4-BE49-F238E27FC236}">
              <a16:creationId xmlns="" xmlns:a16="http://schemas.microsoft.com/office/drawing/2014/main" id="{00000000-0008-0000-0300-00000E000000}"/>
            </a:ext>
          </a:extLst>
        </xdr:cNvPr>
        <xdr:cNvGrpSpPr/>
      </xdr:nvGrpSpPr>
      <xdr:grpSpPr>
        <a:xfrm>
          <a:off x="2039471" y="24327971"/>
          <a:ext cx="9800166" cy="3400986"/>
          <a:chOff x="2762249" y="21685249"/>
          <a:chExt cx="9800167" cy="3400986"/>
        </a:xfrm>
      </xdr:grpSpPr>
      <xdr:grpSp>
        <xdr:nvGrpSpPr>
          <xdr:cNvPr id="23" name="Group 22">
            <a:extLst>
              <a:ext uri="{FF2B5EF4-FFF2-40B4-BE49-F238E27FC236}">
                <a16:creationId xmlns=""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2369</xdr:row>
      <xdr:rowOff>201082</xdr:rowOff>
    </xdr:from>
    <xdr:to>
      <xdr:col>18</xdr:col>
      <xdr:colOff>656166</xdr:colOff>
      <xdr:row>2386</xdr:row>
      <xdr:rowOff>129235</xdr:rowOff>
    </xdr:to>
    <xdr:grpSp>
      <xdr:nvGrpSpPr>
        <xdr:cNvPr id="2" name="Group 1">
          <a:extLst>
            <a:ext uri="{FF2B5EF4-FFF2-40B4-BE49-F238E27FC236}">
              <a16:creationId xmlns="" xmlns:a16="http://schemas.microsoft.com/office/drawing/2014/main" id="{00000000-0008-0000-0400-000002000000}"/>
            </a:ext>
          </a:extLst>
        </xdr:cNvPr>
        <xdr:cNvGrpSpPr/>
      </xdr:nvGrpSpPr>
      <xdr:grpSpPr>
        <a:xfrm>
          <a:off x="2868082" y="32776582"/>
          <a:ext cx="9800167" cy="3357153"/>
          <a:chOff x="2762249" y="21685249"/>
          <a:chExt cx="9800167" cy="3356167"/>
        </a:xfrm>
      </xdr:grpSpPr>
      <xdr:grpSp>
        <xdr:nvGrpSpPr>
          <xdr:cNvPr id="10" name="Group 9">
            <a:extLst>
              <a:ext uri="{FF2B5EF4-FFF2-40B4-BE49-F238E27FC236}">
                <a16:creationId xmlns=""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1143000</xdr:colOff>
      <xdr:row>284</xdr:row>
      <xdr:rowOff>60961</xdr:rowOff>
    </xdr:from>
    <xdr:to>
      <xdr:col>11</xdr:col>
      <xdr:colOff>517314</xdr:colOff>
      <xdr:row>302</xdr:row>
      <xdr:rowOff>7740</xdr:rowOff>
    </xdr:to>
    <xdr:grpSp>
      <xdr:nvGrpSpPr>
        <xdr:cNvPr id="2" name="Group 1">
          <a:extLst>
            <a:ext uri="{FF2B5EF4-FFF2-40B4-BE49-F238E27FC236}">
              <a16:creationId xmlns="" xmlns:a16="http://schemas.microsoft.com/office/drawing/2014/main" id="{A1CDB5A4-72C0-4A69-A65C-7B23386649F5}"/>
            </a:ext>
          </a:extLst>
        </xdr:cNvPr>
        <xdr:cNvGrpSpPr/>
      </xdr:nvGrpSpPr>
      <xdr:grpSpPr>
        <a:xfrm>
          <a:off x="3143250" y="61211461"/>
          <a:ext cx="9832764" cy="4185404"/>
          <a:chOff x="2762249" y="21685250"/>
          <a:chExt cx="9800167" cy="3356166"/>
        </a:xfrm>
      </xdr:grpSpPr>
      <xdr:grpSp>
        <xdr:nvGrpSpPr>
          <xdr:cNvPr id="3" name="Group 2">
            <a:extLst>
              <a:ext uri="{FF2B5EF4-FFF2-40B4-BE49-F238E27FC236}">
                <a16:creationId xmlns="" xmlns:a16="http://schemas.microsoft.com/office/drawing/2014/main" id="{A034293C-841A-4F62-9628-7AFC9A10F90A}"/>
              </a:ext>
            </a:extLst>
          </xdr:cNvPr>
          <xdr:cNvGrpSpPr/>
        </xdr:nvGrpSpPr>
        <xdr:grpSpPr>
          <a:xfrm>
            <a:off x="2762249" y="21685250"/>
            <a:ext cx="9800167" cy="3356161"/>
            <a:chOff x="2595282" y="23593985"/>
            <a:chExt cx="9762366" cy="3356161"/>
          </a:xfrm>
        </xdr:grpSpPr>
        <xdr:grpSp>
          <xdr:nvGrpSpPr>
            <xdr:cNvPr id="7" name="Group 6">
              <a:extLst>
                <a:ext uri="{FF2B5EF4-FFF2-40B4-BE49-F238E27FC236}">
                  <a16:creationId xmlns="" xmlns:a16="http://schemas.microsoft.com/office/drawing/2014/main" id="{CA7E43CB-2C6F-490A-9BC7-5B9C4D28F7B8}"/>
                </a:ext>
              </a:extLst>
            </xdr:cNvPr>
            <xdr:cNvGrpSpPr/>
          </xdr:nvGrpSpPr>
          <xdr:grpSpPr>
            <a:xfrm>
              <a:off x="2595282" y="23593985"/>
              <a:ext cx="9688354" cy="2383170"/>
              <a:chOff x="2329509" y="12302290"/>
              <a:chExt cx="8890992" cy="2383171"/>
            </a:xfrm>
          </xdr:grpSpPr>
          <xdr:sp macro="" textlink="">
            <xdr:nvSpPr>
              <xdr:cNvPr id="11" name="TextBox 10">
                <a:extLst>
                  <a:ext uri="{FF2B5EF4-FFF2-40B4-BE49-F238E27FC236}">
                    <a16:creationId xmlns="" xmlns:a16="http://schemas.microsoft.com/office/drawing/2014/main" id="{A7413397-9124-4023-B362-91F59E7B2DB7}"/>
                  </a:ext>
                </a:extLst>
              </xdr:cNvPr>
              <xdr:cNvSpPr txBox="1"/>
            </xdr:nvSpPr>
            <xdr:spPr>
              <a:xfrm>
                <a:off x="2329509" y="13571217"/>
                <a:ext cx="2384427" cy="111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p>
              <a:p>
                <a:pPr algn="ctr"/>
                <a:r>
                  <a:rPr lang="en-US" sz="1400" b="1" baseline="0">
                    <a:latin typeface="Times New Roman" pitchFamily="18" charset="0"/>
                    <a:cs typeface="Times New Roman" pitchFamily="18" charset="0"/>
                  </a:rPr>
                  <a:t>BAN QUẢN LÝ DỰ ÁN HUYỆN XUÂN LỘC</a:t>
                </a: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 xmlns:a16="http://schemas.microsoft.com/office/drawing/2014/main" id="{96092A47-87C5-4309-BEFF-2C6A1A2A73B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 xmlns:a16="http://schemas.microsoft.com/office/drawing/2014/main" id="{D0764A3F-A3AF-4199-88B4-B1620773B0A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 xmlns:a16="http://schemas.microsoft.com/office/drawing/2014/main" id="{DB4E0675-F7EA-4831-AB76-DCDB2766714C}"/>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 xmlns:a16="http://schemas.microsoft.com/office/drawing/2014/main" id="{30F2F2A2-C591-4A62-9F98-641185ACF6A5}"/>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 xmlns:a16="http://schemas.microsoft.com/office/drawing/2014/main" id="{93ED7236-503C-45BF-95A8-C5193255FE88}"/>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 xmlns:a16="http://schemas.microsoft.com/office/drawing/2014/main" id="{D2064D11-94B6-4785-AB1A-ABF53B37A717}"/>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10" name="TextBox 9">
              <a:extLst>
                <a:ext uri="{FF2B5EF4-FFF2-40B4-BE49-F238E27FC236}">
                  <a16:creationId xmlns="" xmlns:a16="http://schemas.microsoft.com/office/drawing/2014/main" id="{D0429D92-69C0-47E5-AB8C-8B55066CDE82}"/>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 xmlns:a16="http://schemas.microsoft.com/office/drawing/2014/main" id="{1BE29D66-E696-4769-9ADD-C9DEB485DEAB}"/>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 xmlns:a16="http://schemas.microsoft.com/office/drawing/2014/main" id="{21F3D006-CE91-4342-A691-CFBB9034DC8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 xmlns:a16="http://schemas.microsoft.com/office/drawing/2014/main" id="{E76ED224-29CA-4A8A-A35C-2D2F5785FAB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 xmlns:a16="http://schemas.microsoft.com/office/drawing/2014/main" id="{00000000-0008-0000-1300-000002000000}"/>
            </a:ext>
          </a:extLst>
        </xdr:cNvPr>
        <xdr:cNvGrpSpPr/>
      </xdr:nvGrpSpPr>
      <xdr:grpSpPr>
        <a:xfrm>
          <a:off x="1714501" y="41853971"/>
          <a:ext cx="10636250" cy="1482785"/>
          <a:chOff x="85725" y="16135350"/>
          <a:chExt cx="7563657" cy="1495427"/>
        </a:xfrm>
      </xdr:grpSpPr>
      <xdr:sp macro="" textlink="">
        <xdr:nvSpPr>
          <xdr:cNvPr id="3" name="TextBox 2">
            <a:extLst>
              <a:ext uri="{FF2B5EF4-FFF2-40B4-BE49-F238E27FC236}">
                <a16:creationId xmlns=""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 xmlns:a16="http://schemas.microsoft.com/office/drawing/2014/main"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520"/>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540" sqref="C1540"/>
    </sheetView>
  </sheetViews>
  <sheetFormatPr defaultColWidth="8.88671875" defaultRowHeight="12.75"/>
  <cols>
    <col min="1" max="1" width="15.33203125" style="1797" customWidth="1"/>
    <col min="2" max="2" width="9.77734375" style="1789" customWidth="1"/>
    <col min="3" max="3" width="58.44140625" style="1797" customWidth="1"/>
    <col min="4" max="4" width="8.88671875" style="55" customWidth="1"/>
    <col min="5" max="5" width="5.109375" style="2277" customWidth="1"/>
    <col min="6" max="16384" width="8.88671875" style="55"/>
  </cols>
  <sheetData>
    <row r="1" spans="1:10" s="1776" customFormat="1" ht="27.75" customHeight="1">
      <c r="A1" s="1157" t="s">
        <v>5197</v>
      </c>
      <c r="B1" s="1775" t="s">
        <v>2615</v>
      </c>
      <c r="C1" s="1774" t="s">
        <v>2616</v>
      </c>
      <c r="D1" s="1478" t="s">
        <v>2617</v>
      </c>
      <c r="E1" s="1936"/>
      <c r="F1" s="1776" t="s">
        <v>1714</v>
      </c>
      <c r="G1" s="1776" t="s">
        <v>4556</v>
      </c>
      <c r="H1" s="1776" t="s">
        <v>4877</v>
      </c>
      <c r="I1" s="1776" t="s">
        <v>4878</v>
      </c>
    </row>
    <row r="2" spans="1:10" s="1776" customFormat="1" ht="21.75" hidden="1" customHeight="1">
      <c r="A2" s="1774"/>
      <c r="B2" s="1775">
        <v>2</v>
      </c>
      <c r="C2" s="1774">
        <v>3</v>
      </c>
      <c r="D2" s="1478">
        <v>4</v>
      </c>
      <c r="E2" s="1936"/>
      <c r="F2" s="1776">
        <v>3000</v>
      </c>
    </row>
    <row r="3" spans="1:10" hidden="1">
      <c r="A3" s="79" t="s">
        <v>230</v>
      </c>
      <c r="B3" s="84" t="s">
        <v>1752</v>
      </c>
      <c r="C3" s="79" t="s">
        <v>2618</v>
      </c>
      <c r="D3" s="80" t="s">
        <v>2566</v>
      </c>
      <c r="E3" s="2277" t="str">
        <f>LEFT(A3,2)</f>
        <v>D1</v>
      </c>
      <c r="F3" s="55">
        <v>50</v>
      </c>
      <c r="G3" s="55" t="s">
        <v>512</v>
      </c>
      <c r="J3" s="55" t="str">
        <f>A3</f>
        <v>D12</v>
      </c>
    </row>
    <row r="4" spans="1:10" hidden="1">
      <c r="A4" s="79" t="s">
        <v>231</v>
      </c>
      <c r="B4" s="84" t="s">
        <v>220</v>
      </c>
      <c r="C4" s="79" t="s">
        <v>2619</v>
      </c>
      <c r="D4" s="80" t="s">
        <v>2566</v>
      </c>
      <c r="E4" s="2277" t="str">
        <f t="shared" ref="E4:E69" si="0">LEFT(A4,2)</f>
        <v>D1</v>
      </c>
      <c r="F4" s="55">
        <v>50</v>
      </c>
      <c r="G4" s="55" t="s">
        <v>512</v>
      </c>
      <c r="J4" s="55" t="str">
        <f t="shared" ref="J4:J67" si="1">A4</f>
        <v>D15</v>
      </c>
    </row>
    <row r="5" spans="1:10" hidden="1">
      <c r="A5" s="79" t="s">
        <v>163</v>
      </c>
      <c r="B5" s="84" t="s">
        <v>1563</v>
      </c>
      <c r="C5" s="79" t="s">
        <v>2620</v>
      </c>
      <c r="D5" s="80" t="s">
        <v>2566</v>
      </c>
      <c r="E5" s="2277" t="str">
        <f t="shared" si="0"/>
        <v>D2</v>
      </c>
      <c r="F5" s="55">
        <v>50</v>
      </c>
      <c r="G5" s="55" t="s">
        <v>512</v>
      </c>
      <c r="J5" s="55" t="str">
        <f t="shared" si="1"/>
        <v>D20</v>
      </c>
    </row>
    <row r="6" spans="1:10" hidden="1">
      <c r="A6" s="79" t="s">
        <v>1853</v>
      </c>
      <c r="B6" s="84" t="s">
        <v>1563</v>
      </c>
      <c r="C6" s="79" t="s">
        <v>2621</v>
      </c>
      <c r="D6" s="80" t="s">
        <v>2566</v>
      </c>
      <c r="E6" s="2277" t="str">
        <f t="shared" si="0"/>
        <v>D2</v>
      </c>
      <c r="F6" s="55">
        <v>50</v>
      </c>
      <c r="G6" s="55" t="s">
        <v>512</v>
      </c>
      <c r="J6" s="55" t="str">
        <f t="shared" si="1"/>
        <v>D25</v>
      </c>
    </row>
    <row r="7" spans="1:10" hidden="1">
      <c r="A7" s="79" t="s">
        <v>1263</v>
      </c>
      <c r="B7" s="84" t="s">
        <v>220</v>
      </c>
      <c r="C7" s="79" t="s">
        <v>2622</v>
      </c>
      <c r="D7" s="80" t="s">
        <v>2566</v>
      </c>
      <c r="E7" s="2277" t="str">
        <f t="shared" si="0"/>
        <v>DN</v>
      </c>
      <c r="F7" s="55">
        <v>50</v>
      </c>
      <c r="G7" s="55" t="s">
        <v>512</v>
      </c>
      <c r="J7" s="55" t="str">
        <f t="shared" si="1"/>
        <v>DN0212</v>
      </c>
    </row>
    <row r="8" spans="1:10" hidden="1">
      <c r="A8" s="79" t="s">
        <v>342</v>
      </c>
      <c r="B8" s="84" t="s">
        <v>220</v>
      </c>
      <c r="C8" s="79" t="s">
        <v>2623</v>
      </c>
      <c r="D8" s="80" t="s">
        <v>2566</v>
      </c>
      <c r="E8" s="2277" t="str">
        <f t="shared" si="0"/>
        <v>DN</v>
      </c>
      <c r="F8" s="55">
        <v>50</v>
      </c>
      <c r="G8" s="55" t="s">
        <v>512</v>
      </c>
      <c r="J8" s="55" t="str">
        <f t="shared" si="1"/>
        <v>DN0412</v>
      </c>
    </row>
    <row r="9" spans="1:10" hidden="1">
      <c r="A9" s="79" t="s">
        <v>2138</v>
      </c>
      <c r="B9" s="84" t="s">
        <v>1563</v>
      </c>
      <c r="C9" s="79" t="s">
        <v>2624</v>
      </c>
      <c r="D9" s="80" t="s">
        <v>2566</v>
      </c>
      <c r="E9" s="2277" t="str">
        <f t="shared" si="0"/>
        <v>DN</v>
      </c>
      <c r="F9" s="55">
        <v>50</v>
      </c>
      <c r="G9" s="55" t="s">
        <v>512</v>
      </c>
      <c r="J9" s="55" t="str">
        <f t="shared" si="1"/>
        <v>DN0415</v>
      </c>
    </row>
    <row r="10" spans="1:10" hidden="1">
      <c r="A10" s="79" t="s">
        <v>2139</v>
      </c>
      <c r="B10" s="84" t="s">
        <v>1563</v>
      </c>
      <c r="C10" s="79" t="s">
        <v>2625</v>
      </c>
      <c r="D10" s="80" t="s">
        <v>2566</v>
      </c>
      <c r="E10" s="2277" t="str">
        <f t="shared" si="0"/>
        <v>DN</v>
      </c>
      <c r="F10" s="55">
        <v>50</v>
      </c>
      <c r="G10" s="55" t="s">
        <v>512</v>
      </c>
      <c r="J10" s="55" t="str">
        <f t="shared" si="1"/>
        <v>DN0615</v>
      </c>
    </row>
    <row r="11" spans="1:10" hidden="1">
      <c r="A11" s="79" t="s">
        <v>1737</v>
      </c>
      <c r="B11" s="84" t="s">
        <v>1563</v>
      </c>
      <c r="C11" s="79" t="s">
        <v>2626</v>
      </c>
      <c r="D11" s="80" t="s">
        <v>2566</v>
      </c>
      <c r="E11" s="2277" t="str">
        <f t="shared" si="0"/>
        <v>DN</v>
      </c>
      <c r="F11" s="55">
        <v>50</v>
      </c>
      <c r="G11" s="55" t="s">
        <v>512</v>
      </c>
      <c r="J11" s="55" t="str">
        <f t="shared" si="1"/>
        <v>DN0618</v>
      </c>
    </row>
    <row r="12" spans="1:10" hidden="1">
      <c r="A12" s="79" t="s">
        <v>1079</v>
      </c>
      <c r="B12" s="84" t="s">
        <v>1563</v>
      </c>
      <c r="C12" s="79" t="s">
        <v>2627</v>
      </c>
      <c r="D12" s="80" t="s">
        <v>2566</v>
      </c>
      <c r="E12" s="2277" t="str">
        <f t="shared" si="0"/>
        <v>DN</v>
      </c>
      <c r="F12" s="55">
        <v>50</v>
      </c>
      <c r="G12" s="55" t="s">
        <v>512</v>
      </c>
      <c r="J12" s="55" t="str">
        <f t="shared" si="1"/>
        <v>DN1500</v>
      </c>
    </row>
    <row r="13" spans="1:10" hidden="1">
      <c r="A13" s="79" t="s">
        <v>1078</v>
      </c>
      <c r="B13" s="84" t="s">
        <v>220</v>
      </c>
      <c r="C13" s="79" t="s">
        <v>2628</v>
      </c>
      <c r="D13" s="80" t="s">
        <v>2566</v>
      </c>
      <c r="E13" s="2277" t="str">
        <f t="shared" si="0"/>
        <v>DN</v>
      </c>
      <c r="F13" s="55">
        <v>50</v>
      </c>
      <c r="G13" s="55" t="s">
        <v>512</v>
      </c>
      <c r="J13" s="55" t="str">
        <f t="shared" si="1"/>
        <v>DN1200</v>
      </c>
    </row>
    <row r="14" spans="1:10" hidden="1">
      <c r="A14" s="79" t="s">
        <v>1004</v>
      </c>
      <c r="B14" s="1778"/>
      <c r="C14" s="79" t="s">
        <v>2629</v>
      </c>
      <c r="D14" s="80" t="s">
        <v>2566</v>
      </c>
      <c r="E14" s="2277" t="str">
        <f t="shared" si="0"/>
        <v>BN</v>
      </c>
      <c r="F14" s="55">
        <v>50</v>
      </c>
      <c r="G14" s="55" t="s">
        <v>512</v>
      </c>
      <c r="J14" s="55" t="str">
        <f t="shared" si="1"/>
        <v>BNH</v>
      </c>
    </row>
    <row r="15" spans="1:10" hidden="1">
      <c r="A15" s="79" t="s">
        <v>378</v>
      </c>
      <c r="B15" s="1778"/>
      <c r="C15" s="79" t="s">
        <v>2630</v>
      </c>
      <c r="D15" s="80" t="s">
        <v>2566</v>
      </c>
      <c r="E15" s="2277" t="str">
        <f t="shared" si="0"/>
        <v>BB</v>
      </c>
      <c r="F15" s="55">
        <v>50</v>
      </c>
      <c r="G15" s="55" t="s">
        <v>512</v>
      </c>
      <c r="J15" s="55" t="str">
        <f t="shared" si="1"/>
        <v>BBD</v>
      </c>
    </row>
    <row r="16" spans="1:10" hidden="1">
      <c r="A16" s="79" t="s">
        <v>2179</v>
      </c>
      <c r="B16" s="1778"/>
      <c r="C16" s="79" t="s">
        <v>2631</v>
      </c>
      <c r="D16" s="80" t="s">
        <v>2448</v>
      </c>
      <c r="E16" s="2277" t="str">
        <f t="shared" si="0"/>
        <v>B4</v>
      </c>
      <c r="F16" s="55">
        <v>50</v>
      </c>
      <c r="G16" s="55" t="s">
        <v>512</v>
      </c>
      <c r="J16" s="55" t="str">
        <f t="shared" si="1"/>
        <v>B460</v>
      </c>
    </row>
    <row r="17" spans="1:10" hidden="1">
      <c r="A17" s="79" t="s">
        <v>792</v>
      </c>
      <c r="B17" s="1778"/>
      <c r="C17" s="79" t="s">
        <v>2632</v>
      </c>
      <c r="D17" s="80" t="s">
        <v>2448</v>
      </c>
      <c r="E17" s="2277" t="str">
        <f t="shared" si="0"/>
        <v>B6</v>
      </c>
      <c r="F17" s="55">
        <v>50</v>
      </c>
      <c r="G17" s="55" t="s">
        <v>512</v>
      </c>
      <c r="J17" s="55" t="str">
        <f t="shared" si="1"/>
        <v>B630</v>
      </c>
    </row>
    <row r="18" spans="1:10" hidden="1">
      <c r="A18" s="79" t="s">
        <v>745</v>
      </c>
      <c r="B18" s="1778"/>
      <c r="C18" s="79" t="s">
        <v>2633</v>
      </c>
      <c r="D18" s="80" t="s">
        <v>2448</v>
      </c>
      <c r="E18" s="2277" t="str">
        <f t="shared" si="0"/>
        <v>B1</v>
      </c>
      <c r="F18" s="55">
        <v>50</v>
      </c>
      <c r="G18" s="55" t="s">
        <v>512</v>
      </c>
      <c r="J18" s="55" t="str">
        <f t="shared" si="1"/>
        <v>B1030TH</v>
      </c>
    </row>
    <row r="19" spans="1:10" hidden="1">
      <c r="A19" s="79" t="s">
        <v>1803</v>
      </c>
      <c r="B19" s="1778"/>
      <c r="C19" s="79" t="s">
        <v>2634</v>
      </c>
      <c r="D19" s="80" t="s">
        <v>2448</v>
      </c>
      <c r="E19" s="2277" t="str">
        <f t="shared" si="0"/>
        <v>B1</v>
      </c>
      <c r="F19" s="55">
        <v>50</v>
      </c>
      <c r="G19" s="55" t="s">
        <v>512</v>
      </c>
      <c r="J19" s="55" t="str">
        <f t="shared" si="1"/>
        <v>B1040</v>
      </c>
    </row>
    <row r="20" spans="1:10" hidden="1">
      <c r="A20" s="79" t="s">
        <v>671</v>
      </c>
      <c r="B20" s="1778"/>
      <c r="C20" s="79" t="s">
        <v>2635</v>
      </c>
      <c r="D20" s="80" t="s">
        <v>2448</v>
      </c>
      <c r="E20" s="2277" t="str">
        <f t="shared" si="0"/>
        <v>B1</v>
      </c>
      <c r="F20" s="55">
        <v>50</v>
      </c>
      <c r="G20" s="55" t="s">
        <v>512</v>
      </c>
      <c r="J20" s="55" t="str">
        <f t="shared" si="1"/>
        <v>B1050</v>
      </c>
    </row>
    <row r="21" spans="1:10" hidden="1">
      <c r="A21" s="79" t="s">
        <v>468</v>
      </c>
      <c r="B21" s="1778"/>
      <c r="C21" s="79" t="s">
        <v>2636</v>
      </c>
      <c r="D21" s="80" t="s">
        <v>2448</v>
      </c>
      <c r="E21" s="2277" t="str">
        <f t="shared" si="0"/>
        <v>B1</v>
      </c>
      <c r="F21" s="55">
        <v>50</v>
      </c>
      <c r="G21" s="55" t="s">
        <v>512</v>
      </c>
      <c r="J21" s="55" t="str">
        <f t="shared" si="1"/>
        <v>B10250</v>
      </c>
    </row>
    <row r="22" spans="1:10" hidden="1">
      <c r="A22" s="79" t="s">
        <v>437</v>
      </c>
      <c r="B22" s="1778"/>
      <c r="C22" s="79" t="s">
        <v>2637</v>
      </c>
      <c r="D22" s="80" t="s">
        <v>2448</v>
      </c>
      <c r="E22" s="2277" t="str">
        <f t="shared" si="0"/>
        <v>B1</v>
      </c>
      <c r="F22" s="55">
        <v>50</v>
      </c>
      <c r="G22" s="55" t="s">
        <v>512</v>
      </c>
      <c r="J22" s="55" t="str">
        <f t="shared" si="1"/>
        <v>B1230</v>
      </c>
    </row>
    <row r="23" spans="1:10" hidden="1">
      <c r="A23" s="79" t="s">
        <v>138</v>
      </c>
      <c r="B23" s="1778"/>
      <c r="C23" s="79" t="s">
        <v>2638</v>
      </c>
      <c r="D23" s="80" t="s">
        <v>2448</v>
      </c>
      <c r="E23" s="2277" t="str">
        <f t="shared" si="0"/>
        <v>B1</v>
      </c>
      <c r="F23" s="55">
        <v>50</v>
      </c>
      <c r="G23" s="55" t="s">
        <v>512</v>
      </c>
      <c r="J23" s="55" t="str">
        <f t="shared" si="1"/>
        <v>B1240</v>
      </c>
    </row>
    <row r="24" spans="1:10" hidden="1">
      <c r="A24" s="79" t="s">
        <v>703</v>
      </c>
      <c r="B24" s="1778"/>
      <c r="C24" s="79" t="s">
        <v>2639</v>
      </c>
      <c r="D24" s="80" t="s">
        <v>2448</v>
      </c>
      <c r="E24" s="2277" t="str">
        <f t="shared" si="0"/>
        <v>B1</v>
      </c>
      <c r="F24" s="55">
        <v>50</v>
      </c>
      <c r="G24" s="55" t="s">
        <v>512</v>
      </c>
      <c r="J24" s="55" t="str">
        <f t="shared" si="1"/>
        <v>B1250</v>
      </c>
    </row>
    <row r="25" spans="1:10" hidden="1">
      <c r="A25" s="79" t="s">
        <v>1991</v>
      </c>
      <c r="B25" s="1778"/>
      <c r="C25" s="79" t="s">
        <v>2640</v>
      </c>
      <c r="D25" s="80" t="s">
        <v>2448</v>
      </c>
      <c r="E25" s="2277" t="str">
        <f t="shared" si="0"/>
        <v>B1</v>
      </c>
      <c r="F25" s="55">
        <v>50</v>
      </c>
      <c r="G25" s="55" t="s">
        <v>512</v>
      </c>
      <c r="J25" s="55" t="str">
        <f t="shared" si="1"/>
        <v>B1260</v>
      </c>
    </row>
    <row r="26" spans="1:10" hidden="1">
      <c r="A26" s="79" t="s">
        <v>1169</v>
      </c>
      <c r="B26" s="1778"/>
      <c r="C26" s="79" t="s">
        <v>2641</v>
      </c>
      <c r="D26" s="80" t="s">
        <v>2448</v>
      </c>
      <c r="E26" s="2277" t="str">
        <f t="shared" si="0"/>
        <v>B1</v>
      </c>
      <c r="F26" s="55">
        <v>50</v>
      </c>
      <c r="G26" s="55" t="s">
        <v>512</v>
      </c>
      <c r="J26" s="55" t="str">
        <f t="shared" si="1"/>
        <v>B1280</v>
      </c>
    </row>
    <row r="27" spans="1:10" hidden="1">
      <c r="A27" s="79" t="s">
        <v>2278</v>
      </c>
      <c r="B27" s="1778"/>
      <c r="C27" s="79" t="s">
        <v>2642</v>
      </c>
      <c r="D27" s="80" t="s">
        <v>2448</v>
      </c>
      <c r="E27" s="2277" t="str">
        <f t="shared" si="0"/>
        <v>B1</v>
      </c>
      <c r="F27" s="55">
        <v>50</v>
      </c>
      <c r="G27" s="55" t="s">
        <v>512</v>
      </c>
      <c r="J27" s="55" t="str">
        <f t="shared" si="1"/>
        <v>B12100</v>
      </c>
    </row>
    <row r="28" spans="1:10" hidden="1">
      <c r="A28" s="79" t="s">
        <v>1248</v>
      </c>
      <c r="B28" s="1778"/>
      <c r="C28" s="79" t="s">
        <v>2643</v>
      </c>
      <c r="D28" s="80" t="s">
        <v>2448</v>
      </c>
      <c r="E28" s="2277" t="str">
        <f t="shared" si="0"/>
        <v>B1</v>
      </c>
      <c r="F28" s="55">
        <v>50</v>
      </c>
      <c r="G28" s="55" t="s">
        <v>512</v>
      </c>
      <c r="J28" s="55" t="str">
        <f t="shared" si="1"/>
        <v>B12150</v>
      </c>
    </row>
    <row r="29" spans="1:10" hidden="1">
      <c r="A29" s="79" t="s">
        <v>2181</v>
      </c>
      <c r="B29" s="1778"/>
      <c r="C29" s="79" t="s">
        <v>2644</v>
      </c>
      <c r="D29" s="80" t="s">
        <v>2448</v>
      </c>
      <c r="E29" s="2277" t="str">
        <f t="shared" si="0"/>
        <v>B1</v>
      </c>
      <c r="F29" s="55">
        <v>50</v>
      </c>
      <c r="G29" s="55" t="s">
        <v>512</v>
      </c>
      <c r="J29" s="55" t="str">
        <f t="shared" si="1"/>
        <v>B12200</v>
      </c>
    </row>
    <row r="30" spans="1:10" hidden="1">
      <c r="A30" s="79" t="s">
        <v>498</v>
      </c>
      <c r="B30" s="1778"/>
      <c r="C30" s="79" t="s">
        <v>2645</v>
      </c>
      <c r="D30" s="80" t="s">
        <v>2448</v>
      </c>
      <c r="E30" s="2277" t="str">
        <f t="shared" si="0"/>
        <v>B1</v>
      </c>
      <c r="F30" s="55">
        <v>50</v>
      </c>
      <c r="G30" s="55" t="s">
        <v>512</v>
      </c>
      <c r="J30" s="55" t="str">
        <f t="shared" si="1"/>
        <v>B1230TH</v>
      </c>
    </row>
    <row r="31" spans="1:10" hidden="1">
      <c r="A31" s="79" t="s">
        <v>499</v>
      </c>
      <c r="B31" s="1778"/>
      <c r="C31" s="79" t="s">
        <v>2646</v>
      </c>
      <c r="D31" s="80" t="s">
        <v>2448</v>
      </c>
      <c r="E31" s="2277" t="str">
        <f t="shared" si="0"/>
        <v>B1</v>
      </c>
      <c r="F31" s="55">
        <v>50</v>
      </c>
      <c r="G31" s="55" t="s">
        <v>512</v>
      </c>
      <c r="J31" s="55" t="str">
        <f t="shared" si="1"/>
        <v>B1240TH</v>
      </c>
    </row>
    <row r="32" spans="1:10" hidden="1">
      <c r="A32" s="79" t="s">
        <v>918</v>
      </c>
      <c r="B32" s="1778"/>
      <c r="C32" s="79" t="s">
        <v>2647</v>
      </c>
      <c r="D32" s="80" t="s">
        <v>2448</v>
      </c>
      <c r="E32" s="2277" t="str">
        <f t="shared" si="0"/>
        <v>B1</v>
      </c>
      <c r="F32" s="55">
        <v>50</v>
      </c>
      <c r="G32" s="55" t="s">
        <v>512</v>
      </c>
      <c r="J32" s="55" t="str">
        <f t="shared" si="1"/>
        <v>B1250TH</v>
      </c>
    </row>
    <row r="33" spans="1:10" hidden="1">
      <c r="A33" s="79" t="s">
        <v>4549</v>
      </c>
      <c r="B33" s="1778"/>
      <c r="C33" s="79" t="s">
        <v>4550</v>
      </c>
      <c r="D33" s="80" t="s">
        <v>2448</v>
      </c>
      <c r="E33" s="2277" t="str">
        <f t="shared" ref="E33" si="2">LEFT(A33,2)</f>
        <v>B1</v>
      </c>
      <c r="F33" s="55">
        <v>50</v>
      </c>
      <c r="G33" s="55" t="s">
        <v>512</v>
      </c>
      <c r="J33" s="55" t="str">
        <f t="shared" si="1"/>
        <v>B14100</v>
      </c>
    </row>
    <row r="34" spans="1:10" hidden="1">
      <c r="A34" s="79" t="s">
        <v>4363</v>
      </c>
      <c r="B34" s="1778"/>
      <c r="C34" s="79" t="s">
        <v>4364</v>
      </c>
      <c r="D34" s="80" t="s">
        <v>2448</v>
      </c>
      <c r="E34" s="2277" t="str">
        <f t="shared" si="0"/>
        <v>B1</v>
      </c>
      <c r="F34" s="55">
        <v>50</v>
      </c>
      <c r="G34" s="55" t="s">
        <v>512</v>
      </c>
      <c r="J34" s="55" t="str">
        <f t="shared" si="1"/>
        <v>B14150</v>
      </c>
    </row>
    <row r="35" spans="1:10" hidden="1">
      <c r="A35" s="79" t="s">
        <v>1791</v>
      </c>
      <c r="B35" s="1778"/>
      <c r="C35" s="79" t="s">
        <v>2648</v>
      </c>
      <c r="D35" s="80" t="s">
        <v>2448</v>
      </c>
      <c r="E35" s="2277" t="str">
        <f t="shared" si="0"/>
        <v>B1</v>
      </c>
      <c r="F35" s="55">
        <v>50</v>
      </c>
      <c r="G35" s="55" t="s">
        <v>512</v>
      </c>
      <c r="J35" s="55" t="str">
        <f t="shared" si="1"/>
        <v>B1635</v>
      </c>
    </row>
    <row r="36" spans="1:10" hidden="1">
      <c r="A36" s="79" t="s">
        <v>2157</v>
      </c>
      <c r="B36" s="1778"/>
      <c r="C36" s="79" t="s">
        <v>2649</v>
      </c>
      <c r="D36" s="80" t="s">
        <v>2448</v>
      </c>
      <c r="E36" s="2277" t="str">
        <f t="shared" si="0"/>
        <v>B1</v>
      </c>
      <c r="F36" s="55">
        <v>50</v>
      </c>
      <c r="G36" s="55" t="s">
        <v>512</v>
      </c>
      <c r="J36" s="55" t="str">
        <f t="shared" si="1"/>
        <v>B1640</v>
      </c>
    </row>
    <row r="37" spans="1:10" hidden="1">
      <c r="A37" s="1779" t="s">
        <v>1792</v>
      </c>
      <c r="B37" s="84"/>
      <c r="C37" s="79" t="s">
        <v>2650</v>
      </c>
      <c r="D37" s="80" t="s">
        <v>2448</v>
      </c>
      <c r="E37" s="2277" t="str">
        <f t="shared" si="0"/>
        <v>B1</v>
      </c>
      <c r="F37" s="55">
        <v>50</v>
      </c>
      <c r="G37" s="55" t="s">
        <v>512</v>
      </c>
      <c r="J37" s="55" t="str">
        <f t="shared" si="1"/>
        <v>B1650</v>
      </c>
    </row>
    <row r="38" spans="1:10" hidden="1">
      <c r="A38" s="1779" t="s">
        <v>804</v>
      </c>
      <c r="B38" s="84"/>
      <c r="C38" s="79" t="s">
        <v>2651</v>
      </c>
      <c r="D38" s="80" t="s">
        <v>2448</v>
      </c>
      <c r="E38" s="2277" t="str">
        <f t="shared" si="0"/>
        <v>B1</v>
      </c>
      <c r="F38" s="55">
        <v>50</v>
      </c>
      <c r="G38" s="55" t="s">
        <v>512</v>
      </c>
      <c r="J38" s="55" t="str">
        <f t="shared" si="1"/>
        <v>B16100</v>
      </c>
    </row>
    <row r="39" spans="1:10" hidden="1">
      <c r="A39" s="1779" t="s">
        <v>244</v>
      </c>
      <c r="B39" s="84"/>
      <c r="C39" s="79" t="s">
        <v>2652</v>
      </c>
      <c r="D39" s="80" t="s">
        <v>2448</v>
      </c>
      <c r="E39" s="2277" t="str">
        <f t="shared" si="0"/>
        <v>B1</v>
      </c>
      <c r="F39" s="55">
        <v>50</v>
      </c>
      <c r="G39" s="55" t="s">
        <v>512</v>
      </c>
      <c r="J39" s="55" t="str">
        <f t="shared" si="1"/>
        <v>B16150</v>
      </c>
    </row>
    <row r="40" spans="1:10" hidden="1">
      <c r="A40" s="1779" t="s">
        <v>137</v>
      </c>
      <c r="B40" s="84"/>
      <c r="C40" s="79" t="s">
        <v>2653</v>
      </c>
      <c r="D40" s="80" t="s">
        <v>2448</v>
      </c>
      <c r="E40" s="2277" t="str">
        <f t="shared" si="0"/>
        <v>B1</v>
      </c>
      <c r="F40" s="55">
        <v>50</v>
      </c>
      <c r="G40" s="55" t="s">
        <v>512</v>
      </c>
      <c r="J40" s="55" t="str">
        <f t="shared" si="1"/>
        <v>B16200</v>
      </c>
    </row>
    <row r="41" spans="1:10" hidden="1">
      <c r="A41" s="79" t="s">
        <v>1899</v>
      </c>
      <c r="B41" s="1778"/>
      <c r="C41" s="79" t="s">
        <v>2654</v>
      </c>
      <c r="D41" s="80" t="s">
        <v>2448</v>
      </c>
      <c r="E41" s="2277" t="str">
        <f t="shared" si="0"/>
        <v>B1</v>
      </c>
      <c r="F41" s="55">
        <v>50</v>
      </c>
      <c r="G41" s="55" t="s">
        <v>512</v>
      </c>
      <c r="J41" s="55" t="str">
        <f t="shared" si="1"/>
        <v>B16230</v>
      </c>
    </row>
    <row r="42" spans="1:10" hidden="1">
      <c r="A42" s="1779" t="s">
        <v>1900</v>
      </c>
      <c r="B42" s="84"/>
      <c r="C42" s="79" t="s">
        <v>2655</v>
      </c>
      <c r="D42" s="80" t="s">
        <v>2448</v>
      </c>
      <c r="E42" s="2277" t="str">
        <f t="shared" si="0"/>
        <v>B1</v>
      </c>
      <c r="F42" s="55">
        <v>50</v>
      </c>
      <c r="G42" s="55" t="s">
        <v>512</v>
      </c>
      <c r="J42" s="55" t="str">
        <f t="shared" si="1"/>
        <v>B16240</v>
      </c>
    </row>
    <row r="43" spans="1:10" hidden="1">
      <c r="A43" s="79" t="s">
        <v>1614</v>
      </c>
      <c r="B43" s="1778"/>
      <c r="C43" s="79" t="s">
        <v>2656</v>
      </c>
      <c r="D43" s="80" t="s">
        <v>2448</v>
      </c>
      <c r="E43" s="2277" t="str">
        <f t="shared" si="0"/>
        <v>B1</v>
      </c>
      <c r="F43" s="55">
        <v>50</v>
      </c>
      <c r="G43" s="55" t="s">
        <v>512</v>
      </c>
      <c r="J43" s="55" t="str">
        <f t="shared" si="1"/>
        <v>B16250</v>
      </c>
    </row>
    <row r="44" spans="1:10" hidden="1">
      <c r="A44" s="79" t="s">
        <v>321</v>
      </c>
      <c r="B44" s="1778"/>
      <c r="C44" s="79" t="s">
        <v>2657</v>
      </c>
      <c r="D44" s="80" t="s">
        <v>2448</v>
      </c>
      <c r="E44" s="2277" t="str">
        <f t="shared" si="0"/>
        <v>B1</v>
      </c>
      <c r="F44" s="55">
        <v>50</v>
      </c>
      <c r="G44" s="55" t="s">
        <v>512</v>
      </c>
      <c r="J44" s="55" t="str">
        <f t="shared" si="1"/>
        <v>B16260</v>
      </c>
    </row>
    <row r="45" spans="1:10" hidden="1">
      <c r="A45" s="79" t="s">
        <v>340</v>
      </c>
      <c r="B45" s="1778"/>
      <c r="C45" s="79" t="s">
        <v>2658</v>
      </c>
      <c r="D45" s="80" t="s">
        <v>2448</v>
      </c>
      <c r="E45" s="2277" t="str">
        <f t="shared" si="0"/>
        <v>B1</v>
      </c>
      <c r="F45" s="55">
        <v>50</v>
      </c>
      <c r="G45" s="55" t="s">
        <v>512</v>
      </c>
      <c r="J45" s="55" t="str">
        <f t="shared" si="1"/>
        <v>B16270</v>
      </c>
    </row>
    <row r="46" spans="1:10" hidden="1">
      <c r="A46" s="1779" t="s">
        <v>322</v>
      </c>
      <c r="B46" s="84"/>
      <c r="C46" s="79" t="s">
        <v>2659</v>
      </c>
      <c r="D46" s="80" t="s">
        <v>2448</v>
      </c>
      <c r="E46" s="2277" t="str">
        <f t="shared" si="0"/>
        <v>B1</v>
      </c>
      <c r="F46" s="55">
        <v>50</v>
      </c>
      <c r="G46" s="55" t="s">
        <v>512</v>
      </c>
      <c r="J46" s="55" t="str">
        <f t="shared" si="1"/>
        <v>B16280</v>
      </c>
    </row>
    <row r="47" spans="1:10" hidden="1">
      <c r="A47" s="79" t="s">
        <v>1615</v>
      </c>
      <c r="B47" s="1778"/>
      <c r="C47" s="79" t="s">
        <v>2660</v>
      </c>
      <c r="D47" s="80" t="s">
        <v>2448</v>
      </c>
      <c r="E47" s="2277" t="str">
        <f t="shared" si="0"/>
        <v>B1</v>
      </c>
      <c r="F47" s="55">
        <v>50</v>
      </c>
      <c r="G47" s="55" t="s">
        <v>512</v>
      </c>
      <c r="J47" s="55" t="str">
        <f t="shared" si="1"/>
        <v>B16300</v>
      </c>
    </row>
    <row r="48" spans="1:10" hidden="1">
      <c r="A48" s="1779" t="s">
        <v>701</v>
      </c>
      <c r="B48" s="84"/>
      <c r="C48" s="79" t="s">
        <v>2661</v>
      </c>
      <c r="D48" s="80" t="s">
        <v>2448</v>
      </c>
      <c r="E48" s="2277" t="str">
        <f t="shared" si="0"/>
        <v>B1</v>
      </c>
      <c r="F48" s="55">
        <v>50</v>
      </c>
      <c r="G48" s="55" t="s">
        <v>512</v>
      </c>
      <c r="J48" s="55" t="str">
        <f t="shared" si="1"/>
        <v>B16320</v>
      </c>
    </row>
    <row r="49" spans="1:10" hidden="1">
      <c r="A49" s="1779" t="s">
        <v>1081</v>
      </c>
      <c r="B49" s="84"/>
      <c r="C49" s="79" t="s">
        <v>2662</v>
      </c>
      <c r="D49" s="80" t="s">
        <v>2448</v>
      </c>
      <c r="E49" s="2277" t="str">
        <f t="shared" si="0"/>
        <v>B1</v>
      </c>
      <c r="F49" s="55">
        <v>50</v>
      </c>
      <c r="G49" s="55" t="s">
        <v>512</v>
      </c>
      <c r="J49" s="55" t="str">
        <f t="shared" si="1"/>
        <v>B16350</v>
      </c>
    </row>
    <row r="50" spans="1:10" hidden="1">
      <c r="A50" s="1779" t="s">
        <v>1085</v>
      </c>
      <c r="B50" s="84"/>
      <c r="C50" s="79" t="s">
        <v>2663</v>
      </c>
      <c r="D50" s="80" t="s">
        <v>2448</v>
      </c>
      <c r="E50" s="2277" t="str">
        <f t="shared" si="0"/>
        <v>B1</v>
      </c>
      <c r="F50" s="55">
        <v>50</v>
      </c>
      <c r="G50" s="55" t="s">
        <v>512</v>
      </c>
      <c r="J50" s="55" t="str">
        <f t="shared" si="1"/>
        <v>B16400</v>
      </c>
    </row>
    <row r="51" spans="1:10" hidden="1">
      <c r="A51" s="1779" t="s">
        <v>323</v>
      </c>
      <c r="B51" s="84"/>
      <c r="C51" s="79" t="s">
        <v>2664</v>
      </c>
      <c r="D51" s="80" t="s">
        <v>2448</v>
      </c>
      <c r="E51" s="2277" t="str">
        <f t="shared" si="0"/>
        <v>B1</v>
      </c>
      <c r="F51" s="55">
        <v>50</v>
      </c>
      <c r="G51" s="55" t="s">
        <v>512</v>
      </c>
      <c r="J51" s="55" t="str">
        <f t="shared" si="1"/>
        <v>B16450</v>
      </c>
    </row>
    <row r="52" spans="1:10" hidden="1">
      <c r="A52" s="1779" t="s">
        <v>1544</v>
      </c>
      <c r="B52" s="84"/>
      <c r="C52" s="79" t="s">
        <v>2665</v>
      </c>
      <c r="D52" s="80" t="s">
        <v>2448</v>
      </c>
      <c r="E52" s="2277" t="str">
        <f t="shared" si="0"/>
        <v>B1</v>
      </c>
      <c r="F52" s="55">
        <v>50</v>
      </c>
      <c r="G52" s="55" t="s">
        <v>512</v>
      </c>
      <c r="J52" s="55" t="str">
        <f t="shared" si="1"/>
        <v>B16500</v>
      </c>
    </row>
    <row r="53" spans="1:10" hidden="1">
      <c r="A53" s="1779" t="s">
        <v>1788</v>
      </c>
      <c r="B53" s="84"/>
      <c r="C53" s="79" t="s">
        <v>2666</v>
      </c>
      <c r="D53" s="80" t="s">
        <v>2448</v>
      </c>
      <c r="E53" s="2277" t="str">
        <f t="shared" si="0"/>
        <v>B1</v>
      </c>
      <c r="F53" s="55">
        <v>50</v>
      </c>
      <c r="G53" s="55" t="s">
        <v>512</v>
      </c>
      <c r="J53" s="55" t="str">
        <f t="shared" si="1"/>
        <v>B16600</v>
      </c>
    </row>
    <row r="54" spans="1:10" hidden="1">
      <c r="A54" s="79" t="s">
        <v>1898</v>
      </c>
      <c r="B54" s="1778"/>
      <c r="C54" s="79" t="s">
        <v>2667</v>
      </c>
      <c r="D54" s="80" t="s">
        <v>2448</v>
      </c>
      <c r="E54" s="2277" t="str">
        <f t="shared" si="0"/>
        <v>B1</v>
      </c>
      <c r="F54" s="55">
        <v>50</v>
      </c>
      <c r="G54" s="55" t="s">
        <v>512</v>
      </c>
      <c r="J54" s="55" t="str">
        <f t="shared" si="1"/>
        <v>B1680V</v>
      </c>
    </row>
    <row r="55" spans="1:10" hidden="1">
      <c r="A55" s="1779" t="s">
        <v>1897</v>
      </c>
      <c r="B55" s="84"/>
      <c r="C55" s="79" t="s">
        <v>2668</v>
      </c>
      <c r="D55" s="80" t="s">
        <v>2448</v>
      </c>
      <c r="E55" s="2277" t="str">
        <f t="shared" si="0"/>
        <v>B1</v>
      </c>
      <c r="F55" s="55">
        <v>50</v>
      </c>
      <c r="G55" s="55" t="s">
        <v>512</v>
      </c>
      <c r="J55" s="55" t="str">
        <f t="shared" si="1"/>
        <v>B16100V</v>
      </c>
    </row>
    <row r="56" spans="1:10" hidden="1">
      <c r="A56" s="79" t="s">
        <v>1789</v>
      </c>
      <c r="B56" s="1778"/>
      <c r="C56" s="79" t="s">
        <v>2669</v>
      </c>
      <c r="D56" s="80" t="s">
        <v>2448</v>
      </c>
      <c r="E56" s="2277" t="str">
        <f t="shared" si="0"/>
        <v>B1</v>
      </c>
      <c r="F56" s="55">
        <v>50</v>
      </c>
      <c r="G56" s="55" t="s">
        <v>512</v>
      </c>
      <c r="J56" s="55" t="str">
        <f t="shared" si="1"/>
        <v>B16200V</v>
      </c>
    </row>
    <row r="57" spans="1:10" hidden="1">
      <c r="A57" s="79" t="s">
        <v>1731</v>
      </c>
      <c r="B57" s="1778"/>
      <c r="C57" s="79" t="s">
        <v>2670</v>
      </c>
      <c r="D57" s="80" t="s">
        <v>2448</v>
      </c>
      <c r="E57" s="2277" t="str">
        <f t="shared" si="0"/>
        <v>B1</v>
      </c>
      <c r="F57" s="55">
        <v>50</v>
      </c>
      <c r="G57" s="55" t="s">
        <v>512</v>
      </c>
      <c r="J57" s="55" t="str">
        <f t="shared" si="1"/>
        <v>B16250V</v>
      </c>
    </row>
    <row r="58" spans="1:10" hidden="1">
      <c r="A58" s="79" t="s">
        <v>1790</v>
      </c>
      <c r="B58" s="1778"/>
      <c r="C58" s="79" t="s">
        <v>2671</v>
      </c>
      <c r="D58" s="80" t="s">
        <v>2448</v>
      </c>
      <c r="E58" s="2277" t="str">
        <f t="shared" si="0"/>
        <v>B1</v>
      </c>
      <c r="F58" s="55">
        <v>50</v>
      </c>
      <c r="G58" s="55" t="s">
        <v>512</v>
      </c>
      <c r="J58" s="55" t="str">
        <f t="shared" si="1"/>
        <v>B16300V</v>
      </c>
    </row>
    <row r="59" spans="1:10" hidden="1">
      <c r="A59" s="79" t="s">
        <v>970</v>
      </c>
      <c r="B59" s="1778"/>
      <c r="C59" s="79" t="s">
        <v>2672</v>
      </c>
      <c r="D59" s="80" t="s">
        <v>2448</v>
      </c>
      <c r="E59" s="2277" t="str">
        <f t="shared" si="0"/>
        <v>B1</v>
      </c>
      <c r="F59" s="55">
        <v>50</v>
      </c>
      <c r="G59" s="55" t="s">
        <v>512</v>
      </c>
      <c r="J59" s="55" t="str">
        <f t="shared" si="1"/>
        <v>B16350V</v>
      </c>
    </row>
    <row r="60" spans="1:10" hidden="1">
      <c r="A60" s="1779" t="s">
        <v>1787</v>
      </c>
      <c r="B60" s="84"/>
      <c r="C60" s="79" t="s">
        <v>2673</v>
      </c>
      <c r="D60" s="80" t="s">
        <v>2448</v>
      </c>
      <c r="E60" s="2277" t="str">
        <f t="shared" si="0"/>
        <v>B1</v>
      </c>
      <c r="F60" s="55">
        <v>50</v>
      </c>
      <c r="G60" s="55" t="s">
        <v>512</v>
      </c>
      <c r="J60" s="55" t="str">
        <f t="shared" si="1"/>
        <v>B16400v</v>
      </c>
    </row>
    <row r="61" spans="1:10" hidden="1">
      <c r="A61" s="79" t="s">
        <v>1170</v>
      </c>
      <c r="B61" s="1778"/>
      <c r="C61" s="79" t="s">
        <v>2674</v>
      </c>
      <c r="D61" s="80" t="s">
        <v>2448</v>
      </c>
      <c r="E61" s="2277" t="str">
        <f t="shared" ref="E61" si="3">LEFT(A61,2)</f>
        <v>B1</v>
      </c>
      <c r="F61" s="55">
        <v>50</v>
      </c>
      <c r="G61" s="55" t="s">
        <v>512</v>
      </c>
      <c r="J61" s="55" t="str">
        <f t="shared" si="1"/>
        <v>B16500V</v>
      </c>
    </row>
    <row r="62" spans="1:10" hidden="1">
      <c r="A62" s="79" t="s">
        <v>4873</v>
      </c>
      <c r="B62" s="1778"/>
      <c r="C62" s="79" t="s">
        <v>4874</v>
      </c>
      <c r="D62" s="80" t="s">
        <v>2448</v>
      </c>
      <c r="E62" s="2277" t="str">
        <f t="shared" si="0"/>
        <v>B1</v>
      </c>
      <c r="F62" s="55">
        <v>50</v>
      </c>
      <c r="G62" s="55" t="s">
        <v>512</v>
      </c>
      <c r="J62" s="55" t="str">
        <f t="shared" si="1"/>
        <v>B16450V</v>
      </c>
    </row>
    <row r="63" spans="1:10" hidden="1">
      <c r="A63" s="79" t="s">
        <v>1386</v>
      </c>
      <c r="B63" s="1778"/>
      <c r="C63" s="79" t="s">
        <v>2675</v>
      </c>
      <c r="D63" s="80" t="s">
        <v>2448</v>
      </c>
      <c r="E63" s="2277" t="str">
        <f t="shared" si="0"/>
        <v>B1</v>
      </c>
      <c r="F63" s="55">
        <v>50</v>
      </c>
      <c r="G63" s="55" t="s">
        <v>512</v>
      </c>
      <c r="J63" s="55" t="str">
        <f t="shared" si="1"/>
        <v>B16550V</v>
      </c>
    </row>
    <row r="64" spans="1:10" hidden="1">
      <c r="A64" s="79" t="s">
        <v>1385</v>
      </c>
      <c r="B64" s="1778"/>
      <c r="C64" s="79" t="s">
        <v>2676</v>
      </c>
      <c r="D64" s="80" t="s">
        <v>2448</v>
      </c>
      <c r="E64" s="2277" t="str">
        <f t="shared" si="0"/>
        <v>B1</v>
      </c>
      <c r="F64" s="55">
        <v>50</v>
      </c>
      <c r="G64" s="55" t="s">
        <v>512</v>
      </c>
      <c r="J64" s="55" t="str">
        <f t="shared" si="1"/>
        <v>B16600V</v>
      </c>
    </row>
    <row r="65" spans="1:10" hidden="1">
      <c r="A65" s="79" t="s">
        <v>1545</v>
      </c>
      <c r="B65" s="1778"/>
      <c r="C65" s="79" t="s">
        <v>2677</v>
      </c>
      <c r="D65" s="80" t="s">
        <v>2448</v>
      </c>
      <c r="E65" s="2277" t="str">
        <f t="shared" si="0"/>
        <v>B1</v>
      </c>
      <c r="F65" s="55">
        <v>50</v>
      </c>
      <c r="G65" s="55" t="s">
        <v>512</v>
      </c>
      <c r="J65" s="55" t="str">
        <f t="shared" si="1"/>
        <v>B16650V</v>
      </c>
    </row>
    <row r="66" spans="1:10" hidden="1">
      <c r="A66" s="79" t="s">
        <v>2167</v>
      </c>
      <c r="B66" s="1778"/>
      <c r="C66" s="79" t="s">
        <v>2678</v>
      </c>
      <c r="D66" s="80" t="s">
        <v>2448</v>
      </c>
      <c r="E66" s="2277" t="str">
        <f t="shared" si="0"/>
        <v>B1</v>
      </c>
      <c r="F66" s="55">
        <v>50</v>
      </c>
      <c r="G66" s="55" t="s">
        <v>512</v>
      </c>
      <c r="J66" s="55" t="str">
        <f t="shared" si="1"/>
        <v>B16700V</v>
      </c>
    </row>
    <row r="67" spans="1:10" hidden="1">
      <c r="A67" s="79" t="s">
        <v>395</v>
      </c>
      <c r="B67" s="1778"/>
      <c r="C67" s="79" t="s">
        <v>2679</v>
      </c>
      <c r="D67" s="80" t="s">
        <v>2448</v>
      </c>
      <c r="E67" s="2277" t="str">
        <f t="shared" si="0"/>
        <v>B2</v>
      </c>
      <c r="F67" s="55">
        <v>50</v>
      </c>
      <c r="G67" s="55" t="s">
        <v>512</v>
      </c>
      <c r="J67" s="55" t="str">
        <f t="shared" si="1"/>
        <v>B22260</v>
      </c>
    </row>
    <row r="68" spans="1:10" hidden="1">
      <c r="A68" s="79" t="s">
        <v>1171</v>
      </c>
      <c r="B68" s="1778"/>
      <c r="C68" s="79" t="s">
        <v>2680</v>
      </c>
      <c r="D68" s="80" t="s">
        <v>2448</v>
      </c>
      <c r="E68" s="2277" t="str">
        <f t="shared" si="0"/>
        <v>B2</v>
      </c>
      <c r="F68" s="55">
        <v>50</v>
      </c>
      <c r="G68" s="55" t="s">
        <v>512</v>
      </c>
      <c r="J68" s="55" t="str">
        <f t="shared" ref="J68:J132" si="4">A68</f>
        <v>B22450</v>
      </c>
    </row>
    <row r="69" spans="1:10" hidden="1">
      <c r="A69" s="1779" t="s">
        <v>396</v>
      </c>
      <c r="B69" s="84"/>
      <c r="C69" s="79" t="s">
        <v>2681</v>
      </c>
      <c r="D69" s="80" t="s">
        <v>2448</v>
      </c>
      <c r="E69" s="2277" t="str">
        <f t="shared" si="0"/>
        <v>B2</v>
      </c>
      <c r="F69" s="55">
        <v>50</v>
      </c>
      <c r="G69" s="55" t="s">
        <v>512</v>
      </c>
      <c r="J69" s="55" t="str">
        <f t="shared" si="4"/>
        <v>B22500</v>
      </c>
    </row>
    <row r="70" spans="1:10" hidden="1">
      <c r="A70" s="1779" t="s">
        <v>397</v>
      </c>
      <c r="B70" s="84"/>
      <c r="C70" s="79" t="s">
        <v>2682</v>
      </c>
      <c r="D70" s="80" t="s">
        <v>2448</v>
      </c>
      <c r="E70" s="2277" t="str">
        <f t="shared" ref="E70:E134" si="5">LEFT(A70,2)</f>
        <v>B2</v>
      </c>
      <c r="F70" s="55">
        <v>50</v>
      </c>
      <c r="G70" s="55" t="s">
        <v>512</v>
      </c>
      <c r="J70" s="55" t="str">
        <f t="shared" si="4"/>
        <v>B22550</v>
      </c>
    </row>
    <row r="71" spans="1:10" hidden="1">
      <c r="A71" s="79" t="s">
        <v>787</v>
      </c>
      <c r="B71" s="1778" t="s">
        <v>1018</v>
      </c>
      <c r="C71" s="79" t="s">
        <v>2683</v>
      </c>
      <c r="D71" s="80" t="s">
        <v>2448</v>
      </c>
      <c r="E71" s="2277" t="str">
        <f t="shared" si="5"/>
        <v>B2</v>
      </c>
      <c r="F71" s="55">
        <v>50</v>
      </c>
      <c r="G71" s="55" t="s">
        <v>512</v>
      </c>
      <c r="J71" s="55" t="str">
        <f t="shared" si="4"/>
        <v>B22600</v>
      </c>
    </row>
    <row r="72" spans="1:10" hidden="1">
      <c r="A72" s="79" t="s">
        <v>398</v>
      </c>
      <c r="B72" s="1778"/>
      <c r="C72" s="79" t="s">
        <v>2684</v>
      </c>
      <c r="D72" s="80" t="s">
        <v>2448</v>
      </c>
      <c r="E72" s="2277" t="str">
        <f t="shared" si="5"/>
        <v>B2</v>
      </c>
      <c r="F72" s="55">
        <v>50</v>
      </c>
      <c r="G72" s="55" t="s">
        <v>512</v>
      </c>
      <c r="J72" s="55" t="str">
        <f t="shared" si="4"/>
        <v>B22650</v>
      </c>
    </row>
    <row r="73" spans="1:10" hidden="1">
      <c r="A73" s="79" t="s">
        <v>1833</v>
      </c>
      <c r="B73" s="1778"/>
      <c r="C73" s="79" t="s">
        <v>2685</v>
      </c>
      <c r="D73" s="80" t="s">
        <v>2448</v>
      </c>
      <c r="E73" s="2277" t="str">
        <f t="shared" si="5"/>
        <v>B2</v>
      </c>
      <c r="F73" s="55">
        <v>50</v>
      </c>
      <c r="G73" s="55" t="s">
        <v>512</v>
      </c>
      <c r="J73" s="55" t="str">
        <f t="shared" si="4"/>
        <v>B22700</v>
      </c>
    </row>
    <row r="74" spans="1:10" hidden="1">
      <c r="A74" s="79" t="s">
        <v>723</v>
      </c>
      <c r="B74" s="1778"/>
      <c r="C74" s="79" t="s">
        <v>2686</v>
      </c>
      <c r="D74" s="80" t="s">
        <v>2448</v>
      </c>
      <c r="E74" s="2277" t="str">
        <f t="shared" si="5"/>
        <v>B2</v>
      </c>
      <c r="F74" s="55">
        <v>50</v>
      </c>
      <c r="G74" s="55" t="s">
        <v>512</v>
      </c>
      <c r="J74" s="55" t="str">
        <f t="shared" si="4"/>
        <v>B22750</v>
      </c>
    </row>
    <row r="75" spans="1:10" hidden="1">
      <c r="A75" s="79" t="s">
        <v>788</v>
      </c>
      <c r="B75" s="1778"/>
      <c r="C75" s="79" t="s">
        <v>2687</v>
      </c>
      <c r="D75" s="80" t="s">
        <v>2448</v>
      </c>
      <c r="E75" s="2277" t="str">
        <f t="shared" si="5"/>
        <v>B2</v>
      </c>
      <c r="F75" s="55">
        <v>50</v>
      </c>
      <c r="G75" s="55" t="s">
        <v>512</v>
      </c>
      <c r="J75" s="55" t="str">
        <f t="shared" si="4"/>
        <v>B22800</v>
      </c>
    </row>
    <row r="76" spans="1:10" hidden="1">
      <c r="A76" s="79" t="s">
        <v>563</v>
      </c>
      <c r="B76" s="1778"/>
      <c r="C76" s="79" t="s">
        <v>2688</v>
      </c>
      <c r="D76" s="80" t="s">
        <v>2448</v>
      </c>
      <c r="E76" s="2277" t="str">
        <f t="shared" si="5"/>
        <v>B2</v>
      </c>
      <c r="F76" s="55">
        <v>50</v>
      </c>
      <c r="G76" s="55" t="s">
        <v>512</v>
      </c>
      <c r="J76" s="55" t="str">
        <f t="shared" si="4"/>
        <v>B22850</v>
      </c>
    </row>
    <row r="77" spans="1:10" hidden="1">
      <c r="A77" s="79" t="s">
        <v>1793</v>
      </c>
      <c r="B77" s="1778"/>
      <c r="C77" s="79" t="s">
        <v>2689</v>
      </c>
      <c r="D77" s="80" t="s">
        <v>2448</v>
      </c>
      <c r="E77" s="2277" t="str">
        <f t="shared" si="5"/>
        <v>B2</v>
      </c>
      <c r="F77" s="55">
        <v>50</v>
      </c>
      <c r="G77" s="55" t="s">
        <v>512</v>
      </c>
      <c r="J77" s="55" t="str">
        <f t="shared" si="4"/>
        <v>B221000</v>
      </c>
    </row>
    <row r="78" spans="1:10" hidden="1">
      <c r="A78" s="79" t="s">
        <v>346</v>
      </c>
      <c r="B78" s="1778"/>
      <c r="C78" s="79" t="s">
        <v>2690</v>
      </c>
      <c r="D78" s="80" t="s">
        <v>2448</v>
      </c>
      <c r="E78" s="2277" t="str">
        <f t="shared" si="5"/>
        <v>B2</v>
      </c>
      <c r="F78" s="55">
        <v>50</v>
      </c>
      <c r="G78" s="55" t="s">
        <v>512</v>
      </c>
      <c r="J78" s="55" t="str">
        <f t="shared" si="4"/>
        <v>B22500C</v>
      </c>
    </row>
    <row r="79" spans="1:10" hidden="1">
      <c r="A79" s="79" t="s">
        <v>564</v>
      </c>
      <c r="B79" s="1778"/>
      <c r="C79" s="79" t="s">
        <v>2691</v>
      </c>
      <c r="D79" s="80" t="s">
        <v>2448</v>
      </c>
      <c r="E79" s="2277" t="str">
        <f t="shared" si="5"/>
        <v>B3</v>
      </c>
      <c r="F79" s="55">
        <v>50</v>
      </c>
      <c r="G79" s="55" t="s">
        <v>512</v>
      </c>
      <c r="J79" s="55" t="str">
        <f t="shared" si="4"/>
        <v>B30800</v>
      </c>
    </row>
    <row r="80" spans="1:10" hidden="1">
      <c r="A80" s="79" t="s">
        <v>565</v>
      </c>
      <c r="B80" s="1778"/>
      <c r="C80" s="79" t="s">
        <v>2692</v>
      </c>
      <c r="D80" s="80" t="s">
        <v>2448</v>
      </c>
      <c r="E80" s="2277" t="str">
        <f t="shared" si="5"/>
        <v>B3</v>
      </c>
      <c r="F80" s="55">
        <v>50</v>
      </c>
      <c r="G80" s="55" t="s">
        <v>512</v>
      </c>
      <c r="J80" s="55" t="str">
        <f t="shared" si="4"/>
        <v>B301000</v>
      </c>
    </row>
    <row r="81" spans="1:10" hidden="1">
      <c r="A81" s="79" t="s">
        <v>399</v>
      </c>
      <c r="B81" s="1778"/>
      <c r="C81" s="79" t="s">
        <v>2693</v>
      </c>
      <c r="D81" s="80" t="s">
        <v>2448</v>
      </c>
      <c r="E81" s="2277" t="str">
        <f t="shared" si="5"/>
        <v>BM</v>
      </c>
      <c r="F81" s="55">
        <v>50</v>
      </c>
      <c r="G81" s="55" t="s">
        <v>512</v>
      </c>
      <c r="J81" s="55" t="str">
        <f t="shared" si="4"/>
        <v>BM16230</v>
      </c>
    </row>
    <row r="82" spans="1:10" hidden="1">
      <c r="A82" s="79" t="s">
        <v>1063</v>
      </c>
      <c r="B82" s="1778"/>
      <c r="C82" s="79" t="s">
        <v>2694</v>
      </c>
      <c r="D82" s="80" t="s">
        <v>2448</v>
      </c>
      <c r="E82" s="2277" t="str">
        <f t="shared" si="5"/>
        <v>BM</v>
      </c>
      <c r="F82" s="55">
        <v>50</v>
      </c>
      <c r="G82" s="55" t="s">
        <v>512</v>
      </c>
      <c r="J82" s="55" t="str">
        <f t="shared" si="4"/>
        <v>BM16250</v>
      </c>
    </row>
    <row r="83" spans="1:10" hidden="1">
      <c r="A83" s="79" t="s">
        <v>417</v>
      </c>
      <c r="B83" s="1778"/>
      <c r="C83" s="79" t="s">
        <v>2695</v>
      </c>
      <c r="D83" s="80" t="s">
        <v>2448</v>
      </c>
      <c r="E83" s="2277" t="str">
        <f t="shared" ref="E83" si="6">LEFT(A83,2)</f>
        <v>BM</v>
      </c>
      <c r="F83" s="55">
        <v>50</v>
      </c>
      <c r="G83" s="55" t="s">
        <v>512</v>
      </c>
      <c r="J83" s="55" t="str">
        <f t="shared" ref="J83" si="7">A83</f>
        <v>BM16300</v>
      </c>
    </row>
    <row r="84" spans="1:10" hidden="1">
      <c r="A84" s="79" t="s">
        <v>5171</v>
      </c>
      <c r="B84" s="1778"/>
      <c r="C84" s="79" t="s">
        <v>5172</v>
      </c>
      <c r="D84" s="80" t="s">
        <v>2448</v>
      </c>
      <c r="E84" s="2277" t="str">
        <f t="shared" si="5"/>
        <v>BM</v>
      </c>
      <c r="F84" s="55">
        <v>50</v>
      </c>
      <c r="G84" s="55" t="s">
        <v>512</v>
      </c>
      <c r="J84" s="55" t="str">
        <f t="shared" si="4"/>
        <v>BM16350</v>
      </c>
    </row>
    <row r="85" spans="1:10" hidden="1">
      <c r="A85" s="79" t="s">
        <v>853</v>
      </c>
      <c r="B85" s="1778"/>
      <c r="C85" s="79" t="s">
        <v>2696</v>
      </c>
      <c r="D85" s="80" t="s">
        <v>2448</v>
      </c>
      <c r="E85" s="2277" t="str">
        <f t="shared" si="5"/>
        <v>BM</v>
      </c>
      <c r="F85" s="55">
        <v>50</v>
      </c>
      <c r="G85" s="55" t="s">
        <v>512</v>
      </c>
      <c r="J85" s="55" t="str">
        <f t="shared" si="4"/>
        <v>BMOC16250</v>
      </c>
    </row>
    <row r="86" spans="1:10" hidden="1">
      <c r="A86" s="79" t="s">
        <v>854</v>
      </c>
      <c r="B86" s="1778"/>
      <c r="C86" s="79" t="s">
        <v>2697</v>
      </c>
      <c r="D86" s="80" t="s">
        <v>2448</v>
      </c>
      <c r="E86" s="2277" t="str">
        <f t="shared" si="5"/>
        <v>BM</v>
      </c>
      <c r="F86" s="55">
        <v>50</v>
      </c>
      <c r="G86" s="55" t="s">
        <v>512</v>
      </c>
      <c r="J86" s="55" t="str">
        <f t="shared" si="4"/>
        <v>BMOC16300</v>
      </c>
    </row>
    <row r="87" spans="1:10" hidden="1">
      <c r="A87" s="1780" t="s">
        <v>2548</v>
      </c>
      <c r="B87" s="1778"/>
      <c r="C87" s="79" t="s">
        <v>2698</v>
      </c>
      <c r="D87" s="80" t="s">
        <v>2448</v>
      </c>
      <c r="E87" s="2277" t="str">
        <f t="shared" si="5"/>
        <v>Bu</v>
      </c>
      <c r="F87" s="55">
        <v>50</v>
      </c>
      <c r="G87" s="55" t="s">
        <v>512</v>
      </c>
      <c r="J87" s="55" t="str">
        <f t="shared" si="4"/>
        <v>BulonVRS + ĐO</v>
      </c>
    </row>
    <row r="88" spans="1:10" hidden="1">
      <c r="A88" s="79" t="s">
        <v>708</v>
      </c>
      <c r="B88" s="84"/>
      <c r="C88" s="79" t="s">
        <v>2699</v>
      </c>
      <c r="D88" s="80" t="s">
        <v>2566</v>
      </c>
      <c r="E88" s="2277" t="str">
        <f t="shared" si="5"/>
        <v>LD</v>
      </c>
      <c r="F88" s="55">
        <v>50</v>
      </c>
      <c r="G88" s="55" t="s">
        <v>512</v>
      </c>
      <c r="J88" s="55" t="str">
        <f t="shared" si="4"/>
        <v>LD tron</v>
      </c>
    </row>
    <row r="89" spans="1:10" hidden="1">
      <c r="A89" s="79" t="s">
        <v>1524</v>
      </c>
      <c r="B89" s="84"/>
      <c r="C89" s="79" t="s">
        <v>2700</v>
      </c>
      <c r="D89" s="80" t="s">
        <v>2566</v>
      </c>
      <c r="E89" s="2277" t="str">
        <f t="shared" si="5"/>
        <v>LD</v>
      </c>
      <c r="F89" s="55">
        <v>50</v>
      </c>
      <c r="G89" s="55" t="s">
        <v>512</v>
      </c>
      <c r="J89" s="55" t="str">
        <f t="shared" si="4"/>
        <v>LD 40</v>
      </c>
    </row>
    <row r="90" spans="1:10" hidden="1">
      <c r="A90" s="79" t="s">
        <v>1525</v>
      </c>
      <c r="B90" s="84"/>
      <c r="C90" s="79" t="s">
        <v>2701</v>
      </c>
      <c r="D90" s="80" t="s">
        <v>2566</v>
      </c>
      <c r="E90" s="2277" t="str">
        <f t="shared" si="5"/>
        <v>LD</v>
      </c>
      <c r="F90" s="55">
        <v>50</v>
      </c>
      <c r="G90" s="55" t="s">
        <v>512</v>
      </c>
      <c r="J90" s="55" t="str">
        <f t="shared" si="4"/>
        <v>LD 60</v>
      </c>
    </row>
    <row r="91" spans="1:10" hidden="1">
      <c r="A91" s="79" t="s">
        <v>30</v>
      </c>
      <c r="B91" s="1778"/>
      <c r="C91" s="79" t="s">
        <v>2702</v>
      </c>
      <c r="D91" s="78" t="s">
        <v>2394</v>
      </c>
      <c r="E91" s="2277" t="str">
        <f t="shared" si="5"/>
        <v>BA</v>
      </c>
      <c r="F91" s="55">
        <v>50</v>
      </c>
      <c r="G91" s="55" t="s">
        <v>512</v>
      </c>
      <c r="J91" s="55" t="str">
        <f t="shared" si="4"/>
        <v>BATLI</v>
      </c>
    </row>
    <row r="92" spans="1:10" hidden="1">
      <c r="A92" s="79" t="s">
        <v>687</v>
      </c>
      <c r="B92" s="1778"/>
      <c r="C92" s="79" t="s">
        <v>2703</v>
      </c>
      <c r="D92" s="78" t="s">
        <v>2394</v>
      </c>
      <c r="E92" s="2277" t="str">
        <f t="shared" si="5"/>
        <v>BA</v>
      </c>
      <c r="F92" s="55">
        <v>50</v>
      </c>
      <c r="G92" s="55" t="s">
        <v>512</v>
      </c>
      <c r="J92" s="55" t="str">
        <f t="shared" si="4"/>
        <v>BATLIA</v>
      </c>
    </row>
    <row r="93" spans="1:10" hidden="1">
      <c r="A93" s="79" t="s">
        <v>2279</v>
      </c>
      <c r="B93" s="84"/>
      <c r="C93" s="79" t="s">
        <v>5014</v>
      </c>
      <c r="D93" s="80" t="s">
        <v>2448</v>
      </c>
      <c r="E93" s="2277" t="str">
        <f t="shared" si="5"/>
        <v>BA</v>
      </c>
      <c r="F93" s="55">
        <v>50</v>
      </c>
      <c r="G93" s="55" t="s">
        <v>512</v>
      </c>
      <c r="J93" s="55" t="str">
        <f t="shared" si="4"/>
        <v>BATLL</v>
      </c>
    </row>
    <row r="94" spans="1:10" hidden="1">
      <c r="A94" s="79" t="s">
        <v>759</v>
      </c>
      <c r="B94" s="1778" t="s">
        <v>1564</v>
      </c>
      <c r="C94" s="79" t="s">
        <v>2704</v>
      </c>
      <c r="D94" s="80" t="s">
        <v>2601</v>
      </c>
      <c r="E94" s="2277" t="str">
        <f t="shared" si="5"/>
        <v>CT</v>
      </c>
      <c r="F94" s="55">
        <v>50</v>
      </c>
      <c r="G94" s="55" t="s">
        <v>512</v>
      </c>
      <c r="J94" s="55" t="str">
        <f t="shared" si="4"/>
        <v>CT25</v>
      </c>
    </row>
    <row r="95" spans="1:10" hidden="1">
      <c r="A95" s="79" t="s">
        <v>132</v>
      </c>
      <c r="B95" s="1778" t="s">
        <v>1564</v>
      </c>
      <c r="C95" s="79" t="s">
        <v>2705</v>
      </c>
      <c r="D95" s="80" t="s">
        <v>2601</v>
      </c>
      <c r="E95" s="2277" t="str">
        <f t="shared" si="5"/>
        <v>CT</v>
      </c>
      <c r="F95" s="55">
        <v>50</v>
      </c>
      <c r="G95" s="55" t="s">
        <v>512</v>
      </c>
      <c r="J95" s="55" t="str">
        <f t="shared" si="4"/>
        <v>CT3</v>
      </c>
    </row>
    <row r="96" spans="1:10" hidden="1">
      <c r="A96" s="79" t="s">
        <v>1435</v>
      </c>
      <c r="B96" s="1778" t="s">
        <v>1564</v>
      </c>
      <c r="C96" s="79" t="s">
        <v>1437</v>
      </c>
      <c r="D96" s="80" t="s">
        <v>2566</v>
      </c>
      <c r="E96" s="2277" t="str">
        <f t="shared" si="5"/>
        <v>co</v>
      </c>
      <c r="F96" s="55">
        <v>50</v>
      </c>
      <c r="G96" s="55" t="s">
        <v>512</v>
      </c>
      <c r="J96" s="55" t="str">
        <f t="shared" si="4"/>
        <v>cong 1</v>
      </c>
    </row>
    <row r="97" spans="1:10" hidden="1">
      <c r="A97" s="79" t="s">
        <v>1436</v>
      </c>
      <c r="B97" s="1778" t="s">
        <v>1564</v>
      </c>
      <c r="C97" s="79" t="s">
        <v>1438</v>
      </c>
      <c r="D97" s="80" t="s">
        <v>2566</v>
      </c>
      <c r="E97" s="2277" t="str">
        <f t="shared" si="5"/>
        <v>co</v>
      </c>
      <c r="F97" s="55">
        <v>50</v>
      </c>
      <c r="G97" s="55" t="s">
        <v>512</v>
      </c>
      <c r="J97" s="55" t="str">
        <f t="shared" si="4"/>
        <v>cong 2</v>
      </c>
    </row>
    <row r="98" spans="1:10" hidden="1">
      <c r="A98" s="79" t="s">
        <v>2254</v>
      </c>
      <c r="B98" s="1778" t="s">
        <v>1564</v>
      </c>
      <c r="C98" s="79" t="s">
        <v>2706</v>
      </c>
      <c r="D98" s="80" t="s">
        <v>2601</v>
      </c>
      <c r="E98" s="2277" t="str">
        <f t="shared" si="5"/>
        <v>CT</v>
      </c>
      <c r="F98" s="55">
        <v>50</v>
      </c>
      <c r="G98" s="55" t="s">
        <v>512</v>
      </c>
      <c r="J98" s="55" t="str">
        <f t="shared" si="4"/>
        <v>CT5</v>
      </c>
    </row>
    <row r="99" spans="1:10" hidden="1">
      <c r="A99" s="79" t="s">
        <v>1632</v>
      </c>
      <c r="B99" s="84"/>
      <c r="C99" s="79" t="s">
        <v>2707</v>
      </c>
      <c r="D99" s="80" t="s">
        <v>2708</v>
      </c>
      <c r="E99" s="2277" t="str">
        <f t="shared" si="5"/>
        <v>Mo</v>
      </c>
      <c r="F99" s="55">
        <v>50</v>
      </c>
      <c r="G99" s="55" t="s">
        <v>512</v>
      </c>
      <c r="J99" s="55" t="str">
        <f t="shared" si="4"/>
        <v>MongTB</v>
      </c>
    </row>
    <row r="100" spans="1:10" hidden="1">
      <c r="A100" s="1779" t="s">
        <v>1557</v>
      </c>
      <c r="B100" s="84"/>
      <c r="C100" s="79" t="s">
        <v>2709</v>
      </c>
      <c r="D100" s="80" t="s">
        <v>2256</v>
      </c>
      <c r="E100" s="2277" t="str">
        <f t="shared" si="5"/>
        <v>M1</v>
      </c>
      <c r="F100" s="55">
        <v>12</v>
      </c>
      <c r="G100" s="55" t="s">
        <v>512</v>
      </c>
      <c r="J100" s="55" t="str">
        <f t="shared" si="4"/>
        <v>M11</v>
      </c>
    </row>
    <row r="101" spans="1:10" hidden="1">
      <c r="A101" s="1779" t="s">
        <v>2255</v>
      </c>
      <c r="B101" s="84"/>
      <c r="C101" s="79" t="s">
        <v>2710</v>
      </c>
      <c r="D101" s="80" t="s">
        <v>2256</v>
      </c>
      <c r="E101" s="2277" t="str">
        <f t="shared" si="5"/>
        <v>M2</v>
      </c>
      <c r="F101" s="55">
        <v>12</v>
      </c>
      <c r="G101" s="55" t="s">
        <v>512</v>
      </c>
      <c r="J101" s="55" t="str">
        <f t="shared" si="4"/>
        <v>M22</v>
      </c>
    </row>
    <row r="102" spans="1:10" hidden="1">
      <c r="A102" s="1779" t="s">
        <v>1035</v>
      </c>
      <c r="B102" s="84"/>
      <c r="C102" s="79" t="s">
        <v>2711</v>
      </c>
      <c r="D102" s="80" t="s">
        <v>2256</v>
      </c>
      <c r="E102" s="2277" t="str">
        <f t="shared" si="5"/>
        <v>M2</v>
      </c>
      <c r="F102" s="55">
        <v>12</v>
      </c>
      <c r="G102" s="55" t="s">
        <v>512</v>
      </c>
      <c r="J102" s="55" t="str">
        <f t="shared" si="4"/>
        <v>M25</v>
      </c>
    </row>
    <row r="103" spans="1:10" hidden="1">
      <c r="A103" s="1779" t="s">
        <v>612</v>
      </c>
      <c r="B103" s="84"/>
      <c r="C103" s="79" t="s">
        <v>2712</v>
      </c>
      <c r="D103" s="80" t="s">
        <v>2256</v>
      </c>
      <c r="E103" s="2277" t="str">
        <f t="shared" si="5"/>
        <v>M3</v>
      </c>
      <c r="F103" s="55">
        <v>12</v>
      </c>
      <c r="G103" s="55" t="s">
        <v>512</v>
      </c>
      <c r="J103" s="55" t="str">
        <f t="shared" si="4"/>
        <v>M38</v>
      </c>
    </row>
    <row r="104" spans="1:10" hidden="1">
      <c r="A104" s="79" t="s">
        <v>242</v>
      </c>
      <c r="B104" s="84"/>
      <c r="C104" s="79" t="s">
        <v>2713</v>
      </c>
      <c r="D104" s="80" t="s">
        <v>2714</v>
      </c>
      <c r="E104" s="2277" t="str">
        <f t="shared" si="5"/>
        <v>MT</v>
      </c>
      <c r="F104" s="55">
        <v>50</v>
      </c>
      <c r="G104" s="55" t="s">
        <v>512</v>
      </c>
      <c r="J104" s="55" t="str">
        <f t="shared" si="4"/>
        <v>MTBU</v>
      </c>
    </row>
    <row r="105" spans="1:10" hidden="1">
      <c r="A105" s="1779" t="s">
        <v>1216</v>
      </c>
      <c r="B105" s="84"/>
      <c r="C105" s="79" t="s">
        <v>2715</v>
      </c>
      <c r="D105" s="80" t="s">
        <v>2256</v>
      </c>
      <c r="E105" s="2277" t="str">
        <f t="shared" si="5"/>
        <v>M5</v>
      </c>
      <c r="F105" s="55">
        <v>12</v>
      </c>
      <c r="G105" s="55" t="s">
        <v>512</v>
      </c>
      <c r="J105" s="55" t="str">
        <f t="shared" si="4"/>
        <v>M50</v>
      </c>
    </row>
    <row r="106" spans="1:10" hidden="1">
      <c r="A106" s="79" t="s">
        <v>272</v>
      </c>
      <c r="B106" s="84"/>
      <c r="C106" s="79" t="s">
        <v>2716</v>
      </c>
      <c r="D106" s="80" t="s">
        <v>2541</v>
      </c>
      <c r="E106" s="2277" t="str">
        <f t="shared" si="5"/>
        <v>XL</v>
      </c>
      <c r="F106" s="55">
        <v>10</v>
      </c>
      <c r="G106" s="55" t="s">
        <v>512</v>
      </c>
      <c r="J106" s="55" t="str">
        <f t="shared" si="4"/>
        <v>XLPE22</v>
      </c>
    </row>
    <row r="107" spans="1:10" hidden="1">
      <c r="A107" s="79" t="s">
        <v>699</v>
      </c>
      <c r="B107" s="84"/>
      <c r="C107" s="79" t="s">
        <v>4954</v>
      </c>
      <c r="D107" s="80" t="s">
        <v>2541</v>
      </c>
      <c r="E107" s="2277" t="str">
        <f t="shared" si="5"/>
        <v>XL</v>
      </c>
      <c r="F107" s="55">
        <v>10</v>
      </c>
      <c r="G107" s="55" t="s">
        <v>512</v>
      </c>
      <c r="J107" s="55" t="str">
        <f t="shared" si="4"/>
        <v>XLPE25</v>
      </c>
    </row>
    <row r="108" spans="1:10" hidden="1">
      <c r="A108" s="79" t="s">
        <v>1742</v>
      </c>
      <c r="B108" s="84"/>
      <c r="C108" s="79" t="s">
        <v>2718</v>
      </c>
      <c r="D108" s="80" t="s">
        <v>2541</v>
      </c>
      <c r="E108" s="2277" t="str">
        <f t="shared" si="5"/>
        <v>XL</v>
      </c>
      <c r="F108" s="55">
        <v>10</v>
      </c>
      <c r="G108" s="55" t="s">
        <v>512</v>
      </c>
      <c r="J108" s="55" t="str">
        <f t="shared" si="4"/>
        <v>XLPE35</v>
      </c>
    </row>
    <row r="109" spans="1:10" hidden="1">
      <c r="A109" s="79" t="s">
        <v>271</v>
      </c>
      <c r="B109" s="84"/>
      <c r="C109" s="79" t="s">
        <v>2719</v>
      </c>
      <c r="D109" s="80" t="s">
        <v>2541</v>
      </c>
      <c r="E109" s="2277" t="str">
        <f t="shared" si="5"/>
        <v>XL</v>
      </c>
      <c r="F109" s="55">
        <v>10</v>
      </c>
      <c r="G109" s="55" t="s">
        <v>512</v>
      </c>
      <c r="J109" s="55" t="str">
        <f t="shared" si="4"/>
        <v>XLPE50</v>
      </c>
    </row>
    <row r="110" spans="1:10" hidden="1">
      <c r="A110" s="79" t="s">
        <v>270</v>
      </c>
      <c r="B110" s="84"/>
      <c r="C110" s="79" t="s">
        <v>2720</v>
      </c>
      <c r="D110" s="80" t="s">
        <v>2541</v>
      </c>
      <c r="E110" s="2277" t="str">
        <f t="shared" si="5"/>
        <v>XL</v>
      </c>
      <c r="F110" s="55">
        <v>10</v>
      </c>
      <c r="G110" s="55" t="s">
        <v>512</v>
      </c>
      <c r="J110" s="55" t="str">
        <f t="shared" si="4"/>
        <v>XLPE70</v>
      </c>
    </row>
    <row r="111" spans="1:10" hidden="1">
      <c r="A111" s="79" t="s">
        <v>1838</v>
      </c>
      <c r="B111" s="84"/>
      <c r="C111" s="79" t="s">
        <v>2721</v>
      </c>
      <c r="D111" s="80" t="s">
        <v>2541</v>
      </c>
      <c r="E111" s="2277" t="str">
        <f t="shared" si="5"/>
        <v>XL</v>
      </c>
      <c r="F111" s="55">
        <v>10</v>
      </c>
      <c r="G111" s="55" t="s">
        <v>512</v>
      </c>
      <c r="J111" s="55" t="str">
        <f t="shared" si="4"/>
        <v>XLPE95</v>
      </c>
    </row>
    <row r="112" spans="1:10" hidden="1">
      <c r="A112" s="79" t="s">
        <v>601</v>
      </c>
      <c r="B112" s="84"/>
      <c r="C112" s="79" t="s">
        <v>2722</v>
      </c>
      <c r="D112" s="80" t="s">
        <v>2541</v>
      </c>
      <c r="E112" s="2277" t="str">
        <f t="shared" si="5"/>
        <v>XL</v>
      </c>
      <c r="F112" s="55">
        <v>10</v>
      </c>
      <c r="G112" s="55" t="s">
        <v>512</v>
      </c>
      <c r="J112" s="55" t="str">
        <f t="shared" si="4"/>
        <v>XLPE120</v>
      </c>
    </row>
    <row r="113" spans="1:10" hidden="1">
      <c r="A113" s="79" t="s">
        <v>1473</v>
      </c>
      <c r="B113" s="84"/>
      <c r="C113" s="79" t="s">
        <v>2723</v>
      </c>
      <c r="D113" s="80" t="s">
        <v>2541</v>
      </c>
      <c r="E113" s="2277" t="str">
        <f t="shared" si="5"/>
        <v>XL</v>
      </c>
      <c r="F113" s="55">
        <v>10</v>
      </c>
      <c r="G113" s="55" t="s">
        <v>512</v>
      </c>
      <c r="J113" s="55" t="str">
        <f t="shared" si="4"/>
        <v>XLPE150</v>
      </c>
    </row>
    <row r="114" spans="1:10" hidden="1">
      <c r="A114" s="79" t="s">
        <v>1978</v>
      </c>
      <c r="B114" s="84"/>
      <c r="C114" s="79" t="s">
        <v>2724</v>
      </c>
      <c r="D114" s="80" t="s">
        <v>2541</v>
      </c>
      <c r="E114" s="2277" t="str">
        <f t="shared" si="5"/>
        <v>XL</v>
      </c>
      <c r="F114" s="55">
        <v>10</v>
      </c>
      <c r="G114" s="55" t="s">
        <v>512</v>
      </c>
      <c r="J114" s="55" t="str">
        <f t="shared" si="4"/>
        <v>XLPE185</v>
      </c>
    </row>
    <row r="115" spans="1:10" hidden="1">
      <c r="A115" s="79" t="s">
        <v>1505</v>
      </c>
      <c r="B115" s="84"/>
      <c r="C115" s="79" t="s">
        <v>2725</v>
      </c>
      <c r="D115" s="80" t="s">
        <v>2541</v>
      </c>
      <c r="E115" s="2277" t="str">
        <f t="shared" si="5"/>
        <v>XL</v>
      </c>
      <c r="F115" s="55">
        <v>10</v>
      </c>
      <c r="G115" s="55" t="s">
        <v>512</v>
      </c>
      <c r="J115" s="55" t="str">
        <f t="shared" si="4"/>
        <v>XLPE240</v>
      </c>
    </row>
    <row r="116" spans="1:10" hidden="1">
      <c r="A116" s="79" t="s">
        <v>1777</v>
      </c>
      <c r="B116" s="84"/>
      <c r="C116" s="79" t="s">
        <v>2726</v>
      </c>
      <c r="D116" s="80" t="s">
        <v>2541</v>
      </c>
      <c r="E116" s="2277" t="str">
        <f t="shared" si="5"/>
        <v>XL</v>
      </c>
      <c r="F116" s="55">
        <v>10</v>
      </c>
      <c r="G116" s="55" t="s">
        <v>512</v>
      </c>
      <c r="J116" s="55" t="str">
        <f t="shared" si="4"/>
        <v>XLPE250</v>
      </c>
    </row>
    <row r="117" spans="1:10" hidden="1">
      <c r="A117" s="79" t="s">
        <v>1743</v>
      </c>
      <c r="B117" s="84"/>
      <c r="C117" s="79" t="s">
        <v>2727</v>
      </c>
      <c r="D117" s="80" t="s">
        <v>2541</v>
      </c>
      <c r="E117" s="2277" t="str">
        <f t="shared" si="5"/>
        <v>XL</v>
      </c>
      <c r="F117" s="55">
        <v>15</v>
      </c>
      <c r="G117" s="55" t="s">
        <v>512</v>
      </c>
      <c r="J117" s="55" t="str">
        <f t="shared" si="4"/>
        <v>XLPE25A</v>
      </c>
    </row>
    <row r="118" spans="1:10" hidden="1">
      <c r="A118" s="79" t="s">
        <v>54</v>
      </c>
      <c r="B118" s="84"/>
      <c r="C118" s="79" t="s">
        <v>2728</v>
      </c>
      <c r="D118" s="80" t="s">
        <v>2541</v>
      </c>
      <c r="E118" s="2277" t="str">
        <f t="shared" si="5"/>
        <v>XL</v>
      </c>
      <c r="F118" s="55">
        <v>15</v>
      </c>
      <c r="G118" s="55" t="s">
        <v>512</v>
      </c>
      <c r="J118" s="55" t="str">
        <f t="shared" si="4"/>
        <v>XLPE35A</v>
      </c>
    </row>
    <row r="119" spans="1:10" hidden="1">
      <c r="A119" s="79" t="s">
        <v>55</v>
      </c>
      <c r="B119" s="84"/>
      <c r="C119" s="79" t="s">
        <v>2729</v>
      </c>
      <c r="D119" s="80" t="s">
        <v>2541</v>
      </c>
      <c r="E119" s="2277" t="str">
        <f t="shared" si="5"/>
        <v>XL</v>
      </c>
      <c r="F119" s="55">
        <v>15</v>
      </c>
      <c r="G119" s="55" t="s">
        <v>512</v>
      </c>
      <c r="J119" s="55" t="str">
        <f t="shared" si="4"/>
        <v>XLPE50A</v>
      </c>
    </row>
    <row r="120" spans="1:10" hidden="1">
      <c r="A120" s="79" t="s">
        <v>56</v>
      </c>
      <c r="B120" s="84"/>
      <c r="C120" s="79" t="s">
        <v>2730</v>
      </c>
      <c r="D120" s="80" t="s">
        <v>2541</v>
      </c>
      <c r="E120" s="2277" t="str">
        <f t="shared" si="5"/>
        <v>XL</v>
      </c>
      <c r="F120" s="55">
        <v>15</v>
      </c>
      <c r="G120" s="55" t="s">
        <v>512</v>
      </c>
      <c r="J120" s="55" t="str">
        <f t="shared" si="4"/>
        <v>XLPE70A</v>
      </c>
    </row>
    <row r="121" spans="1:10" hidden="1">
      <c r="A121" s="79" t="s">
        <v>57</v>
      </c>
      <c r="B121" s="84"/>
      <c r="C121" s="79" t="s">
        <v>2731</v>
      </c>
      <c r="D121" s="80" t="s">
        <v>2541</v>
      </c>
      <c r="E121" s="2277" t="str">
        <f t="shared" si="5"/>
        <v>XL</v>
      </c>
      <c r="F121" s="55">
        <v>15</v>
      </c>
      <c r="G121" s="55" t="s">
        <v>512</v>
      </c>
      <c r="J121" s="55" t="str">
        <f t="shared" si="4"/>
        <v>XLPE95A</v>
      </c>
    </row>
    <row r="122" spans="1:10" hidden="1">
      <c r="A122" s="79" t="s">
        <v>657</v>
      </c>
      <c r="B122" s="84"/>
      <c r="C122" s="79" t="s">
        <v>2732</v>
      </c>
      <c r="D122" s="80" t="s">
        <v>2541</v>
      </c>
      <c r="E122" s="2277" t="str">
        <f t="shared" si="5"/>
        <v>XL</v>
      </c>
      <c r="F122" s="55">
        <v>15</v>
      </c>
      <c r="G122" s="55" t="s">
        <v>512</v>
      </c>
      <c r="J122" s="55" t="str">
        <f t="shared" si="4"/>
        <v>XLPE120A</v>
      </c>
    </row>
    <row r="123" spans="1:10" hidden="1">
      <c r="A123" s="79" t="s">
        <v>1034</v>
      </c>
      <c r="B123" s="84"/>
      <c r="C123" s="79" t="s">
        <v>2733</v>
      </c>
      <c r="D123" s="80" t="s">
        <v>2541</v>
      </c>
      <c r="E123" s="2277" t="str">
        <f t="shared" si="5"/>
        <v>XL</v>
      </c>
      <c r="F123" s="55">
        <v>15</v>
      </c>
      <c r="G123" s="55" t="s">
        <v>512</v>
      </c>
      <c r="J123" s="55" t="str">
        <f t="shared" si="4"/>
        <v>XLPE150A</v>
      </c>
    </row>
    <row r="124" spans="1:10" hidden="1">
      <c r="A124" s="79" t="s">
        <v>1033</v>
      </c>
      <c r="B124" s="84"/>
      <c r="C124" s="79" t="s">
        <v>2734</v>
      </c>
      <c r="D124" s="80" t="s">
        <v>2541</v>
      </c>
      <c r="E124" s="2277" t="str">
        <f t="shared" si="5"/>
        <v>XL</v>
      </c>
      <c r="F124" s="55">
        <v>15</v>
      </c>
      <c r="G124" s="55" t="s">
        <v>512</v>
      </c>
      <c r="J124" s="55" t="str">
        <f t="shared" si="4"/>
        <v>XLPE185A</v>
      </c>
    </row>
    <row r="125" spans="1:10" hidden="1">
      <c r="A125" s="79" t="s">
        <v>1800</v>
      </c>
      <c r="B125" s="84"/>
      <c r="C125" s="79" t="s">
        <v>2735</v>
      </c>
      <c r="D125" s="80" t="s">
        <v>2541</v>
      </c>
      <c r="E125" s="2277" t="str">
        <f t="shared" si="5"/>
        <v>XL</v>
      </c>
      <c r="F125" s="55">
        <v>15</v>
      </c>
      <c r="G125" s="55" t="s">
        <v>512</v>
      </c>
      <c r="J125" s="55" t="str">
        <f t="shared" si="4"/>
        <v>XLPE240A</v>
      </c>
    </row>
    <row r="126" spans="1:10" hidden="1">
      <c r="A126" s="79" t="s">
        <v>1000</v>
      </c>
      <c r="B126" s="84"/>
      <c r="C126" s="79" t="s">
        <v>2736</v>
      </c>
      <c r="D126" s="80" t="s">
        <v>2541</v>
      </c>
      <c r="E126" s="2277" t="str">
        <f t="shared" si="5"/>
        <v>XL</v>
      </c>
      <c r="F126" s="55">
        <v>14</v>
      </c>
      <c r="G126" s="55" t="s">
        <v>512</v>
      </c>
      <c r="J126" s="55" t="str">
        <f t="shared" si="4"/>
        <v>XLPE211HT</v>
      </c>
    </row>
    <row r="127" spans="1:10" hidden="1">
      <c r="A127" s="79" t="s">
        <v>1083</v>
      </c>
      <c r="B127" s="84"/>
      <c r="C127" s="79" t="s">
        <v>2737</v>
      </c>
      <c r="D127" s="80" t="s">
        <v>2541</v>
      </c>
      <c r="E127" s="2277" t="str">
        <f t="shared" si="5"/>
        <v>XL</v>
      </c>
      <c r="F127" s="55">
        <v>14</v>
      </c>
      <c r="G127" s="55" t="s">
        <v>512</v>
      </c>
      <c r="J127" s="55" t="str">
        <f t="shared" si="4"/>
        <v>XLPE216HT</v>
      </c>
    </row>
    <row r="128" spans="1:10" hidden="1">
      <c r="A128" s="79" t="s">
        <v>965</v>
      </c>
      <c r="B128" s="84"/>
      <c r="C128" s="79" t="s">
        <v>2738</v>
      </c>
      <c r="D128" s="80" t="s">
        <v>2541</v>
      </c>
      <c r="E128" s="2277" t="str">
        <f t="shared" si="5"/>
        <v>XL</v>
      </c>
      <c r="F128" s="55">
        <v>14</v>
      </c>
      <c r="G128" s="55" t="s">
        <v>512</v>
      </c>
      <c r="J128" s="55" t="str">
        <f t="shared" si="4"/>
        <v>XLPE316HT</v>
      </c>
    </row>
    <row r="129" spans="1:10" hidden="1">
      <c r="A129" s="79" t="s">
        <v>526</v>
      </c>
      <c r="B129" s="84"/>
      <c r="C129" s="79" t="s">
        <v>2739</v>
      </c>
      <c r="D129" s="80" t="s">
        <v>2541</v>
      </c>
      <c r="E129" s="2277" t="str">
        <f t="shared" si="5"/>
        <v>XL</v>
      </c>
      <c r="F129" s="55">
        <v>14</v>
      </c>
      <c r="G129" s="55" t="s">
        <v>512</v>
      </c>
      <c r="J129" s="55" t="str">
        <f t="shared" si="4"/>
        <v>XLPE350HT</v>
      </c>
    </row>
    <row r="130" spans="1:10" hidden="1">
      <c r="A130" s="79" t="s">
        <v>1001</v>
      </c>
      <c r="B130" s="84"/>
      <c r="C130" s="79" t="s">
        <v>2740</v>
      </c>
      <c r="D130" s="80" t="s">
        <v>2541</v>
      </c>
      <c r="E130" s="2277" t="str">
        <f t="shared" si="5"/>
        <v>XL</v>
      </c>
      <c r="F130" s="55">
        <v>14</v>
      </c>
      <c r="G130" s="55" t="s">
        <v>512</v>
      </c>
      <c r="J130" s="55" t="str">
        <f t="shared" si="4"/>
        <v>XLPE416HT</v>
      </c>
    </row>
    <row r="131" spans="1:10" hidden="1">
      <c r="A131" s="79" t="s">
        <v>673</v>
      </c>
      <c r="B131" s="84"/>
      <c r="C131" s="79" t="s">
        <v>2741</v>
      </c>
      <c r="D131" s="80" t="s">
        <v>2541</v>
      </c>
      <c r="E131" s="2277" t="str">
        <f t="shared" si="5"/>
        <v>XL</v>
      </c>
      <c r="F131" s="55">
        <v>14</v>
      </c>
      <c r="G131" s="55" t="s">
        <v>512</v>
      </c>
      <c r="J131" s="55" t="str">
        <f t="shared" si="4"/>
        <v>XLPE316+10HT</v>
      </c>
    </row>
    <row r="132" spans="1:10" hidden="1">
      <c r="A132" s="79" t="s">
        <v>1371</v>
      </c>
      <c r="B132" s="84"/>
      <c r="C132" s="79" t="s">
        <v>2742</v>
      </c>
      <c r="D132" s="80" t="s">
        <v>2541</v>
      </c>
      <c r="E132" s="2277" t="str">
        <f t="shared" si="5"/>
        <v>XL</v>
      </c>
      <c r="F132" s="55">
        <v>14</v>
      </c>
      <c r="G132" s="55" t="s">
        <v>512</v>
      </c>
      <c r="J132" s="55" t="str">
        <f t="shared" si="4"/>
        <v>XLPE350+35HT</v>
      </c>
    </row>
    <row r="133" spans="1:10" hidden="1">
      <c r="A133" s="79" t="s">
        <v>877</v>
      </c>
      <c r="B133" s="84"/>
      <c r="C133" s="79" t="s">
        <v>2743</v>
      </c>
      <c r="D133" s="80" t="s">
        <v>2541</v>
      </c>
      <c r="E133" s="2277" t="str">
        <f t="shared" si="5"/>
        <v>XL</v>
      </c>
      <c r="F133" s="55">
        <v>14</v>
      </c>
      <c r="G133" s="55" t="s">
        <v>512</v>
      </c>
      <c r="J133" s="55" t="str">
        <f t="shared" ref="J133:J198" si="8">A133</f>
        <v>XLPE370+50HT</v>
      </c>
    </row>
    <row r="134" spans="1:10" hidden="1">
      <c r="A134" s="79" t="s">
        <v>407</v>
      </c>
      <c r="B134" s="84"/>
      <c r="C134" s="79" t="s">
        <v>2744</v>
      </c>
      <c r="D134" s="80" t="s">
        <v>2541</v>
      </c>
      <c r="E134" s="2277" t="str">
        <f t="shared" si="5"/>
        <v>XL</v>
      </c>
      <c r="F134" s="55">
        <v>14</v>
      </c>
      <c r="G134" s="55" t="s">
        <v>512</v>
      </c>
      <c r="J134" s="55" t="str">
        <f t="shared" si="8"/>
        <v>XLPE395+50HT</v>
      </c>
    </row>
    <row r="135" spans="1:10" hidden="1">
      <c r="A135" s="79" t="s">
        <v>408</v>
      </c>
      <c r="B135" s="84"/>
      <c r="C135" s="79" t="s">
        <v>2745</v>
      </c>
      <c r="D135" s="80" t="s">
        <v>2541</v>
      </c>
      <c r="E135" s="2277" t="str">
        <f t="shared" ref="E135:E201" si="9">LEFT(A135,2)</f>
        <v>XL</v>
      </c>
      <c r="F135" s="55">
        <v>14</v>
      </c>
      <c r="G135" s="55" t="s">
        <v>512</v>
      </c>
      <c r="J135" s="55" t="str">
        <f t="shared" si="8"/>
        <v>XLPE3120+70HT</v>
      </c>
    </row>
    <row r="136" spans="1:10" hidden="1">
      <c r="A136" s="79" t="s">
        <v>409</v>
      </c>
      <c r="B136" s="84"/>
      <c r="C136" s="79" t="s">
        <v>2746</v>
      </c>
      <c r="D136" s="80" t="s">
        <v>2541</v>
      </c>
      <c r="E136" s="2277" t="str">
        <f t="shared" si="9"/>
        <v>XL</v>
      </c>
      <c r="F136" s="55">
        <v>14</v>
      </c>
      <c r="G136" s="55" t="s">
        <v>512</v>
      </c>
      <c r="J136" s="55" t="str">
        <f t="shared" si="8"/>
        <v>XLPE3150+95HT</v>
      </c>
    </row>
    <row r="137" spans="1:10" hidden="1">
      <c r="A137" s="79" t="s">
        <v>410</v>
      </c>
      <c r="B137" s="84"/>
      <c r="C137" s="79" t="s">
        <v>2747</v>
      </c>
      <c r="D137" s="80" t="s">
        <v>2541</v>
      </c>
      <c r="E137" s="2277" t="str">
        <f t="shared" si="9"/>
        <v>XL</v>
      </c>
      <c r="F137" s="55">
        <v>14</v>
      </c>
      <c r="G137" s="55" t="s">
        <v>512</v>
      </c>
      <c r="J137" s="55" t="str">
        <f t="shared" si="8"/>
        <v>XLPE3185+120HT</v>
      </c>
    </row>
    <row r="138" spans="1:10" hidden="1">
      <c r="A138" s="79" t="s">
        <v>1370</v>
      </c>
      <c r="B138" s="84"/>
      <c r="C138" s="79" t="s">
        <v>2748</v>
      </c>
      <c r="D138" s="80" t="s">
        <v>2541</v>
      </c>
      <c r="E138" s="2277" t="str">
        <f t="shared" ref="E138" si="10">LEFT(A138,2)</f>
        <v>XL</v>
      </c>
      <c r="F138" s="55">
        <v>14</v>
      </c>
      <c r="G138" s="55" t="s">
        <v>512</v>
      </c>
      <c r="J138" s="55" t="str">
        <f t="shared" ref="J138" si="11">A138</f>
        <v>XLPE350+35DHT</v>
      </c>
    </row>
    <row r="139" spans="1:10" hidden="1">
      <c r="A139" s="79" t="s">
        <v>5162</v>
      </c>
      <c r="B139" s="84"/>
      <c r="C139" s="79" t="s">
        <v>5163</v>
      </c>
      <c r="D139" s="80" t="s">
        <v>2541</v>
      </c>
      <c r="E139" s="2277" t="str">
        <f t="shared" si="9"/>
        <v>XL</v>
      </c>
      <c r="F139" s="55">
        <v>14</v>
      </c>
      <c r="G139" s="55" t="s">
        <v>512</v>
      </c>
      <c r="J139" s="55" t="str">
        <f t="shared" si="8"/>
        <v>XLPE370+35DHT</v>
      </c>
    </row>
    <row r="140" spans="1:10" hidden="1">
      <c r="A140" s="79" t="s">
        <v>1702</v>
      </c>
      <c r="B140" s="84"/>
      <c r="C140" s="79" t="s">
        <v>2749</v>
      </c>
      <c r="D140" s="80" t="s">
        <v>2541</v>
      </c>
      <c r="E140" s="2277" t="str">
        <f t="shared" si="9"/>
        <v>XL</v>
      </c>
      <c r="F140" s="55">
        <v>14</v>
      </c>
      <c r="G140" s="55" t="s">
        <v>512</v>
      </c>
      <c r="J140" s="55" t="str">
        <f t="shared" si="8"/>
        <v>XLPE325D</v>
      </c>
    </row>
    <row r="141" spans="1:10" hidden="1">
      <c r="A141" s="79" t="s">
        <v>470</v>
      </c>
      <c r="B141" s="84"/>
      <c r="C141" s="79" t="s">
        <v>2750</v>
      </c>
      <c r="D141" s="80" t="s">
        <v>2541</v>
      </c>
      <c r="E141" s="2277" t="str">
        <f t="shared" si="9"/>
        <v>XL</v>
      </c>
      <c r="F141" s="55">
        <v>14</v>
      </c>
      <c r="G141" s="55" t="s">
        <v>512</v>
      </c>
      <c r="J141" s="55" t="str">
        <f t="shared" si="8"/>
        <v>XLPE350D</v>
      </c>
    </row>
    <row r="142" spans="1:10" hidden="1">
      <c r="A142" s="79" t="s">
        <v>1700</v>
      </c>
      <c r="B142" s="84"/>
      <c r="C142" s="79" t="s">
        <v>2751</v>
      </c>
      <c r="D142" s="80" t="s">
        <v>2541</v>
      </c>
      <c r="E142" s="2277" t="str">
        <f t="shared" si="9"/>
        <v>XL</v>
      </c>
      <c r="F142" s="55">
        <v>14</v>
      </c>
      <c r="G142" s="55" t="s">
        <v>512</v>
      </c>
      <c r="J142" s="55" t="str">
        <f t="shared" si="8"/>
        <v>XLPE370D</v>
      </c>
    </row>
    <row r="143" spans="1:10" hidden="1">
      <c r="A143" s="79" t="s">
        <v>1701</v>
      </c>
      <c r="B143" s="84"/>
      <c r="C143" s="79" t="s">
        <v>2752</v>
      </c>
      <c r="D143" s="80" t="s">
        <v>2541</v>
      </c>
      <c r="E143" s="2277" t="str">
        <f t="shared" si="9"/>
        <v>XL</v>
      </c>
      <c r="F143" s="55">
        <v>14</v>
      </c>
      <c r="G143" s="55" t="s">
        <v>512</v>
      </c>
      <c r="J143" s="55" t="str">
        <f t="shared" si="8"/>
        <v>XLPE395D</v>
      </c>
    </row>
    <row r="144" spans="1:10" hidden="1">
      <c r="A144" s="79" t="s">
        <v>1706</v>
      </c>
      <c r="B144" s="84"/>
      <c r="C144" s="79" t="s">
        <v>2753</v>
      </c>
      <c r="D144" s="80" t="s">
        <v>2541</v>
      </c>
      <c r="E144" s="2277" t="str">
        <f t="shared" si="9"/>
        <v>XL</v>
      </c>
      <c r="F144" s="55">
        <v>14</v>
      </c>
      <c r="G144" s="55" t="s">
        <v>512</v>
      </c>
      <c r="J144" s="55" t="str">
        <f t="shared" si="8"/>
        <v>XLPE3120D</v>
      </c>
    </row>
    <row r="145" spans="1:10" hidden="1">
      <c r="A145" s="79" t="s">
        <v>1704</v>
      </c>
      <c r="B145" s="84"/>
      <c r="C145" s="79" t="s">
        <v>2754</v>
      </c>
      <c r="D145" s="80" t="s">
        <v>2541</v>
      </c>
      <c r="E145" s="2277" t="str">
        <f t="shared" si="9"/>
        <v>XL</v>
      </c>
      <c r="F145" s="55">
        <v>14</v>
      </c>
      <c r="G145" s="55" t="s">
        <v>512</v>
      </c>
      <c r="J145" s="55" t="str">
        <f t="shared" si="8"/>
        <v>XLPE3150D</v>
      </c>
    </row>
    <row r="146" spans="1:10" hidden="1">
      <c r="A146" s="79" t="s">
        <v>1703</v>
      </c>
      <c r="B146" s="84"/>
      <c r="C146" s="79" t="s">
        <v>2755</v>
      </c>
      <c r="D146" s="80" t="s">
        <v>2541</v>
      </c>
      <c r="E146" s="2277" t="str">
        <f t="shared" si="9"/>
        <v>XL</v>
      </c>
      <c r="F146" s="55">
        <v>14</v>
      </c>
      <c r="G146" s="55" t="s">
        <v>512</v>
      </c>
      <c r="J146" s="55" t="str">
        <f t="shared" si="8"/>
        <v>XLPE3185D</v>
      </c>
    </row>
    <row r="147" spans="1:10" hidden="1">
      <c r="A147" s="79" t="s">
        <v>1705</v>
      </c>
      <c r="B147" s="84"/>
      <c r="C147" s="79" t="s">
        <v>2756</v>
      </c>
      <c r="D147" s="80" t="s">
        <v>2541</v>
      </c>
      <c r="E147" s="2277" t="str">
        <f t="shared" si="9"/>
        <v>XL</v>
      </c>
      <c r="F147" s="55">
        <v>14</v>
      </c>
      <c r="G147" s="55" t="s">
        <v>512</v>
      </c>
      <c r="J147" s="55" t="str">
        <f t="shared" si="8"/>
        <v>XLPE3240D</v>
      </c>
    </row>
    <row r="148" spans="1:10" hidden="1">
      <c r="A148" s="79" t="s">
        <v>7</v>
      </c>
      <c r="B148" s="84"/>
      <c r="C148" s="79" t="s">
        <v>2757</v>
      </c>
      <c r="D148" s="80" t="s">
        <v>2541</v>
      </c>
      <c r="E148" s="2277" t="str">
        <f t="shared" si="9"/>
        <v>XL</v>
      </c>
      <c r="F148" s="55">
        <v>14</v>
      </c>
      <c r="G148" s="55" t="s">
        <v>512</v>
      </c>
      <c r="J148" s="55" t="str">
        <f t="shared" si="8"/>
        <v>XLPE200HT</v>
      </c>
    </row>
    <row r="149" spans="1:10" hidden="1">
      <c r="A149" s="79" t="s">
        <v>2106</v>
      </c>
      <c r="B149" s="84"/>
      <c r="C149" s="79" t="s">
        <v>2758</v>
      </c>
      <c r="D149" s="80" t="s">
        <v>2541</v>
      </c>
      <c r="E149" s="2277" t="str">
        <f t="shared" si="9"/>
        <v>XL</v>
      </c>
      <c r="F149" s="55">
        <v>14</v>
      </c>
      <c r="G149" s="55" t="s">
        <v>512</v>
      </c>
      <c r="J149" s="55" t="str">
        <f t="shared" si="8"/>
        <v>XLPE240HT</v>
      </c>
    </row>
    <row r="150" spans="1:10" hidden="1">
      <c r="A150" s="79" t="s">
        <v>2107</v>
      </c>
      <c r="B150" s="84"/>
      <c r="C150" s="79" t="s">
        <v>2759</v>
      </c>
      <c r="D150" s="80" t="s">
        <v>2541</v>
      </c>
      <c r="E150" s="2277" t="str">
        <f t="shared" si="9"/>
        <v>XL</v>
      </c>
      <c r="F150" s="55">
        <v>14</v>
      </c>
      <c r="G150" s="55" t="s">
        <v>512</v>
      </c>
      <c r="J150" s="55" t="str">
        <f t="shared" si="8"/>
        <v>XLPE250HT</v>
      </c>
    </row>
    <row r="151" spans="1:10" hidden="1">
      <c r="A151" s="79" t="s">
        <v>2108</v>
      </c>
      <c r="B151" s="84"/>
      <c r="C151" s="79" t="s">
        <v>2760</v>
      </c>
      <c r="D151" s="80" t="s">
        <v>2541</v>
      </c>
      <c r="E151" s="2277" t="str">
        <f t="shared" si="9"/>
        <v>XL</v>
      </c>
      <c r="F151" s="55">
        <v>14</v>
      </c>
      <c r="G151" s="55" t="s">
        <v>512</v>
      </c>
      <c r="J151" s="55" t="str">
        <f t="shared" si="8"/>
        <v>XLPE300HT</v>
      </c>
    </row>
    <row r="152" spans="1:10" hidden="1">
      <c r="A152" s="79" t="s">
        <v>476</v>
      </c>
      <c r="B152" s="1778"/>
      <c r="C152" s="79" t="s">
        <v>2761</v>
      </c>
      <c r="D152" s="80" t="s">
        <v>2256</v>
      </c>
      <c r="E152" s="2277" t="str">
        <f t="shared" si="9"/>
        <v>AC</v>
      </c>
      <c r="F152" s="55">
        <v>15</v>
      </c>
      <c r="G152" s="55" t="s">
        <v>512</v>
      </c>
      <c r="J152" s="55" t="str">
        <f t="shared" si="8"/>
        <v>ACKP35</v>
      </c>
    </row>
    <row r="153" spans="1:10" hidden="1">
      <c r="A153" s="79" t="s">
        <v>267</v>
      </c>
      <c r="B153" s="1778"/>
      <c r="C153" s="79" t="s">
        <v>2762</v>
      </c>
      <c r="D153" s="80" t="s">
        <v>2256</v>
      </c>
      <c r="E153" s="2277" t="str">
        <f t="shared" si="9"/>
        <v>AC</v>
      </c>
      <c r="F153" s="55">
        <v>15</v>
      </c>
      <c r="G153" s="55" t="s">
        <v>512</v>
      </c>
      <c r="J153" s="55" t="str">
        <f t="shared" si="8"/>
        <v>ACKP50</v>
      </c>
    </row>
    <row r="154" spans="1:10" hidden="1">
      <c r="A154" s="79" t="s">
        <v>268</v>
      </c>
      <c r="B154" s="1778"/>
      <c r="C154" s="79" t="s">
        <v>2763</v>
      </c>
      <c r="D154" s="80" t="s">
        <v>2256</v>
      </c>
      <c r="E154" s="2277" t="str">
        <f t="shared" si="9"/>
        <v>AC</v>
      </c>
      <c r="F154" s="55">
        <v>15</v>
      </c>
      <c r="G154" s="55" t="s">
        <v>512</v>
      </c>
      <c r="J154" s="55" t="str">
        <f t="shared" si="8"/>
        <v>ACKP70</v>
      </c>
    </row>
    <row r="155" spans="1:10" hidden="1">
      <c r="A155" s="1779" t="s">
        <v>196</v>
      </c>
      <c r="B155" s="84"/>
      <c r="C155" s="79" t="s">
        <v>2764</v>
      </c>
      <c r="D155" s="80" t="s">
        <v>2256</v>
      </c>
      <c r="E155" s="2277" t="str">
        <f t="shared" si="9"/>
        <v>AC</v>
      </c>
      <c r="F155" s="55">
        <v>15</v>
      </c>
      <c r="G155" s="55" t="s">
        <v>512</v>
      </c>
      <c r="J155" s="55" t="str">
        <f t="shared" si="8"/>
        <v>ACKP95</v>
      </c>
    </row>
    <row r="156" spans="1:10" hidden="1">
      <c r="A156" s="79" t="s">
        <v>1422</v>
      </c>
      <c r="B156" s="1778"/>
      <c r="C156" s="79" t="s">
        <v>2765</v>
      </c>
      <c r="D156" s="80" t="s">
        <v>2256</v>
      </c>
      <c r="E156" s="2277" t="str">
        <f t="shared" si="9"/>
        <v>AC</v>
      </c>
      <c r="F156" s="55">
        <v>15</v>
      </c>
      <c r="G156" s="55" t="s">
        <v>512</v>
      </c>
      <c r="J156" s="55" t="str">
        <f t="shared" si="8"/>
        <v>ACKP120</v>
      </c>
    </row>
    <row r="157" spans="1:10" hidden="1">
      <c r="A157" s="79" t="s">
        <v>855</v>
      </c>
      <c r="B157" s="1778"/>
      <c r="C157" s="79" t="s">
        <v>2766</v>
      </c>
      <c r="D157" s="80" t="s">
        <v>2256</v>
      </c>
      <c r="E157" s="2277" t="str">
        <f t="shared" si="9"/>
        <v>AC</v>
      </c>
      <c r="F157" s="55">
        <v>15</v>
      </c>
      <c r="G157" s="55" t="s">
        <v>512</v>
      </c>
      <c r="J157" s="55" t="str">
        <f t="shared" si="8"/>
        <v>ACKP150</v>
      </c>
    </row>
    <row r="158" spans="1:10" hidden="1">
      <c r="A158" s="79" t="s">
        <v>1375</v>
      </c>
      <c r="B158" s="1778"/>
      <c r="C158" s="79" t="s">
        <v>2767</v>
      </c>
      <c r="D158" s="80" t="s">
        <v>2256</v>
      </c>
      <c r="E158" s="2277" t="str">
        <f t="shared" si="9"/>
        <v>AC</v>
      </c>
      <c r="F158" s="55">
        <v>15</v>
      </c>
      <c r="G158" s="55" t="s">
        <v>512</v>
      </c>
      <c r="J158" s="55" t="str">
        <f t="shared" si="8"/>
        <v>ACKP185</v>
      </c>
    </row>
    <row r="159" spans="1:10" hidden="1">
      <c r="A159" s="79" t="s">
        <v>1374</v>
      </c>
      <c r="B159" s="1778"/>
      <c r="C159" s="79" t="s">
        <v>2768</v>
      </c>
      <c r="D159" s="80" t="s">
        <v>2256</v>
      </c>
      <c r="E159" s="2277" t="str">
        <f t="shared" si="9"/>
        <v>AC</v>
      </c>
      <c r="F159" s="55">
        <v>15</v>
      </c>
      <c r="G159" s="55" t="s">
        <v>512</v>
      </c>
      <c r="J159" s="55" t="str">
        <f t="shared" si="8"/>
        <v>ACKP240</v>
      </c>
    </row>
    <row r="160" spans="1:10" hidden="1">
      <c r="A160" s="79" t="s">
        <v>1622</v>
      </c>
      <c r="B160" s="84"/>
      <c r="C160" s="79" t="s">
        <v>2769</v>
      </c>
      <c r="D160" s="80" t="s">
        <v>2541</v>
      </c>
      <c r="E160" s="2277" t="str">
        <f t="shared" si="9"/>
        <v>AC</v>
      </c>
      <c r="F160" s="55">
        <v>11</v>
      </c>
      <c r="G160" s="55" t="s">
        <v>512</v>
      </c>
      <c r="J160" s="55" t="str">
        <f t="shared" si="8"/>
        <v>ACXV150</v>
      </c>
    </row>
    <row r="161" spans="1:10" hidden="1">
      <c r="A161" s="79" t="s">
        <v>360</v>
      </c>
      <c r="B161" s="84"/>
      <c r="C161" s="79" t="s">
        <v>4953</v>
      </c>
      <c r="D161" s="80" t="s">
        <v>2541</v>
      </c>
      <c r="E161" s="2277" t="str">
        <f t="shared" si="9"/>
        <v>AC</v>
      </c>
      <c r="F161" s="55">
        <v>11</v>
      </c>
      <c r="G161" s="55" t="s">
        <v>512</v>
      </c>
      <c r="J161" s="55" t="str">
        <f t="shared" si="8"/>
        <v>ACXV50</v>
      </c>
    </row>
    <row r="162" spans="1:10" hidden="1">
      <c r="A162" s="79" t="s">
        <v>540</v>
      </c>
      <c r="B162" s="1778"/>
      <c r="C162" s="79" t="s">
        <v>2770</v>
      </c>
      <c r="D162" s="80" t="s">
        <v>2256</v>
      </c>
      <c r="E162" s="2277" t="str">
        <f t="shared" si="9"/>
        <v>AC</v>
      </c>
      <c r="F162" s="55">
        <v>15</v>
      </c>
      <c r="G162" s="55" t="s">
        <v>512</v>
      </c>
      <c r="J162" s="55" t="str">
        <f t="shared" si="8"/>
        <v>AC35</v>
      </c>
    </row>
    <row r="163" spans="1:10" hidden="1">
      <c r="A163" s="79" t="s">
        <v>88</v>
      </c>
      <c r="B163" s="1778"/>
      <c r="C163" s="79" t="s">
        <v>2771</v>
      </c>
      <c r="D163" s="80" t="s">
        <v>2256</v>
      </c>
      <c r="E163" s="2277" t="str">
        <f t="shared" si="9"/>
        <v>AC</v>
      </c>
      <c r="F163" s="55">
        <v>15</v>
      </c>
      <c r="G163" s="55" t="s">
        <v>512</v>
      </c>
      <c r="J163" s="55" t="str">
        <f t="shared" si="8"/>
        <v>AC50</v>
      </c>
    </row>
    <row r="164" spans="1:10" hidden="1">
      <c r="A164" s="79" t="s">
        <v>1244</v>
      </c>
      <c r="B164" s="1778"/>
      <c r="C164" s="79" t="s">
        <v>2772</v>
      </c>
      <c r="D164" s="80" t="s">
        <v>2256</v>
      </c>
      <c r="E164" s="2277" t="str">
        <f t="shared" si="9"/>
        <v>AC</v>
      </c>
      <c r="F164" s="55">
        <v>15</v>
      </c>
      <c r="G164" s="55" t="s">
        <v>512</v>
      </c>
      <c r="J164" s="55" t="str">
        <f t="shared" si="8"/>
        <v>AC70</v>
      </c>
    </row>
    <row r="165" spans="1:10" hidden="1">
      <c r="A165" s="1779" t="s">
        <v>269</v>
      </c>
      <c r="B165" s="84"/>
      <c r="C165" s="79" t="s">
        <v>2773</v>
      </c>
      <c r="D165" s="80" t="s">
        <v>2256</v>
      </c>
      <c r="E165" s="2277" t="str">
        <f t="shared" si="9"/>
        <v>AC</v>
      </c>
      <c r="F165" s="55">
        <v>15</v>
      </c>
      <c r="G165" s="55" t="s">
        <v>512</v>
      </c>
      <c r="J165" s="55" t="str">
        <f t="shared" si="8"/>
        <v>AC95</v>
      </c>
    </row>
    <row r="166" spans="1:10" hidden="1">
      <c r="A166" s="79" t="s">
        <v>539</v>
      </c>
      <c r="B166" s="1778"/>
      <c r="C166" s="79" t="s">
        <v>2774</v>
      </c>
      <c r="D166" s="80" t="s">
        <v>2256</v>
      </c>
      <c r="E166" s="2277" t="str">
        <f t="shared" si="9"/>
        <v>AC</v>
      </c>
      <c r="F166" s="55">
        <v>15</v>
      </c>
      <c r="G166" s="55" t="s">
        <v>512</v>
      </c>
      <c r="J166" s="55" t="str">
        <f t="shared" si="8"/>
        <v>AC120</v>
      </c>
    </row>
    <row r="167" spans="1:10" hidden="1">
      <c r="A167" s="79" t="s">
        <v>843</v>
      </c>
      <c r="B167" s="1778"/>
      <c r="C167" s="79" t="s">
        <v>2775</v>
      </c>
      <c r="D167" s="80" t="s">
        <v>2256</v>
      </c>
      <c r="E167" s="2277" t="str">
        <f t="shared" si="9"/>
        <v>AC</v>
      </c>
      <c r="F167" s="55">
        <v>15</v>
      </c>
      <c r="G167" s="55" t="s">
        <v>512</v>
      </c>
      <c r="J167" s="55" t="str">
        <f t="shared" si="8"/>
        <v>AC150</v>
      </c>
    </row>
    <row r="168" spans="1:10" hidden="1">
      <c r="A168" s="79" t="s">
        <v>731</v>
      </c>
      <c r="B168" s="1778"/>
      <c r="C168" s="79" t="s">
        <v>2776</v>
      </c>
      <c r="D168" s="80" t="s">
        <v>2256</v>
      </c>
      <c r="E168" s="2277" t="str">
        <f t="shared" si="9"/>
        <v>AC</v>
      </c>
      <c r="F168" s="55">
        <v>15</v>
      </c>
      <c r="G168" s="55" t="s">
        <v>512</v>
      </c>
      <c r="J168" s="55" t="str">
        <f t="shared" si="8"/>
        <v>AC185</v>
      </c>
    </row>
    <row r="169" spans="1:10" hidden="1">
      <c r="A169" s="79" t="s">
        <v>730</v>
      </c>
      <c r="B169" s="1778"/>
      <c r="C169" s="79" t="s">
        <v>2777</v>
      </c>
      <c r="D169" s="80" t="s">
        <v>2256</v>
      </c>
      <c r="E169" s="2277" t="str">
        <f t="shared" si="9"/>
        <v>AC</v>
      </c>
      <c r="F169" s="55">
        <v>15</v>
      </c>
      <c r="G169" s="55" t="s">
        <v>512</v>
      </c>
      <c r="J169" s="55" t="str">
        <f t="shared" si="8"/>
        <v>AC240</v>
      </c>
    </row>
    <row r="170" spans="1:10" hidden="1">
      <c r="A170" s="79" t="s">
        <v>1738</v>
      </c>
      <c r="B170" s="84"/>
      <c r="C170" s="79" t="s">
        <v>2778</v>
      </c>
      <c r="D170" s="80" t="s">
        <v>2541</v>
      </c>
      <c r="E170" s="2277" t="str">
        <f t="shared" si="9"/>
        <v>av</v>
      </c>
      <c r="F170" s="55">
        <v>14</v>
      </c>
      <c r="G170" s="55" t="s">
        <v>512</v>
      </c>
      <c r="J170" s="55" t="str">
        <f t="shared" si="8"/>
        <v>av35</v>
      </c>
    </row>
    <row r="171" spans="1:10" hidden="1">
      <c r="A171" s="79" t="s">
        <v>210</v>
      </c>
      <c r="B171" s="84"/>
      <c r="C171" s="79" t="s">
        <v>2779</v>
      </c>
      <c r="D171" s="80" t="s">
        <v>2541</v>
      </c>
      <c r="E171" s="2277" t="str">
        <f t="shared" si="9"/>
        <v>av</v>
      </c>
      <c r="F171" s="55">
        <v>14</v>
      </c>
      <c r="G171" s="55" t="s">
        <v>512</v>
      </c>
      <c r="J171" s="55" t="str">
        <f t="shared" si="8"/>
        <v>av50</v>
      </c>
    </row>
    <row r="172" spans="1:10" hidden="1">
      <c r="A172" s="79" t="s">
        <v>211</v>
      </c>
      <c r="B172" s="84"/>
      <c r="C172" s="79" t="s">
        <v>2780</v>
      </c>
      <c r="D172" s="80" t="s">
        <v>2541</v>
      </c>
      <c r="E172" s="2277" t="str">
        <f t="shared" si="9"/>
        <v>av</v>
      </c>
      <c r="F172" s="55">
        <v>14</v>
      </c>
      <c r="G172" s="55" t="s">
        <v>512</v>
      </c>
      <c r="J172" s="55" t="str">
        <f t="shared" si="8"/>
        <v>av70</v>
      </c>
    </row>
    <row r="173" spans="1:10" hidden="1">
      <c r="A173" s="79" t="s">
        <v>212</v>
      </c>
      <c r="B173" s="84"/>
      <c r="C173" s="79" t="s">
        <v>2781</v>
      </c>
      <c r="D173" s="80" t="s">
        <v>2541</v>
      </c>
      <c r="E173" s="2277" t="str">
        <f t="shared" si="9"/>
        <v>av</v>
      </c>
      <c r="F173" s="55">
        <v>14</v>
      </c>
      <c r="G173" s="55" t="s">
        <v>512</v>
      </c>
      <c r="J173" s="55" t="str">
        <f t="shared" si="8"/>
        <v>av95</v>
      </c>
    </row>
    <row r="174" spans="1:10" hidden="1">
      <c r="A174" s="79" t="s">
        <v>154</v>
      </c>
      <c r="B174" s="84"/>
      <c r="C174" s="79" t="s">
        <v>2782</v>
      </c>
      <c r="D174" s="80" t="s">
        <v>2541</v>
      </c>
      <c r="E174" s="2277" t="str">
        <f t="shared" si="9"/>
        <v>av</v>
      </c>
      <c r="F174" s="55">
        <v>14</v>
      </c>
      <c r="G174" s="55" t="s">
        <v>512</v>
      </c>
      <c r="J174" s="55" t="str">
        <f t="shared" si="8"/>
        <v>av120</v>
      </c>
    </row>
    <row r="175" spans="1:10" hidden="1">
      <c r="A175" s="79" t="s">
        <v>1804</v>
      </c>
      <c r="B175" s="84"/>
      <c r="C175" s="79" t="s">
        <v>2783</v>
      </c>
      <c r="D175" s="80" t="s">
        <v>2541</v>
      </c>
      <c r="E175" s="2277" t="str">
        <f t="shared" si="9"/>
        <v>av</v>
      </c>
      <c r="F175" s="55">
        <v>14</v>
      </c>
      <c r="G175" s="55" t="s">
        <v>512</v>
      </c>
      <c r="J175" s="55" t="str">
        <f t="shared" si="8"/>
        <v>av150</v>
      </c>
    </row>
    <row r="176" spans="1:10" hidden="1">
      <c r="A176" s="79" t="s">
        <v>2112</v>
      </c>
      <c r="B176" s="84"/>
      <c r="C176" s="79" t="s">
        <v>2784</v>
      </c>
      <c r="D176" s="80" t="s">
        <v>2541</v>
      </c>
      <c r="E176" s="2277" t="str">
        <f t="shared" si="9"/>
        <v>av</v>
      </c>
      <c r="F176" s="55">
        <v>14</v>
      </c>
      <c r="G176" s="55" t="s">
        <v>512</v>
      </c>
      <c r="J176" s="55" t="str">
        <f t="shared" si="8"/>
        <v>av185</v>
      </c>
    </row>
    <row r="177" spans="1:10" hidden="1">
      <c r="A177" s="79" t="s">
        <v>874</v>
      </c>
      <c r="B177" s="84"/>
      <c r="C177" s="79" t="s">
        <v>2785</v>
      </c>
      <c r="D177" s="80" t="s">
        <v>2541</v>
      </c>
      <c r="E177" s="2277" t="str">
        <f t="shared" si="9"/>
        <v>av</v>
      </c>
      <c r="F177" s="55">
        <v>14</v>
      </c>
      <c r="G177" s="55" t="s">
        <v>512</v>
      </c>
      <c r="J177" s="55" t="str">
        <f t="shared" si="8"/>
        <v>av240</v>
      </c>
    </row>
    <row r="178" spans="1:10" hidden="1">
      <c r="A178" s="79" t="s">
        <v>875</v>
      </c>
      <c r="B178" s="84"/>
      <c r="C178" s="79" t="s">
        <v>2786</v>
      </c>
      <c r="D178" s="80" t="s">
        <v>2541</v>
      </c>
      <c r="E178" s="2277" t="str">
        <f t="shared" si="9"/>
        <v>av</v>
      </c>
      <c r="F178" s="55">
        <v>14</v>
      </c>
      <c r="G178" s="55" t="s">
        <v>512</v>
      </c>
      <c r="J178" s="55" t="str">
        <f t="shared" si="8"/>
        <v>av300</v>
      </c>
    </row>
    <row r="179" spans="1:10" hidden="1">
      <c r="A179" s="1780" t="s">
        <v>2268</v>
      </c>
      <c r="B179" s="84"/>
      <c r="C179" s="79" t="s">
        <v>2787</v>
      </c>
      <c r="D179" s="80" t="s">
        <v>2541</v>
      </c>
      <c r="E179" s="2277" t="str">
        <f t="shared" si="9"/>
        <v>AB</v>
      </c>
      <c r="F179" s="55">
        <v>14</v>
      </c>
      <c r="G179" s="55" t="s">
        <v>512</v>
      </c>
      <c r="J179" s="55" t="str">
        <f t="shared" si="8"/>
        <v>ABC3x50</v>
      </c>
    </row>
    <row r="180" spans="1:10" hidden="1">
      <c r="A180" s="1780" t="s">
        <v>2269</v>
      </c>
      <c r="B180" s="84"/>
      <c r="C180" s="79" t="s">
        <v>2788</v>
      </c>
      <c r="D180" s="80" t="s">
        <v>2541</v>
      </c>
      <c r="E180" s="2277" t="str">
        <f t="shared" si="9"/>
        <v>AB</v>
      </c>
      <c r="F180" s="55">
        <v>14</v>
      </c>
      <c r="G180" s="55" t="s">
        <v>512</v>
      </c>
      <c r="J180" s="55" t="str">
        <f t="shared" si="8"/>
        <v>ABC3x70</v>
      </c>
    </row>
    <row r="181" spans="1:10" hidden="1">
      <c r="A181" s="1780" t="s">
        <v>1151</v>
      </c>
      <c r="B181" s="84"/>
      <c r="C181" s="79" t="s">
        <v>2789</v>
      </c>
      <c r="D181" s="80" t="s">
        <v>2541</v>
      </c>
      <c r="E181" s="2277" t="str">
        <f t="shared" si="9"/>
        <v>AB</v>
      </c>
      <c r="F181" s="55">
        <v>14</v>
      </c>
      <c r="G181" s="55" t="s">
        <v>512</v>
      </c>
      <c r="J181" s="55" t="str">
        <f t="shared" si="8"/>
        <v>ABC4x50</v>
      </c>
    </row>
    <row r="182" spans="1:10" hidden="1">
      <c r="A182" s="1780" t="s">
        <v>1152</v>
      </c>
      <c r="B182" s="84"/>
      <c r="C182" s="79" t="s">
        <v>2790</v>
      </c>
      <c r="D182" s="80" t="s">
        <v>2541</v>
      </c>
      <c r="E182" s="2277" t="str">
        <f t="shared" si="9"/>
        <v>AB</v>
      </c>
      <c r="F182" s="55">
        <v>14</v>
      </c>
      <c r="G182" s="55" t="s">
        <v>512</v>
      </c>
      <c r="J182" s="55" t="str">
        <f t="shared" si="8"/>
        <v>ABC4x70</v>
      </c>
    </row>
    <row r="183" spans="1:10" hidden="1">
      <c r="A183" s="1780" t="s">
        <v>2270</v>
      </c>
      <c r="B183" s="84"/>
      <c r="C183" s="79" t="s">
        <v>4354</v>
      </c>
      <c r="D183" s="80" t="s">
        <v>2541</v>
      </c>
      <c r="E183" s="2277" t="str">
        <f t="shared" si="9"/>
        <v>AB</v>
      </c>
      <c r="F183" s="55">
        <v>14</v>
      </c>
      <c r="G183" s="55" t="s">
        <v>512</v>
      </c>
      <c r="J183" s="55" t="str">
        <f t="shared" si="8"/>
        <v>ABC3x95</v>
      </c>
    </row>
    <row r="184" spans="1:10" hidden="1">
      <c r="A184" s="1780" t="s">
        <v>1153</v>
      </c>
      <c r="B184" s="84"/>
      <c r="C184" s="79" t="s">
        <v>4515</v>
      </c>
      <c r="D184" s="80" t="s">
        <v>2541</v>
      </c>
      <c r="E184" s="2277" t="str">
        <f t="shared" ref="E184" si="12">LEFT(A184,2)</f>
        <v>AB</v>
      </c>
      <c r="F184" s="55">
        <v>14</v>
      </c>
      <c r="G184" s="55" t="s">
        <v>512</v>
      </c>
      <c r="J184" s="55" t="str">
        <f t="shared" si="8"/>
        <v>ABC4x95</v>
      </c>
    </row>
    <row r="185" spans="1:10" hidden="1">
      <c r="A185" s="1780" t="s">
        <v>1154</v>
      </c>
      <c r="B185" s="84"/>
      <c r="C185" s="79" t="s">
        <v>2791</v>
      </c>
      <c r="D185" s="80" t="s">
        <v>2541</v>
      </c>
      <c r="E185" s="2277" t="str">
        <f t="shared" si="9"/>
        <v>AB</v>
      </c>
      <c r="F185" s="55">
        <v>14</v>
      </c>
      <c r="G185" s="55" t="s">
        <v>512</v>
      </c>
      <c r="J185" s="55" t="str">
        <f t="shared" si="8"/>
        <v>ABC4x120</v>
      </c>
    </row>
    <row r="186" spans="1:10" hidden="1">
      <c r="A186" s="1780" t="s">
        <v>116</v>
      </c>
      <c r="B186" s="84"/>
      <c r="C186" s="79" t="s">
        <v>2792</v>
      </c>
      <c r="D186" s="80" t="s">
        <v>2541</v>
      </c>
      <c r="E186" s="2277" t="str">
        <f t="shared" si="9"/>
        <v>AB</v>
      </c>
      <c r="F186" s="55">
        <v>14</v>
      </c>
      <c r="G186" s="55" t="s">
        <v>512</v>
      </c>
      <c r="J186" s="55" t="str">
        <f t="shared" si="8"/>
        <v>ABC4x150</v>
      </c>
    </row>
    <row r="187" spans="1:10" hidden="1">
      <c r="A187" s="79" t="s">
        <v>8</v>
      </c>
      <c r="B187" s="83" t="s">
        <v>1532</v>
      </c>
      <c r="C187" s="79" t="s">
        <v>2793</v>
      </c>
      <c r="D187" s="80" t="s">
        <v>2541</v>
      </c>
      <c r="E187" s="2277" t="str">
        <f t="shared" si="9"/>
        <v>CV</v>
      </c>
      <c r="F187" s="55">
        <v>9</v>
      </c>
      <c r="G187" s="55" t="s">
        <v>512</v>
      </c>
      <c r="J187" s="55" t="str">
        <f t="shared" si="8"/>
        <v>CVV2x2,5</v>
      </c>
    </row>
    <row r="188" spans="1:10" hidden="1">
      <c r="A188" s="79" t="s">
        <v>1173</v>
      </c>
      <c r="B188" s="83" t="s">
        <v>1532</v>
      </c>
      <c r="C188" s="81" t="s">
        <v>2794</v>
      </c>
      <c r="D188" s="80" t="s">
        <v>2541</v>
      </c>
      <c r="E188" s="2277" t="str">
        <f t="shared" si="9"/>
        <v>CV</v>
      </c>
      <c r="F188" s="55">
        <v>9</v>
      </c>
      <c r="G188" s="55" t="s">
        <v>512</v>
      </c>
      <c r="J188" s="55" t="str">
        <f t="shared" si="8"/>
        <v>CVV316</v>
      </c>
    </row>
    <row r="189" spans="1:10" hidden="1">
      <c r="A189" s="79" t="s">
        <v>1828</v>
      </c>
      <c r="B189" s="83" t="s">
        <v>1532</v>
      </c>
      <c r="C189" s="79" t="s">
        <v>2795</v>
      </c>
      <c r="D189" s="80" t="s">
        <v>2541</v>
      </c>
      <c r="E189" s="2277" t="str">
        <f t="shared" si="9"/>
        <v>CV</v>
      </c>
      <c r="F189" s="55">
        <v>9</v>
      </c>
      <c r="G189" s="55" t="s">
        <v>512</v>
      </c>
      <c r="J189" s="55" t="str">
        <f t="shared" si="8"/>
        <v>CVV4X2,5</v>
      </c>
    </row>
    <row r="190" spans="1:10" hidden="1">
      <c r="A190" s="79" t="s">
        <v>2147</v>
      </c>
      <c r="B190" s="83"/>
      <c r="C190" s="79" t="s">
        <v>2796</v>
      </c>
      <c r="D190" s="80" t="s">
        <v>2541</v>
      </c>
      <c r="E190" s="2277" t="str">
        <f t="shared" si="9"/>
        <v>M5</v>
      </c>
      <c r="F190" s="55">
        <v>50</v>
      </c>
      <c r="G190" s="55" t="s">
        <v>512</v>
      </c>
      <c r="J190" s="55" t="str">
        <f t="shared" si="8"/>
        <v>M5M</v>
      </c>
    </row>
    <row r="191" spans="1:10" hidden="1">
      <c r="A191" s="79" t="s">
        <v>2284</v>
      </c>
      <c r="B191" s="83" t="s">
        <v>1532</v>
      </c>
      <c r="C191" s="79" t="s">
        <v>2797</v>
      </c>
      <c r="D191" s="80" t="s">
        <v>2541</v>
      </c>
      <c r="E191" s="2277" t="str">
        <f t="shared" si="9"/>
        <v>CV</v>
      </c>
      <c r="F191" s="55">
        <v>9</v>
      </c>
      <c r="G191" s="55" t="s">
        <v>512</v>
      </c>
      <c r="J191" s="55" t="str">
        <f t="shared" si="8"/>
        <v>CVV4X4</v>
      </c>
    </row>
    <row r="192" spans="1:10" hidden="1">
      <c r="A192" s="79" t="s">
        <v>1373</v>
      </c>
      <c r="B192" s="1781" t="s">
        <v>2257</v>
      </c>
      <c r="C192" s="79" t="s">
        <v>2798</v>
      </c>
      <c r="D192" s="80" t="s">
        <v>2541</v>
      </c>
      <c r="E192" s="2277" t="str">
        <f t="shared" si="9"/>
        <v>CV</v>
      </c>
      <c r="F192" s="55">
        <v>8</v>
      </c>
      <c r="G192" s="55" t="s">
        <v>512</v>
      </c>
      <c r="J192" s="55" t="str">
        <f t="shared" si="8"/>
        <v>CV2,5</v>
      </c>
    </row>
    <row r="193" spans="1:10" hidden="1">
      <c r="A193" s="79" t="s">
        <v>2115</v>
      </c>
      <c r="B193" s="1781" t="s">
        <v>2257</v>
      </c>
      <c r="C193" s="79" t="s">
        <v>2799</v>
      </c>
      <c r="D193" s="80" t="s">
        <v>2541</v>
      </c>
      <c r="E193" s="2277" t="str">
        <f t="shared" si="9"/>
        <v>cv</v>
      </c>
      <c r="F193" s="55">
        <v>9</v>
      </c>
      <c r="G193" s="55" t="s">
        <v>512</v>
      </c>
      <c r="J193" s="55" t="str">
        <f t="shared" si="8"/>
        <v>cv11</v>
      </c>
    </row>
    <row r="194" spans="1:10" hidden="1">
      <c r="A194" s="79" t="s">
        <v>497</v>
      </c>
      <c r="B194" s="1781" t="s">
        <v>2257</v>
      </c>
      <c r="C194" s="79" t="s">
        <v>2800</v>
      </c>
      <c r="D194" s="80" t="s">
        <v>2541</v>
      </c>
      <c r="E194" s="2277" t="str">
        <f t="shared" si="9"/>
        <v>cv</v>
      </c>
      <c r="F194" s="55">
        <v>8</v>
      </c>
      <c r="G194" s="55" t="s">
        <v>512</v>
      </c>
      <c r="J194" s="55" t="str">
        <f t="shared" si="8"/>
        <v>cv16</v>
      </c>
    </row>
    <row r="195" spans="1:10" hidden="1">
      <c r="A195" s="79" t="s">
        <v>1531</v>
      </c>
      <c r="B195" s="1781"/>
      <c r="C195" s="79" t="s">
        <v>2801</v>
      </c>
      <c r="D195" s="80" t="s">
        <v>2541</v>
      </c>
      <c r="E195" s="2277" t="str">
        <f t="shared" ref="E195" si="13">LEFT(A195,2)</f>
        <v>cv</v>
      </c>
      <c r="F195" s="55">
        <v>8</v>
      </c>
      <c r="G195" s="55" t="s">
        <v>512</v>
      </c>
      <c r="J195" s="55" t="str">
        <f t="shared" ref="J195" si="14">A195</f>
        <v>cv25</v>
      </c>
    </row>
    <row r="196" spans="1:10" hidden="1">
      <c r="A196" s="79" t="s">
        <v>5167</v>
      </c>
      <c r="B196" s="1781"/>
      <c r="C196" s="79" t="s">
        <v>5168</v>
      </c>
      <c r="D196" s="80" t="s">
        <v>2541</v>
      </c>
      <c r="E196" s="2277" t="str">
        <f t="shared" si="9"/>
        <v>cx</v>
      </c>
      <c r="F196" s="55">
        <v>8</v>
      </c>
      <c r="G196" s="55" t="s">
        <v>512</v>
      </c>
      <c r="J196" s="55" t="str">
        <f t="shared" si="8"/>
        <v>cxv25</v>
      </c>
    </row>
    <row r="197" spans="1:10" hidden="1">
      <c r="A197" s="79" t="s">
        <v>60</v>
      </c>
      <c r="B197" s="1781"/>
      <c r="C197" s="79" t="s">
        <v>2802</v>
      </c>
      <c r="D197" s="80" t="s">
        <v>2541</v>
      </c>
      <c r="E197" s="2277" t="str">
        <f t="shared" si="9"/>
        <v>cv</v>
      </c>
      <c r="F197" s="55">
        <v>8</v>
      </c>
      <c r="G197" s="55" t="s">
        <v>512</v>
      </c>
      <c r="J197" s="55" t="str">
        <f t="shared" si="8"/>
        <v>cv35</v>
      </c>
    </row>
    <row r="198" spans="1:10" hidden="1">
      <c r="A198" s="79" t="s">
        <v>273</v>
      </c>
      <c r="B198" s="1781"/>
      <c r="C198" s="79" t="s">
        <v>2803</v>
      </c>
      <c r="D198" s="80" t="s">
        <v>2541</v>
      </c>
      <c r="E198" s="2277" t="str">
        <f t="shared" si="9"/>
        <v>cv</v>
      </c>
      <c r="F198" s="55">
        <v>8</v>
      </c>
      <c r="G198" s="55" t="s">
        <v>512</v>
      </c>
      <c r="J198" s="55" t="str">
        <f t="shared" si="8"/>
        <v>cv50</v>
      </c>
    </row>
    <row r="199" spans="1:10" hidden="1">
      <c r="A199" s="79" t="s">
        <v>1628</v>
      </c>
      <c r="B199" s="1781"/>
      <c r="C199" s="79" t="s">
        <v>2804</v>
      </c>
      <c r="D199" s="80" t="s">
        <v>2541</v>
      </c>
      <c r="E199" s="2277" t="str">
        <f t="shared" si="9"/>
        <v>cv</v>
      </c>
      <c r="F199" s="55">
        <v>8</v>
      </c>
      <c r="G199" s="55" t="s">
        <v>512</v>
      </c>
      <c r="J199" s="55" t="str">
        <f t="shared" ref="J199:J263" si="15">A199</f>
        <v>cv70</v>
      </c>
    </row>
    <row r="200" spans="1:10" hidden="1">
      <c r="A200" s="79" t="s">
        <v>274</v>
      </c>
      <c r="B200" s="1781"/>
      <c r="C200" s="79" t="s">
        <v>2805</v>
      </c>
      <c r="D200" s="80" t="s">
        <v>2541</v>
      </c>
      <c r="E200" s="2277" t="str">
        <f t="shared" si="9"/>
        <v>cv</v>
      </c>
      <c r="F200" s="55">
        <v>8</v>
      </c>
      <c r="G200" s="55" t="s">
        <v>512</v>
      </c>
      <c r="J200" s="55" t="str">
        <f t="shared" si="15"/>
        <v>cv95</v>
      </c>
    </row>
    <row r="201" spans="1:10" hidden="1">
      <c r="A201" s="79" t="s">
        <v>32</v>
      </c>
      <c r="B201" s="84"/>
      <c r="C201" s="79" t="s">
        <v>2806</v>
      </c>
      <c r="D201" s="80" t="s">
        <v>2541</v>
      </c>
      <c r="E201" s="2277" t="str">
        <f t="shared" si="9"/>
        <v>cv</v>
      </c>
      <c r="F201" s="55">
        <v>8</v>
      </c>
      <c r="G201" s="55" t="s">
        <v>512</v>
      </c>
      <c r="J201" s="55" t="str">
        <f t="shared" si="15"/>
        <v>cv120</v>
      </c>
    </row>
    <row r="202" spans="1:10" hidden="1">
      <c r="A202" s="79" t="s">
        <v>34</v>
      </c>
      <c r="B202" s="84"/>
      <c r="C202" s="79" t="s">
        <v>2807</v>
      </c>
      <c r="D202" s="80" t="s">
        <v>2541</v>
      </c>
      <c r="E202" s="2277" t="str">
        <f t="shared" ref="E202:E268" si="16">LEFT(A202,2)</f>
        <v>cv</v>
      </c>
      <c r="F202" s="55">
        <v>8</v>
      </c>
      <c r="G202" s="55" t="s">
        <v>512</v>
      </c>
      <c r="J202" s="55" t="str">
        <f t="shared" si="15"/>
        <v>cv150</v>
      </c>
    </row>
    <row r="203" spans="1:10" hidden="1">
      <c r="A203" s="79" t="s">
        <v>1015</v>
      </c>
      <c r="B203" s="84"/>
      <c r="C203" s="79" t="s">
        <v>2808</v>
      </c>
      <c r="D203" s="80" t="s">
        <v>2541</v>
      </c>
      <c r="E203" s="2277" t="str">
        <f t="shared" si="16"/>
        <v>cv</v>
      </c>
      <c r="F203" s="55">
        <v>8</v>
      </c>
      <c r="G203" s="55" t="s">
        <v>512</v>
      </c>
      <c r="J203" s="55" t="str">
        <f t="shared" si="15"/>
        <v>cv185</v>
      </c>
    </row>
    <row r="204" spans="1:10" hidden="1">
      <c r="A204" s="79" t="s">
        <v>608</v>
      </c>
      <c r="B204" s="84"/>
      <c r="C204" s="79" t="s">
        <v>2809</v>
      </c>
      <c r="D204" s="80" t="s">
        <v>2541</v>
      </c>
      <c r="E204" s="2277" t="str">
        <f t="shared" si="16"/>
        <v>cv</v>
      </c>
      <c r="F204" s="55">
        <v>8</v>
      </c>
      <c r="G204" s="55" t="s">
        <v>512</v>
      </c>
      <c r="J204" s="55" t="str">
        <f t="shared" si="15"/>
        <v>cv200</v>
      </c>
    </row>
    <row r="205" spans="1:10" hidden="1">
      <c r="A205" s="79" t="s">
        <v>1576</v>
      </c>
      <c r="B205" s="84"/>
      <c r="C205" s="79" t="s">
        <v>2810</v>
      </c>
      <c r="D205" s="80" t="s">
        <v>2541</v>
      </c>
      <c r="E205" s="2277" t="str">
        <f t="shared" si="16"/>
        <v>cv</v>
      </c>
      <c r="F205" s="55">
        <v>8</v>
      </c>
      <c r="G205" s="55" t="s">
        <v>512</v>
      </c>
      <c r="J205" s="55" t="str">
        <f t="shared" si="15"/>
        <v>cv240</v>
      </c>
    </row>
    <row r="206" spans="1:10" hidden="1">
      <c r="A206" s="79" t="s">
        <v>89</v>
      </c>
      <c r="B206" s="84"/>
      <c r="C206" s="79" t="s">
        <v>2811</v>
      </c>
      <c r="D206" s="80" t="s">
        <v>2541</v>
      </c>
      <c r="E206" s="2277" t="str">
        <f t="shared" si="16"/>
        <v>cv</v>
      </c>
      <c r="F206" s="55">
        <v>8</v>
      </c>
      <c r="G206" s="55" t="s">
        <v>512</v>
      </c>
      <c r="J206" s="55" t="str">
        <f t="shared" si="15"/>
        <v>cv250</v>
      </c>
    </row>
    <row r="207" spans="1:10" hidden="1">
      <c r="A207" s="79" t="s">
        <v>2156</v>
      </c>
      <c r="B207" s="84"/>
      <c r="C207" s="79" t="s">
        <v>2812</v>
      </c>
      <c r="D207" s="80" t="s">
        <v>2541</v>
      </c>
      <c r="E207" s="2277" t="str">
        <f t="shared" si="16"/>
        <v>cv</v>
      </c>
      <c r="F207" s="55">
        <v>8</v>
      </c>
      <c r="G207" s="55" t="s">
        <v>512</v>
      </c>
      <c r="J207" s="55" t="str">
        <f t="shared" si="15"/>
        <v>cv300</v>
      </c>
    </row>
    <row r="208" spans="1:10" hidden="1">
      <c r="A208" s="79" t="s">
        <v>1917</v>
      </c>
      <c r="B208" s="84"/>
      <c r="C208" s="79" t="s">
        <v>2813</v>
      </c>
      <c r="D208" s="80" t="s">
        <v>2541</v>
      </c>
      <c r="E208" s="2277" t="str">
        <f t="shared" si="16"/>
        <v>cv</v>
      </c>
      <c r="F208" s="55">
        <v>8</v>
      </c>
      <c r="G208" s="55" t="s">
        <v>512</v>
      </c>
      <c r="J208" s="55" t="str">
        <f t="shared" si="15"/>
        <v>cv400</v>
      </c>
    </row>
    <row r="209" spans="1:10" hidden="1">
      <c r="A209" s="79" t="s">
        <v>1477</v>
      </c>
      <c r="B209" s="84"/>
      <c r="C209" s="79" t="s">
        <v>2814</v>
      </c>
      <c r="D209" s="80" t="s">
        <v>2541</v>
      </c>
      <c r="E209" s="2277" t="str">
        <f t="shared" si="16"/>
        <v>ac</v>
      </c>
      <c r="F209" s="55">
        <v>13</v>
      </c>
      <c r="G209" s="55" t="s">
        <v>512</v>
      </c>
      <c r="J209" s="55" t="str">
        <f t="shared" si="15"/>
        <v>acv35</v>
      </c>
    </row>
    <row r="210" spans="1:10" hidden="1">
      <c r="A210" s="79" t="s">
        <v>886</v>
      </c>
      <c r="B210" s="84"/>
      <c r="C210" s="79" t="s">
        <v>2815</v>
      </c>
      <c r="D210" s="80" t="s">
        <v>2541</v>
      </c>
      <c r="E210" s="2277" t="str">
        <f t="shared" si="16"/>
        <v>ac</v>
      </c>
      <c r="F210" s="55">
        <v>13</v>
      </c>
      <c r="G210" s="55" t="s">
        <v>512</v>
      </c>
      <c r="J210" s="55" t="str">
        <f t="shared" si="15"/>
        <v>acv50</v>
      </c>
    </row>
    <row r="211" spans="1:10" hidden="1">
      <c r="A211" s="79" t="s">
        <v>603</v>
      </c>
      <c r="B211" s="84"/>
      <c r="C211" s="79" t="s">
        <v>2816</v>
      </c>
      <c r="D211" s="80" t="s">
        <v>2541</v>
      </c>
      <c r="E211" s="2277" t="str">
        <f t="shared" si="16"/>
        <v>ac</v>
      </c>
      <c r="F211" s="55">
        <v>13</v>
      </c>
      <c r="G211" s="55" t="s">
        <v>512</v>
      </c>
      <c r="J211" s="55" t="str">
        <f t="shared" si="15"/>
        <v>acv70</v>
      </c>
    </row>
    <row r="212" spans="1:10" hidden="1">
      <c r="A212" s="79" t="s">
        <v>645</v>
      </c>
      <c r="B212" s="84"/>
      <c r="C212" s="79" t="s">
        <v>2817</v>
      </c>
      <c r="D212" s="80" t="s">
        <v>2541</v>
      </c>
      <c r="E212" s="2277" t="str">
        <f t="shared" si="16"/>
        <v>ac</v>
      </c>
      <c r="F212" s="55">
        <v>13</v>
      </c>
      <c r="G212" s="55" t="s">
        <v>512</v>
      </c>
      <c r="J212" s="55" t="str">
        <f t="shared" si="15"/>
        <v>acv95</v>
      </c>
    </row>
    <row r="213" spans="1:10" hidden="1">
      <c r="A213" s="79" t="s">
        <v>66</v>
      </c>
      <c r="B213" s="84"/>
      <c r="C213" s="79" t="s">
        <v>2818</v>
      </c>
      <c r="D213" s="80" t="s">
        <v>2541</v>
      </c>
      <c r="E213" s="2277" t="str">
        <f t="shared" si="16"/>
        <v>ac</v>
      </c>
      <c r="F213" s="55">
        <v>13</v>
      </c>
      <c r="G213" s="55" t="s">
        <v>512</v>
      </c>
      <c r="J213" s="55" t="str">
        <f t="shared" si="15"/>
        <v>acv120</v>
      </c>
    </row>
    <row r="214" spans="1:10" hidden="1">
      <c r="A214" s="79" t="s">
        <v>206</v>
      </c>
      <c r="B214" s="84"/>
      <c r="C214" s="79" t="s">
        <v>2819</v>
      </c>
      <c r="D214" s="80" t="s">
        <v>2541</v>
      </c>
      <c r="E214" s="2277" t="str">
        <f t="shared" si="16"/>
        <v>ac</v>
      </c>
      <c r="F214" s="55">
        <v>13</v>
      </c>
      <c r="G214" s="55" t="s">
        <v>512</v>
      </c>
      <c r="J214" s="55" t="str">
        <f t="shared" si="15"/>
        <v>acv150</v>
      </c>
    </row>
    <row r="215" spans="1:10" hidden="1">
      <c r="A215" s="79" t="s">
        <v>207</v>
      </c>
      <c r="B215" s="84"/>
      <c r="C215" s="79" t="s">
        <v>2820</v>
      </c>
      <c r="D215" s="80" t="s">
        <v>2541</v>
      </c>
      <c r="E215" s="2277" t="str">
        <f t="shared" si="16"/>
        <v>ac</v>
      </c>
      <c r="F215" s="55">
        <v>13</v>
      </c>
      <c r="G215" s="55" t="s">
        <v>512</v>
      </c>
      <c r="J215" s="55" t="str">
        <f t="shared" si="15"/>
        <v>acv185</v>
      </c>
    </row>
    <row r="216" spans="1:10" hidden="1">
      <c r="A216" s="79" t="s">
        <v>208</v>
      </c>
      <c r="B216" s="84"/>
      <c r="C216" s="79" t="s">
        <v>2821</v>
      </c>
      <c r="D216" s="80" t="s">
        <v>2541</v>
      </c>
      <c r="E216" s="2277" t="str">
        <f t="shared" si="16"/>
        <v>ac</v>
      </c>
      <c r="F216" s="55">
        <v>13</v>
      </c>
      <c r="G216" s="55" t="s">
        <v>512</v>
      </c>
      <c r="J216" s="55" t="str">
        <f t="shared" si="15"/>
        <v>acv240</v>
      </c>
    </row>
    <row r="217" spans="1:10" hidden="1">
      <c r="A217" s="79" t="s">
        <v>1042</v>
      </c>
      <c r="B217" s="1778"/>
      <c r="C217" s="79" t="s">
        <v>2822</v>
      </c>
      <c r="D217" s="80" t="s">
        <v>2256</v>
      </c>
      <c r="E217" s="2277" t="str">
        <f t="shared" si="16"/>
        <v>A3</v>
      </c>
      <c r="F217" s="55">
        <v>14</v>
      </c>
      <c r="G217" s="55" t="s">
        <v>512</v>
      </c>
      <c r="J217" s="55" t="str">
        <f t="shared" si="15"/>
        <v>A35</v>
      </c>
    </row>
    <row r="218" spans="1:10" hidden="1">
      <c r="A218" s="79" t="s">
        <v>295</v>
      </c>
      <c r="B218" s="1778"/>
      <c r="C218" s="79" t="s">
        <v>2823</v>
      </c>
      <c r="D218" s="80" t="s">
        <v>2256</v>
      </c>
      <c r="E218" s="2277" t="str">
        <f t="shared" si="16"/>
        <v>A5</v>
      </c>
      <c r="F218" s="55">
        <v>14</v>
      </c>
      <c r="G218" s="55" t="s">
        <v>512</v>
      </c>
      <c r="J218" s="55" t="str">
        <f t="shared" si="15"/>
        <v>A50</v>
      </c>
    </row>
    <row r="219" spans="1:10" hidden="1">
      <c r="A219" s="79" t="s">
        <v>659</v>
      </c>
      <c r="B219" s="1778"/>
      <c r="C219" s="79" t="s">
        <v>2824</v>
      </c>
      <c r="D219" s="80" t="s">
        <v>2256</v>
      </c>
      <c r="E219" s="2277" t="str">
        <f t="shared" si="16"/>
        <v>A7</v>
      </c>
      <c r="F219" s="55">
        <v>14</v>
      </c>
      <c r="G219" s="55" t="s">
        <v>512</v>
      </c>
      <c r="J219" s="55" t="str">
        <f t="shared" si="15"/>
        <v>A70</v>
      </c>
    </row>
    <row r="220" spans="1:10" hidden="1">
      <c r="A220" s="79" t="s">
        <v>660</v>
      </c>
      <c r="B220" s="1778"/>
      <c r="C220" s="79" t="s">
        <v>2825</v>
      </c>
      <c r="D220" s="80" t="s">
        <v>2256</v>
      </c>
      <c r="E220" s="2277" t="str">
        <f t="shared" si="16"/>
        <v>A9</v>
      </c>
      <c r="F220" s="55">
        <v>14</v>
      </c>
      <c r="G220" s="55" t="s">
        <v>512</v>
      </c>
      <c r="J220" s="55" t="str">
        <f t="shared" si="15"/>
        <v>A95</v>
      </c>
    </row>
    <row r="221" spans="1:10" hidden="1">
      <c r="A221" s="79" t="s">
        <v>661</v>
      </c>
      <c r="B221" s="1778"/>
      <c r="C221" s="79" t="s">
        <v>2826</v>
      </c>
      <c r="D221" s="80" t="s">
        <v>2256</v>
      </c>
      <c r="E221" s="2277" t="str">
        <f t="shared" si="16"/>
        <v>A1</v>
      </c>
      <c r="F221" s="55">
        <v>14</v>
      </c>
      <c r="G221" s="55" t="s">
        <v>512</v>
      </c>
      <c r="J221" s="55" t="str">
        <f t="shared" si="15"/>
        <v>A120</v>
      </c>
    </row>
    <row r="222" spans="1:10" hidden="1">
      <c r="A222" s="79" t="s">
        <v>2187</v>
      </c>
      <c r="B222" s="1778"/>
      <c r="C222" s="79" t="s">
        <v>2827</v>
      </c>
      <c r="D222" s="80" t="s">
        <v>2256</v>
      </c>
      <c r="E222" s="2277" t="str">
        <f t="shared" si="16"/>
        <v>A1</v>
      </c>
      <c r="F222" s="55">
        <v>14</v>
      </c>
      <c r="G222" s="55" t="s">
        <v>512</v>
      </c>
      <c r="J222" s="55" t="str">
        <f t="shared" si="15"/>
        <v>A150</v>
      </c>
    </row>
    <row r="223" spans="1:10" hidden="1">
      <c r="A223" s="79" t="s">
        <v>1072</v>
      </c>
      <c r="B223" s="1778"/>
      <c r="C223" s="79" t="s">
        <v>2828</v>
      </c>
      <c r="D223" s="80" t="s">
        <v>2256</v>
      </c>
      <c r="E223" s="2277" t="str">
        <f t="shared" si="16"/>
        <v>A1</v>
      </c>
      <c r="F223" s="55">
        <v>14</v>
      </c>
      <c r="G223" s="55" t="s">
        <v>512</v>
      </c>
      <c r="J223" s="55" t="str">
        <f t="shared" si="15"/>
        <v>A185</v>
      </c>
    </row>
    <row r="224" spans="1:10" hidden="1">
      <c r="A224" s="79" t="s">
        <v>1073</v>
      </c>
      <c r="B224" s="1778"/>
      <c r="C224" s="79" t="s">
        <v>2829</v>
      </c>
      <c r="D224" s="80" t="s">
        <v>2256</v>
      </c>
      <c r="E224" s="2277" t="str">
        <f t="shared" si="16"/>
        <v>A2</v>
      </c>
      <c r="F224" s="55">
        <v>14</v>
      </c>
      <c r="G224" s="55" t="s">
        <v>512</v>
      </c>
      <c r="J224" s="55" t="str">
        <f t="shared" si="15"/>
        <v>A240</v>
      </c>
    </row>
    <row r="225" spans="1:10" hidden="1">
      <c r="A225" s="1782" t="s">
        <v>275</v>
      </c>
      <c r="B225" s="84"/>
      <c r="C225" s="79" t="s">
        <v>2830</v>
      </c>
      <c r="D225" s="80" t="s">
        <v>2256</v>
      </c>
      <c r="E225" s="2277" t="str">
        <f t="shared" si="16"/>
        <v>C3</v>
      </c>
      <c r="F225" s="55">
        <v>16</v>
      </c>
      <c r="G225" s="55" t="s">
        <v>512</v>
      </c>
      <c r="J225" s="55" t="str">
        <f t="shared" si="15"/>
        <v>C3/8</v>
      </c>
    </row>
    <row r="226" spans="1:10" hidden="1">
      <c r="A226" s="1782" t="s">
        <v>5193</v>
      </c>
      <c r="B226" s="84"/>
      <c r="C226" s="79" t="s">
        <v>2831</v>
      </c>
      <c r="D226" s="80" t="s">
        <v>2541</v>
      </c>
      <c r="E226" s="2277" t="str">
        <f t="shared" ref="E226" si="17">LEFT(A226,2)</f>
        <v>C5</v>
      </c>
      <c r="F226" s="55">
        <v>16</v>
      </c>
      <c r="G226" s="55" t="s">
        <v>512</v>
      </c>
      <c r="J226" s="55" t="str">
        <f t="shared" ref="J226" si="18">A226</f>
        <v>C5/8m</v>
      </c>
    </row>
    <row r="227" spans="1:10" hidden="1">
      <c r="A227" s="1782" t="s">
        <v>1364</v>
      </c>
      <c r="B227" s="84"/>
      <c r="C227" s="79" t="s">
        <v>2831</v>
      </c>
      <c r="D227" s="80" t="s">
        <v>2256</v>
      </c>
      <c r="E227" s="2277" t="str">
        <f t="shared" si="16"/>
        <v>C5</v>
      </c>
      <c r="F227" s="55">
        <v>16</v>
      </c>
      <c r="G227" s="55" t="s">
        <v>512</v>
      </c>
      <c r="J227" s="55" t="str">
        <f t="shared" si="15"/>
        <v>C5/8</v>
      </c>
    </row>
    <row r="228" spans="1:10" hidden="1">
      <c r="A228" s="79" t="s">
        <v>1271</v>
      </c>
      <c r="B228" s="1778"/>
      <c r="C228" s="79" t="s">
        <v>2832</v>
      </c>
      <c r="D228" s="80" t="s">
        <v>2566</v>
      </c>
      <c r="E228" s="2277" t="str">
        <f t="shared" si="16"/>
        <v>CS</v>
      </c>
      <c r="F228" s="55">
        <v>50</v>
      </c>
      <c r="G228" s="55" t="s">
        <v>512</v>
      </c>
      <c r="J228" s="55" t="str">
        <f t="shared" si="15"/>
        <v>CSDI</v>
      </c>
    </row>
    <row r="229" spans="1:10" hidden="1">
      <c r="A229" s="79" t="s">
        <v>590</v>
      </c>
      <c r="B229" s="1778"/>
      <c r="C229" s="79" t="s">
        <v>2833</v>
      </c>
      <c r="D229" s="80" t="s">
        <v>2566</v>
      </c>
      <c r="E229" s="2277" t="str">
        <f t="shared" si="16"/>
        <v>CS</v>
      </c>
      <c r="F229" s="55">
        <v>50</v>
      </c>
      <c r="G229" s="55" t="s">
        <v>512</v>
      </c>
      <c r="J229" s="55" t="str">
        <f t="shared" si="15"/>
        <v>CSDG</v>
      </c>
    </row>
    <row r="230" spans="1:10" hidden="1">
      <c r="A230" s="1779" t="s">
        <v>1270</v>
      </c>
      <c r="B230" s="84"/>
      <c r="C230" s="79" t="s">
        <v>2834</v>
      </c>
      <c r="D230" s="80" t="s">
        <v>2566</v>
      </c>
      <c r="E230" s="2277" t="str">
        <f t="shared" si="16"/>
        <v>CS</v>
      </c>
      <c r="F230" s="55">
        <v>50</v>
      </c>
      <c r="G230" s="55" t="s">
        <v>512</v>
      </c>
      <c r="J230" s="55" t="str">
        <f t="shared" si="15"/>
        <v>CSD</v>
      </c>
    </row>
    <row r="231" spans="1:10" hidden="1">
      <c r="A231" s="79" t="s">
        <v>229</v>
      </c>
      <c r="B231" s="1778"/>
      <c r="C231" s="79" t="s">
        <v>2835</v>
      </c>
      <c r="D231" s="80" t="s">
        <v>2256</v>
      </c>
      <c r="E231" s="2277" t="str">
        <f t="shared" ref="E231" si="19">LEFT(A231,2)</f>
        <v>DA</v>
      </c>
      <c r="F231" s="55">
        <v>50</v>
      </c>
      <c r="G231" s="55" t="s">
        <v>512</v>
      </c>
      <c r="J231" s="55" t="str">
        <f t="shared" si="15"/>
        <v>DAYA</v>
      </c>
    </row>
    <row r="232" spans="1:10" hidden="1">
      <c r="A232" s="79" t="s">
        <v>4497</v>
      </c>
      <c r="B232" s="1778"/>
      <c r="C232" s="79" t="s">
        <v>4498</v>
      </c>
      <c r="D232" s="80" t="s">
        <v>2256</v>
      </c>
      <c r="E232" s="2277" t="str">
        <f t="shared" si="16"/>
        <v>DA</v>
      </c>
      <c r="F232" s="55">
        <v>50</v>
      </c>
      <c r="G232" s="55" t="s">
        <v>512</v>
      </c>
      <c r="J232" s="55" t="str">
        <f t="shared" si="15"/>
        <v>DAYA70</v>
      </c>
    </row>
    <row r="233" spans="1:10" hidden="1">
      <c r="A233" s="79" t="s">
        <v>1461</v>
      </c>
      <c r="B233" s="1778" t="s">
        <v>277</v>
      </c>
      <c r="C233" s="79" t="s">
        <v>2836</v>
      </c>
      <c r="D233" s="80" t="s">
        <v>2448</v>
      </c>
      <c r="E233" s="2277" t="str">
        <f t="shared" si="16"/>
        <v>GD</v>
      </c>
      <c r="F233" s="55">
        <v>50</v>
      </c>
      <c r="G233" s="55" t="s">
        <v>512</v>
      </c>
      <c r="J233" s="55" t="str">
        <f t="shared" si="15"/>
        <v>GDFCO</v>
      </c>
    </row>
    <row r="234" spans="1:10" hidden="1">
      <c r="A234" s="79" t="s">
        <v>1650</v>
      </c>
      <c r="B234" s="1778" t="s">
        <v>277</v>
      </c>
      <c r="C234" s="79" t="s">
        <v>2837</v>
      </c>
      <c r="D234" s="80" t="s">
        <v>2448</v>
      </c>
      <c r="E234" s="2277" t="str">
        <f t="shared" si="16"/>
        <v>GU</v>
      </c>
      <c r="F234" s="55">
        <v>50</v>
      </c>
      <c r="G234" s="55" t="s">
        <v>512</v>
      </c>
      <c r="J234" s="55" t="str">
        <f t="shared" si="15"/>
        <v>GUFCO</v>
      </c>
    </row>
    <row r="235" spans="1:10" hidden="1">
      <c r="A235" s="79" t="s">
        <v>147</v>
      </c>
      <c r="B235" s="1778" t="s">
        <v>1755</v>
      </c>
      <c r="C235" s="79" t="s">
        <v>2838</v>
      </c>
      <c r="D235" s="80" t="s">
        <v>1633</v>
      </c>
      <c r="E235" s="2277" t="str">
        <f t="shared" si="16"/>
        <v>GI</v>
      </c>
      <c r="F235" s="55">
        <v>50</v>
      </c>
      <c r="G235" s="55" t="s">
        <v>512</v>
      </c>
      <c r="J235" s="55" t="str">
        <f t="shared" si="15"/>
        <v>GIATFCO</v>
      </c>
    </row>
    <row r="236" spans="1:10" hidden="1">
      <c r="A236" s="79" t="s">
        <v>1268</v>
      </c>
      <c r="B236" s="1778"/>
      <c r="C236" s="79" t="s">
        <v>2839</v>
      </c>
      <c r="D236" s="80" t="s">
        <v>2448</v>
      </c>
      <c r="E236" s="2277" t="str">
        <f t="shared" si="16"/>
        <v>Gi</v>
      </c>
      <c r="F236" s="55">
        <v>50</v>
      </c>
      <c r="G236" s="55" t="s">
        <v>512</v>
      </c>
      <c r="J236" s="55" t="str">
        <f t="shared" si="15"/>
        <v>Gianoi1600</v>
      </c>
    </row>
    <row r="237" spans="1:10" hidden="1">
      <c r="A237" s="79" t="s">
        <v>1269</v>
      </c>
      <c r="B237" s="1778"/>
      <c r="C237" s="79" t="s">
        <v>2839</v>
      </c>
      <c r="D237" s="80" t="s">
        <v>2448</v>
      </c>
      <c r="E237" s="2277" t="str">
        <f t="shared" si="16"/>
        <v>Gi</v>
      </c>
      <c r="F237" s="55">
        <v>50</v>
      </c>
      <c r="G237" s="55" t="s">
        <v>512</v>
      </c>
      <c r="J237" s="55" t="str">
        <f t="shared" si="15"/>
        <v>Gianoi2500</v>
      </c>
    </row>
    <row r="238" spans="1:10" hidden="1">
      <c r="A238" s="79" t="s">
        <v>1540</v>
      </c>
      <c r="B238" s="1778"/>
      <c r="C238" s="79" t="s">
        <v>2839</v>
      </c>
      <c r="D238" s="80" t="s">
        <v>2448</v>
      </c>
      <c r="E238" s="2277" t="str">
        <f t="shared" si="16"/>
        <v>Gi</v>
      </c>
      <c r="F238" s="55">
        <v>50</v>
      </c>
      <c r="G238" s="55" t="s">
        <v>512</v>
      </c>
      <c r="J238" s="55" t="str">
        <f t="shared" si="15"/>
        <v>GianoiCB</v>
      </c>
    </row>
    <row r="239" spans="1:10" hidden="1">
      <c r="A239" s="79" t="s">
        <v>1178</v>
      </c>
      <c r="B239" s="1778"/>
      <c r="C239" s="79" t="s">
        <v>2840</v>
      </c>
      <c r="D239" s="80" t="s">
        <v>2256</v>
      </c>
      <c r="E239" s="2277" t="str">
        <f t="shared" si="16"/>
        <v>GC</v>
      </c>
      <c r="F239" s="55">
        <v>2000</v>
      </c>
      <c r="G239" s="55" t="s">
        <v>512</v>
      </c>
      <c r="J239" s="55" t="str">
        <f t="shared" si="15"/>
        <v>GCST</v>
      </c>
    </row>
    <row r="240" spans="1:10" hidden="1">
      <c r="A240" s="79" t="s">
        <v>1820</v>
      </c>
      <c r="B240" s="1778"/>
      <c r="C240" s="79" t="s">
        <v>2841</v>
      </c>
      <c r="D240" s="80" t="s">
        <v>2842</v>
      </c>
      <c r="E240" s="2277" t="str">
        <f t="shared" si="16"/>
        <v>G</v>
      </c>
      <c r="F240" s="55">
        <v>2000</v>
      </c>
      <c r="G240" s="55" t="s">
        <v>512</v>
      </c>
      <c r="J240" s="55" t="str">
        <f t="shared" si="15"/>
        <v>G</v>
      </c>
    </row>
    <row r="241" spans="1:10" hidden="1">
      <c r="A241" s="79" t="s">
        <v>1583</v>
      </c>
      <c r="B241" s="1778"/>
      <c r="C241" s="79" t="s">
        <v>2843</v>
      </c>
      <c r="D241" s="80" t="s">
        <v>2566</v>
      </c>
      <c r="E241" s="2277" t="str">
        <f t="shared" si="16"/>
        <v>K3</v>
      </c>
      <c r="F241" s="55">
        <v>50</v>
      </c>
      <c r="G241" s="55" t="s">
        <v>512</v>
      </c>
      <c r="J241" s="55" t="str">
        <f t="shared" si="15"/>
        <v>K3B</v>
      </c>
    </row>
    <row r="242" spans="1:10" hidden="1">
      <c r="A242" s="1779" t="s">
        <v>228</v>
      </c>
      <c r="B242" s="84"/>
      <c r="C242" s="79" t="s">
        <v>4386</v>
      </c>
      <c r="D242" s="80" t="s">
        <v>2286</v>
      </c>
      <c r="E242" s="2277" t="str">
        <f t="shared" si="16"/>
        <v>CT</v>
      </c>
      <c r="F242" s="55">
        <v>50</v>
      </c>
      <c r="G242" s="55" t="s">
        <v>512</v>
      </c>
      <c r="J242" s="55" t="str">
        <f t="shared" si="15"/>
        <v>CTD</v>
      </c>
    </row>
    <row r="243" spans="1:10" hidden="1">
      <c r="A243" s="1779" t="s">
        <v>1513</v>
      </c>
      <c r="B243" s="84"/>
      <c r="C243" s="79" t="s">
        <v>4930</v>
      </c>
      <c r="D243" s="80" t="s">
        <v>2448</v>
      </c>
      <c r="E243" s="2277" t="str">
        <f t="shared" si="16"/>
        <v>CT</v>
      </c>
      <c r="F243" s="55">
        <v>50</v>
      </c>
      <c r="G243" s="55" t="s">
        <v>512</v>
      </c>
      <c r="J243" s="55" t="str">
        <f t="shared" si="15"/>
        <v>CTD+K</v>
      </c>
    </row>
    <row r="244" spans="1:10" hidden="1">
      <c r="A244" s="79" t="s">
        <v>553</v>
      </c>
      <c r="B244" s="84"/>
      <c r="C244" s="79" t="s">
        <v>2844</v>
      </c>
      <c r="D244" s="80" t="s">
        <v>2566</v>
      </c>
      <c r="E244" s="2277" t="str">
        <f t="shared" si="16"/>
        <v>K-</v>
      </c>
      <c r="F244" s="55">
        <v>50</v>
      </c>
      <c r="G244" s="55" t="s">
        <v>512</v>
      </c>
      <c r="J244" s="55" t="str">
        <f t="shared" si="15"/>
        <v>K-Cu</v>
      </c>
    </row>
    <row r="245" spans="1:10" hidden="1">
      <c r="A245" s="79" t="s">
        <v>1795</v>
      </c>
      <c r="B245" s="84"/>
      <c r="C245" s="79" t="s">
        <v>2845</v>
      </c>
      <c r="D245" s="80" t="s">
        <v>2566</v>
      </c>
      <c r="E245" s="2277" t="str">
        <f t="shared" si="16"/>
        <v>K-</v>
      </c>
      <c r="F245" s="55">
        <v>50</v>
      </c>
      <c r="G245" s="55" t="s">
        <v>512</v>
      </c>
      <c r="J245" s="55" t="str">
        <f t="shared" si="15"/>
        <v>K-Fe</v>
      </c>
    </row>
    <row r="246" spans="1:10" hidden="1">
      <c r="A246" s="1779" t="s">
        <v>1388</v>
      </c>
      <c r="B246" s="84"/>
      <c r="C246" s="79" t="s">
        <v>2846</v>
      </c>
      <c r="D246" s="80" t="s">
        <v>2566</v>
      </c>
      <c r="E246" s="2277" t="str">
        <f t="shared" si="16"/>
        <v>K3</v>
      </c>
      <c r="F246" s="55">
        <v>50</v>
      </c>
      <c r="G246" s="55" t="s">
        <v>512</v>
      </c>
      <c r="J246" s="55" t="str">
        <f t="shared" si="15"/>
        <v>K35</v>
      </c>
    </row>
    <row r="247" spans="1:10" hidden="1">
      <c r="A247" s="1779" t="s">
        <v>1857</v>
      </c>
      <c r="B247" s="84"/>
      <c r="C247" s="79" t="s">
        <v>2847</v>
      </c>
      <c r="D247" s="80" t="s">
        <v>2566</v>
      </c>
      <c r="E247" s="2277" t="str">
        <f t="shared" si="16"/>
        <v>K5</v>
      </c>
      <c r="F247" s="55">
        <v>50</v>
      </c>
      <c r="G247" s="55" t="s">
        <v>512</v>
      </c>
      <c r="J247" s="55" t="str">
        <f t="shared" si="15"/>
        <v>K50</v>
      </c>
    </row>
    <row r="248" spans="1:10" hidden="1">
      <c r="A248" s="79" t="s">
        <v>1389</v>
      </c>
      <c r="B248" s="1778"/>
      <c r="C248" s="79" t="s">
        <v>2848</v>
      </c>
      <c r="D248" s="80" t="s">
        <v>2566</v>
      </c>
      <c r="E248" s="2277" t="str">
        <f t="shared" si="16"/>
        <v>K7</v>
      </c>
      <c r="F248" s="55">
        <v>50</v>
      </c>
      <c r="G248" s="55" t="s">
        <v>512</v>
      </c>
      <c r="J248" s="55" t="str">
        <f t="shared" si="15"/>
        <v>K70</v>
      </c>
    </row>
    <row r="249" spans="1:10" hidden="1">
      <c r="A249" s="79" t="s">
        <v>1390</v>
      </c>
      <c r="B249" s="84"/>
      <c r="C249" s="79" t="s">
        <v>2849</v>
      </c>
      <c r="D249" s="80" t="s">
        <v>2566</v>
      </c>
      <c r="E249" s="2277" t="str">
        <f t="shared" si="16"/>
        <v>K9</v>
      </c>
      <c r="F249" s="55">
        <v>50</v>
      </c>
      <c r="G249" s="55" t="s">
        <v>512</v>
      </c>
      <c r="J249" s="55" t="str">
        <f t="shared" si="15"/>
        <v>K95</v>
      </c>
    </row>
    <row r="250" spans="1:10" hidden="1">
      <c r="A250" s="1779" t="s">
        <v>2081</v>
      </c>
      <c r="B250" s="84"/>
      <c r="C250" s="79" t="s">
        <v>2850</v>
      </c>
      <c r="D250" s="80" t="s">
        <v>2566</v>
      </c>
      <c r="E250" s="2277" t="str">
        <f t="shared" si="16"/>
        <v>K1</v>
      </c>
      <c r="F250" s="55">
        <v>50</v>
      </c>
      <c r="G250" s="55" t="s">
        <v>512</v>
      </c>
      <c r="J250" s="55" t="str">
        <f t="shared" si="15"/>
        <v>K120</v>
      </c>
    </row>
    <row r="251" spans="1:10" hidden="1">
      <c r="A251" s="1779" t="s">
        <v>1179</v>
      </c>
      <c r="B251" s="84"/>
      <c r="C251" s="79" t="s">
        <v>2851</v>
      </c>
      <c r="D251" s="80" t="s">
        <v>2566</v>
      </c>
      <c r="E251" s="2277" t="str">
        <f t="shared" si="16"/>
        <v>K1</v>
      </c>
      <c r="F251" s="55">
        <v>50</v>
      </c>
      <c r="G251" s="55" t="s">
        <v>512</v>
      </c>
      <c r="J251" s="55" t="str">
        <f t="shared" si="15"/>
        <v>K150</v>
      </c>
    </row>
    <row r="252" spans="1:10" hidden="1">
      <c r="A252" s="1779" t="s">
        <v>2080</v>
      </c>
      <c r="B252" s="84"/>
      <c r="C252" s="79" t="s">
        <v>2852</v>
      </c>
      <c r="D252" s="80" t="s">
        <v>2566</v>
      </c>
      <c r="E252" s="2277" t="str">
        <f t="shared" si="16"/>
        <v>K1</v>
      </c>
      <c r="F252" s="55">
        <v>50</v>
      </c>
      <c r="G252" s="55" t="s">
        <v>512</v>
      </c>
      <c r="J252" s="55" t="str">
        <f t="shared" si="15"/>
        <v>K185</v>
      </c>
    </row>
    <row r="253" spans="1:10" hidden="1">
      <c r="A253" s="1779" t="s">
        <v>2079</v>
      </c>
      <c r="B253" s="84"/>
      <c r="C253" s="79" t="s">
        <v>2853</v>
      </c>
      <c r="D253" s="80" t="s">
        <v>2566</v>
      </c>
      <c r="E253" s="2277" t="str">
        <f t="shared" si="16"/>
        <v>K2</v>
      </c>
      <c r="F253" s="55">
        <v>50</v>
      </c>
      <c r="G253" s="55" t="s">
        <v>512</v>
      </c>
      <c r="J253" s="55" t="str">
        <f t="shared" si="15"/>
        <v>K240</v>
      </c>
    </row>
    <row r="254" spans="1:10" hidden="1">
      <c r="A254" s="1783" t="s">
        <v>580</v>
      </c>
      <c r="B254" s="84"/>
      <c r="C254" s="79" t="s">
        <v>2854</v>
      </c>
      <c r="D254" s="80" t="s">
        <v>2566</v>
      </c>
      <c r="E254" s="2277" t="str">
        <f t="shared" si="16"/>
        <v>KT</v>
      </c>
      <c r="F254" s="55">
        <v>50</v>
      </c>
      <c r="G254" s="55" t="s">
        <v>512</v>
      </c>
      <c r="J254" s="55" t="str">
        <f t="shared" si="15"/>
        <v>KTREO211</v>
      </c>
    </row>
    <row r="255" spans="1:10" hidden="1">
      <c r="A255" s="1783" t="s">
        <v>1881</v>
      </c>
      <c r="B255" s="84"/>
      <c r="C255" s="79" t="s">
        <v>2855</v>
      </c>
      <c r="D255" s="80" t="s">
        <v>2566</v>
      </c>
      <c r="E255" s="2277" t="str">
        <f t="shared" si="16"/>
        <v>KT</v>
      </c>
      <c r="F255" s="55">
        <v>50</v>
      </c>
      <c r="G255" s="55" t="s">
        <v>512</v>
      </c>
      <c r="J255" s="55" t="str">
        <f t="shared" si="15"/>
        <v>KTREO11</v>
      </c>
    </row>
    <row r="256" spans="1:10" hidden="1">
      <c r="A256" s="1783" t="s">
        <v>828</v>
      </c>
      <c r="B256" s="84"/>
      <c r="C256" s="79" t="s">
        <v>2856</v>
      </c>
      <c r="D256" s="80" t="s">
        <v>2566</v>
      </c>
      <c r="E256" s="2277" t="str">
        <f t="shared" si="16"/>
        <v>KT</v>
      </c>
      <c r="F256" s="55">
        <v>50</v>
      </c>
      <c r="G256" s="55" t="s">
        <v>512</v>
      </c>
      <c r="J256" s="55" t="str">
        <f t="shared" si="15"/>
        <v>KTREO22</v>
      </c>
    </row>
    <row r="257" spans="1:10" hidden="1">
      <c r="A257" s="1783" t="s">
        <v>2068</v>
      </c>
      <c r="B257" s="84"/>
      <c r="C257" s="79" t="s">
        <v>2857</v>
      </c>
      <c r="D257" s="80" t="s">
        <v>2566</v>
      </c>
      <c r="E257" s="2277" t="str">
        <f t="shared" si="16"/>
        <v>KT</v>
      </c>
      <c r="F257" s="55">
        <v>50</v>
      </c>
      <c r="G257" s="55" t="s">
        <v>512</v>
      </c>
      <c r="J257" s="55" t="str">
        <f t="shared" si="15"/>
        <v>KTREO35</v>
      </c>
    </row>
    <row r="258" spans="1:10" hidden="1">
      <c r="A258" s="1783" t="s">
        <v>1699</v>
      </c>
      <c r="B258" s="84"/>
      <c r="C258" s="79" t="s">
        <v>2858</v>
      </c>
      <c r="D258" s="80" t="s">
        <v>2566</v>
      </c>
      <c r="E258" s="2277" t="str">
        <f t="shared" si="16"/>
        <v>KT</v>
      </c>
      <c r="F258" s="55">
        <v>50</v>
      </c>
      <c r="G258" s="55" t="s">
        <v>512</v>
      </c>
      <c r="J258" s="55" t="str">
        <f t="shared" si="15"/>
        <v>KTREO50</v>
      </c>
    </row>
    <row r="259" spans="1:10" hidden="1">
      <c r="A259" s="1783" t="s">
        <v>1698</v>
      </c>
      <c r="B259" s="1784" t="s">
        <v>1774</v>
      </c>
      <c r="C259" s="79" t="s">
        <v>2859</v>
      </c>
      <c r="D259" s="80" t="s">
        <v>2566</v>
      </c>
      <c r="E259" s="2277" t="str">
        <f t="shared" si="16"/>
        <v>KT</v>
      </c>
      <c r="F259" s="55">
        <v>50</v>
      </c>
      <c r="G259" s="55" t="s">
        <v>512</v>
      </c>
      <c r="J259" s="55" t="str">
        <f t="shared" si="15"/>
        <v>KTREO70</v>
      </c>
    </row>
    <row r="260" spans="1:10" hidden="1">
      <c r="A260" s="1783" t="s">
        <v>1161</v>
      </c>
      <c r="B260" s="84"/>
      <c r="C260" s="79" t="s">
        <v>4973</v>
      </c>
      <c r="D260" s="80" t="s">
        <v>2566</v>
      </c>
      <c r="E260" s="2277" t="str">
        <f t="shared" si="16"/>
        <v>KT</v>
      </c>
      <c r="F260" s="55">
        <v>50</v>
      </c>
      <c r="G260" s="55" t="s">
        <v>512</v>
      </c>
      <c r="J260" s="55" t="str">
        <f t="shared" si="15"/>
        <v>KTREO95</v>
      </c>
    </row>
    <row r="261" spans="1:10" hidden="1">
      <c r="A261" s="1783" t="s">
        <v>1160</v>
      </c>
      <c r="B261" s="84"/>
      <c r="C261" s="79" t="s">
        <v>2860</v>
      </c>
      <c r="D261" s="80" t="s">
        <v>2566</v>
      </c>
      <c r="E261" s="2277" t="str">
        <f t="shared" si="16"/>
        <v>KT</v>
      </c>
      <c r="F261" s="55">
        <v>50</v>
      </c>
      <c r="G261" s="55" t="s">
        <v>512</v>
      </c>
      <c r="J261" s="55" t="str">
        <f t="shared" si="15"/>
        <v>KTREO120</v>
      </c>
    </row>
    <row r="262" spans="1:10" hidden="1">
      <c r="A262" s="1783" t="s">
        <v>146</v>
      </c>
      <c r="B262" s="84"/>
      <c r="C262" s="79" t="s">
        <v>2861</v>
      </c>
      <c r="D262" s="80" t="s">
        <v>2566</v>
      </c>
      <c r="E262" s="2277" t="str">
        <f t="shared" si="16"/>
        <v>KT</v>
      </c>
      <c r="F262" s="55">
        <v>50</v>
      </c>
      <c r="G262" s="55" t="s">
        <v>512</v>
      </c>
      <c r="J262" s="55" t="str">
        <f t="shared" si="15"/>
        <v>KTREO150</v>
      </c>
    </row>
    <row r="263" spans="1:10" hidden="1">
      <c r="A263" s="79" t="s">
        <v>1740</v>
      </c>
      <c r="B263" s="84"/>
      <c r="C263" s="79" t="s">
        <v>2862</v>
      </c>
      <c r="D263" s="80" t="s">
        <v>2566</v>
      </c>
      <c r="E263" s="2277" t="str">
        <f t="shared" si="16"/>
        <v>MT</v>
      </c>
      <c r="F263" s="55">
        <v>50</v>
      </c>
      <c r="G263" s="55" t="s">
        <v>512</v>
      </c>
      <c r="J263" s="55" t="str">
        <f t="shared" si="15"/>
        <v>MTREO A</v>
      </c>
    </row>
    <row r="264" spans="1:10" hidden="1">
      <c r="A264" s="79" t="s">
        <v>2216</v>
      </c>
      <c r="B264" s="84"/>
      <c r="C264" s="79" t="s">
        <v>2863</v>
      </c>
      <c r="D264" s="80" t="s">
        <v>2566</v>
      </c>
      <c r="E264" s="2277" t="str">
        <f t="shared" si="16"/>
        <v>MO</v>
      </c>
      <c r="F264" s="55">
        <v>50</v>
      </c>
      <c r="G264" s="55" t="s">
        <v>512</v>
      </c>
      <c r="J264" s="55" t="str">
        <f t="shared" ref="J264:J327" si="20">A264</f>
        <v>MOCDUNG</v>
      </c>
    </row>
    <row r="265" spans="1:10" hidden="1">
      <c r="A265" s="79" t="s">
        <v>2030</v>
      </c>
      <c r="B265" s="84"/>
      <c r="C265" s="79" t="s">
        <v>2864</v>
      </c>
      <c r="D265" s="80" t="s">
        <v>2566</v>
      </c>
      <c r="E265" s="2277" t="str">
        <f t="shared" ref="E265" si="21">LEFT(A265,2)</f>
        <v>MT</v>
      </c>
      <c r="F265" s="55">
        <v>50</v>
      </c>
      <c r="G265" s="55" t="s">
        <v>512</v>
      </c>
      <c r="J265" s="55" t="str">
        <f t="shared" si="20"/>
        <v xml:space="preserve">MTREO </v>
      </c>
    </row>
    <row r="266" spans="1:10" hidden="1">
      <c r="A266" s="79" t="s">
        <v>4530</v>
      </c>
      <c r="B266" s="84"/>
      <c r="C266" s="79" t="s">
        <v>4777</v>
      </c>
      <c r="D266" s="80" t="s">
        <v>2566</v>
      </c>
      <c r="E266" s="2277" t="str">
        <f t="shared" si="16"/>
        <v>KD</v>
      </c>
      <c r="F266" s="55">
        <v>50</v>
      </c>
      <c r="G266" s="55" t="s">
        <v>512</v>
      </c>
      <c r="J266" s="55" t="str">
        <f t="shared" si="20"/>
        <v>KDPLY</v>
      </c>
    </row>
    <row r="267" spans="1:10" hidden="1">
      <c r="A267" s="1783" t="s">
        <v>2219</v>
      </c>
      <c r="B267" s="84"/>
      <c r="C267" s="79" t="s">
        <v>2865</v>
      </c>
      <c r="D267" s="80" t="s">
        <v>2566</v>
      </c>
      <c r="E267" s="2277" t="str">
        <f t="shared" si="16"/>
        <v>KN</v>
      </c>
      <c r="F267" s="55">
        <v>50</v>
      </c>
      <c r="G267" s="55" t="s">
        <v>512</v>
      </c>
      <c r="J267" s="55" t="str">
        <f t="shared" si="20"/>
        <v>KNGUNG211</v>
      </c>
    </row>
    <row r="268" spans="1:10" hidden="1">
      <c r="A268" s="1783" t="s">
        <v>2218</v>
      </c>
      <c r="B268" s="84"/>
      <c r="C268" s="79" t="s">
        <v>2866</v>
      </c>
      <c r="D268" s="80" t="s">
        <v>2566</v>
      </c>
      <c r="E268" s="2277" t="str">
        <f t="shared" si="16"/>
        <v>KN</v>
      </c>
      <c r="F268" s="55">
        <v>50</v>
      </c>
      <c r="G268" s="55" t="s">
        <v>512</v>
      </c>
      <c r="J268" s="55" t="str">
        <f t="shared" si="20"/>
        <v>KNGUNG11</v>
      </c>
    </row>
    <row r="269" spans="1:10" hidden="1">
      <c r="A269" s="1783" t="s">
        <v>2217</v>
      </c>
      <c r="B269" s="84"/>
      <c r="C269" s="79" t="s">
        <v>2867</v>
      </c>
      <c r="D269" s="80" t="s">
        <v>2566</v>
      </c>
      <c r="E269" s="2277" t="str">
        <f t="shared" ref="E269:E334" si="22">LEFT(A269,2)</f>
        <v>KN</v>
      </c>
      <c r="F269" s="55">
        <v>50</v>
      </c>
      <c r="G269" s="55" t="s">
        <v>512</v>
      </c>
      <c r="J269" s="55" t="str">
        <f t="shared" si="20"/>
        <v>KNGUNG22</v>
      </c>
    </row>
    <row r="270" spans="1:10" hidden="1">
      <c r="A270" s="1783" t="s">
        <v>2069</v>
      </c>
      <c r="B270" s="84"/>
      <c r="C270" s="79" t="s">
        <v>2868</v>
      </c>
      <c r="D270" s="80" t="s">
        <v>2566</v>
      </c>
      <c r="E270" s="2277" t="str">
        <f t="shared" si="22"/>
        <v>KN</v>
      </c>
      <c r="F270" s="55">
        <v>50</v>
      </c>
      <c r="G270" s="55" t="s">
        <v>512</v>
      </c>
      <c r="J270" s="55" t="str">
        <f t="shared" si="20"/>
        <v>KNGUNG35</v>
      </c>
    </row>
    <row r="271" spans="1:10" hidden="1">
      <c r="A271" s="1783" t="s">
        <v>313</v>
      </c>
      <c r="B271" s="84"/>
      <c r="C271" s="79" t="s">
        <v>2869</v>
      </c>
      <c r="D271" s="80" t="s">
        <v>2566</v>
      </c>
      <c r="E271" s="2277" t="str">
        <f t="shared" si="22"/>
        <v>KN</v>
      </c>
      <c r="F271" s="55">
        <v>50</v>
      </c>
      <c r="G271" s="55" t="s">
        <v>512</v>
      </c>
      <c r="J271" s="55" t="str">
        <f t="shared" si="20"/>
        <v>KNGUNG50</v>
      </c>
    </row>
    <row r="272" spans="1:10" hidden="1">
      <c r="A272" s="1783" t="s">
        <v>2266</v>
      </c>
      <c r="B272" s="1784" t="s">
        <v>1774</v>
      </c>
      <c r="C272" s="79" t="s">
        <v>2870</v>
      </c>
      <c r="D272" s="80" t="s">
        <v>2566</v>
      </c>
      <c r="E272" s="2277" t="str">
        <f t="shared" si="22"/>
        <v>KN</v>
      </c>
      <c r="F272" s="55">
        <v>50</v>
      </c>
      <c r="G272" s="55" t="s">
        <v>512</v>
      </c>
      <c r="J272" s="55" t="str">
        <f t="shared" si="20"/>
        <v>KNGUNG70</v>
      </c>
    </row>
    <row r="273" spans="1:10" hidden="1">
      <c r="A273" s="1783" t="s">
        <v>1434</v>
      </c>
      <c r="B273" s="84"/>
      <c r="C273" s="79" t="s">
        <v>4808</v>
      </c>
      <c r="D273" s="80" t="s">
        <v>2566</v>
      </c>
      <c r="E273" s="2277" t="str">
        <f t="shared" si="22"/>
        <v>KN</v>
      </c>
      <c r="F273" s="55">
        <v>50</v>
      </c>
      <c r="G273" s="55" t="s">
        <v>512</v>
      </c>
      <c r="J273" s="55" t="str">
        <f t="shared" si="20"/>
        <v>KNGUNG95</v>
      </c>
    </row>
    <row r="274" spans="1:10" hidden="1">
      <c r="A274" s="1783" t="s">
        <v>1433</v>
      </c>
      <c r="B274" s="84"/>
      <c r="C274" s="79" t="s">
        <v>2871</v>
      </c>
      <c r="D274" s="80" t="s">
        <v>2566</v>
      </c>
      <c r="E274" s="2277" t="str">
        <f t="shared" si="22"/>
        <v>KN</v>
      </c>
      <c r="F274" s="55">
        <v>50</v>
      </c>
      <c r="G274" s="55" t="s">
        <v>512</v>
      </c>
      <c r="J274" s="55" t="str">
        <f t="shared" si="20"/>
        <v>KNGUNG120</v>
      </c>
    </row>
    <row r="275" spans="1:10" hidden="1">
      <c r="A275" s="1783" t="s">
        <v>2227</v>
      </c>
      <c r="B275" s="84"/>
      <c r="C275" s="79" t="s">
        <v>2872</v>
      </c>
      <c r="D275" s="80" t="s">
        <v>2566</v>
      </c>
      <c r="E275" s="2277" t="str">
        <f t="shared" si="22"/>
        <v>KN</v>
      </c>
      <c r="F275" s="55">
        <v>50</v>
      </c>
      <c r="G275" s="55" t="s">
        <v>512</v>
      </c>
      <c r="J275" s="55" t="str">
        <f t="shared" si="20"/>
        <v>KNGUNG150</v>
      </c>
    </row>
    <row r="276" spans="1:10" hidden="1">
      <c r="A276" s="79" t="s">
        <v>1819</v>
      </c>
      <c r="B276" s="1778"/>
      <c r="C276" s="79" t="s">
        <v>2873</v>
      </c>
      <c r="D276" s="80" t="s">
        <v>2566</v>
      </c>
      <c r="E276" s="2277" t="str">
        <f t="shared" si="22"/>
        <v>Ho</v>
      </c>
      <c r="F276" s="55">
        <v>50</v>
      </c>
      <c r="G276" s="55" t="s">
        <v>512</v>
      </c>
      <c r="J276" s="55" t="str">
        <f t="shared" si="20"/>
        <v>Hopcap240</v>
      </c>
    </row>
    <row r="277" spans="1:10" hidden="1">
      <c r="A277" s="79" t="s">
        <v>1845</v>
      </c>
      <c r="B277" s="1778"/>
      <c r="C277" s="79" t="s">
        <v>2874</v>
      </c>
      <c r="D277" s="80" t="s">
        <v>2566</v>
      </c>
      <c r="E277" s="2277" t="str">
        <f t="shared" si="22"/>
        <v>Ho</v>
      </c>
      <c r="F277" s="55">
        <v>50</v>
      </c>
      <c r="G277" s="55" t="s">
        <v>512</v>
      </c>
      <c r="J277" s="55" t="str">
        <f t="shared" si="20"/>
        <v>Hopcap185</v>
      </c>
    </row>
    <row r="278" spans="1:10" hidden="1">
      <c r="A278" s="79" t="s">
        <v>1362</v>
      </c>
      <c r="B278" s="1778"/>
      <c r="C278" s="79" t="s">
        <v>2875</v>
      </c>
      <c r="D278" s="80" t="s">
        <v>2566</v>
      </c>
      <c r="E278" s="2277" t="str">
        <f t="shared" si="22"/>
        <v>Ho</v>
      </c>
      <c r="F278" s="55">
        <v>50</v>
      </c>
      <c r="G278" s="55" t="s">
        <v>512</v>
      </c>
      <c r="J278" s="55" t="str">
        <f t="shared" si="20"/>
        <v>Hopcap150</v>
      </c>
    </row>
    <row r="279" spans="1:10" hidden="1">
      <c r="A279" s="79" t="s">
        <v>582</v>
      </c>
      <c r="B279" s="1778"/>
      <c r="C279" s="79" t="s">
        <v>2876</v>
      </c>
      <c r="D279" s="80" t="s">
        <v>2566</v>
      </c>
      <c r="E279" s="2277" t="str">
        <f t="shared" si="22"/>
        <v>Ho</v>
      </c>
      <c r="F279" s="55">
        <v>50</v>
      </c>
      <c r="G279" s="55" t="s">
        <v>512</v>
      </c>
      <c r="J279" s="55" t="str">
        <f t="shared" si="20"/>
        <v>Hopcap120</v>
      </c>
    </row>
    <row r="280" spans="1:10" hidden="1">
      <c r="A280" s="79" t="s">
        <v>47</v>
      </c>
      <c r="B280" s="1778"/>
      <c r="C280" s="79" t="s">
        <v>2877</v>
      </c>
      <c r="D280" s="80" t="s">
        <v>2566</v>
      </c>
      <c r="E280" s="2277" t="str">
        <f t="shared" si="22"/>
        <v>Ho</v>
      </c>
      <c r="F280" s="55">
        <v>50</v>
      </c>
      <c r="G280" s="55" t="s">
        <v>512</v>
      </c>
      <c r="J280" s="55" t="str">
        <f t="shared" si="20"/>
        <v>Hopcap95</v>
      </c>
    </row>
    <row r="281" spans="1:10" hidden="1">
      <c r="A281" s="79" t="s">
        <v>789</v>
      </c>
      <c r="B281" s="1778"/>
      <c r="C281" s="79" t="s">
        <v>2878</v>
      </c>
      <c r="D281" s="80" t="s">
        <v>2566</v>
      </c>
      <c r="E281" s="2277" t="str">
        <f t="shared" si="22"/>
        <v>Ho</v>
      </c>
      <c r="F281" s="55">
        <v>50</v>
      </c>
      <c r="G281" s="55" t="s">
        <v>512</v>
      </c>
      <c r="J281" s="55" t="str">
        <f t="shared" si="20"/>
        <v>Hopcap70</v>
      </c>
    </row>
    <row r="282" spans="1:10" hidden="1">
      <c r="A282" s="79" t="s">
        <v>1055</v>
      </c>
      <c r="B282" s="1778"/>
      <c r="C282" s="79" t="s">
        <v>2879</v>
      </c>
      <c r="D282" s="80" t="s">
        <v>2566</v>
      </c>
      <c r="E282" s="2277" t="str">
        <f t="shared" si="22"/>
        <v>Ho</v>
      </c>
      <c r="F282" s="55">
        <v>50</v>
      </c>
      <c r="G282" s="55" t="s">
        <v>512</v>
      </c>
      <c r="J282" s="55" t="str">
        <f t="shared" si="20"/>
        <v>Hopcap50</v>
      </c>
    </row>
    <row r="283" spans="1:10" hidden="1">
      <c r="A283" s="1785" t="s">
        <v>1158</v>
      </c>
      <c r="B283" s="1784" t="s">
        <v>1774</v>
      </c>
      <c r="C283" s="79" t="s">
        <v>4972</v>
      </c>
      <c r="D283" s="80" t="s">
        <v>2566</v>
      </c>
      <c r="E283" s="2277" t="str">
        <f t="shared" si="22"/>
        <v>HO</v>
      </c>
      <c r="F283" s="55">
        <v>50</v>
      </c>
      <c r="G283" s="55" t="s">
        <v>512</v>
      </c>
      <c r="J283" s="55" t="str">
        <f t="shared" si="20"/>
        <v>HOP9C</v>
      </c>
    </row>
    <row r="284" spans="1:10" hidden="1">
      <c r="A284" s="1785" t="s">
        <v>1159</v>
      </c>
      <c r="B284" s="84"/>
      <c r="C284" s="79" t="s">
        <v>2880</v>
      </c>
      <c r="D284" s="80" t="s">
        <v>2566</v>
      </c>
      <c r="E284" s="2277" t="str">
        <f t="shared" si="22"/>
        <v>HO</v>
      </c>
      <c r="F284" s="55">
        <v>50</v>
      </c>
      <c r="G284" s="55" t="s">
        <v>512</v>
      </c>
      <c r="J284" s="55" t="str">
        <f t="shared" si="20"/>
        <v>HOP6C</v>
      </c>
    </row>
    <row r="285" spans="1:10" hidden="1">
      <c r="A285" s="79" t="s">
        <v>1112</v>
      </c>
      <c r="B285" s="1778"/>
      <c r="C285" s="79" t="s">
        <v>2881</v>
      </c>
      <c r="D285" s="80" t="s">
        <v>858</v>
      </c>
      <c r="E285" s="2277" t="str">
        <f t="shared" si="22"/>
        <v>BT</v>
      </c>
      <c r="F285" s="55">
        <v>50</v>
      </c>
      <c r="G285" s="55" t="s">
        <v>512</v>
      </c>
      <c r="J285" s="55" t="str">
        <f t="shared" si="20"/>
        <v>BTNN</v>
      </c>
    </row>
    <row r="286" spans="1:10" hidden="1">
      <c r="A286" s="79" t="s">
        <v>587</v>
      </c>
      <c r="B286" s="1778"/>
      <c r="C286" s="79" t="s">
        <v>2882</v>
      </c>
      <c r="D286" s="80" t="s">
        <v>858</v>
      </c>
      <c r="E286" s="2277" t="str">
        <f t="shared" si="22"/>
        <v>BT</v>
      </c>
      <c r="F286" s="55">
        <v>50</v>
      </c>
      <c r="G286" s="55" t="s">
        <v>512</v>
      </c>
      <c r="J286" s="55" t="str">
        <f t="shared" si="20"/>
        <v>BTNN min</v>
      </c>
    </row>
    <row r="287" spans="1:10" hidden="1">
      <c r="A287" s="79" t="s">
        <v>1219</v>
      </c>
      <c r="B287" s="1778" t="s">
        <v>2039</v>
      </c>
      <c r="C287" s="79" t="s">
        <v>2883</v>
      </c>
      <c r="D287" s="80" t="s">
        <v>1966</v>
      </c>
      <c r="E287" s="2277" t="str">
        <f t="shared" si="22"/>
        <v>BT</v>
      </c>
      <c r="F287" s="55">
        <v>50</v>
      </c>
      <c r="G287" s="55" t="s">
        <v>512</v>
      </c>
      <c r="J287" s="55" t="str">
        <f t="shared" si="20"/>
        <v>BTNN-TL</v>
      </c>
    </row>
    <row r="288" spans="1:10" hidden="1">
      <c r="A288" s="79" t="s">
        <v>130</v>
      </c>
      <c r="B288" s="1778" t="s">
        <v>910</v>
      </c>
      <c r="C288" s="79" t="s">
        <v>2884</v>
      </c>
      <c r="D288" s="80" t="s">
        <v>1966</v>
      </c>
      <c r="E288" s="2277" t="str">
        <f t="shared" si="22"/>
        <v>BT</v>
      </c>
      <c r="F288" s="55">
        <v>50</v>
      </c>
      <c r="G288" s="55" t="s">
        <v>512</v>
      </c>
      <c r="J288" s="55" t="str">
        <f t="shared" si="20"/>
        <v>BTNN-TL min</v>
      </c>
    </row>
    <row r="289" spans="1:10" hidden="1">
      <c r="A289" s="79" t="s">
        <v>1066</v>
      </c>
      <c r="B289" s="84" t="s">
        <v>153</v>
      </c>
      <c r="C289" s="79" t="s">
        <v>1067</v>
      </c>
      <c r="D289" s="80" t="s">
        <v>1966</v>
      </c>
      <c r="E289" s="2277" t="str">
        <f t="shared" si="22"/>
        <v>BT</v>
      </c>
      <c r="F289" s="55">
        <v>50</v>
      </c>
      <c r="G289" s="55" t="s">
        <v>512</v>
      </c>
      <c r="J289" s="55" t="str">
        <f t="shared" si="20"/>
        <v>BT</v>
      </c>
    </row>
    <row r="290" spans="1:10" hidden="1">
      <c r="A290" s="1783" t="s">
        <v>2228</v>
      </c>
      <c r="B290" s="84"/>
      <c r="C290" s="79" t="s">
        <v>2885</v>
      </c>
      <c r="D290" s="80" t="s">
        <v>2566</v>
      </c>
      <c r="E290" s="2277" t="str">
        <f t="shared" si="22"/>
        <v>BI</v>
      </c>
      <c r="F290" s="55">
        <v>50</v>
      </c>
      <c r="G290" s="55" t="s">
        <v>512</v>
      </c>
      <c r="J290" s="55" t="str">
        <f t="shared" si="20"/>
        <v>BIT150</v>
      </c>
    </row>
    <row r="291" spans="1:10" hidden="1">
      <c r="A291" s="1783" t="s">
        <v>314</v>
      </c>
      <c r="B291" s="84"/>
      <c r="C291" s="79" t="s">
        <v>2886</v>
      </c>
      <c r="D291" s="80" t="s">
        <v>2566</v>
      </c>
      <c r="E291" s="2277" t="str">
        <f t="shared" si="22"/>
        <v>BI</v>
      </c>
      <c r="F291" s="55">
        <v>50</v>
      </c>
      <c r="G291" s="55" t="s">
        <v>512</v>
      </c>
      <c r="J291" s="55" t="str">
        <f t="shared" si="20"/>
        <v>BIT120</v>
      </c>
    </row>
    <row r="292" spans="1:10" hidden="1">
      <c r="A292" s="1783" t="s">
        <v>860</v>
      </c>
      <c r="B292" s="84"/>
      <c r="C292" s="79" t="s">
        <v>2887</v>
      </c>
      <c r="D292" s="80" t="s">
        <v>2566</v>
      </c>
      <c r="E292" s="2277" t="str">
        <f t="shared" si="22"/>
        <v>BI</v>
      </c>
      <c r="F292" s="55">
        <v>50</v>
      </c>
      <c r="G292" s="55" t="s">
        <v>512</v>
      </c>
      <c r="J292" s="55" t="str">
        <f t="shared" si="20"/>
        <v>BIT95</v>
      </c>
    </row>
    <row r="293" spans="1:10" hidden="1">
      <c r="A293" s="1783" t="s">
        <v>861</v>
      </c>
      <c r="B293" s="84"/>
      <c r="C293" s="79" t="s">
        <v>2888</v>
      </c>
      <c r="D293" s="80" t="s">
        <v>2566</v>
      </c>
      <c r="E293" s="2277" t="str">
        <f t="shared" si="22"/>
        <v>BI</v>
      </c>
      <c r="F293" s="55">
        <v>50</v>
      </c>
      <c r="G293" s="55" t="s">
        <v>512</v>
      </c>
      <c r="J293" s="55" t="str">
        <f t="shared" si="20"/>
        <v>BIT70</v>
      </c>
    </row>
    <row r="294" spans="1:10" hidden="1">
      <c r="A294" s="1783" t="s">
        <v>862</v>
      </c>
      <c r="B294" s="84"/>
      <c r="C294" s="79" t="s">
        <v>2889</v>
      </c>
      <c r="D294" s="80" t="s">
        <v>2566</v>
      </c>
      <c r="E294" s="2277" t="str">
        <f t="shared" si="22"/>
        <v>BI</v>
      </c>
      <c r="F294" s="55">
        <v>50</v>
      </c>
      <c r="G294" s="55" t="s">
        <v>512</v>
      </c>
      <c r="J294" s="55" t="str">
        <f t="shared" si="20"/>
        <v>BIT50</v>
      </c>
    </row>
    <row r="295" spans="1:10" hidden="1">
      <c r="A295" s="1783" t="s">
        <v>4320</v>
      </c>
      <c r="B295" s="84"/>
      <c r="C295" s="79" t="s">
        <v>2573</v>
      </c>
      <c r="D295" s="80" t="s">
        <v>2566</v>
      </c>
      <c r="E295" s="2277" t="str">
        <f t="shared" si="22"/>
        <v>BI</v>
      </c>
      <c r="F295" s="55">
        <v>50</v>
      </c>
      <c r="G295" s="55" t="s">
        <v>512</v>
      </c>
      <c r="J295" s="55" t="str">
        <f t="shared" si="20"/>
        <v>BIT35</v>
      </c>
    </row>
    <row r="296" spans="1:10" hidden="1">
      <c r="A296" s="79" t="s">
        <v>4352</v>
      </c>
      <c r="B296" s="84"/>
      <c r="C296" s="79" t="s">
        <v>4351</v>
      </c>
      <c r="D296" s="80" t="s">
        <v>2566</v>
      </c>
      <c r="E296" s="2277" t="str">
        <f t="shared" si="22"/>
        <v>KE</v>
      </c>
      <c r="F296" s="55">
        <v>50</v>
      </c>
      <c r="G296" s="55" t="s">
        <v>512</v>
      </c>
      <c r="J296" s="55" t="str">
        <f t="shared" si="20"/>
        <v>KE399</v>
      </c>
    </row>
    <row r="297" spans="1:10" hidden="1">
      <c r="A297" s="79" t="s">
        <v>1117</v>
      </c>
      <c r="B297" s="84"/>
      <c r="C297" s="79" t="s">
        <v>2890</v>
      </c>
      <c r="D297" s="80" t="s">
        <v>2566</v>
      </c>
      <c r="E297" s="2277" t="str">
        <f t="shared" si="22"/>
        <v>KE</v>
      </c>
      <c r="F297" s="55">
        <v>50</v>
      </c>
      <c r="G297" s="55" t="s">
        <v>512</v>
      </c>
      <c r="J297" s="55" t="str">
        <f t="shared" si="20"/>
        <v>KE25</v>
      </c>
    </row>
    <row r="298" spans="1:10" hidden="1">
      <c r="A298" s="79" t="s">
        <v>239</v>
      </c>
      <c r="B298" s="84"/>
      <c r="C298" s="79" t="s">
        <v>2891</v>
      </c>
      <c r="D298" s="80" t="s">
        <v>2566</v>
      </c>
      <c r="E298" s="2277" t="str">
        <f t="shared" si="22"/>
        <v>KE</v>
      </c>
      <c r="F298" s="55">
        <v>50</v>
      </c>
      <c r="G298" s="55" t="s">
        <v>512</v>
      </c>
      <c r="J298" s="55" t="str">
        <f t="shared" si="20"/>
        <v>KE35</v>
      </c>
    </row>
    <row r="299" spans="1:10" hidden="1">
      <c r="A299" s="79" t="s">
        <v>1584</v>
      </c>
      <c r="B299" s="84"/>
      <c r="C299" s="79" t="s">
        <v>2892</v>
      </c>
      <c r="D299" s="80" t="s">
        <v>2566</v>
      </c>
      <c r="E299" s="2277" t="str">
        <f t="shared" si="22"/>
        <v>KE</v>
      </c>
      <c r="F299" s="55">
        <v>50</v>
      </c>
      <c r="G299" s="55" t="s">
        <v>512</v>
      </c>
      <c r="J299" s="55" t="str">
        <f t="shared" si="20"/>
        <v>KE50</v>
      </c>
    </row>
    <row r="300" spans="1:10" hidden="1">
      <c r="A300" s="79" t="s">
        <v>1585</v>
      </c>
      <c r="B300" s="84"/>
      <c r="C300" s="79" t="s">
        <v>2893</v>
      </c>
      <c r="D300" s="80" t="s">
        <v>2566</v>
      </c>
      <c r="E300" s="2277" t="str">
        <f t="shared" si="22"/>
        <v>KE</v>
      </c>
      <c r="F300" s="55">
        <v>50</v>
      </c>
      <c r="G300" s="55" t="s">
        <v>512</v>
      </c>
      <c r="J300" s="55" t="str">
        <f t="shared" si="20"/>
        <v>KE70</v>
      </c>
    </row>
    <row r="301" spans="1:10" hidden="1">
      <c r="A301" s="79" t="s">
        <v>240</v>
      </c>
      <c r="B301" s="84"/>
      <c r="C301" s="79" t="s">
        <v>2894</v>
      </c>
      <c r="D301" s="80" t="s">
        <v>2566</v>
      </c>
      <c r="E301" s="2277" t="str">
        <f t="shared" si="22"/>
        <v>KE</v>
      </c>
      <c r="F301" s="55">
        <v>50</v>
      </c>
      <c r="G301" s="55" t="s">
        <v>512</v>
      </c>
      <c r="J301" s="55" t="str">
        <f t="shared" si="20"/>
        <v>KE95</v>
      </c>
    </row>
    <row r="302" spans="1:10" hidden="1">
      <c r="A302" s="79" t="s">
        <v>241</v>
      </c>
      <c r="B302" s="84"/>
      <c r="C302" s="79" t="s">
        <v>2895</v>
      </c>
      <c r="D302" s="80" t="s">
        <v>2566</v>
      </c>
      <c r="E302" s="2277" t="str">
        <f t="shared" si="22"/>
        <v>KE</v>
      </c>
      <c r="F302" s="55">
        <v>50</v>
      </c>
      <c r="G302" s="55" t="s">
        <v>512</v>
      </c>
      <c r="J302" s="55" t="str">
        <f t="shared" si="20"/>
        <v>KE120</v>
      </c>
    </row>
    <row r="303" spans="1:10" hidden="1">
      <c r="A303" s="79" t="s">
        <v>16</v>
      </c>
      <c r="B303" s="84"/>
      <c r="C303" s="79" t="s">
        <v>2896</v>
      </c>
      <c r="D303" s="80" t="s">
        <v>2566</v>
      </c>
      <c r="E303" s="2277" t="str">
        <f t="shared" si="22"/>
        <v>KE</v>
      </c>
      <c r="F303" s="55">
        <v>50</v>
      </c>
      <c r="G303" s="55" t="s">
        <v>512</v>
      </c>
      <c r="J303" s="55" t="str">
        <f t="shared" si="20"/>
        <v>KE150</v>
      </c>
    </row>
    <row r="304" spans="1:10" hidden="1">
      <c r="A304" s="79" t="s">
        <v>710</v>
      </c>
      <c r="B304" s="84"/>
      <c r="C304" s="79" t="s">
        <v>2897</v>
      </c>
      <c r="D304" s="80" t="s">
        <v>2566</v>
      </c>
      <c r="E304" s="2277" t="str">
        <f t="shared" si="22"/>
        <v>KE</v>
      </c>
      <c r="F304" s="55">
        <v>50</v>
      </c>
      <c r="G304" s="55" t="s">
        <v>512</v>
      </c>
      <c r="J304" s="55" t="str">
        <f t="shared" si="20"/>
        <v>KE185</v>
      </c>
    </row>
    <row r="305" spans="1:10" hidden="1">
      <c r="A305" s="79" t="s">
        <v>711</v>
      </c>
      <c r="B305" s="84"/>
      <c r="C305" s="79" t="s">
        <v>2898</v>
      </c>
      <c r="D305" s="80" t="s">
        <v>2566</v>
      </c>
      <c r="E305" s="2277" t="str">
        <f t="shared" si="22"/>
        <v>KE</v>
      </c>
      <c r="F305" s="55">
        <v>50</v>
      </c>
      <c r="G305" s="55" t="s">
        <v>512</v>
      </c>
      <c r="J305" s="55" t="str">
        <f t="shared" si="20"/>
        <v>KE240</v>
      </c>
    </row>
    <row r="306" spans="1:10" hidden="1">
      <c r="A306" s="79" t="s">
        <v>1483</v>
      </c>
      <c r="B306" s="1778"/>
      <c r="C306" s="79" t="s">
        <v>2899</v>
      </c>
      <c r="D306" s="80" t="s">
        <v>2566</v>
      </c>
      <c r="E306" s="2277" t="str">
        <f t="shared" si="22"/>
        <v>KC</v>
      </c>
      <c r="F306" s="55">
        <v>50</v>
      </c>
      <c r="G306" s="55" t="s">
        <v>512</v>
      </c>
      <c r="J306" s="55" t="str">
        <f t="shared" si="20"/>
        <v>KCUAL</v>
      </c>
    </row>
    <row r="307" spans="1:10" hidden="1">
      <c r="A307" s="79" t="s">
        <v>1879</v>
      </c>
      <c r="B307" s="1778"/>
      <c r="C307" s="79" t="s">
        <v>2900</v>
      </c>
      <c r="D307" s="80" t="s">
        <v>2566</v>
      </c>
      <c r="E307" s="2277" t="str">
        <f t="shared" si="22"/>
        <v>KC</v>
      </c>
      <c r="F307" s="55">
        <v>50</v>
      </c>
      <c r="G307" s="55" t="s">
        <v>512</v>
      </c>
      <c r="J307" s="55" t="str">
        <f t="shared" si="20"/>
        <v>KCUAL60</v>
      </c>
    </row>
    <row r="308" spans="1:10" hidden="1">
      <c r="A308" s="79" t="s">
        <v>1484</v>
      </c>
      <c r="B308" s="84" t="s">
        <v>1763</v>
      </c>
      <c r="C308" s="79" t="s">
        <v>3813</v>
      </c>
      <c r="D308" s="80" t="s">
        <v>2566</v>
      </c>
      <c r="E308" s="2277" t="str">
        <f t="shared" ref="E308" si="23">LEFT(A308,2)</f>
        <v>KQ</v>
      </c>
      <c r="F308" s="55">
        <v>50</v>
      </c>
      <c r="G308" s="55" t="s">
        <v>512</v>
      </c>
      <c r="J308" s="55" t="str">
        <f t="shared" si="20"/>
        <v>KQ2/0</v>
      </c>
    </row>
    <row r="309" spans="1:10" hidden="1">
      <c r="A309" s="79" t="s">
        <v>4494</v>
      </c>
      <c r="B309" s="84" t="s">
        <v>1763</v>
      </c>
      <c r="C309" s="79" t="s">
        <v>4375</v>
      </c>
      <c r="D309" s="80" t="s">
        <v>2448</v>
      </c>
      <c r="E309" s="2277" t="str">
        <f t="shared" si="22"/>
        <v>KQ</v>
      </c>
      <c r="F309" s="55">
        <v>50</v>
      </c>
      <c r="G309" s="55" t="s">
        <v>512</v>
      </c>
      <c r="J309" s="55" t="str">
        <f t="shared" si="20"/>
        <v xml:space="preserve">KQ2/0 </v>
      </c>
    </row>
    <row r="310" spans="1:10" hidden="1">
      <c r="A310" s="79" t="s">
        <v>236</v>
      </c>
      <c r="B310" s="84" t="s">
        <v>1763</v>
      </c>
      <c r="C310" s="79" t="s">
        <v>2901</v>
      </c>
      <c r="D310" s="80" t="s">
        <v>2566</v>
      </c>
      <c r="E310" s="2277" t="str">
        <f t="shared" si="22"/>
        <v>KQ</v>
      </c>
      <c r="F310" s="55">
        <v>50</v>
      </c>
      <c r="G310" s="55" t="s">
        <v>512</v>
      </c>
      <c r="J310" s="55" t="str">
        <f t="shared" si="20"/>
        <v>KQ4/0</v>
      </c>
    </row>
    <row r="311" spans="1:10" hidden="1">
      <c r="A311" s="79" t="s">
        <v>4528</v>
      </c>
      <c r="B311" s="84" t="s">
        <v>1763</v>
      </c>
      <c r="C311" s="79" t="s">
        <v>4529</v>
      </c>
      <c r="D311" s="80" t="s">
        <v>2566</v>
      </c>
      <c r="E311" s="2277" t="str">
        <f t="shared" ref="E311" si="24">LEFT(A311,2)</f>
        <v>KQ</v>
      </c>
      <c r="F311" s="55">
        <v>50</v>
      </c>
      <c r="G311" s="55" t="s">
        <v>512</v>
      </c>
      <c r="J311" s="55" t="str">
        <f t="shared" si="20"/>
        <v xml:space="preserve">KQ4/0 </v>
      </c>
    </row>
    <row r="312" spans="1:10" hidden="1">
      <c r="A312" s="79" t="s">
        <v>1482</v>
      </c>
      <c r="B312" s="84" t="s">
        <v>1763</v>
      </c>
      <c r="C312" s="79" t="s">
        <v>4365</v>
      </c>
      <c r="D312" s="80" t="s">
        <v>2566</v>
      </c>
      <c r="E312" s="2277" t="str">
        <f t="shared" si="22"/>
        <v>KH</v>
      </c>
      <c r="F312" s="55">
        <v>50</v>
      </c>
      <c r="G312" s="55" t="s">
        <v>512</v>
      </c>
      <c r="J312" s="55" t="str">
        <f t="shared" si="20"/>
        <v>KH2/0</v>
      </c>
    </row>
    <row r="313" spans="1:10" hidden="1">
      <c r="A313" s="79" t="s">
        <v>1051</v>
      </c>
      <c r="B313" s="84" t="s">
        <v>1763</v>
      </c>
      <c r="C313" s="79" t="s">
        <v>2902</v>
      </c>
      <c r="D313" s="80" t="s">
        <v>2566</v>
      </c>
      <c r="E313" s="2277" t="str">
        <f t="shared" si="22"/>
        <v>KH</v>
      </c>
      <c r="F313" s="55">
        <v>50</v>
      </c>
      <c r="G313" s="55" t="s">
        <v>512</v>
      </c>
      <c r="J313" s="55" t="str">
        <f t="shared" si="20"/>
        <v>KH4/0</v>
      </c>
    </row>
    <row r="314" spans="1:10" hidden="1">
      <c r="A314" s="79" t="s">
        <v>1676</v>
      </c>
      <c r="B314" s="84" t="s">
        <v>1763</v>
      </c>
      <c r="C314" s="79" t="s">
        <v>2903</v>
      </c>
      <c r="D314" s="80" t="s">
        <v>2566</v>
      </c>
      <c r="E314" s="2277" t="str">
        <f t="shared" si="22"/>
        <v>KH</v>
      </c>
      <c r="F314" s="55">
        <v>50</v>
      </c>
      <c r="G314" s="55" t="s">
        <v>512</v>
      </c>
      <c r="J314" s="55" t="str">
        <f t="shared" si="20"/>
        <v>KH350M</v>
      </c>
    </row>
    <row r="315" spans="1:10" hidden="1">
      <c r="A315" s="79" t="s">
        <v>957</v>
      </c>
      <c r="B315" s="1778"/>
      <c r="C315" s="79" t="s">
        <v>2904</v>
      </c>
      <c r="D315" s="80" t="s">
        <v>2566</v>
      </c>
      <c r="E315" s="2277" t="str">
        <f t="shared" si="22"/>
        <v>KE</v>
      </c>
      <c r="F315" s="55">
        <v>50</v>
      </c>
      <c r="G315" s="55" t="s">
        <v>512</v>
      </c>
      <c r="J315" s="55" t="str">
        <f t="shared" si="20"/>
        <v>KEU35</v>
      </c>
    </row>
    <row r="316" spans="1:10" hidden="1">
      <c r="A316" s="79" t="s">
        <v>2169</v>
      </c>
      <c r="B316" s="1778"/>
      <c r="C316" s="79" t="s">
        <v>2905</v>
      </c>
      <c r="D316" s="80" t="s">
        <v>2566</v>
      </c>
      <c r="E316" s="2277" t="str">
        <f t="shared" si="22"/>
        <v>KE</v>
      </c>
      <c r="F316" s="55">
        <v>50</v>
      </c>
      <c r="G316" s="55" t="s">
        <v>512</v>
      </c>
      <c r="J316" s="55" t="str">
        <f t="shared" si="20"/>
        <v>KEU50</v>
      </c>
    </row>
    <row r="317" spans="1:10" hidden="1">
      <c r="A317" s="79" t="s">
        <v>2170</v>
      </c>
      <c r="B317" s="1778"/>
      <c r="C317" s="79" t="s">
        <v>2906</v>
      </c>
      <c r="D317" s="80" t="s">
        <v>2566</v>
      </c>
      <c r="E317" s="2277" t="str">
        <f t="shared" si="22"/>
        <v>KE</v>
      </c>
      <c r="F317" s="55">
        <v>50</v>
      </c>
      <c r="G317" s="55" t="s">
        <v>512</v>
      </c>
      <c r="J317" s="55" t="str">
        <f t="shared" si="20"/>
        <v>KEU70</v>
      </c>
    </row>
    <row r="318" spans="1:10" hidden="1">
      <c r="A318" s="79" t="s">
        <v>1603</v>
      </c>
      <c r="B318" s="1778"/>
      <c r="C318" s="79" t="s">
        <v>2907</v>
      </c>
      <c r="D318" s="80" t="s">
        <v>2566</v>
      </c>
      <c r="E318" s="2277" t="str">
        <f t="shared" si="22"/>
        <v>KE</v>
      </c>
      <c r="F318" s="55">
        <v>50</v>
      </c>
      <c r="G318" s="55" t="s">
        <v>512</v>
      </c>
      <c r="J318" s="55" t="str">
        <f t="shared" si="20"/>
        <v>KEU95</v>
      </c>
    </row>
    <row r="319" spans="1:10" hidden="1">
      <c r="A319" s="1779" t="s">
        <v>1858</v>
      </c>
      <c r="B319" s="84"/>
      <c r="C319" s="79" t="s">
        <v>2908</v>
      </c>
      <c r="D319" s="80" t="s">
        <v>2566</v>
      </c>
      <c r="E319" s="2277" t="str">
        <f t="shared" si="22"/>
        <v>Kd</v>
      </c>
      <c r="F319" s="55">
        <v>50</v>
      </c>
      <c r="G319" s="55" t="s">
        <v>512</v>
      </c>
      <c r="J319" s="55" t="str">
        <f t="shared" si="20"/>
        <v>Kd50</v>
      </c>
    </row>
    <row r="320" spans="1:10" hidden="1">
      <c r="A320" s="1779" t="s">
        <v>359</v>
      </c>
      <c r="B320" s="84"/>
      <c r="C320" s="79" t="s">
        <v>2909</v>
      </c>
      <c r="D320" s="80" t="s">
        <v>2566</v>
      </c>
      <c r="E320" s="2277" t="str">
        <f t="shared" si="22"/>
        <v>Kd</v>
      </c>
      <c r="F320" s="55">
        <v>50</v>
      </c>
      <c r="G320" s="55" t="s">
        <v>512</v>
      </c>
      <c r="J320" s="55" t="str">
        <f t="shared" si="20"/>
        <v>Kd70</v>
      </c>
    </row>
    <row r="321" spans="1:10" hidden="1">
      <c r="A321" s="1779" t="s">
        <v>2262</v>
      </c>
      <c r="B321" s="84"/>
      <c r="C321" s="79" t="s">
        <v>2910</v>
      </c>
      <c r="D321" s="80" t="s">
        <v>2566</v>
      </c>
      <c r="E321" s="2277" t="str">
        <f t="shared" si="22"/>
        <v>Kd</v>
      </c>
      <c r="F321" s="55">
        <v>50</v>
      </c>
      <c r="G321" s="55" t="s">
        <v>512</v>
      </c>
      <c r="J321" s="55" t="str">
        <f t="shared" si="20"/>
        <v>Kd95</v>
      </c>
    </row>
    <row r="322" spans="1:10" hidden="1">
      <c r="A322" s="1779" t="s">
        <v>2263</v>
      </c>
      <c r="B322" s="84"/>
      <c r="C322" s="79" t="s">
        <v>2911</v>
      </c>
      <c r="D322" s="80" t="s">
        <v>2566</v>
      </c>
      <c r="E322" s="2277" t="str">
        <f t="shared" si="22"/>
        <v>Kd</v>
      </c>
      <c r="F322" s="55">
        <v>50</v>
      </c>
      <c r="G322" s="55" t="s">
        <v>512</v>
      </c>
      <c r="J322" s="55" t="str">
        <f t="shared" si="20"/>
        <v>Kd120</v>
      </c>
    </row>
    <row r="323" spans="1:10" hidden="1">
      <c r="A323" s="1779" t="s">
        <v>329</v>
      </c>
      <c r="B323" s="84"/>
      <c r="C323" s="79" t="s">
        <v>2912</v>
      </c>
      <c r="D323" s="80" t="s">
        <v>2566</v>
      </c>
      <c r="E323" s="2277" t="str">
        <f t="shared" si="22"/>
        <v>Kd</v>
      </c>
      <c r="F323" s="55">
        <v>50</v>
      </c>
      <c r="G323" s="55" t="s">
        <v>512</v>
      </c>
      <c r="J323" s="55" t="str">
        <f t="shared" si="20"/>
        <v>Kd150</v>
      </c>
    </row>
    <row r="324" spans="1:10" hidden="1">
      <c r="A324" s="1779" t="s">
        <v>330</v>
      </c>
      <c r="B324" s="84"/>
      <c r="C324" s="79" t="s">
        <v>2913</v>
      </c>
      <c r="D324" s="80" t="s">
        <v>2566</v>
      </c>
      <c r="E324" s="2277" t="str">
        <f t="shared" si="22"/>
        <v>Kd</v>
      </c>
      <c r="F324" s="55">
        <v>50</v>
      </c>
      <c r="G324" s="55" t="s">
        <v>512</v>
      </c>
      <c r="J324" s="55" t="str">
        <f t="shared" si="20"/>
        <v>Kd185</v>
      </c>
    </row>
    <row r="325" spans="1:10" hidden="1">
      <c r="A325" s="1779" t="s">
        <v>331</v>
      </c>
      <c r="B325" s="84"/>
      <c r="C325" s="79" t="s">
        <v>2914</v>
      </c>
      <c r="D325" s="80" t="s">
        <v>2566</v>
      </c>
      <c r="E325" s="2277" t="str">
        <f t="shared" si="22"/>
        <v>Kd</v>
      </c>
      <c r="F325" s="55">
        <v>50</v>
      </c>
      <c r="G325" s="55" t="s">
        <v>512</v>
      </c>
      <c r="J325" s="55" t="str">
        <f t="shared" si="20"/>
        <v>Kd240</v>
      </c>
    </row>
    <row r="326" spans="1:10" hidden="1">
      <c r="A326" s="1779" t="s">
        <v>1485</v>
      </c>
      <c r="B326" s="84"/>
      <c r="C326" s="79" t="s">
        <v>2915</v>
      </c>
      <c r="D326" s="80" t="s">
        <v>2566</v>
      </c>
      <c r="E326" s="2277" t="str">
        <f t="shared" si="22"/>
        <v>KD</v>
      </c>
      <c r="F326" s="55">
        <v>50</v>
      </c>
      <c r="G326" s="55" t="s">
        <v>512</v>
      </c>
      <c r="J326" s="55" t="str">
        <f t="shared" si="20"/>
        <v>KD357</v>
      </c>
    </row>
    <row r="327" spans="1:10" hidden="1">
      <c r="A327" s="1779" t="s">
        <v>2261</v>
      </c>
      <c r="B327" s="84"/>
      <c r="C327" s="79" t="s">
        <v>2916</v>
      </c>
      <c r="D327" s="80" t="s">
        <v>2566</v>
      </c>
      <c r="E327" s="2277" t="str">
        <f t="shared" si="22"/>
        <v>KD</v>
      </c>
      <c r="F327" s="55">
        <v>50</v>
      </c>
      <c r="G327" s="55" t="s">
        <v>512</v>
      </c>
      <c r="J327" s="55" t="str">
        <f t="shared" si="20"/>
        <v>KD912</v>
      </c>
    </row>
    <row r="328" spans="1:10" hidden="1">
      <c r="A328" s="1779" t="s">
        <v>1679</v>
      </c>
      <c r="B328" s="84"/>
      <c r="C328" s="79" t="s">
        <v>2917</v>
      </c>
      <c r="D328" s="80" t="s">
        <v>2566</v>
      </c>
      <c r="E328" s="2277" t="str">
        <f t="shared" si="22"/>
        <v>KD</v>
      </c>
      <c r="F328" s="55">
        <v>50</v>
      </c>
      <c r="G328" s="55" t="s">
        <v>512</v>
      </c>
      <c r="J328" s="55" t="str">
        <f t="shared" ref="J328:J393" si="25">A328</f>
        <v>KD158</v>
      </c>
    </row>
    <row r="329" spans="1:10" hidden="1">
      <c r="A329" s="79" t="s">
        <v>479</v>
      </c>
      <c r="B329" s="1778"/>
      <c r="C329" s="79" t="s">
        <v>2918</v>
      </c>
      <c r="D329" s="80" t="s">
        <v>2566</v>
      </c>
      <c r="E329" s="2277" t="str">
        <f t="shared" si="22"/>
        <v>KN</v>
      </c>
      <c r="F329" s="55">
        <v>50</v>
      </c>
      <c r="G329" s="55" t="s">
        <v>512</v>
      </c>
      <c r="J329" s="55" t="str">
        <f t="shared" si="25"/>
        <v>KN35</v>
      </c>
    </row>
    <row r="330" spans="1:10" hidden="1">
      <c r="A330" s="79" t="s">
        <v>1487</v>
      </c>
      <c r="B330" s="1778"/>
      <c r="C330" s="79" t="s">
        <v>2919</v>
      </c>
      <c r="D330" s="80" t="s">
        <v>2566</v>
      </c>
      <c r="E330" s="2277" t="str">
        <f t="shared" si="22"/>
        <v>KN</v>
      </c>
      <c r="F330" s="55">
        <v>50</v>
      </c>
      <c r="G330" s="55" t="s">
        <v>512</v>
      </c>
      <c r="J330" s="55" t="str">
        <f t="shared" si="25"/>
        <v>KN50</v>
      </c>
    </row>
    <row r="331" spans="1:10" hidden="1">
      <c r="A331" s="1779" t="s">
        <v>2239</v>
      </c>
      <c r="B331" s="84"/>
      <c r="C331" s="79" t="s">
        <v>2920</v>
      </c>
      <c r="D331" s="80" t="s">
        <v>2566</v>
      </c>
      <c r="E331" s="2277" t="str">
        <f t="shared" si="22"/>
        <v>KN</v>
      </c>
      <c r="F331" s="55">
        <v>50</v>
      </c>
      <c r="G331" s="55" t="s">
        <v>512</v>
      </c>
      <c r="J331" s="55" t="str">
        <f t="shared" si="25"/>
        <v>KN70</v>
      </c>
    </row>
    <row r="332" spans="1:10" hidden="1">
      <c r="A332" s="1779" t="s">
        <v>1262</v>
      </c>
      <c r="B332" s="84"/>
      <c r="C332" s="79" t="s">
        <v>2921</v>
      </c>
      <c r="D332" s="80" t="s">
        <v>2566</v>
      </c>
      <c r="E332" s="2277" t="str">
        <f t="shared" si="22"/>
        <v>KN</v>
      </c>
      <c r="F332" s="55">
        <v>50</v>
      </c>
      <c r="G332" s="55" t="s">
        <v>512</v>
      </c>
      <c r="J332" s="55" t="str">
        <f t="shared" si="25"/>
        <v>KN95</v>
      </c>
    </row>
    <row r="333" spans="1:10" hidden="1">
      <c r="A333" s="1779" t="s">
        <v>431</v>
      </c>
      <c r="B333" s="84"/>
      <c r="C333" s="79" t="s">
        <v>2922</v>
      </c>
      <c r="D333" s="80" t="s">
        <v>2566</v>
      </c>
      <c r="E333" s="2277" t="str">
        <f t="shared" si="22"/>
        <v>KN</v>
      </c>
      <c r="F333" s="55">
        <v>50</v>
      </c>
      <c r="G333" s="55" t="s">
        <v>512</v>
      </c>
      <c r="J333" s="55" t="str">
        <f t="shared" si="25"/>
        <v>KN120</v>
      </c>
    </row>
    <row r="334" spans="1:10" hidden="1">
      <c r="A334" s="1779" t="s">
        <v>2117</v>
      </c>
      <c r="B334" s="84"/>
      <c r="C334" s="79" t="s">
        <v>2923</v>
      </c>
      <c r="D334" s="80" t="s">
        <v>2566</v>
      </c>
      <c r="E334" s="2277" t="str">
        <f t="shared" si="22"/>
        <v>KN</v>
      </c>
      <c r="F334" s="55">
        <v>50</v>
      </c>
      <c r="G334" s="55" t="s">
        <v>512</v>
      </c>
      <c r="J334" s="55" t="str">
        <f t="shared" si="25"/>
        <v>KN150</v>
      </c>
    </row>
    <row r="335" spans="1:10" hidden="1">
      <c r="A335" s="1779" t="s">
        <v>1748</v>
      </c>
      <c r="B335" s="84"/>
      <c r="C335" s="79" t="s">
        <v>2924</v>
      </c>
      <c r="D335" s="80" t="s">
        <v>2566</v>
      </c>
      <c r="E335" s="2277" t="str">
        <f t="shared" ref="E335:E412" si="26">LEFT(A335,2)</f>
        <v>KN</v>
      </c>
      <c r="F335" s="55">
        <v>50</v>
      </c>
      <c r="G335" s="55" t="s">
        <v>512</v>
      </c>
      <c r="J335" s="55" t="str">
        <f t="shared" si="25"/>
        <v>KN185</v>
      </c>
    </row>
    <row r="336" spans="1:10" hidden="1">
      <c r="A336" s="1779" t="s">
        <v>1747</v>
      </c>
      <c r="B336" s="84"/>
      <c r="C336" s="79" t="s">
        <v>2925</v>
      </c>
      <c r="D336" s="80" t="s">
        <v>2566</v>
      </c>
      <c r="E336" s="2277" t="str">
        <f t="shared" si="26"/>
        <v>KN</v>
      </c>
      <c r="F336" s="55">
        <v>50</v>
      </c>
      <c r="G336" s="55" t="s">
        <v>512</v>
      </c>
      <c r="J336" s="55" t="str">
        <f t="shared" si="25"/>
        <v>KN240</v>
      </c>
    </row>
    <row r="337" spans="1:10" hidden="1">
      <c r="A337" s="1779" t="s">
        <v>106</v>
      </c>
      <c r="B337" s="84"/>
      <c r="C337" s="79" t="s">
        <v>2926</v>
      </c>
      <c r="D337" s="80" t="s">
        <v>2566</v>
      </c>
      <c r="E337" s="2277" t="str">
        <f t="shared" si="26"/>
        <v>KN</v>
      </c>
      <c r="F337" s="55">
        <v>50</v>
      </c>
      <c r="G337" s="55" t="s">
        <v>512</v>
      </c>
      <c r="J337" s="55" t="str">
        <f t="shared" si="25"/>
        <v>KN158</v>
      </c>
    </row>
    <row r="338" spans="1:10" hidden="1">
      <c r="A338" s="1779" t="s">
        <v>1601</v>
      </c>
      <c r="B338" s="84"/>
      <c r="C338" s="79" t="s">
        <v>2927</v>
      </c>
      <c r="D338" s="80" t="s">
        <v>2566</v>
      </c>
      <c r="E338" s="2277" t="str">
        <f t="shared" si="26"/>
        <v>KN</v>
      </c>
      <c r="F338" s="55">
        <v>50</v>
      </c>
      <c r="G338" s="55" t="s">
        <v>512</v>
      </c>
      <c r="J338" s="55" t="str">
        <f t="shared" si="25"/>
        <v>KN912</v>
      </c>
    </row>
    <row r="339" spans="1:10" hidden="1">
      <c r="A339" s="1779" t="s">
        <v>1488</v>
      </c>
      <c r="B339" s="84"/>
      <c r="C339" s="79" t="s">
        <v>2928</v>
      </c>
      <c r="D339" s="80" t="s">
        <v>2566</v>
      </c>
      <c r="E339" s="2277" t="str">
        <f t="shared" si="26"/>
        <v>KN</v>
      </c>
      <c r="F339" s="55">
        <v>50</v>
      </c>
      <c r="G339" s="55" t="s">
        <v>512</v>
      </c>
      <c r="J339" s="55" t="str">
        <f t="shared" si="25"/>
        <v>KN357</v>
      </c>
    </row>
    <row r="340" spans="1:10" hidden="1">
      <c r="A340" s="79" t="s">
        <v>544</v>
      </c>
      <c r="B340" s="84"/>
      <c r="C340" s="79" t="s">
        <v>4958</v>
      </c>
      <c r="D340" s="80" t="s">
        <v>2566</v>
      </c>
      <c r="E340" s="2277" t="str">
        <f t="shared" si="26"/>
        <v>GN</v>
      </c>
      <c r="F340" s="55">
        <v>50</v>
      </c>
      <c r="G340" s="55" t="s">
        <v>512</v>
      </c>
      <c r="J340" s="55" t="str">
        <f t="shared" si="25"/>
        <v>GNIU</v>
      </c>
    </row>
    <row r="341" spans="1:10" hidden="1">
      <c r="A341" s="79" t="s">
        <v>2007</v>
      </c>
      <c r="B341" s="1778"/>
      <c r="C341" s="79" t="s">
        <v>2929</v>
      </c>
      <c r="D341" s="80" t="s">
        <v>2566</v>
      </c>
      <c r="E341" s="2277" t="str">
        <f t="shared" si="26"/>
        <v>MA</v>
      </c>
      <c r="F341" s="55">
        <v>50</v>
      </c>
      <c r="G341" s="55" t="s">
        <v>512</v>
      </c>
      <c r="J341" s="55" t="str">
        <f t="shared" si="25"/>
        <v>MANG</v>
      </c>
    </row>
    <row r="342" spans="1:10" hidden="1">
      <c r="A342" s="79" t="s">
        <v>1489</v>
      </c>
      <c r="B342" s="1778"/>
      <c r="C342" s="79" t="s">
        <v>2930</v>
      </c>
      <c r="D342" s="80" t="s">
        <v>2566</v>
      </c>
      <c r="E342" s="2277" t="str">
        <f t="shared" si="26"/>
        <v>MN</v>
      </c>
      <c r="F342" s="55">
        <v>50</v>
      </c>
      <c r="G342" s="55" t="s">
        <v>512</v>
      </c>
      <c r="J342" s="55" t="str">
        <f t="shared" si="25"/>
        <v>MND</v>
      </c>
    </row>
    <row r="343" spans="1:10" hidden="1">
      <c r="A343" s="79" t="s">
        <v>1490</v>
      </c>
      <c r="B343" s="1778"/>
      <c r="C343" s="79" t="s">
        <v>2931</v>
      </c>
      <c r="D343" s="80" t="s">
        <v>2566</v>
      </c>
      <c r="E343" s="2277" t="str">
        <f t="shared" si="26"/>
        <v>MN</v>
      </c>
      <c r="F343" s="55">
        <v>50</v>
      </c>
      <c r="G343" s="55" t="s">
        <v>512</v>
      </c>
      <c r="J343" s="55" t="str">
        <f t="shared" si="25"/>
        <v>MNTG</v>
      </c>
    </row>
    <row r="344" spans="1:10" hidden="1">
      <c r="A344" s="79" t="s">
        <v>1491</v>
      </c>
      <c r="B344" s="1778"/>
      <c r="C344" s="79" t="s">
        <v>2932</v>
      </c>
      <c r="D344" s="80" t="s">
        <v>2566</v>
      </c>
      <c r="E344" s="2277" t="str">
        <f t="shared" si="26"/>
        <v>MT</v>
      </c>
      <c r="F344" s="55">
        <v>50</v>
      </c>
      <c r="G344" s="55" t="s">
        <v>512</v>
      </c>
      <c r="J344" s="55" t="str">
        <f t="shared" si="25"/>
        <v>MT</v>
      </c>
    </row>
    <row r="345" spans="1:10" hidden="1">
      <c r="A345" s="79" t="s">
        <v>1257</v>
      </c>
      <c r="B345" s="1778"/>
      <c r="C345" s="79" t="s">
        <v>2933</v>
      </c>
      <c r="D345" s="80" t="s">
        <v>2566</v>
      </c>
      <c r="E345" s="2277" t="str">
        <f t="shared" si="26"/>
        <v>MT</v>
      </c>
      <c r="F345" s="55">
        <v>50</v>
      </c>
      <c r="G345" s="55" t="s">
        <v>512</v>
      </c>
      <c r="J345" s="55" t="str">
        <f t="shared" si="25"/>
        <v>MT61A</v>
      </c>
    </row>
    <row r="346" spans="1:10" hidden="1">
      <c r="A346" s="79" t="s">
        <v>1574</v>
      </c>
      <c r="B346" s="1778"/>
      <c r="C346" s="79" t="s">
        <v>2934</v>
      </c>
      <c r="D346" s="80" t="s">
        <v>2566</v>
      </c>
      <c r="E346" s="2277" t="str">
        <f t="shared" si="26"/>
        <v>VT</v>
      </c>
      <c r="F346" s="55">
        <v>50</v>
      </c>
      <c r="G346" s="55" t="s">
        <v>512</v>
      </c>
      <c r="J346" s="55" t="str">
        <f t="shared" si="25"/>
        <v>VT</v>
      </c>
    </row>
    <row r="347" spans="1:10" hidden="1">
      <c r="A347" s="1779" t="s">
        <v>707</v>
      </c>
      <c r="B347" s="84"/>
      <c r="C347" s="79" t="s">
        <v>2935</v>
      </c>
      <c r="D347" s="80" t="s">
        <v>2566</v>
      </c>
      <c r="E347" s="2277" t="str">
        <f t="shared" si="26"/>
        <v>ON</v>
      </c>
      <c r="F347" s="55">
        <v>50</v>
      </c>
      <c r="G347" s="55" t="s">
        <v>512</v>
      </c>
      <c r="J347" s="55" t="str">
        <f t="shared" si="25"/>
        <v>ON240A</v>
      </c>
    </row>
    <row r="348" spans="1:10" hidden="1">
      <c r="A348" s="1779" t="s">
        <v>209</v>
      </c>
      <c r="B348" s="84"/>
      <c r="C348" s="79" t="s">
        <v>2936</v>
      </c>
      <c r="D348" s="80" t="s">
        <v>2566</v>
      </c>
      <c r="E348" s="2277" t="str">
        <f t="shared" si="26"/>
        <v>ON</v>
      </c>
      <c r="F348" s="55">
        <v>50</v>
      </c>
      <c r="G348" s="55" t="s">
        <v>512</v>
      </c>
      <c r="J348" s="55" t="str">
        <f t="shared" si="25"/>
        <v>ON185A</v>
      </c>
    </row>
    <row r="349" spans="1:10" hidden="1">
      <c r="A349" s="1779" t="s">
        <v>2226</v>
      </c>
      <c r="B349" s="84"/>
      <c r="C349" s="79" t="s">
        <v>2937</v>
      </c>
      <c r="D349" s="80" t="s">
        <v>2566</v>
      </c>
      <c r="E349" s="2277" t="str">
        <f t="shared" si="26"/>
        <v>ON</v>
      </c>
      <c r="F349" s="55">
        <v>50</v>
      </c>
      <c r="G349" s="55" t="s">
        <v>512</v>
      </c>
      <c r="J349" s="55" t="str">
        <f t="shared" si="25"/>
        <v>ON120A</v>
      </c>
    </row>
    <row r="350" spans="1:10" hidden="1">
      <c r="A350" s="79" t="s">
        <v>524</v>
      </c>
      <c r="B350" s="1778"/>
      <c r="C350" s="79" t="s">
        <v>2938</v>
      </c>
      <c r="D350" s="80" t="s">
        <v>2566</v>
      </c>
      <c r="E350" s="2277" t="str">
        <f t="shared" si="26"/>
        <v>ON</v>
      </c>
      <c r="F350" s="55">
        <v>50</v>
      </c>
      <c r="G350" s="55" t="s">
        <v>512</v>
      </c>
      <c r="J350" s="55" t="str">
        <f t="shared" si="25"/>
        <v>ON95A</v>
      </c>
    </row>
    <row r="351" spans="1:10" hidden="1">
      <c r="A351" s="1779" t="s">
        <v>523</v>
      </c>
      <c r="B351" s="84"/>
      <c r="C351" s="79" t="s">
        <v>2939</v>
      </c>
      <c r="D351" s="80" t="s">
        <v>2566</v>
      </c>
      <c r="E351" s="2277" t="str">
        <f t="shared" si="26"/>
        <v>ON</v>
      </c>
      <c r="F351" s="55">
        <v>50</v>
      </c>
      <c r="G351" s="55" t="s">
        <v>512</v>
      </c>
      <c r="J351" s="55" t="str">
        <f t="shared" si="25"/>
        <v>ON70A</v>
      </c>
    </row>
    <row r="352" spans="1:10" hidden="1">
      <c r="A352" s="1779" t="s">
        <v>522</v>
      </c>
      <c r="B352" s="84"/>
      <c r="C352" s="79" t="s">
        <v>2940</v>
      </c>
      <c r="D352" s="80" t="s">
        <v>2566</v>
      </c>
      <c r="E352" s="2277" t="str">
        <f t="shared" si="26"/>
        <v>ON</v>
      </c>
      <c r="F352" s="55">
        <v>50</v>
      </c>
      <c r="G352" s="55" t="s">
        <v>512</v>
      </c>
      <c r="J352" s="55" t="str">
        <f t="shared" si="25"/>
        <v>ON50A</v>
      </c>
    </row>
    <row r="353" spans="1:10" hidden="1">
      <c r="A353" s="1779" t="s">
        <v>618</v>
      </c>
      <c r="B353" s="84"/>
      <c r="C353" s="79" t="s">
        <v>2941</v>
      </c>
      <c r="D353" s="80" t="s">
        <v>2566</v>
      </c>
      <c r="E353" s="2277" t="str">
        <f t="shared" si="26"/>
        <v>ON</v>
      </c>
      <c r="F353" s="55">
        <v>50</v>
      </c>
      <c r="G353" s="55" t="s">
        <v>512</v>
      </c>
      <c r="J353" s="55" t="str">
        <f t="shared" si="25"/>
        <v>ON35A</v>
      </c>
    </row>
    <row r="354" spans="1:10" hidden="1">
      <c r="A354" s="1779" t="s">
        <v>574</v>
      </c>
      <c r="B354" s="84"/>
      <c r="C354" s="79" t="s">
        <v>2942</v>
      </c>
      <c r="D354" s="80" t="s">
        <v>2566</v>
      </c>
      <c r="E354" s="2277" t="str">
        <f t="shared" si="26"/>
        <v>ON</v>
      </c>
      <c r="F354" s="55">
        <v>50</v>
      </c>
      <c r="G354" s="55" t="s">
        <v>512</v>
      </c>
      <c r="J354" s="55" t="str">
        <f t="shared" si="25"/>
        <v>ON35</v>
      </c>
    </row>
    <row r="355" spans="1:10" hidden="1">
      <c r="A355" s="1779" t="s">
        <v>1492</v>
      </c>
      <c r="B355" s="84"/>
      <c r="C355" s="79" t="s">
        <v>2943</v>
      </c>
      <c r="D355" s="80" t="s">
        <v>2566</v>
      </c>
      <c r="E355" s="2277" t="str">
        <f t="shared" si="26"/>
        <v>ON</v>
      </c>
      <c r="F355" s="55">
        <v>50</v>
      </c>
      <c r="G355" s="55" t="s">
        <v>512</v>
      </c>
      <c r="J355" s="55" t="str">
        <f t="shared" si="25"/>
        <v>ON50</v>
      </c>
    </row>
    <row r="356" spans="1:10" hidden="1">
      <c r="A356" s="1779" t="s">
        <v>1493</v>
      </c>
      <c r="B356" s="84"/>
      <c r="C356" s="79" t="s">
        <v>2944</v>
      </c>
      <c r="D356" s="80" t="s">
        <v>2566</v>
      </c>
      <c r="E356" s="2277" t="str">
        <f t="shared" si="26"/>
        <v>ON</v>
      </c>
      <c r="F356" s="55">
        <v>50</v>
      </c>
      <c r="G356" s="55" t="s">
        <v>512</v>
      </c>
      <c r="J356" s="55" t="str">
        <f t="shared" si="25"/>
        <v>ON70</v>
      </c>
    </row>
    <row r="357" spans="1:10" hidden="1">
      <c r="A357" s="79" t="s">
        <v>432</v>
      </c>
      <c r="B357" s="1778"/>
      <c r="C357" s="79" t="s">
        <v>2945</v>
      </c>
      <c r="D357" s="80" t="s">
        <v>2566</v>
      </c>
      <c r="E357" s="2277" t="str">
        <f t="shared" si="26"/>
        <v>ON</v>
      </c>
      <c r="F357" s="55">
        <v>50</v>
      </c>
      <c r="G357" s="55" t="s">
        <v>512</v>
      </c>
      <c r="J357" s="55" t="str">
        <f t="shared" si="25"/>
        <v>ON95</v>
      </c>
    </row>
    <row r="358" spans="1:10" hidden="1">
      <c r="A358" s="1779" t="s">
        <v>573</v>
      </c>
      <c r="B358" s="84"/>
      <c r="C358" s="79" t="s">
        <v>2946</v>
      </c>
      <c r="D358" s="80" t="s">
        <v>2566</v>
      </c>
      <c r="E358" s="2277" t="str">
        <f t="shared" si="26"/>
        <v>ON</v>
      </c>
      <c r="F358" s="55">
        <v>50</v>
      </c>
      <c r="G358" s="55" t="s">
        <v>512</v>
      </c>
      <c r="J358" s="55" t="str">
        <f t="shared" si="25"/>
        <v>ON120</v>
      </c>
    </row>
    <row r="359" spans="1:10" hidden="1">
      <c r="A359" s="1779" t="s">
        <v>939</v>
      </c>
      <c r="B359" s="84"/>
      <c r="C359" s="79" t="s">
        <v>2947</v>
      </c>
      <c r="D359" s="80" t="s">
        <v>2566</v>
      </c>
      <c r="E359" s="2277" t="str">
        <f t="shared" si="26"/>
        <v>ON</v>
      </c>
      <c r="F359" s="55">
        <v>50</v>
      </c>
      <c r="G359" s="55" t="s">
        <v>512</v>
      </c>
      <c r="J359" s="55" t="str">
        <f t="shared" si="25"/>
        <v>ON150</v>
      </c>
    </row>
    <row r="360" spans="1:10" hidden="1">
      <c r="A360" s="1779" t="s">
        <v>572</v>
      </c>
      <c r="B360" s="84"/>
      <c r="C360" s="79" t="s">
        <v>2948</v>
      </c>
      <c r="D360" s="80" t="s">
        <v>2566</v>
      </c>
      <c r="E360" s="2277" t="str">
        <f t="shared" si="26"/>
        <v>ON</v>
      </c>
      <c r="F360" s="55">
        <v>50</v>
      </c>
      <c r="G360" s="55" t="s">
        <v>512</v>
      </c>
      <c r="J360" s="55" t="str">
        <f t="shared" si="25"/>
        <v>ON185</v>
      </c>
    </row>
    <row r="361" spans="1:10" hidden="1">
      <c r="A361" s="1779" t="s">
        <v>571</v>
      </c>
      <c r="B361" s="84"/>
      <c r="C361" s="79" t="s">
        <v>2949</v>
      </c>
      <c r="D361" s="80" t="s">
        <v>2566</v>
      </c>
      <c r="E361" s="2277" t="str">
        <f t="shared" si="26"/>
        <v>ON</v>
      </c>
      <c r="F361" s="55">
        <v>50</v>
      </c>
      <c r="G361" s="55" t="s">
        <v>512</v>
      </c>
      <c r="J361" s="55" t="str">
        <f t="shared" si="25"/>
        <v>ON240</v>
      </c>
    </row>
    <row r="362" spans="1:10" hidden="1">
      <c r="A362" s="79" t="s">
        <v>433</v>
      </c>
      <c r="B362" s="1778"/>
      <c r="C362" s="79" t="s">
        <v>2950</v>
      </c>
      <c r="D362" s="80" t="s">
        <v>2566</v>
      </c>
      <c r="E362" s="2277" t="str">
        <f t="shared" si="26"/>
        <v>ON</v>
      </c>
      <c r="F362" s="55">
        <v>50</v>
      </c>
      <c r="G362" s="55" t="s">
        <v>512</v>
      </c>
      <c r="J362" s="55" t="str">
        <f t="shared" si="25"/>
        <v>ON50B</v>
      </c>
    </row>
    <row r="363" spans="1:10" hidden="1">
      <c r="A363" s="79" t="s">
        <v>2196</v>
      </c>
      <c r="B363" s="1778"/>
      <c r="C363" s="79" t="s">
        <v>2197</v>
      </c>
      <c r="D363" s="80" t="s">
        <v>2566</v>
      </c>
      <c r="E363" s="2277" t="str">
        <f t="shared" si="26"/>
        <v>PU</v>
      </c>
      <c r="F363" s="55">
        <v>50</v>
      </c>
      <c r="G363" s="55" t="s">
        <v>512</v>
      </c>
      <c r="J363" s="55" t="str">
        <f t="shared" si="25"/>
        <v>PU</v>
      </c>
    </row>
    <row r="364" spans="1:10" hidden="1">
      <c r="A364" s="79" t="s">
        <v>1915</v>
      </c>
      <c r="B364" s="1778"/>
      <c r="C364" s="79" t="s">
        <v>2951</v>
      </c>
      <c r="D364" s="80" t="s">
        <v>2448</v>
      </c>
      <c r="E364" s="2277" t="str">
        <f t="shared" si="26"/>
        <v>R1</v>
      </c>
      <c r="F364" s="55">
        <v>50</v>
      </c>
      <c r="G364" s="55" t="s">
        <v>512</v>
      </c>
      <c r="J364" s="55" t="str">
        <f t="shared" si="25"/>
        <v>R1</v>
      </c>
    </row>
    <row r="365" spans="1:10" hidden="1">
      <c r="A365" s="79" t="s">
        <v>2267</v>
      </c>
      <c r="B365" s="1778"/>
      <c r="C365" s="79" t="s">
        <v>2952</v>
      </c>
      <c r="D365" s="80" t="s">
        <v>2448</v>
      </c>
      <c r="E365" s="2277" t="str">
        <f t="shared" si="26"/>
        <v>R2</v>
      </c>
      <c r="F365" s="55">
        <v>50</v>
      </c>
      <c r="G365" s="55" t="s">
        <v>512</v>
      </c>
      <c r="J365" s="55" t="str">
        <f t="shared" si="25"/>
        <v>R2</v>
      </c>
    </row>
    <row r="366" spans="1:10" hidden="1">
      <c r="A366" s="79" t="s">
        <v>667</v>
      </c>
      <c r="B366" s="1778"/>
      <c r="C366" s="79" t="s">
        <v>2953</v>
      </c>
      <c r="D366" s="80" t="s">
        <v>2448</v>
      </c>
      <c r="E366" s="2277" t="str">
        <f t="shared" si="26"/>
        <v>R3</v>
      </c>
      <c r="F366" s="55">
        <v>50</v>
      </c>
      <c r="G366" s="55" t="s">
        <v>512</v>
      </c>
      <c r="J366" s="55" t="str">
        <f t="shared" si="25"/>
        <v>R3</v>
      </c>
    </row>
    <row r="367" spans="1:10" hidden="1">
      <c r="A367" s="79" t="s">
        <v>51</v>
      </c>
      <c r="B367" s="1778"/>
      <c r="C367" s="1779" t="s">
        <v>1452</v>
      </c>
      <c r="D367" s="80" t="s">
        <v>2566</v>
      </c>
      <c r="E367" s="2277" t="str">
        <f t="shared" si="26"/>
        <v>R4</v>
      </c>
      <c r="F367" s="55">
        <v>50</v>
      </c>
      <c r="G367" s="55" t="s">
        <v>512</v>
      </c>
      <c r="J367" s="55" t="str">
        <f t="shared" si="25"/>
        <v>R4</v>
      </c>
    </row>
    <row r="368" spans="1:10" hidden="1">
      <c r="A368" s="79" t="s">
        <v>1454</v>
      </c>
      <c r="B368" s="1778"/>
      <c r="C368" s="79" t="s">
        <v>2954</v>
      </c>
      <c r="D368" s="80" t="s">
        <v>2448</v>
      </c>
      <c r="E368" s="2277" t="str">
        <f t="shared" si="26"/>
        <v>R4</v>
      </c>
      <c r="F368" s="55">
        <v>50</v>
      </c>
      <c r="G368" s="55" t="s">
        <v>512</v>
      </c>
      <c r="J368" s="55" t="str">
        <f t="shared" si="25"/>
        <v>R4S</v>
      </c>
    </row>
    <row r="369" spans="1:10" hidden="1">
      <c r="A369" s="79" t="s">
        <v>698</v>
      </c>
      <c r="B369" s="1778"/>
      <c r="C369" s="79" t="s">
        <v>2955</v>
      </c>
      <c r="D369" s="80" t="s">
        <v>2566</v>
      </c>
      <c r="E369" s="2277" t="str">
        <f t="shared" ref="E369:E370" si="27">LEFT(A369,2)</f>
        <v>SD</v>
      </c>
      <c r="F369" s="55">
        <v>6</v>
      </c>
      <c r="G369" s="55" t="s">
        <v>512</v>
      </c>
      <c r="J369" s="55" t="str">
        <f t="shared" ref="J369:J370" si="28">A369</f>
        <v>SD</v>
      </c>
    </row>
    <row r="370" spans="1:10" hidden="1">
      <c r="A370" s="79" t="s">
        <v>5164</v>
      </c>
      <c r="B370" s="1778"/>
      <c r="C370" s="79" t="s">
        <v>4955</v>
      </c>
      <c r="D370" s="80" t="s">
        <v>2566</v>
      </c>
      <c r="E370" s="2277" t="str">
        <f t="shared" si="27"/>
        <v>SD</v>
      </c>
      <c r="F370" s="55">
        <v>6</v>
      </c>
      <c r="G370" s="55" t="s">
        <v>512</v>
      </c>
      <c r="J370" s="55" t="str">
        <f t="shared" si="28"/>
        <v>SDC</v>
      </c>
    </row>
    <row r="371" spans="1:10" hidden="1">
      <c r="A371" s="79" t="s">
        <v>5165</v>
      </c>
      <c r="B371" s="1778"/>
      <c r="C371" s="79" t="s">
        <v>4956</v>
      </c>
      <c r="D371" s="80" t="s">
        <v>2566</v>
      </c>
      <c r="E371" s="2277" t="str">
        <f t="shared" si="26"/>
        <v>CS</v>
      </c>
      <c r="F371" s="55">
        <v>6</v>
      </c>
      <c r="G371" s="55" t="s">
        <v>512</v>
      </c>
      <c r="J371" s="55" t="str">
        <f t="shared" si="25"/>
        <v>CSDC</v>
      </c>
    </row>
    <row r="372" spans="1:10" hidden="1">
      <c r="A372" s="79" t="s">
        <v>1003</v>
      </c>
      <c r="B372" s="1778"/>
      <c r="C372" s="79" t="s">
        <v>2956</v>
      </c>
      <c r="D372" s="80" t="s">
        <v>2448</v>
      </c>
      <c r="E372" s="2277" t="str">
        <f t="shared" si="26"/>
        <v>SD</v>
      </c>
      <c r="F372" s="55">
        <v>6</v>
      </c>
      <c r="G372" s="55" t="s">
        <v>512</v>
      </c>
      <c r="J372" s="55" t="str">
        <f t="shared" si="25"/>
        <v>SD35</v>
      </c>
    </row>
    <row r="373" spans="1:10" hidden="1">
      <c r="A373" s="79" t="s">
        <v>734</v>
      </c>
      <c r="B373" s="1778"/>
      <c r="C373" s="79" t="s">
        <v>2957</v>
      </c>
      <c r="D373" s="80" t="s">
        <v>2448</v>
      </c>
      <c r="E373" s="2277" t="str">
        <f t="shared" si="26"/>
        <v>SD</v>
      </c>
      <c r="F373" s="55">
        <v>6</v>
      </c>
      <c r="G373" s="55" t="s">
        <v>512</v>
      </c>
      <c r="J373" s="55" t="str">
        <f t="shared" si="25"/>
        <v>SDI35</v>
      </c>
    </row>
    <row r="374" spans="1:10" hidden="1">
      <c r="A374" s="79" t="s">
        <v>735</v>
      </c>
      <c r="B374" s="1778"/>
      <c r="C374" s="79" t="s">
        <v>2958</v>
      </c>
      <c r="D374" s="80" t="s">
        <v>2566</v>
      </c>
      <c r="E374" s="2277" t="str">
        <f t="shared" si="26"/>
        <v>SD</v>
      </c>
      <c r="F374" s="55">
        <v>6</v>
      </c>
      <c r="G374" s="55" t="s">
        <v>512</v>
      </c>
      <c r="J374" s="55" t="str">
        <f t="shared" si="25"/>
        <v>SDCM</v>
      </c>
    </row>
    <row r="375" spans="1:10" hidden="1">
      <c r="A375" s="79" t="s">
        <v>111</v>
      </c>
      <c r="B375" s="1778"/>
      <c r="C375" s="79" t="s">
        <v>2959</v>
      </c>
      <c r="D375" s="80" t="s">
        <v>2566</v>
      </c>
      <c r="E375" s="2277" t="str">
        <f t="shared" si="26"/>
        <v>SN</v>
      </c>
      <c r="F375" s="55">
        <v>50</v>
      </c>
      <c r="G375" s="55" t="s">
        <v>512</v>
      </c>
      <c r="J375" s="55" t="str">
        <f t="shared" si="25"/>
        <v>SN</v>
      </c>
    </row>
    <row r="376" spans="1:10" hidden="1">
      <c r="A376" s="79" t="s">
        <v>2136</v>
      </c>
      <c r="B376" s="1778"/>
      <c r="C376" s="79" t="s">
        <v>2960</v>
      </c>
      <c r="D376" s="80" t="s">
        <v>2566</v>
      </c>
      <c r="E376" s="2277" t="str">
        <f t="shared" si="26"/>
        <v>SO</v>
      </c>
      <c r="F376" s="55">
        <v>50</v>
      </c>
      <c r="G376" s="55" t="s">
        <v>512</v>
      </c>
      <c r="J376" s="55" t="str">
        <f t="shared" si="25"/>
        <v>SOC</v>
      </c>
    </row>
    <row r="377" spans="1:10" hidden="1">
      <c r="A377" s="79" t="s">
        <v>112</v>
      </c>
      <c r="B377" s="1778"/>
      <c r="C377" s="79" t="s">
        <v>2961</v>
      </c>
      <c r="D377" s="80" t="s">
        <v>2962</v>
      </c>
      <c r="E377" s="2277" t="str">
        <f t="shared" si="26"/>
        <v>ST</v>
      </c>
      <c r="F377" s="55">
        <v>50</v>
      </c>
      <c r="G377" s="55" t="s">
        <v>512</v>
      </c>
      <c r="J377" s="55" t="str">
        <f t="shared" si="25"/>
        <v>ST</v>
      </c>
    </row>
    <row r="378" spans="1:10" hidden="1">
      <c r="A378" s="79" t="s">
        <v>558</v>
      </c>
      <c r="B378" s="1778"/>
      <c r="C378" s="79" t="s">
        <v>2963</v>
      </c>
      <c r="D378" s="80" t="s">
        <v>2962</v>
      </c>
      <c r="E378" s="2277" t="str">
        <f t="shared" si="26"/>
        <v>ST</v>
      </c>
      <c r="F378" s="55">
        <v>50</v>
      </c>
      <c r="G378" s="55" t="s">
        <v>512</v>
      </c>
      <c r="J378" s="55" t="str">
        <f t="shared" si="25"/>
        <v>ST120</v>
      </c>
    </row>
    <row r="379" spans="1:10" hidden="1">
      <c r="A379" s="79" t="s">
        <v>1031</v>
      </c>
      <c r="B379" s="1778"/>
      <c r="C379" s="79" t="s">
        <v>2964</v>
      </c>
      <c r="D379" s="80" t="s">
        <v>2521</v>
      </c>
      <c r="E379" s="2277" t="str">
        <f t="shared" si="26"/>
        <v>ST</v>
      </c>
      <c r="F379" s="55">
        <v>7</v>
      </c>
      <c r="G379" s="55" t="s">
        <v>512</v>
      </c>
      <c r="J379" s="55" t="str">
        <f t="shared" si="25"/>
        <v>STply</v>
      </c>
    </row>
    <row r="380" spans="1:10" hidden="1">
      <c r="A380" s="79" t="s">
        <v>538</v>
      </c>
      <c r="B380" s="1778"/>
      <c r="C380" s="79" t="s">
        <v>2965</v>
      </c>
      <c r="D380" s="80" t="s">
        <v>2566</v>
      </c>
      <c r="E380" s="2277" t="str">
        <f t="shared" si="26"/>
        <v>St</v>
      </c>
      <c r="F380" s="55">
        <v>50</v>
      </c>
      <c r="G380" s="55" t="s">
        <v>512</v>
      </c>
      <c r="J380" s="55" t="str">
        <f t="shared" si="25"/>
        <v>Stply-HT</v>
      </c>
    </row>
    <row r="381" spans="1:10" hidden="1">
      <c r="A381" s="79" t="s">
        <v>1032</v>
      </c>
      <c r="B381" s="1778"/>
      <c r="C381" s="79" t="s">
        <v>2966</v>
      </c>
      <c r="D381" s="80" t="s">
        <v>2256</v>
      </c>
      <c r="E381" s="2277" t="str">
        <f t="shared" si="26"/>
        <v>S4</v>
      </c>
      <c r="F381" s="55">
        <v>50</v>
      </c>
      <c r="G381" s="55" t="s">
        <v>512</v>
      </c>
      <c r="J381" s="55" t="str">
        <f t="shared" si="25"/>
        <v>S40</v>
      </c>
    </row>
    <row r="382" spans="1:10" hidden="1">
      <c r="A382" s="79" t="s">
        <v>2114</v>
      </c>
      <c r="B382" s="1778"/>
      <c r="C382" s="79" t="s">
        <v>4944</v>
      </c>
      <c r="D382" s="80" t="s">
        <v>2256</v>
      </c>
      <c r="E382" s="2277" t="str">
        <f t="shared" si="26"/>
        <v>S5</v>
      </c>
      <c r="F382" s="55">
        <v>50</v>
      </c>
      <c r="G382" s="55" t="s">
        <v>512</v>
      </c>
      <c r="J382" s="55" t="str">
        <f t="shared" si="25"/>
        <v>S50</v>
      </c>
    </row>
    <row r="383" spans="1:10" hidden="1">
      <c r="A383" s="79" t="s">
        <v>279</v>
      </c>
      <c r="B383" s="1778"/>
      <c r="C383" s="79" t="s">
        <v>2967</v>
      </c>
      <c r="D383" s="80" t="s">
        <v>2256</v>
      </c>
      <c r="E383" s="2277" t="str">
        <f t="shared" si="26"/>
        <v>S6</v>
      </c>
      <c r="F383" s="55">
        <v>50</v>
      </c>
      <c r="G383" s="55" t="s">
        <v>512</v>
      </c>
      <c r="J383" s="55" t="str">
        <f t="shared" si="25"/>
        <v>S60</v>
      </c>
    </row>
    <row r="384" spans="1:10" hidden="1">
      <c r="A384" s="79" t="s">
        <v>1121</v>
      </c>
      <c r="B384" s="1778"/>
      <c r="C384" s="79" t="s">
        <v>2968</v>
      </c>
      <c r="D384" s="80" t="s">
        <v>2256</v>
      </c>
      <c r="E384" s="2277" t="str">
        <f t="shared" si="26"/>
        <v>S7</v>
      </c>
      <c r="F384" s="55">
        <v>50</v>
      </c>
      <c r="G384" s="55" t="s">
        <v>512</v>
      </c>
      <c r="J384" s="55" t="str">
        <f t="shared" si="25"/>
        <v>S70</v>
      </c>
    </row>
    <row r="385" spans="1:10" hidden="1">
      <c r="A385" s="1779" t="s">
        <v>1122</v>
      </c>
      <c r="B385" s="84"/>
      <c r="C385" s="79" t="s">
        <v>2969</v>
      </c>
      <c r="D385" s="80" t="s">
        <v>2256</v>
      </c>
      <c r="E385" s="2277" t="str">
        <f t="shared" si="26"/>
        <v>S8</v>
      </c>
      <c r="F385" s="55">
        <v>50</v>
      </c>
      <c r="G385" s="55" t="s">
        <v>512</v>
      </c>
      <c r="J385" s="55" t="str">
        <f t="shared" si="25"/>
        <v>S806</v>
      </c>
    </row>
    <row r="386" spans="1:10" hidden="1">
      <c r="A386" s="1779" t="s">
        <v>2235</v>
      </c>
      <c r="B386" s="84"/>
      <c r="C386" s="79" t="s">
        <v>2970</v>
      </c>
      <c r="D386" s="80" t="s">
        <v>2256</v>
      </c>
      <c r="E386" s="2277" t="str">
        <f t="shared" si="26"/>
        <v>S8</v>
      </c>
      <c r="F386" s="55">
        <v>50</v>
      </c>
      <c r="G386" s="55" t="s">
        <v>512</v>
      </c>
      <c r="J386" s="55" t="str">
        <f t="shared" si="25"/>
        <v>S80</v>
      </c>
    </row>
    <row r="387" spans="1:10" hidden="1">
      <c r="A387" s="79" t="s">
        <v>2236</v>
      </c>
      <c r="B387" s="1778"/>
      <c r="C387" s="79" t="s">
        <v>2971</v>
      </c>
      <c r="D387" s="80" t="s">
        <v>2256</v>
      </c>
      <c r="E387" s="2277" t="str">
        <f t="shared" si="26"/>
        <v>S1</v>
      </c>
      <c r="F387" s="55">
        <v>50</v>
      </c>
      <c r="G387" s="55" t="s">
        <v>512</v>
      </c>
      <c r="J387" s="55" t="str">
        <f t="shared" si="25"/>
        <v>S1008</v>
      </c>
    </row>
    <row r="388" spans="1:10" hidden="1">
      <c r="A388" s="1779" t="s">
        <v>640</v>
      </c>
      <c r="B388" s="84"/>
      <c r="C388" s="79" t="s">
        <v>2972</v>
      </c>
      <c r="D388" s="80" t="s">
        <v>2256</v>
      </c>
      <c r="E388" s="2277" t="str">
        <f t="shared" si="26"/>
        <v>SL</v>
      </c>
      <c r="F388" s="55">
        <v>50</v>
      </c>
      <c r="G388" s="55" t="s">
        <v>512</v>
      </c>
      <c r="J388" s="55" t="str">
        <f t="shared" si="25"/>
        <v>SL32</v>
      </c>
    </row>
    <row r="389" spans="1:10" hidden="1">
      <c r="A389" s="1779" t="s">
        <v>1618</v>
      </c>
      <c r="B389" s="84"/>
      <c r="C389" s="79" t="s">
        <v>2973</v>
      </c>
      <c r="D389" s="80" t="s">
        <v>2256</v>
      </c>
      <c r="E389" s="2277" t="str">
        <f t="shared" si="26"/>
        <v>SL</v>
      </c>
      <c r="F389" s="55">
        <v>50</v>
      </c>
      <c r="G389" s="55" t="s">
        <v>512</v>
      </c>
      <c r="J389" s="55" t="str">
        <f t="shared" si="25"/>
        <v>SL40</v>
      </c>
    </row>
    <row r="390" spans="1:10" hidden="1">
      <c r="A390" s="79" t="s">
        <v>1520</v>
      </c>
      <c r="B390" s="1778"/>
      <c r="C390" s="79" t="s">
        <v>2974</v>
      </c>
      <c r="D390" s="80" t="s">
        <v>2256</v>
      </c>
      <c r="E390" s="2277" t="str">
        <f t="shared" si="26"/>
        <v>SL</v>
      </c>
      <c r="F390" s="55">
        <v>50</v>
      </c>
      <c r="G390" s="55" t="s">
        <v>512</v>
      </c>
      <c r="J390" s="55" t="str">
        <f t="shared" si="25"/>
        <v>SL45</v>
      </c>
    </row>
    <row r="391" spans="1:10" hidden="1">
      <c r="A391" s="1779" t="s">
        <v>457</v>
      </c>
      <c r="B391" s="84"/>
      <c r="C391" s="79" t="s">
        <v>2975</v>
      </c>
      <c r="D391" s="80" t="s">
        <v>2256</v>
      </c>
      <c r="E391" s="2277" t="str">
        <f t="shared" ref="E391:E395" si="29">LEFT(A391,2)</f>
        <v>SL</v>
      </c>
      <c r="F391" s="55">
        <v>50</v>
      </c>
      <c r="G391" s="55" t="s">
        <v>512</v>
      </c>
      <c r="J391" s="55" t="str">
        <f t="shared" si="25"/>
        <v>SL50</v>
      </c>
    </row>
    <row r="392" spans="1:10" hidden="1">
      <c r="A392" s="2275" t="str">
        <f t="shared" ref="A392:A393" si="30">"SL50-"&amp;H392</f>
        <v>SL50-720</v>
      </c>
      <c r="B392" s="1778"/>
      <c r="C392" s="79" t="str">
        <f t="shared" ref="C392" si="31">"Sắt góc L50 x50 x5 "&amp;"x"&amp;H392</f>
        <v>Sắt góc L50 x50 x5 x720</v>
      </c>
      <c r="D392" s="80" t="s">
        <v>2566</v>
      </c>
      <c r="E392" s="2277" t="str">
        <f t="shared" ref="E392:E394" si="32">LEFT(A392,2)</f>
        <v>SL</v>
      </c>
      <c r="F392" s="55">
        <v>50</v>
      </c>
      <c r="G392" s="55" t="s">
        <v>512</v>
      </c>
      <c r="H392" s="55">
        <v>720</v>
      </c>
      <c r="J392" s="55" t="str">
        <f t="shared" si="25"/>
        <v>SL50-720</v>
      </c>
    </row>
    <row r="393" spans="1:10" hidden="1">
      <c r="A393" s="2275" t="str">
        <f t="shared" si="30"/>
        <v>SL50-810</v>
      </c>
      <c r="B393" s="1778"/>
      <c r="C393" s="79" t="s">
        <v>4939</v>
      </c>
      <c r="D393" s="80" t="s">
        <v>2566</v>
      </c>
      <c r="E393" s="2277" t="str">
        <f t="shared" si="32"/>
        <v>SL</v>
      </c>
      <c r="F393" s="55">
        <v>50</v>
      </c>
      <c r="G393" s="55" t="s">
        <v>512</v>
      </c>
      <c r="H393" s="55">
        <v>810</v>
      </c>
      <c r="J393" s="55" t="str">
        <f t="shared" si="25"/>
        <v>SL50-810</v>
      </c>
    </row>
    <row r="394" spans="1:10" hidden="1">
      <c r="A394" s="2275" t="str">
        <f>"SL50-"&amp;H394</f>
        <v>SL50-920</v>
      </c>
      <c r="B394" s="1778"/>
      <c r="C394" s="79" t="str">
        <f>"Sắt góc L50 x50 x5 "&amp;"x"&amp;H394</f>
        <v>Sắt góc L50 x50 x5 x920</v>
      </c>
      <c r="D394" s="80" t="s">
        <v>2566</v>
      </c>
      <c r="E394" s="2277" t="str">
        <f t="shared" si="32"/>
        <v>SL</v>
      </c>
      <c r="F394" s="55">
        <v>50</v>
      </c>
      <c r="G394" s="55" t="s">
        <v>512</v>
      </c>
      <c r="H394" s="55">
        <v>920</v>
      </c>
      <c r="J394" s="55" t="str">
        <f t="shared" ref="J394:J458" si="33">A394</f>
        <v>SL50-920</v>
      </c>
    </row>
    <row r="395" spans="1:10" hidden="1">
      <c r="A395" s="2275" t="str">
        <f>"SL50-"&amp;H395</f>
        <v>SL50-1190</v>
      </c>
      <c r="B395" s="1778"/>
      <c r="C395" s="79" t="str">
        <f>"Sắt góc L50 x50 x5 "&amp;"x"&amp;H395</f>
        <v>Sắt góc L50 x50 x5 x1190</v>
      </c>
      <c r="D395" s="80" t="s">
        <v>2566</v>
      </c>
      <c r="E395" s="2277" t="str">
        <f t="shared" si="29"/>
        <v>SL</v>
      </c>
      <c r="F395" s="55">
        <v>50</v>
      </c>
      <c r="G395" s="55" t="s">
        <v>512</v>
      </c>
      <c r="H395" s="55">
        <v>1190</v>
      </c>
      <c r="J395" s="55" t="str">
        <f t="shared" si="33"/>
        <v>SL50-1190</v>
      </c>
    </row>
    <row r="396" spans="1:10" hidden="1">
      <c r="A396" s="1779" t="s">
        <v>4759</v>
      </c>
      <c r="B396" s="84"/>
      <c r="C396" s="79" t="s">
        <v>2975</v>
      </c>
      <c r="D396" s="80" t="s">
        <v>2256</v>
      </c>
      <c r="E396" s="2277" t="str">
        <f t="shared" si="26"/>
        <v>SL</v>
      </c>
      <c r="F396" s="55">
        <v>50</v>
      </c>
      <c r="G396" s="55" t="s">
        <v>512</v>
      </c>
      <c r="J396" s="55" t="str">
        <f t="shared" si="33"/>
        <v>SL50kg</v>
      </c>
    </row>
    <row r="397" spans="1:10" hidden="1">
      <c r="A397" s="79" t="s">
        <v>1120</v>
      </c>
      <c r="B397" s="1778"/>
      <c r="C397" s="79" t="s">
        <v>2976</v>
      </c>
      <c r="D397" s="80" t="s">
        <v>2256</v>
      </c>
      <c r="E397" s="2277" t="str">
        <f t="shared" si="26"/>
        <v>SL</v>
      </c>
      <c r="F397" s="55">
        <v>50</v>
      </c>
      <c r="G397" s="55" t="s">
        <v>512</v>
      </c>
      <c r="J397" s="55" t="str">
        <f t="shared" si="33"/>
        <v>SL70</v>
      </c>
    </row>
    <row r="398" spans="1:10" hidden="1">
      <c r="A398" s="79" t="s">
        <v>4758</v>
      </c>
      <c r="B398" s="1778"/>
      <c r="C398" s="79" t="s">
        <v>2446</v>
      </c>
      <c r="D398" s="80" t="s">
        <v>2256</v>
      </c>
      <c r="E398" s="2277" t="str">
        <f t="shared" ref="E398:E404" si="34">LEFT(A398,2)</f>
        <v>SL</v>
      </c>
      <c r="F398" s="55">
        <v>50</v>
      </c>
      <c r="G398" s="55" t="s">
        <v>512</v>
      </c>
      <c r="J398" s="55" t="str">
        <f t="shared" si="33"/>
        <v>SL75kg</v>
      </c>
    </row>
    <row r="399" spans="1:10" hidden="1">
      <c r="A399" s="79" t="s">
        <v>109</v>
      </c>
      <c r="B399" s="1778"/>
      <c r="C399" s="79" t="s">
        <v>2446</v>
      </c>
      <c r="D399" s="80" t="s">
        <v>2256</v>
      </c>
      <c r="E399" s="2277" t="str">
        <f t="shared" si="34"/>
        <v>SL</v>
      </c>
      <c r="F399" s="55">
        <v>50</v>
      </c>
      <c r="G399" s="55" t="s">
        <v>512</v>
      </c>
      <c r="J399" s="55" t="str">
        <f t="shared" si="33"/>
        <v>SL75</v>
      </c>
    </row>
    <row r="400" spans="1:10" hidden="1">
      <c r="A400" s="2275" t="str">
        <f t="shared" ref="A400:A404" si="35">"SL75-"&amp;H400</f>
        <v>SL75-1660</v>
      </c>
      <c r="B400" s="1778"/>
      <c r="C400" s="79" t="str">
        <f t="shared" ref="C400:C404" si="36">"Sắt góc L75 x75 x8 "&amp;"x"&amp;H400</f>
        <v>Sắt góc L75 x75 x8 x1660</v>
      </c>
      <c r="D400" s="80" t="s">
        <v>2566</v>
      </c>
      <c r="E400" s="2277" t="str">
        <f t="shared" si="34"/>
        <v>SL</v>
      </c>
      <c r="F400" s="55">
        <v>50</v>
      </c>
      <c r="G400" s="55" t="s">
        <v>512</v>
      </c>
      <c r="H400" s="55">
        <v>1660</v>
      </c>
      <c r="J400" s="55" t="str">
        <f t="shared" si="33"/>
        <v>SL75-1660</v>
      </c>
    </row>
    <row r="401" spans="1:10" hidden="1">
      <c r="A401" s="2275" t="str">
        <f t="shared" si="35"/>
        <v>SL75-2000</v>
      </c>
      <c r="B401" s="1778"/>
      <c r="C401" s="79" t="s">
        <v>4938</v>
      </c>
      <c r="D401" s="80" t="s">
        <v>2566</v>
      </c>
      <c r="E401" s="2277" t="str">
        <f t="shared" si="34"/>
        <v>SL</v>
      </c>
      <c r="F401" s="55">
        <v>50</v>
      </c>
      <c r="G401" s="55" t="s">
        <v>512</v>
      </c>
      <c r="H401" s="55">
        <v>2000</v>
      </c>
      <c r="J401" s="55" t="str">
        <f t="shared" si="33"/>
        <v>SL75-2000</v>
      </c>
    </row>
    <row r="402" spans="1:10" hidden="1">
      <c r="A402" s="2275" t="str">
        <f t="shared" ref="A402" si="37">"SL75-"&amp;H402</f>
        <v>SL75-1990</v>
      </c>
      <c r="B402" s="1778"/>
      <c r="C402" s="79" t="s">
        <v>4943</v>
      </c>
      <c r="D402" s="80" t="s">
        <v>2566</v>
      </c>
      <c r="E402" s="2277" t="str">
        <f t="shared" ref="E402" si="38">LEFT(A402,2)</f>
        <v>SL</v>
      </c>
      <c r="F402" s="55">
        <v>50</v>
      </c>
      <c r="G402" s="55" t="s">
        <v>512</v>
      </c>
      <c r="H402" s="55">
        <v>1990</v>
      </c>
      <c r="J402" s="55" t="str">
        <f t="shared" ref="J402" si="39">A402</f>
        <v>SL75-1990</v>
      </c>
    </row>
    <row r="403" spans="1:10" hidden="1">
      <c r="A403" s="2275" t="str">
        <f t="shared" si="35"/>
        <v>SL75-2100</v>
      </c>
      <c r="B403" s="1778"/>
      <c r="C403" s="79" t="s">
        <v>4942</v>
      </c>
      <c r="D403" s="80" t="s">
        <v>2566</v>
      </c>
      <c r="E403" s="2277" t="str">
        <f t="shared" si="34"/>
        <v>SL</v>
      </c>
      <c r="F403" s="55">
        <v>50</v>
      </c>
      <c r="G403" s="55" t="s">
        <v>512</v>
      </c>
      <c r="H403" s="55">
        <v>2100</v>
      </c>
      <c r="J403" s="55" t="str">
        <f t="shared" si="33"/>
        <v>SL75-2100</v>
      </c>
    </row>
    <row r="404" spans="1:10" hidden="1">
      <c r="A404" s="2275" t="str">
        <f t="shared" si="35"/>
        <v>SL75-2200</v>
      </c>
      <c r="B404" s="1778"/>
      <c r="C404" s="79" t="str">
        <f t="shared" si="36"/>
        <v>Sắt góc L75 x75 x8 x2200</v>
      </c>
      <c r="D404" s="80" t="s">
        <v>2566</v>
      </c>
      <c r="E404" s="2277" t="str">
        <f t="shared" si="34"/>
        <v>SL</v>
      </c>
      <c r="F404" s="55">
        <v>50</v>
      </c>
      <c r="G404" s="55" t="s">
        <v>512</v>
      </c>
      <c r="H404" s="55">
        <v>2200</v>
      </c>
      <c r="J404" s="55" t="str">
        <f t="shared" si="33"/>
        <v>SL75-2200</v>
      </c>
    </row>
    <row r="405" spans="1:10" hidden="1">
      <c r="A405" s="2275" t="str">
        <f>"SL75-"&amp;H405</f>
        <v>SL75-2400</v>
      </c>
      <c r="B405" s="1778"/>
      <c r="C405" s="79" t="str">
        <f>"Sắt góc L75 x75 x8 "&amp;"x"&amp;H405</f>
        <v>Sắt góc L75 x75 x8 x2400</v>
      </c>
      <c r="D405" s="80" t="s">
        <v>2566</v>
      </c>
      <c r="E405" s="2277" t="str">
        <f t="shared" si="26"/>
        <v>SL</v>
      </c>
      <c r="F405" s="55">
        <v>50</v>
      </c>
      <c r="G405" s="55" t="s">
        <v>512</v>
      </c>
      <c r="H405" s="55">
        <v>2400</v>
      </c>
      <c r="J405" s="55" t="str">
        <f t="shared" si="33"/>
        <v>SL75-2400</v>
      </c>
    </row>
    <row r="406" spans="1:10" hidden="1">
      <c r="A406" s="79" t="s">
        <v>1979</v>
      </c>
      <c r="B406" s="1778"/>
      <c r="C406" s="79" t="s">
        <v>4852</v>
      </c>
      <c r="D406" s="80" t="s">
        <v>2256</v>
      </c>
      <c r="E406" s="2277" t="str">
        <f t="shared" si="26"/>
        <v>SO</v>
      </c>
      <c r="F406" s="55">
        <v>50</v>
      </c>
      <c r="G406" s="55" t="s">
        <v>512</v>
      </c>
      <c r="J406" s="55" t="str">
        <f t="shared" si="33"/>
        <v>SO6</v>
      </c>
    </row>
    <row r="407" spans="1:10" hidden="1">
      <c r="A407" s="79" t="s">
        <v>1429</v>
      </c>
      <c r="B407" s="1778"/>
      <c r="C407" s="79" t="s">
        <v>4853</v>
      </c>
      <c r="D407" s="80" t="s">
        <v>2256</v>
      </c>
      <c r="E407" s="2277" t="str">
        <f t="shared" si="26"/>
        <v>SO</v>
      </c>
      <c r="F407" s="55">
        <v>50</v>
      </c>
      <c r="G407" s="55" t="s">
        <v>512</v>
      </c>
      <c r="J407" s="55" t="str">
        <f t="shared" si="33"/>
        <v>SO8</v>
      </c>
    </row>
    <row r="408" spans="1:10" hidden="1">
      <c r="A408" s="79" t="s">
        <v>2014</v>
      </c>
      <c r="B408" s="1778"/>
      <c r="C408" s="79" t="s">
        <v>4854</v>
      </c>
      <c r="D408" s="80" t="s">
        <v>2256</v>
      </c>
      <c r="E408" s="2277" t="str">
        <f t="shared" si="26"/>
        <v>SO</v>
      </c>
      <c r="F408" s="55">
        <v>50</v>
      </c>
      <c r="G408" s="55" t="s">
        <v>512</v>
      </c>
      <c r="J408" s="55" t="str">
        <f t="shared" si="33"/>
        <v>SO10</v>
      </c>
    </row>
    <row r="409" spans="1:10" hidden="1">
      <c r="A409" s="79" t="s">
        <v>1521</v>
      </c>
      <c r="B409" s="1778"/>
      <c r="C409" s="79" t="s">
        <v>4855</v>
      </c>
      <c r="D409" s="80" t="s">
        <v>2256</v>
      </c>
      <c r="E409" s="2277" t="str">
        <f t="shared" si="26"/>
        <v>SO</v>
      </c>
      <c r="F409" s="55">
        <v>50</v>
      </c>
      <c r="G409" s="55" t="s">
        <v>512</v>
      </c>
      <c r="J409" s="55" t="str">
        <f t="shared" si="33"/>
        <v>SO12</v>
      </c>
    </row>
    <row r="410" spans="1:10" hidden="1">
      <c r="A410" s="79" t="s">
        <v>1440</v>
      </c>
      <c r="B410" s="1778"/>
      <c r="C410" s="79" t="s">
        <v>4856</v>
      </c>
      <c r="D410" s="80" t="s">
        <v>2256</v>
      </c>
      <c r="E410" s="2277" t="str">
        <f t="shared" si="26"/>
        <v>SO</v>
      </c>
      <c r="F410" s="55">
        <v>50</v>
      </c>
      <c r="G410" s="55" t="s">
        <v>512</v>
      </c>
      <c r="J410" s="55" t="str">
        <f t="shared" si="33"/>
        <v>SO16</v>
      </c>
    </row>
    <row r="411" spans="1:10" hidden="1">
      <c r="A411" s="79" t="s">
        <v>1980</v>
      </c>
      <c r="B411" s="1778"/>
      <c r="C411" s="79" t="s">
        <v>4857</v>
      </c>
      <c r="D411" s="80" t="s">
        <v>2256</v>
      </c>
      <c r="E411" s="2277" t="str">
        <f t="shared" si="26"/>
        <v>SO</v>
      </c>
      <c r="F411" s="55">
        <v>50</v>
      </c>
      <c r="G411" s="55" t="s">
        <v>512</v>
      </c>
      <c r="J411" s="55" t="str">
        <f t="shared" si="33"/>
        <v>SO24</v>
      </c>
    </row>
    <row r="412" spans="1:10" hidden="1">
      <c r="A412" s="79" t="s">
        <v>2233</v>
      </c>
      <c r="B412" s="1778"/>
      <c r="C412" s="79" t="s">
        <v>2977</v>
      </c>
      <c r="D412" s="80" t="s">
        <v>2256</v>
      </c>
      <c r="E412" s="2277" t="str">
        <f t="shared" si="26"/>
        <v>EK</v>
      </c>
      <c r="F412" s="55">
        <v>50</v>
      </c>
      <c r="G412" s="55" t="s">
        <v>512</v>
      </c>
      <c r="J412" s="55" t="str">
        <f t="shared" si="33"/>
        <v>EKE300</v>
      </c>
    </row>
    <row r="413" spans="1:10" hidden="1">
      <c r="A413" s="79" t="s">
        <v>52</v>
      </c>
      <c r="B413" s="1778"/>
      <c r="C413" s="1786" t="s">
        <v>2978</v>
      </c>
      <c r="D413" s="80" t="s">
        <v>2256</v>
      </c>
      <c r="E413" s="2277" t="str">
        <f t="shared" ref="E413:E481" si="40">LEFT(A413,2)</f>
        <v>th</v>
      </c>
      <c r="F413" s="55">
        <v>50</v>
      </c>
      <c r="G413" s="55" t="s">
        <v>512</v>
      </c>
      <c r="J413" s="55" t="str">
        <f t="shared" si="33"/>
        <v>thept6</v>
      </c>
    </row>
    <row r="414" spans="1:10" hidden="1">
      <c r="A414" s="79" t="s">
        <v>702</v>
      </c>
      <c r="B414" s="1778"/>
      <c r="C414" s="1786" t="s">
        <v>2979</v>
      </c>
      <c r="D414" s="80" t="s">
        <v>2256</v>
      </c>
      <c r="E414" s="2277" t="str">
        <f t="shared" si="40"/>
        <v>th</v>
      </c>
      <c r="F414" s="55">
        <v>50</v>
      </c>
      <c r="G414" s="55" t="s">
        <v>512</v>
      </c>
      <c r="J414" s="55" t="str">
        <f t="shared" si="33"/>
        <v>thept5</v>
      </c>
    </row>
    <row r="415" spans="1:10" hidden="1">
      <c r="A415" s="79" t="s">
        <v>341</v>
      </c>
      <c r="B415" s="1778"/>
      <c r="C415" s="1786" t="s">
        <v>2980</v>
      </c>
      <c r="D415" s="80" t="s">
        <v>2256</v>
      </c>
      <c r="E415" s="2277" t="str">
        <f t="shared" si="40"/>
        <v>th</v>
      </c>
      <c r="F415" s="55">
        <v>50</v>
      </c>
      <c r="G415" s="55" t="s">
        <v>512</v>
      </c>
      <c r="J415" s="55" t="str">
        <f t="shared" si="33"/>
        <v>thept4</v>
      </c>
    </row>
    <row r="416" spans="1:10" hidden="1">
      <c r="A416" s="79" t="s">
        <v>883</v>
      </c>
      <c r="B416" s="1778"/>
      <c r="C416" s="1786" t="s">
        <v>2981</v>
      </c>
      <c r="D416" s="80" t="s">
        <v>2256</v>
      </c>
      <c r="E416" s="2277" t="str">
        <f t="shared" si="40"/>
        <v>th</v>
      </c>
      <c r="F416" s="55">
        <v>50</v>
      </c>
      <c r="G416" s="55" t="s">
        <v>512</v>
      </c>
      <c r="J416" s="55" t="str">
        <f t="shared" si="33"/>
        <v>thept2</v>
      </c>
    </row>
    <row r="417" spans="1:10" hidden="1">
      <c r="A417" s="79" t="s">
        <v>607</v>
      </c>
      <c r="B417" s="1778"/>
      <c r="C417" s="79" t="s">
        <v>4387</v>
      </c>
      <c r="D417" s="80" t="s">
        <v>2448</v>
      </c>
      <c r="E417" s="2277" t="str">
        <f t="shared" si="40"/>
        <v>CL</v>
      </c>
      <c r="F417" s="55">
        <v>50</v>
      </c>
      <c r="G417" s="55" t="s">
        <v>512</v>
      </c>
      <c r="J417" s="55" t="str">
        <f t="shared" si="33"/>
        <v>CL</v>
      </c>
    </row>
    <row r="418" spans="1:10" hidden="1">
      <c r="A418" s="79" t="s">
        <v>188</v>
      </c>
      <c r="B418" s="1778"/>
      <c r="C418" s="79" t="s">
        <v>4388</v>
      </c>
      <c r="D418" s="80" t="s">
        <v>2448</v>
      </c>
      <c r="E418" s="2277" t="str">
        <f t="shared" si="40"/>
        <v>CL</v>
      </c>
      <c r="F418" s="55">
        <v>50</v>
      </c>
      <c r="G418" s="55" t="s">
        <v>512</v>
      </c>
      <c r="J418" s="55" t="str">
        <f t="shared" si="33"/>
        <v>CLHT</v>
      </c>
    </row>
    <row r="419" spans="1:10" hidden="1">
      <c r="A419" s="1779" t="s">
        <v>2054</v>
      </c>
      <c r="B419" s="84"/>
      <c r="C419" s="1779" t="s">
        <v>4389</v>
      </c>
      <c r="D419" s="80" t="s">
        <v>2566</v>
      </c>
      <c r="E419" s="2277" t="str">
        <f t="shared" si="40"/>
        <v>TN</v>
      </c>
      <c r="F419" s="55">
        <v>50</v>
      </c>
      <c r="G419" s="55" t="s">
        <v>512</v>
      </c>
      <c r="J419" s="55" t="str">
        <f t="shared" si="33"/>
        <v>TN1618</v>
      </c>
    </row>
    <row r="420" spans="1:10" hidden="1">
      <c r="A420" s="1779" t="s">
        <v>748</v>
      </c>
      <c r="B420" s="84"/>
      <c r="C420" s="1779" t="s">
        <v>4390</v>
      </c>
      <c r="D420" s="80" t="s">
        <v>2566</v>
      </c>
      <c r="E420" s="2277" t="str">
        <f t="shared" si="40"/>
        <v>TN</v>
      </c>
      <c r="F420" s="55">
        <v>50</v>
      </c>
      <c r="G420" s="55" t="s">
        <v>512</v>
      </c>
      <c r="J420" s="55" t="str">
        <f t="shared" si="33"/>
        <v>TN1624</v>
      </c>
    </row>
    <row r="421" spans="1:10" hidden="1">
      <c r="A421" s="1779" t="s">
        <v>2171</v>
      </c>
      <c r="B421" s="84"/>
      <c r="C421" s="1779" t="s">
        <v>4391</v>
      </c>
      <c r="D421" s="80" t="s">
        <v>2566</v>
      </c>
      <c r="E421" s="2277" t="str">
        <f t="shared" si="40"/>
        <v>TN</v>
      </c>
      <c r="F421" s="55">
        <v>50</v>
      </c>
      <c r="G421" s="55" t="s">
        <v>512</v>
      </c>
      <c r="J421" s="55" t="str">
        <f t="shared" si="33"/>
        <v>TN1824</v>
      </c>
    </row>
    <row r="422" spans="1:10" hidden="1">
      <c r="A422" s="1779" t="s">
        <v>536</v>
      </c>
      <c r="B422" s="84"/>
      <c r="C422" s="1779" t="s">
        <v>4392</v>
      </c>
      <c r="D422" s="80" t="s">
        <v>2566</v>
      </c>
      <c r="E422" s="2277" t="str">
        <f t="shared" si="40"/>
        <v>TN</v>
      </c>
      <c r="F422" s="55">
        <v>50</v>
      </c>
      <c r="G422" s="55" t="s">
        <v>512</v>
      </c>
      <c r="J422" s="55" t="str">
        <f t="shared" si="33"/>
        <v>TN2224</v>
      </c>
    </row>
    <row r="423" spans="1:10" hidden="1">
      <c r="A423" s="1779" t="s">
        <v>2005</v>
      </c>
      <c r="B423" s="84"/>
      <c r="C423" s="1779" t="s">
        <v>4393</v>
      </c>
      <c r="D423" s="80" t="s">
        <v>2566</v>
      </c>
      <c r="E423" s="2277" t="str">
        <f t="shared" si="40"/>
        <v>TN</v>
      </c>
      <c r="F423" s="55">
        <v>50</v>
      </c>
      <c r="G423" s="55" t="s">
        <v>512</v>
      </c>
      <c r="J423" s="55" t="str">
        <f t="shared" si="33"/>
        <v>TN30</v>
      </c>
    </row>
    <row r="424" spans="1:10" hidden="1">
      <c r="A424" s="1779" t="s">
        <v>113</v>
      </c>
      <c r="B424" s="84"/>
      <c r="C424" s="1779" t="s">
        <v>4394</v>
      </c>
      <c r="D424" s="80" t="s">
        <v>2566</v>
      </c>
      <c r="E424" s="2277" t="str">
        <f t="shared" si="40"/>
        <v>TN</v>
      </c>
      <c r="F424" s="55">
        <v>50</v>
      </c>
      <c r="G424" s="55" t="s">
        <v>512</v>
      </c>
      <c r="J424" s="55" t="str">
        <f t="shared" si="33"/>
        <v>TN37</v>
      </c>
    </row>
    <row r="425" spans="1:10" hidden="1">
      <c r="A425" s="79" t="s">
        <v>1294</v>
      </c>
      <c r="B425" s="84" t="s">
        <v>1752</v>
      </c>
      <c r="C425" s="79" t="s">
        <v>2982</v>
      </c>
      <c r="D425" s="80" t="s">
        <v>2566</v>
      </c>
      <c r="E425" s="2277" t="str">
        <f t="shared" si="40"/>
        <v>NX</v>
      </c>
      <c r="F425" s="55">
        <v>50</v>
      </c>
      <c r="G425" s="55" t="s">
        <v>512</v>
      </c>
      <c r="J425" s="55" t="str">
        <f t="shared" si="33"/>
        <v>NX</v>
      </c>
    </row>
    <row r="426" spans="1:10" hidden="1">
      <c r="A426" s="79" t="s">
        <v>1295</v>
      </c>
      <c r="B426" s="1778" t="s">
        <v>1760</v>
      </c>
      <c r="C426" s="79" t="s">
        <v>2983</v>
      </c>
      <c r="D426" s="80" t="s">
        <v>2448</v>
      </c>
      <c r="E426" s="2277" t="str">
        <f t="shared" si="40"/>
        <v>CD</v>
      </c>
      <c r="F426" s="55">
        <v>50</v>
      </c>
      <c r="G426" s="55" t="s">
        <v>512</v>
      </c>
      <c r="J426" s="55" t="str">
        <f t="shared" si="33"/>
        <v>CD142</v>
      </c>
    </row>
    <row r="427" spans="1:10" hidden="1">
      <c r="A427" s="79" t="s">
        <v>222</v>
      </c>
      <c r="B427" s="1778" t="s">
        <v>1760</v>
      </c>
      <c r="C427" s="79" t="s">
        <v>2984</v>
      </c>
      <c r="D427" s="80" t="s">
        <v>2448</v>
      </c>
      <c r="E427" s="2277" t="str">
        <f t="shared" si="40"/>
        <v>CD</v>
      </c>
      <c r="F427" s="55">
        <v>50</v>
      </c>
      <c r="G427" s="55" t="s">
        <v>512</v>
      </c>
      <c r="J427" s="55" t="str">
        <f t="shared" si="33"/>
        <v>CD142a</v>
      </c>
    </row>
    <row r="428" spans="1:10" hidden="1">
      <c r="A428" s="79" t="s">
        <v>1844</v>
      </c>
      <c r="B428" s="1778" t="s">
        <v>1760</v>
      </c>
      <c r="C428" s="79" t="s">
        <v>2985</v>
      </c>
      <c r="D428" s="80" t="s">
        <v>2448</v>
      </c>
      <c r="E428" s="2277" t="str">
        <f t="shared" si="40"/>
        <v>CD</v>
      </c>
      <c r="F428" s="55">
        <v>50</v>
      </c>
      <c r="G428" s="55" t="s">
        <v>512</v>
      </c>
      <c r="J428" s="55" t="str">
        <f t="shared" si="33"/>
        <v>CD146</v>
      </c>
    </row>
    <row r="429" spans="1:10" hidden="1">
      <c r="A429" s="79" t="s">
        <v>1856</v>
      </c>
      <c r="B429" s="1778" t="s">
        <v>1760</v>
      </c>
      <c r="C429" s="79" t="s">
        <v>2986</v>
      </c>
      <c r="D429" s="80" t="s">
        <v>2448</v>
      </c>
      <c r="E429" s="2277" t="str">
        <f t="shared" si="40"/>
        <v>CD</v>
      </c>
      <c r="F429" s="55">
        <v>50</v>
      </c>
      <c r="G429" s="55" t="s">
        <v>512</v>
      </c>
      <c r="J429" s="55" t="str">
        <f t="shared" si="33"/>
        <v>CD146a</v>
      </c>
    </row>
    <row r="430" spans="1:10" hidden="1">
      <c r="A430" s="79" t="s">
        <v>846</v>
      </c>
      <c r="B430" s="1778" t="s">
        <v>1760</v>
      </c>
      <c r="C430" s="79" t="s">
        <v>2987</v>
      </c>
      <c r="D430" s="80" t="s">
        <v>2448</v>
      </c>
      <c r="E430" s="2277" t="str">
        <f t="shared" si="40"/>
        <v>CD</v>
      </c>
      <c r="F430" s="55">
        <v>50</v>
      </c>
      <c r="G430" s="55" t="s">
        <v>512</v>
      </c>
      <c r="J430" s="55" t="str">
        <f t="shared" si="33"/>
        <v>CD682</v>
      </c>
    </row>
    <row r="431" spans="1:10" hidden="1">
      <c r="A431" s="79" t="s">
        <v>1132</v>
      </c>
      <c r="B431" s="1778" t="s">
        <v>682</v>
      </c>
      <c r="C431" s="79" t="s">
        <v>2988</v>
      </c>
      <c r="D431" s="80" t="s">
        <v>2448</v>
      </c>
      <c r="E431" s="2277" t="str">
        <f t="shared" si="40"/>
        <v>LC</v>
      </c>
      <c r="F431" s="55">
        <v>2000</v>
      </c>
      <c r="G431" s="55" t="s">
        <v>512</v>
      </c>
      <c r="J431" s="55" t="str">
        <f t="shared" si="33"/>
        <v>LCD</v>
      </c>
    </row>
    <row r="432" spans="1:10" hidden="1">
      <c r="A432" s="79" t="s">
        <v>1597</v>
      </c>
      <c r="B432" s="1778" t="s">
        <v>1760</v>
      </c>
      <c r="C432" s="79" t="s">
        <v>4385</v>
      </c>
      <c r="D432" s="80" t="s">
        <v>2448</v>
      </c>
      <c r="E432" s="2277" t="str">
        <f t="shared" si="40"/>
        <v>CD</v>
      </c>
      <c r="F432" s="55">
        <v>50</v>
      </c>
      <c r="G432" s="55" t="s">
        <v>512</v>
      </c>
      <c r="J432" s="55" t="str">
        <f t="shared" si="33"/>
        <v>CD21</v>
      </c>
    </row>
    <row r="433" spans="1:10" hidden="1">
      <c r="A433" s="79" t="s">
        <v>374</v>
      </c>
      <c r="B433" s="1778" t="s">
        <v>1760</v>
      </c>
      <c r="C433" s="79" t="s">
        <v>4395</v>
      </c>
      <c r="D433" s="80" t="s">
        <v>2448</v>
      </c>
      <c r="E433" s="2277" t="str">
        <f t="shared" si="40"/>
        <v>CD</v>
      </c>
      <c r="F433" s="55">
        <v>50</v>
      </c>
      <c r="G433" s="55" t="s">
        <v>512</v>
      </c>
      <c r="J433" s="55" t="str">
        <f t="shared" si="33"/>
        <v>CD21S10</v>
      </c>
    </row>
    <row r="434" spans="1:10" hidden="1">
      <c r="A434" s="79" t="s">
        <v>1997</v>
      </c>
      <c r="B434" s="1778" t="s">
        <v>1760</v>
      </c>
      <c r="C434" s="79" t="s">
        <v>4396</v>
      </c>
      <c r="D434" s="80" t="s">
        <v>2448</v>
      </c>
      <c r="E434" s="2277" t="str">
        <f t="shared" si="40"/>
        <v>CD</v>
      </c>
      <c r="F434" s="55">
        <v>50</v>
      </c>
      <c r="G434" s="55" t="s">
        <v>512</v>
      </c>
      <c r="J434" s="55" t="str">
        <f t="shared" si="33"/>
        <v>CD60</v>
      </c>
    </row>
    <row r="435" spans="1:10" hidden="1">
      <c r="A435" s="79" t="s">
        <v>1996</v>
      </c>
      <c r="B435" s="1778" t="s">
        <v>1760</v>
      </c>
      <c r="C435" s="79" t="s">
        <v>4397</v>
      </c>
      <c r="D435" s="80" t="s">
        <v>2448</v>
      </c>
      <c r="E435" s="2277" t="str">
        <f t="shared" si="40"/>
        <v>CD</v>
      </c>
      <c r="F435" s="55">
        <v>50</v>
      </c>
      <c r="G435" s="55" t="s">
        <v>512</v>
      </c>
      <c r="J435" s="55" t="str">
        <f t="shared" si="33"/>
        <v>CD90</v>
      </c>
    </row>
    <row r="436" spans="1:10" hidden="1">
      <c r="A436" s="79" t="s">
        <v>733</v>
      </c>
      <c r="B436" s="1778" t="s">
        <v>1760</v>
      </c>
      <c r="C436" s="79" t="s">
        <v>4398</v>
      </c>
      <c r="D436" s="80" t="s">
        <v>2448</v>
      </c>
      <c r="E436" s="2277" t="str">
        <f t="shared" si="40"/>
        <v>CD</v>
      </c>
      <c r="F436" s="55">
        <v>50</v>
      </c>
      <c r="G436" s="55" t="s">
        <v>512</v>
      </c>
      <c r="J436" s="55" t="str">
        <f t="shared" si="33"/>
        <v>CD114</v>
      </c>
    </row>
    <row r="437" spans="1:10" hidden="1">
      <c r="A437" s="79" t="s">
        <v>1541</v>
      </c>
      <c r="B437" s="1778" t="s">
        <v>1760</v>
      </c>
      <c r="C437" s="79" t="s">
        <v>4399</v>
      </c>
      <c r="D437" s="80" t="s">
        <v>2448</v>
      </c>
      <c r="E437" s="2277" t="str">
        <f t="shared" si="40"/>
        <v>CD</v>
      </c>
      <c r="F437" s="55">
        <v>50</v>
      </c>
      <c r="G437" s="55" t="s">
        <v>512</v>
      </c>
      <c r="J437" s="55" t="str">
        <f t="shared" si="33"/>
        <v>CD140</v>
      </c>
    </row>
    <row r="438" spans="1:10" hidden="1">
      <c r="A438" s="79" t="s">
        <v>947</v>
      </c>
      <c r="B438" s="1778" t="s">
        <v>1760</v>
      </c>
      <c r="C438" s="79" t="s">
        <v>4400</v>
      </c>
      <c r="D438" s="80" t="s">
        <v>2448</v>
      </c>
      <c r="E438" s="2277" t="str">
        <f t="shared" si="40"/>
        <v>CD</v>
      </c>
      <c r="F438" s="55">
        <v>50</v>
      </c>
      <c r="G438" s="55" t="s">
        <v>512</v>
      </c>
      <c r="J438" s="55" t="str">
        <f t="shared" si="33"/>
        <v>CD140TK</v>
      </c>
    </row>
    <row r="439" spans="1:10" hidden="1">
      <c r="A439" s="79" t="s">
        <v>225</v>
      </c>
      <c r="B439" s="1778" t="s">
        <v>1760</v>
      </c>
      <c r="C439" s="79" t="s">
        <v>4401</v>
      </c>
      <c r="D439" s="80" t="s">
        <v>2448</v>
      </c>
      <c r="E439" s="2277" t="str">
        <f t="shared" si="40"/>
        <v>CD</v>
      </c>
      <c r="F439" s="55">
        <v>50</v>
      </c>
      <c r="G439" s="55" t="s">
        <v>512</v>
      </c>
      <c r="J439" s="55" t="str">
        <f t="shared" si="33"/>
        <v>CD195</v>
      </c>
    </row>
    <row r="440" spans="1:10" hidden="1">
      <c r="A440" s="79" t="s">
        <v>847</v>
      </c>
      <c r="B440" s="1778" t="s">
        <v>1760</v>
      </c>
      <c r="C440" s="79" t="s">
        <v>4402</v>
      </c>
      <c r="D440" s="80" t="s">
        <v>2448</v>
      </c>
      <c r="E440" s="2277" t="str">
        <f t="shared" si="40"/>
        <v>CD</v>
      </c>
      <c r="F440" s="55">
        <v>50</v>
      </c>
      <c r="G440" s="55" t="s">
        <v>512</v>
      </c>
      <c r="J440" s="55" t="str">
        <f t="shared" si="33"/>
        <v>CD207</v>
      </c>
    </row>
    <row r="441" spans="1:10" hidden="1">
      <c r="A441" s="79" t="s">
        <v>1995</v>
      </c>
      <c r="B441" s="1778" t="s">
        <v>1760</v>
      </c>
      <c r="C441" s="79" t="s">
        <v>4403</v>
      </c>
      <c r="D441" s="80" t="s">
        <v>2448</v>
      </c>
      <c r="E441" s="2277" t="str">
        <f t="shared" si="40"/>
        <v>CD</v>
      </c>
      <c r="F441" s="55">
        <v>50</v>
      </c>
      <c r="G441" s="55" t="s">
        <v>512</v>
      </c>
      <c r="J441" s="55" t="str">
        <f t="shared" si="33"/>
        <v>CD220</v>
      </c>
    </row>
    <row r="442" spans="1:10" hidden="1">
      <c r="A442" s="79" t="s">
        <v>805</v>
      </c>
      <c r="B442" s="1778" t="s">
        <v>1760</v>
      </c>
      <c r="C442" s="79" t="s">
        <v>4404</v>
      </c>
      <c r="D442" s="80" t="s">
        <v>2448</v>
      </c>
      <c r="E442" s="2277" t="str">
        <f t="shared" si="40"/>
        <v>CD</v>
      </c>
      <c r="F442" s="55">
        <v>50</v>
      </c>
      <c r="G442" s="55" t="s">
        <v>512</v>
      </c>
      <c r="J442" s="55" t="str">
        <f t="shared" si="33"/>
        <v>CD240</v>
      </c>
    </row>
    <row r="443" spans="1:10" hidden="1">
      <c r="A443" s="79" t="s">
        <v>2078</v>
      </c>
      <c r="B443" s="1778" t="s">
        <v>1760</v>
      </c>
      <c r="C443" s="79" t="s">
        <v>4405</v>
      </c>
      <c r="D443" s="80" t="s">
        <v>2448</v>
      </c>
      <c r="E443" s="2277" t="str">
        <f t="shared" si="40"/>
        <v>CD</v>
      </c>
      <c r="F443" s="55">
        <v>50</v>
      </c>
      <c r="G443" s="55" t="s">
        <v>512</v>
      </c>
      <c r="J443" s="55" t="str">
        <f t="shared" si="33"/>
        <v>CD250</v>
      </c>
    </row>
    <row r="444" spans="1:10" hidden="1">
      <c r="A444" s="79" t="s">
        <v>319</v>
      </c>
      <c r="B444" s="1778" t="s">
        <v>1760</v>
      </c>
      <c r="C444" s="79" t="s">
        <v>2989</v>
      </c>
      <c r="D444" s="80" t="s">
        <v>2448</v>
      </c>
      <c r="E444" s="2277" t="str">
        <f t="shared" si="40"/>
        <v>CD</v>
      </c>
      <c r="F444" s="55">
        <v>50</v>
      </c>
      <c r="G444" s="55" t="s">
        <v>512</v>
      </c>
      <c r="J444" s="55" t="str">
        <f t="shared" si="33"/>
        <v>CD320</v>
      </c>
    </row>
    <row r="445" spans="1:10" hidden="1">
      <c r="A445" s="79" t="s">
        <v>1883</v>
      </c>
      <c r="B445" s="1778" t="s">
        <v>1760</v>
      </c>
      <c r="C445" s="1787" t="s">
        <v>2990</v>
      </c>
      <c r="D445" s="80" t="s">
        <v>2448</v>
      </c>
      <c r="E445" s="2277" t="str">
        <f t="shared" si="40"/>
        <v>Cd</v>
      </c>
      <c r="F445" s="55">
        <v>50</v>
      </c>
      <c r="G445" s="55" t="s">
        <v>512</v>
      </c>
      <c r="J445" s="55" t="str">
        <f t="shared" si="33"/>
        <v>Cdtrudoi</v>
      </c>
    </row>
    <row r="446" spans="1:10" hidden="1">
      <c r="A446" s="79" t="s">
        <v>1884</v>
      </c>
      <c r="B446" s="1778" t="s">
        <v>1760</v>
      </c>
      <c r="C446" s="1787" t="s">
        <v>2991</v>
      </c>
      <c r="D446" s="80" t="s">
        <v>2448</v>
      </c>
      <c r="E446" s="2277" t="str">
        <f t="shared" si="40"/>
        <v>Cd</v>
      </c>
      <c r="F446" s="55">
        <v>50</v>
      </c>
      <c r="G446" s="55" t="s">
        <v>512</v>
      </c>
      <c r="J446" s="55" t="str">
        <f t="shared" si="33"/>
        <v>CdtrudoiHT</v>
      </c>
    </row>
    <row r="447" spans="1:10" hidden="1">
      <c r="A447" s="79" t="s">
        <v>472</v>
      </c>
      <c r="B447" s="1778" t="s">
        <v>1760</v>
      </c>
      <c r="C447" s="1787" t="s">
        <v>2992</v>
      </c>
      <c r="D447" s="80" t="s">
        <v>2448</v>
      </c>
      <c r="E447" s="2277" t="str">
        <f t="shared" si="40"/>
        <v>Cd</v>
      </c>
      <c r="F447" s="55">
        <v>50</v>
      </c>
      <c r="G447" s="55" t="s">
        <v>512</v>
      </c>
      <c r="J447" s="55" t="str">
        <f t="shared" si="33"/>
        <v>Cdedaucap</v>
      </c>
    </row>
    <row r="448" spans="1:10" hidden="1">
      <c r="A448" s="79" t="s">
        <v>223</v>
      </c>
      <c r="B448" s="1778" t="s">
        <v>1760</v>
      </c>
      <c r="C448" s="1787" t="s">
        <v>2993</v>
      </c>
      <c r="D448" s="80" t="s">
        <v>2448</v>
      </c>
      <c r="E448" s="2277" t="str">
        <f t="shared" si="40"/>
        <v>Cd</v>
      </c>
      <c r="F448" s="55">
        <v>50</v>
      </c>
      <c r="G448" s="55" t="s">
        <v>512</v>
      </c>
      <c r="J448" s="55" t="str">
        <f t="shared" si="33"/>
        <v>Cdtrudoi140</v>
      </c>
    </row>
    <row r="449" spans="1:10" hidden="1">
      <c r="A449" s="79" t="s">
        <v>471</v>
      </c>
      <c r="B449" s="1778" t="s">
        <v>1760</v>
      </c>
      <c r="C449" s="1787" t="s">
        <v>2994</v>
      </c>
      <c r="D449" s="80" t="s">
        <v>2448</v>
      </c>
      <c r="E449" s="2277" t="str">
        <f t="shared" si="40"/>
        <v>Cd</v>
      </c>
      <c r="F449" s="55">
        <v>50</v>
      </c>
      <c r="G449" s="55" t="s">
        <v>512</v>
      </c>
      <c r="J449" s="55" t="str">
        <f t="shared" si="33"/>
        <v>Cdtru140</v>
      </c>
    </row>
    <row r="450" spans="1:10" hidden="1">
      <c r="A450" s="79" t="s">
        <v>2008</v>
      </c>
      <c r="B450" s="1778" t="s">
        <v>1760</v>
      </c>
      <c r="C450" s="1787" t="s">
        <v>2995</v>
      </c>
      <c r="D450" s="80" t="s">
        <v>2448</v>
      </c>
      <c r="E450" s="2277" t="str">
        <f t="shared" si="40"/>
        <v>Cd</v>
      </c>
      <c r="F450" s="55">
        <v>50</v>
      </c>
      <c r="G450" s="55" t="s">
        <v>512</v>
      </c>
      <c r="J450" s="55" t="str">
        <f t="shared" si="33"/>
        <v>Cdeoptru</v>
      </c>
    </row>
    <row r="451" spans="1:10" hidden="1">
      <c r="A451" s="79" t="s">
        <v>2429</v>
      </c>
      <c r="B451" s="1778" t="s">
        <v>1760</v>
      </c>
      <c r="C451" s="1788" t="s">
        <v>2996</v>
      </c>
      <c r="D451" s="80" t="s">
        <v>2448</v>
      </c>
      <c r="E451" s="2277" t="str">
        <f t="shared" si="40"/>
        <v>CD</v>
      </c>
      <c r="F451" s="55">
        <v>50</v>
      </c>
      <c r="G451" s="55" t="s">
        <v>512</v>
      </c>
      <c r="J451" s="55" t="str">
        <f t="shared" si="33"/>
        <v>CD bắt xà</v>
      </c>
    </row>
    <row r="452" spans="1:10" hidden="1">
      <c r="A452" s="79" t="s">
        <v>226</v>
      </c>
      <c r="B452" s="1778" t="s">
        <v>1760</v>
      </c>
      <c r="C452" s="1787" t="s">
        <v>2997</v>
      </c>
      <c r="D452" s="80" t="s">
        <v>2448</v>
      </c>
      <c r="E452" s="2277" t="str">
        <f t="shared" si="40"/>
        <v>CD</v>
      </c>
      <c r="F452" s="55">
        <v>50</v>
      </c>
      <c r="G452" s="55" t="s">
        <v>512</v>
      </c>
      <c r="J452" s="55" t="str">
        <f t="shared" si="33"/>
        <v>CD30x3</v>
      </c>
    </row>
    <row r="453" spans="1:10" hidden="1">
      <c r="A453" s="79" t="s">
        <v>227</v>
      </c>
      <c r="B453" s="1778" t="s">
        <v>1760</v>
      </c>
      <c r="C453" s="1787" t="s">
        <v>2998</v>
      </c>
      <c r="D453" s="80" t="s">
        <v>2448</v>
      </c>
      <c r="E453" s="2277" t="str">
        <f t="shared" si="40"/>
        <v>CD</v>
      </c>
      <c r="F453" s="55">
        <v>50</v>
      </c>
      <c r="G453" s="55" t="s">
        <v>512</v>
      </c>
      <c r="J453" s="55" t="str">
        <f t="shared" si="33"/>
        <v>CD25x2</v>
      </c>
    </row>
    <row r="454" spans="1:10" hidden="1">
      <c r="A454" s="79" t="s">
        <v>1825</v>
      </c>
      <c r="B454" s="1778" t="s">
        <v>1760</v>
      </c>
      <c r="C454" s="79" t="s">
        <v>4406</v>
      </c>
      <c r="D454" s="80" t="s">
        <v>2448</v>
      </c>
      <c r="E454" s="2277" t="str">
        <f t="shared" si="40"/>
        <v>CD</v>
      </c>
      <c r="F454" s="55">
        <v>50</v>
      </c>
      <c r="G454" s="55" t="s">
        <v>512</v>
      </c>
      <c r="J454" s="55" t="str">
        <f t="shared" si="33"/>
        <v>CD21T</v>
      </c>
    </row>
    <row r="455" spans="1:10" hidden="1">
      <c r="A455" s="79" t="s">
        <v>203</v>
      </c>
      <c r="B455" s="1778" t="s">
        <v>1760</v>
      </c>
      <c r="C455" s="1787" t="s">
        <v>2999</v>
      </c>
      <c r="D455" s="80" t="s">
        <v>2448</v>
      </c>
      <c r="E455" s="2277" t="str">
        <f t="shared" si="40"/>
        <v>Cd</v>
      </c>
      <c r="F455" s="55">
        <v>50</v>
      </c>
      <c r="G455" s="55" t="s">
        <v>512</v>
      </c>
      <c r="J455" s="55" t="str">
        <f t="shared" si="33"/>
        <v>Cd42T</v>
      </c>
    </row>
    <row r="456" spans="1:10" hidden="1">
      <c r="A456" s="79" t="s">
        <v>1249</v>
      </c>
      <c r="B456" s="1778" t="s">
        <v>1760</v>
      </c>
      <c r="C456" s="1787" t="s">
        <v>3000</v>
      </c>
      <c r="D456" s="80" t="s">
        <v>2448</v>
      </c>
      <c r="E456" s="2277" t="str">
        <f t="shared" si="40"/>
        <v>Cd</v>
      </c>
      <c r="F456" s="55">
        <v>50</v>
      </c>
      <c r="G456" s="55" t="s">
        <v>512</v>
      </c>
      <c r="J456" s="55" t="str">
        <f t="shared" si="33"/>
        <v>Cd114T</v>
      </c>
    </row>
    <row r="457" spans="1:10" hidden="1">
      <c r="A457" s="79" t="s">
        <v>120</v>
      </c>
      <c r="B457" s="1778" t="s">
        <v>1760</v>
      </c>
      <c r="C457" s="1787" t="s">
        <v>3001</v>
      </c>
      <c r="D457" s="80" t="s">
        <v>2448</v>
      </c>
      <c r="E457" s="2277" t="str">
        <f t="shared" si="40"/>
        <v>Cd</v>
      </c>
      <c r="F457" s="55">
        <v>50</v>
      </c>
      <c r="G457" s="55" t="s">
        <v>512</v>
      </c>
      <c r="J457" s="55" t="str">
        <f t="shared" si="33"/>
        <v>Cd140T</v>
      </c>
    </row>
    <row r="458" spans="1:10" hidden="1">
      <c r="A458" s="79" t="s">
        <v>588</v>
      </c>
      <c r="B458" s="1778" t="s">
        <v>1760</v>
      </c>
      <c r="C458" s="1787" t="s">
        <v>3002</v>
      </c>
      <c r="D458" s="80" t="s">
        <v>2448</v>
      </c>
      <c r="E458" s="2277" t="str">
        <f t="shared" ref="E458" si="41">LEFT(A458,2)</f>
        <v>CD</v>
      </c>
      <c r="F458" s="55">
        <v>50</v>
      </c>
      <c r="G458" s="55" t="s">
        <v>512</v>
      </c>
      <c r="J458" s="55" t="str">
        <f t="shared" si="33"/>
        <v>CD5x50</v>
      </c>
    </row>
    <row r="459" spans="1:10" hidden="1">
      <c r="A459" s="79" t="s">
        <v>4893</v>
      </c>
      <c r="B459" s="1778" t="s">
        <v>1760</v>
      </c>
      <c r="C459" s="1787" t="s">
        <v>4892</v>
      </c>
      <c r="D459" s="80" t="s">
        <v>2448</v>
      </c>
      <c r="E459" s="2277" t="str">
        <f t="shared" si="40"/>
        <v>CD</v>
      </c>
      <c r="F459" s="55">
        <v>50</v>
      </c>
      <c r="G459" s="55" t="s">
        <v>512</v>
      </c>
      <c r="J459" s="55" t="str">
        <f t="shared" ref="J459:J522" si="42">A459</f>
        <v>CD6x60</v>
      </c>
    </row>
    <row r="460" spans="1:10" hidden="1">
      <c r="A460" s="79" t="s">
        <v>569</v>
      </c>
      <c r="B460" s="1778" t="s">
        <v>1760</v>
      </c>
      <c r="C460" s="1787" t="s">
        <v>3003</v>
      </c>
      <c r="D460" s="80" t="s">
        <v>2448</v>
      </c>
      <c r="E460" s="2277" t="str">
        <f t="shared" si="40"/>
        <v>CD</v>
      </c>
      <c r="F460" s="55">
        <v>50</v>
      </c>
      <c r="G460" s="55" t="s">
        <v>512</v>
      </c>
      <c r="J460" s="55" t="str">
        <f t="shared" si="42"/>
        <v>CDXA</v>
      </c>
    </row>
    <row r="461" spans="1:10" hidden="1">
      <c r="A461" s="79" t="s">
        <v>4357</v>
      </c>
      <c r="B461" s="1778"/>
      <c r="C461" s="1787" t="s">
        <v>4358</v>
      </c>
      <c r="D461" s="80" t="s">
        <v>2566</v>
      </c>
      <c r="E461" s="2277" t="str">
        <f t="shared" si="40"/>
        <v>CO</v>
      </c>
      <c r="F461" s="55">
        <v>50</v>
      </c>
      <c r="G461" s="55" t="s">
        <v>512</v>
      </c>
      <c r="J461" s="55" t="str">
        <f t="shared" si="42"/>
        <v>COM110x800x5-2,4</v>
      </c>
    </row>
    <row r="462" spans="1:10" hidden="1">
      <c r="A462" s="79" t="s">
        <v>4486</v>
      </c>
      <c r="B462" s="1778"/>
      <c r="C462" s="1787" t="s">
        <v>4487</v>
      </c>
      <c r="D462" s="80" t="s">
        <v>2566</v>
      </c>
      <c r="E462" s="2277" t="str">
        <f t="shared" ref="E462:E463" si="43">LEFT(A462,2)</f>
        <v>CO</v>
      </c>
      <c r="F462" s="55">
        <v>50</v>
      </c>
      <c r="G462" s="55" t="s">
        <v>512</v>
      </c>
      <c r="J462" s="55" t="str">
        <f t="shared" si="42"/>
        <v>COM110x800x5-2,6</v>
      </c>
    </row>
    <row r="463" spans="1:10" hidden="1">
      <c r="A463" s="79" t="s">
        <v>4577</v>
      </c>
      <c r="B463" s="1778"/>
      <c r="C463" s="1787" t="s">
        <v>4948</v>
      </c>
      <c r="D463" s="80" t="s">
        <v>2566</v>
      </c>
      <c r="E463" s="2277" t="str">
        <f t="shared" si="43"/>
        <v>CO</v>
      </c>
      <c r="F463" s="55">
        <v>50</v>
      </c>
      <c r="G463" s="55" t="s">
        <v>512</v>
      </c>
      <c r="J463" s="55" t="str">
        <f t="shared" si="42"/>
        <v>COM08</v>
      </c>
    </row>
    <row r="464" spans="1:10" hidden="1">
      <c r="A464" s="79" t="s">
        <v>4547</v>
      </c>
      <c r="B464" s="1778"/>
      <c r="C464" s="1787" t="s">
        <v>4548</v>
      </c>
      <c r="D464" s="80" t="s">
        <v>2566</v>
      </c>
      <c r="E464" s="2277" t="str">
        <f t="shared" ref="E464" si="44">LEFT(A464,2)</f>
        <v>CO</v>
      </c>
      <c r="F464" s="55">
        <v>50</v>
      </c>
      <c r="G464" s="55" t="s">
        <v>512</v>
      </c>
      <c r="J464" s="55" t="str">
        <f t="shared" si="42"/>
        <v>COM08-720</v>
      </c>
    </row>
    <row r="465" spans="1:10" hidden="1">
      <c r="A465" s="79" t="s">
        <v>4775</v>
      </c>
      <c r="B465" s="1778"/>
      <c r="C465" s="1787" t="s">
        <v>4949</v>
      </c>
      <c r="D465" s="80" t="s">
        <v>2566</v>
      </c>
      <c r="E465" s="2277" t="str">
        <f t="shared" ref="E465" si="45">LEFT(A465,2)</f>
        <v>co</v>
      </c>
      <c r="F465" s="55">
        <v>50</v>
      </c>
      <c r="G465" s="55" t="s">
        <v>512</v>
      </c>
      <c r="J465" s="55" t="str">
        <f t="shared" si="42"/>
        <v>com40x10x720</v>
      </c>
    </row>
    <row r="466" spans="1:10" hidden="1">
      <c r="A466" s="79" t="s">
        <v>362</v>
      </c>
      <c r="B466" s="1778"/>
      <c r="C466" s="1787" t="s">
        <v>3004</v>
      </c>
      <c r="D466" s="80" t="s">
        <v>2566</v>
      </c>
      <c r="E466" s="2277" t="str">
        <f t="shared" si="40"/>
        <v>CO</v>
      </c>
      <c r="F466" s="55">
        <v>50</v>
      </c>
      <c r="G466" s="55" t="s">
        <v>512</v>
      </c>
      <c r="J466" s="55" t="str">
        <f t="shared" si="42"/>
        <v>COM110x800x5</v>
      </c>
    </row>
    <row r="467" spans="1:10" hidden="1">
      <c r="A467" s="79" t="s">
        <v>363</v>
      </c>
      <c r="B467" s="1778"/>
      <c r="C467" s="1787" t="s">
        <v>3005</v>
      </c>
      <c r="D467" s="80" t="s">
        <v>2566</v>
      </c>
      <c r="E467" s="2277" t="str">
        <f t="shared" si="40"/>
        <v>CO</v>
      </c>
      <c r="F467" s="55">
        <v>50</v>
      </c>
      <c r="G467" s="55" t="s">
        <v>512</v>
      </c>
      <c r="J467" s="55" t="str">
        <f t="shared" si="42"/>
        <v>COM40X10X920</v>
      </c>
    </row>
    <row r="468" spans="1:10" hidden="1">
      <c r="A468" s="79" t="s">
        <v>1538</v>
      </c>
      <c r="B468" s="1778"/>
      <c r="C468" s="79" t="s">
        <v>3006</v>
      </c>
      <c r="D468" s="80" t="s">
        <v>2842</v>
      </c>
      <c r="E468" s="2277" t="str">
        <f t="shared" si="40"/>
        <v>T7</v>
      </c>
      <c r="F468" s="55">
        <v>2</v>
      </c>
      <c r="G468" s="55" t="s">
        <v>512</v>
      </c>
      <c r="J468" s="55" t="str">
        <f t="shared" si="42"/>
        <v>T75</v>
      </c>
    </row>
    <row r="469" spans="1:10" hidden="1">
      <c r="A469" s="79" t="s">
        <v>876</v>
      </c>
      <c r="B469" s="1778"/>
      <c r="C469" s="79" t="s">
        <v>3007</v>
      </c>
      <c r="D469" s="80" t="s">
        <v>2842</v>
      </c>
      <c r="E469" s="2277" t="str">
        <f t="shared" si="40"/>
        <v>T8</v>
      </c>
      <c r="F469" s="55">
        <v>2</v>
      </c>
      <c r="G469" s="55" t="s">
        <v>512</v>
      </c>
      <c r="J469" s="55" t="str">
        <f t="shared" si="42"/>
        <v>T84</v>
      </c>
    </row>
    <row r="470" spans="1:10" hidden="1">
      <c r="A470" s="79" t="s">
        <v>186</v>
      </c>
      <c r="B470" s="1778"/>
      <c r="C470" s="79" t="s">
        <v>3008</v>
      </c>
      <c r="D470" s="80" t="s">
        <v>2842</v>
      </c>
      <c r="E470" s="2277" t="str">
        <f t="shared" si="40"/>
        <v>T8</v>
      </c>
      <c r="F470" s="55">
        <v>2</v>
      </c>
      <c r="G470" s="55" t="s">
        <v>512</v>
      </c>
      <c r="J470" s="55" t="str">
        <f t="shared" si="42"/>
        <v>T84td</v>
      </c>
    </row>
    <row r="471" spans="1:10" hidden="1">
      <c r="A471" s="79" t="s">
        <v>995</v>
      </c>
      <c r="B471" s="1778"/>
      <c r="C471" s="79" t="s">
        <v>3009</v>
      </c>
      <c r="D471" s="80" t="s">
        <v>2842</v>
      </c>
      <c r="E471" s="2277" t="str">
        <f t="shared" si="40"/>
        <v>T8</v>
      </c>
      <c r="F471" s="55">
        <v>2</v>
      </c>
      <c r="G471" s="55" t="s">
        <v>512</v>
      </c>
      <c r="J471" s="55" t="str">
        <f t="shared" si="42"/>
        <v>T85</v>
      </c>
    </row>
    <row r="472" spans="1:10" hidden="1">
      <c r="A472" s="79" t="s">
        <v>1880</v>
      </c>
      <c r="B472" s="1778"/>
      <c r="C472" s="79" t="s">
        <v>3010</v>
      </c>
      <c r="D472" s="80" t="s">
        <v>2842</v>
      </c>
      <c r="E472" s="2277" t="str">
        <f t="shared" si="40"/>
        <v>T1</v>
      </c>
      <c r="F472" s="55">
        <v>2</v>
      </c>
      <c r="G472" s="55" t="s">
        <v>512</v>
      </c>
      <c r="J472" s="55" t="str">
        <f t="shared" si="42"/>
        <v>T10</v>
      </c>
    </row>
    <row r="473" spans="1:10" hidden="1">
      <c r="A473" s="79" t="s">
        <v>114</v>
      </c>
      <c r="B473" s="1778"/>
      <c r="C473" s="79" t="s">
        <v>3011</v>
      </c>
      <c r="D473" s="80" t="s">
        <v>2842</v>
      </c>
      <c r="E473" s="2277" t="str">
        <f t="shared" si="40"/>
        <v>T1</v>
      </c>
      <c r="F473" s="55">
        <v>2</v>
      </c>
      <c r="G473" s="55" t="s">
        <v>512</v>
      </c>
      <c r="J473" s="55" t="str">
        <f t="shared" si="42"/>
        <v>T105</v>
      </c>
    </row>
    <row r="474" spans="1:10" hidden="1">
      <c r="A474" s="79" t="s">
        <v>115</v>
      </c>
      <c r="B474" s="1778"/>
      <c r="C474" s="79" t="s">
        <v>3012</v>
      </c>
      <c r="D474" s="80" t="s">
        <v>2842</v>
      </c>
      <c r="E474" s="2277" t="str">
        <f t="shared" si="40"/>
        <v>T1</v>
      </c>
      <c r="F474" s="55">
        <v>2</v>
      </c>
      <c r="G474" s="55" t="s">
        <v>512</v>
      </c>
      <c r="J474" s="55" t="str">
        <f t="shared" si="42"/>
        <v>T12</v>
      </c>
    </row>
    <row r="475" spans="1:10" hidden="1">
      <c r="A475" s="79" t="s">
        <v>2421</v>
      </c>
      <c r="B475" s="1778"/>
      <c r="C475" s="79" t="s">
        <v>3013</v>
      </c>
      <c r="D475" s="80" t="s">
        <v>2842</v>
      </c>
      <c r="E475" s="2277" t="str">
        <f t="shared" si="40"/>
        <v>T1</v>
      </c>
      <c r="F475" s="55">
        <v>2</v>
      </c>
      <c r="G475" s="55" t="s">
        <v>512</v>
      </c>
      <c r="J475" s="55" t="str">
        <f t="shared" si="42"/>
        <v>T12TĐ</v>
      </c>
    </row>
    <row r="476" spans="1:10" hidden="1">
      <c r="A476" s="79" t="s">
        <v>107</v>
      </c>
      <c r="B476" s="1778"/>
      <c r="C476" s="79" t="s">
        <v>3014</v>
      </c>
      <c r="D476" s="80" t="s">
        <v>2842</v>
      </c>
      <c r="E476" s="2277" t="str">
        <f t="shared" si="40"/>
        <v>T1</v>
      </c>
      <c r="F476" s="55">
        <v>2</v>
      </c>
      <c r="G476" s="55" t="s">
        <v>512</v>
      </c>
      <c r="J476" s="55" t="str">
        <f t="shared" si="42"/>
        <v>T14</v>
      </c>
    </row>
    <row r="477" spans="1:10" hidden="1">
      <c r="A477" s="79" t="s">
        <v>2099</v>
      </c>
      <c r="B477" s="1778"/>
      <c r="C477" s="79" t="s">
        <v>3015</v>
      </c>
      <c r="D477" s="80" t="s">
        <v>2842</v>
      </c>
      <c r="E477" s="2277" t="str">
        <f t="shared" si="40"/>
        <v>T2</v>
      </c>
      <c r="F477" s="55">
        <v>2</v>
      </c>
      <c r="G477" s="55" t="s">
        <v>512</v>
      </c>
      <c r="J477" s="55" t="str">
        <f t="shared" si="42"/>
        <v>T20</v>
      </c>
    </row>
    <row r="478" spans="1:10" hidden="1">
      <c r="A478" s="79" t="s">
        <v>110</v>
      </c>
      <c r="B478" s="1778"/>
      <c r="C478" s="79" t="s">
        <v>3016</v>
      </c>
      <c r="D478" s="80" t="s">
        <v>2256</v>
      </c>
      <c r="E478" s="2277" t="str">
        <f t="shared" si="40"/>
        <v>SO</v>
      </c>
      <c r="F478" s="55">
        <v>50</v>
      </c>
      <c r="G478" s="55" t="s">
        <v>512</v>
      </c>
      <c r="J478" s="55" t="str">
        <f t="shared" si="42"/>
        <v>SON</v>
      </c>
    </row>
    <row r="479" spans="1:10" hidden="1">
      <c r="A479" s="79" t="s">
        <v>857</v>
      </c>
      <c r="B479" s="1778"/>
      <c r="C479" s="79" t="s">
        <v>3017</v>
      </c>
      <c r="D479" s="80" t="s">
        <v>2256</v>
      </c>
      <c r="E479" s="2277" t="str">
        <f t="shared" si="40"/>
        <v>SO</v>
      </c>
      <c r="F479" s="55">
        <v>50</v>
      </c>
      <c r="G479" s="55" t="s">
        <v>512</v>
      </c>
      <c r="J479" s="55" t="str">
        <f t="shared" si="42"/>
        <v>SONCR</v>
      </c>
    </row>
    <row r="480" spans="1:10" hidden="1">
      <c r="A480" s="79" t="s">
        <v>757</v>
      </c>
      <c r="B480" s="1778"/>
      <c r="C480" s="79" t="s">
        <v>3018</v>
      </c>
      <c r="D480" s="80" t="s">
        <v>858</v>
      </c>
      <c r="E480" s="2277" t="str">
        <f t="shared" si="40"/>
        <v>NU</v>
      </c>
      <c r="F480" s="55">
        <v>50</v>
      </c>
      <c r="G480" s="55" t="s">
        <v>512</v>
      </c>
      <c r="J480" s="55" t="str">
        <f t="shared" si="42"/>
        <v>NU</v>
      </c>
    </row>
    <row r="481" spans="1:10">
      <c r="A481" s="79" t="s">
        <v>859</v>
      </c>
      <c r="B481" s="1778"/>
      <c r="C481" s="79" t="s">
        <v>3019</v>
      </c>
      <c r="D481" s="80" t="s">
        <v>858</v>
      </c>
      <c r="E481" s="2277" t="str">
        <f t="shared" si="40"/>
        <v>GO</v>
      </c>
      <c r="F481" s="55">
        <v>995</v>
      </c>
      <c r="G481" s="55" t="s">
        <v>512</v>
      </c>
      <c r="J481" s="55" t="str">
        <f t="shared" si="42"/>
        <v>GO</v>
      </c>
    </row>
    <row r="482" spans="1:10" hidden="1">
      <c r="A482" s="79" t="s">
        <v>2064</v>
      </c>
      <c r="B482" s="1778"/>
      <c r="C482" s="79" t="s">
        <v>3020</v>
      </c>
      <c r="D482" s="80" t="s">
        <v>2256</v>
      </c>
      <c r="E482" s="2277" t="str">
        <f t="shared" ref="E482:E545" si="46">LEFT(A482,2)</f>
        <v>DI</v>
      </c>
      <c r="F482" s="55">
        <v>50</v>
      </c>
      <c r="G482" s="55" t="s">
        <v>512</v>
      </c>
      <c r="J482" s="55" t="str">
        <f t="shared" si="42"/>
        <v>DINH</v>
      </c>
    </row>
    <row r="483" spans="1:10" hidden="1">
      <c r="A483" s="79" t="s">
        <v>755</v>
      </c>
      <c r="B483" s="84"/>
      <c r="C483" s="79" t="s">
        <v>3021</v>
      </c>
      <c r="D483" s="80" t="s">
        <v>858</v>
      </c>
      <c r="E483" s="2277" t="str">
        <f t="shared" si="46"/>
        <v>D1</v>
      </c>
      <c r="F483" s="55">
        <v>999</v>
      </c>
      <c r="G483" s="55" t="s">
        <v>512</v>
      </c>
      <c r="J483" s="55" t="str">
        <f t="shared" si="42"/>
        <v>D1x2</v>
      </c>
    </row>
    <row r="484" spans="1:10" hidden="1">
      <c r="A484" s="79" t="s">
        <v>131</v>
      </c>
      <c r="B484" s="84"/>
      <c r="C484" s="79" t="s">
        <v>3022</v>
      </c>
      <c r="D484" s="80" t="s">
        <v>858</v>
      </c>
      <c r="E484" s="2277" t="str">
        <f t="shared" si="46"/>
        <v>D0</v>
      </c>
      <c r="F484" s="55">
        <v>999</v>
      </c>
      <c r="G484" s="55" t="s">
        <v>512</v>
      </c>
      <c r="J484" s="55" t="str">
        <f t="shared" si="42"/>
        <v>D0x4</v>
      </c>
    </row>
    <row r="485" spans="1:10" hidden="1">
      <c r="A485" s="79" t="s">
        <v>520</v>
      </c>
      <c r="B485" s="84"/>
      <c r="C485" s="79" t="s">
        <v>3023</v>
      </c>
      <c r="D485" s="80" t="s">
        <v>858</v>
      </c>
      <c r="E485" s="2277" t="str">
        <f t="shared" si="46"/>
        <v>D2</v>
      </c>
      <c r="F485" s="55">
        <v>999</v>
      </c>
      <c r="G485" s="55" t="s">
        <v>512</v>
      </c>
      <c r="J485" s="55" t="str">
        <f t="shared" si="42"/>
        <v>D2x4</v>
      </c>
    </row>
    <row r="486" spans="1:10" hidden="1">
      <c r="A486" s="79" t="s">
        <v>756</v>
      </c>
      <c r="B486" s="1778"/>
      <c r="C486" s="79" t="s">
        <v>3024</v>
      </c>
      <c r="D486" s="80" t="s">
        <v>858</v>
      </c>
      <c r="E486" s="2277" t="str">
        <f t="shared" si="46"/>
        <v>D4</v>
      </c>
      <c r="F486" s="55">
        <v>999</v>
      </c>
      <c r="G486" s="55" t="s">
        <v>512</v>
      </c>
      <c r="J486" s="55" t="str">
        <f t="shared" si="42"/>
        <v>D4x6</v>
      </c>
    </row>
    <row r="487" spans="1:10" hidden="1">
      <c r="A487" s="1021" t="s">
        <v>4447</v>
      </c>
      <c r="B487" s="1778"/>
      <c r="C487" s="79" t="s">
        <v>3025</v>
      </c>
      <c r="D487" s="80" t="s">
        <v>858</v>
      </c>
      <c r="E487" s="2277" t="str">
        <f t="shared" si="46"/>
        <v>ca</v>
      </c>
      <c r="F487" s="55">
        <v>997</v>
      </c>
      <c r="G487" s="55" t="s">
        <v>512</v>
      </c>
      <c r="J487" s="55" t="str">
        <f t="shared" si="42"/>
        <v>cat</v>
      </c>
    </row>
    <row r="488" spans="1:10" hidden="1">
      <c r="A488" s="79" t="s">
        <v>936</v>
      </c>
      <c r="B488" s="1778"/>
      <c r="C488" s="79" t="s">
        <v>3026</v>
      </c>
      <c r="D488" s="80" t="s">
        <v>3027</v>
      </c>
      <c r="E488" s="2277" t="str">
        <f t="shared" si="46"/>
        <v>ga</v>
      </c>
      <c r="F488" s="55">
        <v>50</v>
      </c>
      <c r="G488" s="55" t="s">
        <v>512</v>
      </c>
      <c r="J488" s="55" t="str">
        <f t="shared" si="42"/>
        <v>gachong</v>
      </c>
    </row>
    <row r="489" spans="1:10" hidden="1">
      <c r="A489" s="79" t="s">
        <v>1681</v>
      </c>
      <c r="B489" s="1778"/>
      <c r="C489" s="79" t="s">
        <v>3028</v>
      </c>
      <c r="D489" s="80" t="s">
        <v>3027</v>
      </c>
      <c r="E489" s="2277" t="str">
        <f t="shared" si="46"/>
        <v>ga</v>
      </c>
      <c r="F489" s="55">
        <v>50</v>
      </c>
      <c r="G489" s="55" t="s">
        <v>512</v>
      </c>
      <c r="J489" s="55" t="str">
        <f t="shared" si="42"/>
        <v>gachtau</v>
      </c>
    </row>
    <row r="490" spans="1:10" hidden="1">
      <c r="A490" s="79" t="s">
        <v>84</v>
      </c>
      <c r="B490" s="1778"/>
      <c r="C490" s="79" t="s">
        <v>3029</v>
      </c>
      <c r="D490" s="80" t="s">
        <v>3027</v>
      </c>
      <c r="E490" s="2277" t="str">
        <f t="shared" si="46"/>
        <v>ga</v>
      </c>
      <c r="F490" s="55">
        <v>50</v>
      </c>
      <c r="G490" s="55" t="s">
        <v>512</v>
      </c>
      <c r="J490" s="55" t="str">
        <f t="shared" si="42"/>
        <v>gachthe</v>
      </c>
    </row>
    <row r="491" spans="1:10" hidden="1">
      <c r="A491" s="79" t="s">
        <v>753</v>
      </c>
      <c r="B491" s="1778"/>
      <c r="C491" s="79" t="s">
        <v>4926</v>
      </c>
      <c r="D491" s="80" t="s">
        <v>2256</v>
      </c>
      <c r="E491" s="2277" t="str">
        <f t="shared" si="46"/>
        <v>XM</v>
      </c>
      <c r="F491" s="55">
        <v>996</v>
      </c>
      <c r="G491" s="55" t="s">
        <v>512</v>
      </c>
      <c r="J491" s="55" t="str">
        <f t="shared" si="42"/>
        <v>XM</v>
      </c>
    </row>
    <row r="492" spans="1:10" hidden="1">
      <c r="A492" s="79" t="s">
        <v>704</v>
      </c>
      <c r="B492" s="1778"/>
      <c r="C492" s="1786" t="s">
        <v>3030</v>
      </c>
      <c r="D492" s="80" t="s">
        <v>2256</v>
      </c>
      <c r="E492" s="2277" t="str">
        <f t="shared" si="46"/>
        <v>qh</v>
      </c>
      <c r="F492" s="55">
        <v>50</v>
      </c>
      <c r="G492" s="55" t="s">
        <v>512</v>
      </c>
      <c r="J492" s="55" t="str">
        <f t="shared" si="42"/>
        <v>qhan</v>
      </c>
    </row>
    <row r="493" spans="1:10" hidden="1">
      <c r="A493" s="79" t="s">
        <v>871</v>
      </c>
      <c r="B493" s="1778"/>
      <c r="C493" s="1786" t="s">
        <v>3031</v>
      </c>
      <c r="D493" s="80" t="s">
        <v>2566</v>
      </c>
      <c r="E493" s="2277" t="str">
        <f t="shared" si="46"/>
        <v>co</v>
      </c>
      <c r="F493" s="55">
        <v>50</v>
      </c>
      <c r="G493" s="55" t="s">
        <v>512</v>
      </c>
      <c r="J493" s="55" t="str">
        <f t="shared" si="42"/>
        <v>coson</v>
      </c>
    </row>
    <row r="494" spans="1:10" hidden="1">
      <c r="A494" s="79" t="s">
        <v>1682</v>
      </c>
      <c r="B494" s="84"/>
      <c r="C494" s="1787" t="s">
        <v>3032</v>
      </c>
      <c r="D494" s="80" t="s">
        <v>1966</v>
      </c>
      <c r="E494" s="2277" t="str">
        <f t="shared" si="46"/>
        <v>Ni</v>
      </c>
      <c r="F494" s="55">
        <v>50</v>
      </c>
      <c r="G494" s="55" t="s">
        <v>512</v>
      </c>
      <c r="J494" s="55" t="str">
        <f t="shared" si="42"/>
        <v>Nilong</v>
      </c>
    </row>
    <row r="495" spans="1:10" hidden="1">
      <c r="A495" s="79" t="s">
        <v>920</v>
      </c>
      <c r="B495" s="1778"/>
      <c r="C495" s="1786" t="s">
        <v>3033</v>
      </c>
      <c r="D495" s="80" t="s">
        <v>1829</v>
      </c>
      <c r="E495" s="2277" t="str">
        <f t="shared" si="46"/>
        <v>NL</v>
      </c>
      <c r="F495" s="55">
        <v>50</v>
      </c>
      <c r="G495" s="55" t="s">
        <v>512</v>
      </c>
      <c r="J495" s="55" t="str">
        <f t="shared" si="42"/>
        <v>NLON</v>
      </c>
    </row>
    <row r="496" spans="1:10" hidden="1">
      <c r="A496" s="79" t="s">
        <v>2223</v>
      </c>
      <c r="B496" s="1778"/>
      <c r="C496" s="79" t="s">
        <v>3034</v>
      </c>
      <c r="D496" s="80" t="s">
        <v>2256</v>
      </c>
      <c r="E496" s="2277" t="str">
        <f t="shared" si="46"/>
        <v>th</v>
      </c>
      <c r="F496" s="55">
        <v>50</v>
      </c>
      <c r="G496" s="55" t="s">
        <v>512</v>
      </c>
      <c r="J496" s="55" t="str">
        <f t="shared" si="42"/>
        <v>thepb</v>
      </c>
    </row>
    <row r="497" spans="1:10" hidden="1">
      <c r="A497" s="79" t="s">
        <v>1357</v>
      </c>
      <c r="B497" s="1778"/>
      <c r="C497" s="79" t="s">
        <v>3035</v>
      </c>
      <c r="D497" s="80" t="s">
        <v>2566</v>
      </c>
      <c r="E497" s="2277" t="str">
        <f t="shared" si="46"/>
        <v>da</v>
      </c>
      <c r="F497" s="55">
        <v>50</v>
      </c>
      <c r="G497" s="55" t="s">
        <v>512</v>
      </c>
      <c r="J497" s="55" t="str">
        <f t="shared" si="42"/>
        <v>daucap50</v>
      </c>
    </row>
    <row r="498" spans="1:10" hidden="1">
      <c r="A498" s="79" t="s">
        <v>1923</v>
      </c>
      <c r="B498" s="1778"/>
      <c r="C498" s="79" t="s">
        <v>3036</v>
      </c>
      <c r="D498" s="80" t="s">
        <v>2566</v>
      </c>
      <c r="E498" s="2277" t="str">
        <f t="shared" si="46"/>
        <v>da</v>
      </c>
      <c r="F498" s="55">
        <v>50</v>
      </c>
      <c r="G498" s="55" t="s">
        <v>512</v>
      </c>
      <c r="J498" s="55" t="str">
        <f t="shared" si="42"/>
        <v>daucap70</v>
      </c>
    </row>
    <row r="499" spans="1:10" hidden="1">
      <c r="A499" s="79" t="s">
        <v>2224</v>
      </c>
      <c r="B499" s="1778"/>
      <c r="C499" s="79" t="s">
        <v>3037</v>
      </c>
      <c r="D499" s="80" t="s">
        <v>2566</v>
      </c>
      <c r="E499" s="2277" t="str">
        <f t="shared" si="46"/>
        <v>da</v>
      </c>
      <c r="F499" s="55">
        <v>50</v>
      </c>
      <c r="G499" s="55" t="s">
        <v>512</v>
      </c>
      <c r="J499" s="55" t="str">
        <f t="shared" si="42"/>
        <v>daucap95</v>
      </c>
    </row>
    <row r="500" spans="1:10" hidden="1">
      <c r="A500" s="79" t="s">
        <v>1278</v>
      </c>
      <c r="B500" s="1778"/>
      <c r="C500" s="79" t="s">
        <v>3038</v>
      </c>
      <c r="D500" s="80" t="s">
        <v>2566</v>
      </c>
      <c r="E500" s="2277" t="str">
        <f t="shared" si="46"/>
        <v>da</v>
      </c>
      <c r="F500" s="55">
        <v>50</v>
      </c>
      <c r="G500" s="55" t="s">
        <v>512</v>
      </c>
      <c r="J500" s="55" t="str">
        <f t="shared" si="42"/>
        <v>daucap120</v>
      </c>
    </row>
    <row r="501" spans="1:10" hidden="1">
      <c r="A501" s="79" t="s">
        <v>1855</v>
      </c>
      <c r="B501" s="1778"/>
      <c r="C501" s="79" t="s">
        <v>3039</v>
      </c>
      <c r="D501" s="80" t="s">
        <v>2566</v>
      </c>
      <c r="E501" s="2277" t="str">
        <f t="shared" si="46"/>
        <v>da</v>
      </c>
      <c r="F501" s="55">
        <v>50</v>
      </c>
      <c r="G501" s="55" t="s">
        <v>512</v>
      </c>
      <c r="J501" s="55" t="str">
        <f t="shared" si="42"/>
        <v>daucap150</v>
      </c>
    </row>
    <row r="502" spans="1:10" hidden="1">
      <c r="A502" s="79" t="s">
        <v>1399</v>
      </c>
      <c r="B502" s="1778"/>
      <c r="C502" s="79" t="s">
        <v>3040</v>
      </c>
      <c r="D502" s="80" t="s">
        <v>2566</v>
      </c>
      <c r="E502" s="2277" t="str">
        <f t="shared" si="46"/>
        <v>da</v>
      </c>
      <c r="F502" s="55">
        <v>50</v>
      </c>
      <c r="G502" s="55" t="s">
        <v>512</v>
      </c>
      <c r="J502" s="55" t="str">
        <f t="shared" si="42"/>
        <v>daucap185</v>
      </c>
    </row>
    <row r="503" spans="1:10" hidden="1">
      <c r="A503" s="79" t="s">
        <v>264</v>
      </c>
      <c r="B503" s="1778"/>
      <c r="C503" s="79" t="s">
        <v>3041</v>
      </c>
      <c r="D503" s="80" t="s">
        <v>2566</v>
      </c>
      <c r="E503" s="2277" t="str">
        <f t="shared" si="46"/>
        <v>da</v>
      </c>
      <c r="F503" s="55">
        <v>50</v>
      </c>
      <c r="G503" s="55" t="s">
        <v>512</v>
      </c>
      <c r="J503" s="55" t="str">
        <f t="shared" si="42"/>
        <v>daucap240</v>
      </c>
    </row>
    <row r="504" spans="1:10" hidden="1">
      <c r="A504" s="79" t="s">
        <v>1358</v>
      </c>
      <c r="B504" s="1778"/>
      <c r="C504" s="79" t="s">
        <v>3042</v>
      </c>
      <c r="D504" s="80" t="s">
        <v>2566</v>
      </c>
      <c r="E504" s="2277" t="str">
        <f t="shared" si="46"/>
        <v>da</v>
      </c>
      <c r="F504" s="55">
        <v>50</v>
      </c>
      <c r="G504" s="55" t="s">
        <v>512</v>
      </c>
      <c r="J504" s="55" t="str">
        <f t="shared" si="42"/>
        <v>daucap50in</v>
      </c>
    </row>
    <row r="505" spans="1:10" hidden="1">
      <c r="A505" s="79" t="s">
        <v>1359</v>
      </c>
      <c r="B505" s="1778"/>
      <c r="C505" s="79" t="s">
        <v>3043</v>
      </c>
      <c r="D505" s="80" t="s">
        <v>2566</v>
      </c>
      <c r="E505" s="2277" t="str">
        <f t="shared" si="46"/>
        <v>da</v>
      </c>
      <c r="F505" s="55">
        <v>50</v>
      </c>
      <c r="G505" s="55" t="s">
        <v>512</v>
      </c>
      <c r="J505" s="55" t="str">
        <f t="shared" si="42"/>
        <v>daucap70in</v>
      </c>
    </row>
    <row r="506" spans="1:10" hidden="1">
      <c r="A506" s="79" t="s">
        <v>870</v>
      </c>
      <c r="B506" s="1778"/>
      <c r="C506" s="79" t="s">
        <v>3044</v>
      </c>
      <c r="D506" s="80" t="s">
        <v>2566</v>
      </c>
      <c r="E506" s="2277" t="str">
        <f t="shared" si="46"/>
        <v>da</v>
      </c>
      <c r="F506" s="55">
        <v>50</v>
      </c>
      <c r="G506" s="55" t="s">
        <v>512</v>
      </c>
      <c r="J506" s="55" t="str">
        <f t="shared" si="42"/>
        <v>daucap95in</v>
      </c>
    </row>
    <row r="507" spans="1:10" hidden="1">
      <c r="A507" s="79" t="s">
        <v>1356</v>
      </c>
      <c r="B507" s="1778"/>
      <c r="C507" s="79" t="s">
        <v>3045</v>
      </c>
      <c r="D507" s="80" t="s">
        <v>2566</v>
      </c>
      <c r="E507" s="2277" t="str">
        <f t="shared" si="46"/>
        <v>da</v>
      </c>
      <c r="F507" s="55">
        <v>50</v>
      </c>
      <c r="G507" s="55" t="s">
        <v>512</v>
      </c>
      <c r="J507" s="55" t="str">
        <f t="shared" si="42"/>
        <v>daucap120in</v>
      </c>
    </row>
    <row r="508" spans="1:10" hidden="1">
      <c r="A508" s="79" t="s">
        <v>221</v>
      </c>
      <c r="B508" s="1778"/>
      <c r="C508" s="79" t="s">
        <v>3046</v>
      </c>
      <c r="D508" s="80" t="s">
        <v>2566</v>
      </c>
      <c r="E508" s="2277" t="str">
        <f t="shared" si="46"/>
        <v>da</v>
      </c>
      <c r="F508" s="55">
        <v>50</v>
      </c>
      <c r="G508" s="55" t="s">
        <v>512</v>
      </c>
      <c r="J508" s="55" t="str">
        <f t="shared" si="42"/>
        <v>daucap150in</v>
      </c>
    </row>
    <row r="509" spans="1:10" hidden="1">
      <c r="A509" s="79" t="s">
        <v>1030</v>
      </c>
      <c r="B509" s="1778"/>
      <c r="C509" s="79" t="s">
        <v>3047</v>
      </c>
      <c r="D509" s="80" t="s">
        <v>2566</v>
      </c>
      <c r="E509" s="2277" t="str">
        <f t="shared" si="46"/>
        <v>da</v>
      </c>
      <c r="F509" s="55">
        <v>50</v>
      </c>
      <c r="G509" s="55" t="s">
        <v>512</v>
      </c>
      <c r="J509" s="55" t="str">
        <f t="shared" si="42"/>
        <v>daucap185in</v>
      </c>
    </row>
    <row r="510" spans="1:10" hidden="1">
      <c r="A510" s="79" t="s">
        <v>1916</v>
      </c>
      <c r="B510" s="1778"/>
      <c r="C510" s="79" t="s">
        <v>3048</v>
      </c>
      <c r="D510" s="80" t="s">
        <v>2566</v>
      </c>
      <c r="E510" s="2277" t="str">
        <f t="shared" si="46"/>
        <v>da</v>
      </c>
      <c r="F510" s="55">
        <v>50</v>
      </c>
      <c r="G510" s="55" t="s">
        <v>512</v>
      </c>
      <c r="J510" s="55" t="str">
        <f t="shared" si="42"/>
        <v>daucap240in</v>
      </c>
    </row>
    <row r="511" spans="1:10" hidden="1">
      <c r="A511" s="79" t="s">
        <v>149</v>
      </c>
      <c r="B511" s="84"/>
      <c r="C511" s="79" t="s">
        <v>3049</v>
      </c>
      <c r="D511" s="80" t="s">
        <v>2566</v>
      </c>
      <c r="E511" s="2277" t="str">
        <f t="shared" si="46"/>
        <v>DC</v>
      </c>
      <c r="F511" s="55">
        <v>50</v>
      </c>
      <c r="G511" s="55" t="s">
        <v>512</v>
      </c>
      <c r="J511" s="55" t="str">
        <f t="shared" si="42"/>
        <v>DCAPHT3185</v>
      </c>
    </row>
    <row r="512" spans="1:10" hidden="1">
      <c r="A512" s="79" t="s">
        <v>1287</v>
      </c>
      <c r="B512" s="84"/>
      <c r="C512" s="79" t="s">
        <v>3050</v>
      </c>
      <c r="D512" s="80" t="s">
        <v>2566</v>
      </c>
      <c r="E512" s="2277" t="str">
        <f t="shared" si="46"/>
        <v>DC</v>
      </c>
      <c r="F512" s="55">
        <v>50</v>
      </c>
      <c r="G512" s="55" t="s">
        <v>512</v>
      </c>
      <c r="J512" s="55" t="str">
        <f t="shared" si="42"/>
        <v>DCAPHT3120</v>
      </c>
    </row>
    <row r="513" spans="1:10" hidden="1">
      <c r="A513" s="79" t="s">
        <v>1286</v>
      </c>
      <c r="B513" s="84"/>
      <c r="C513" s="79" t="s">
        <v>3051</v>
      </c>
      <c r="D513" s="80" t="s">
        <v>2566</v>
      </c>
      <c r="E513" s="2277" t="str">
        <f t="shared" si="46"/>
        <v>DC</v>
      </c>
      <c r="F513" s="55">
        <v>50</v>
      </c>
      <c r="G513" s="55" t="s">
        <v>512</v>
      </c>
      <c r="J513" s="55" t="str">
        <f t="shared" si="42"/>
        <v>DCAPHT395</v>
      </c>
    </row>
    <row r="514" spans="1:10" hidden="1">
      <c r="A514" s="79" t="s">
        <v>1637</v>
      </c>
      <c r="B514" s="84"/>
      <c r="C514" s="79" t="s">
        <v>3052</v>
      </c>
      <c r="D514" s="80" t="s">
        <v>2566</v>
      </c>
      <c r="E514" s="2277" t="str">
        <f t="shared" si="46"/>
        <v>DC</v>
      </c>
      <c r="F514" s="55">
        <v>50</v>
      </c>
      <c r="G514" s="55" t="s">
        <v>512</v>
      </c>
      <c r="J514" s="55" t="str">
        <f t="shared" si="42"/>
        <v>DCAPHT370</v>
      </c>
    </row>
    <row r="515" spans="1:10" hidden="1">
      <c r="A515" s="79" t="s">
        <v>1365</v>
      </c>
      <c r="B515" s="84"/>
      <c r="C515" s="79" t="s">
        <v>3053</v>
      </c>
      <c r="D515" s="80" t="s">
        <v>2566</v>
      </c>
      <c r="E515" s="2277" t="str">
        <f t="shared" si="46"/>
        <v>DC</v>
      </c>
      <c r="F515" s="55">
        <v>50</v>
      </c>
      <c r="G515" s="55" t="s">
        <v>512</v>
      </c>
      <c r="J515" s="55" t="str">
        <f t="shared" si="42"/>
        <v>DCAPHT350+35</v>
      </c>
    </row>
    <row r="516" spans="1:10" hidden="1">
      <c r="A516" s="79" t="s">
        <v>1852</v>
      </c>
      <c r="B516" s="84"/>
      <c r="C516" s="79" t="s">
        <v>3054</v>
      </c>
      <c r="D516" s="80" t="s">
        <v>2566</v>
      </c>
      <c r="E516" s="2277" t="str">
        <f t="shared" si="46"/>
        <v>DC</v>
      </c>
      <c r="F516" s="55">
        <v>50</v>
      </c>
      <c r="G516" s="55" t="s">
        <v>512</v>
      </c>
      <c r="J516" s="55" t="str">
        <f t="shared" si="42"/>
        <v>DCAPHT350</v>
      </c>
    </row>
    <row r="517" spans="1:10" hidden="1">
      <c r="A517" s="79" t="s">
        <v>72</v>
      </c>
      <c r="B517" s="84"/>
      <c r="C517" s="79" t="s">
        <v>3055</v>
      </c>
      <c r="D517" s="80" t="s">
        <v>2541</v>
      </c>
      <c r="E517" s="2277" t="str">
        <f t="shared" si="46"/>
        <v>st</v>
      </c>
      <c r="F517" s="55">
        <v>50</v>
      </c>
      <c r="G517" s="55" t="s">
        <v>512</v>
      </c>
      <c r="J517" s="55" t="str">
        <f t="shared" si="42"/>
        <v>stk42</v>
      </c>
    </row>
    <row r="518" spans="1:10" hidden="1">
      <c r="A518" s="79" t="s">
        <v>73</v>
      </c>
      <c r="B518" s="84"/>
      <c r="C518" s="79" t="s">
        <v>3056</v>
      </c>
      <c r="D518" s="80" t="s">
        <v>2541</v>
      </c>
      <c r="E518" s="2277" t="str">
        <f t="shared" si="46"/>
        <v>st</v>
      </c>
      <c r="F518" s="55">
        <v>50</v>
      </c>
      <c r="G518" s="55" t="s">
        <v>512</v>
      </c>
      <c r="J518" s="55" t="str">
        <f t="shared" si="42"/>
        <v>stk60</v>
      </c>
    </row>
    <row r="519" spans="1:10" hidden="1">
      <c r="A519" s="79" t="s">
        <v>1019</v>
      </c>
      <c r="B519" s="84" t="s">
        <v>1911</v>
      </c>
      <c r="C519" s="79" t="s">
        <v>3057</v>
      </c>
      <c r="D519" s="80" t="s">
        <v>2541</v>
      </c>
      <c r="E519" s="2277" t="str">
        <f t="shared" si="46"/>
        <v>st</v>
      </c>
      <c r="F519" s="55">
        <v>50</v>
      </c>
      <c r="G519" s="55" t="s">
        <v>512</v>
      </c>
      <c r="J519" s="55" t="str">
        <f t="shared" si="42"/>
        <v>stk90</v>
      </c>
    </row>
    <row r="520" spans="1:10" hidden="1">
      <c r="A520" s="79" t="s">
        <v>2225</v>
      </c>
      <c r="B520" s="84" t="s">
        <v>1911</v>
      </c>
      <c r="C520" s="79" t="s">
        <v>3058</v>
      </c>
      <c r="D520" s="80" t="s">
        <v>2541</v>
      </c>
      <c r="E520" s="2277" t="str">
        <f t="shared" si="46"/>
        <v>st</v>
      </c>
      <c r="F520" s="55">
        <v>50</v>
      </c>
      <c r="G520" s="55" t="s">
        <v>512</v>
      </c>
      <c r="J520" s="55" t="str">
        <f t="shared" si="42"/>
        <v>stk114</v>
      </c>
    </row>
    <row r="521" spans="1:10" hidden="1">
      <c r="A521" s="79" t="s">
        <v>623</v>
      </c>
      <c r="B521" s="84" t="s">
        <v>1911</v>
      </c>
      <c r="C521" s="79" t="s">
        <v>3059</v>
      </c>
      <c r="D521" s="80" t="s">
        <v>2541</v>
      </c>
      <c r="E521" s="2277" t="str">
        <f t="shared" si="46"/>
        <v>st</v>
      </c>
      <c r="F521" s="55">
        <v>50</v>
      </c>
      <c r="G521" s="55" t="s">
        <v>512</v>
      </c>
      <c r="J521" s="55" t="str">
        <f t="shared" si="42"/>
        <v>stk140</v>
      </c>
    </row>
    <row r="522" spans="1:10" hidden="1">
      <c r="A522" s="79" t="s">
        <v>916</v>
      </c>
      <c r="B522" s="84" t="s">
        <v>1911</v>
      </c>
      <c r="C522" s="79" t="s">
        <v>3060</v>
      </c>
      <c r="D522" s="80" t="s">
        <v>2541</v>
      </c>
      <c r="E522" s="2277" t="str">
        <f t="shared" si="46"/>
        <v>st</v>
      </c>
      <c r="F522" s="55">
        <v>50</v>
      </c>
      <c r="G522" s="55" t="s">
        <v>512</v>
      </c>
      <c r="J522" s="55" t="str">
        <f t="shared" si="42"/>
        <v>stk160</v>
      </c>
    </row>
    <row r="523" spans="1:10" hidden="1">
      <c r="A523" s="79" t="s">
        <v>38</v>
      </c>
      <c r="B523" s="84" t="s">
        <v>1911</v>
      </c>
      <c r="C523" s="79" t="s">
        <v>3061</v>
      </c>
      <c r="D523" s="80" t="s">
        <v>2541</v>
      </c>
      <c r="E523" s="2277" t="str">
        <f t="shared" si="46"/>
        <v>st</v>
      </c>
      <c r="F523" s="55">
        <v>50</v>
      </c>
      <c r="G523" s="55" t="s">
        <v>512</v>
      </c>
      <c r="J523" s="55" t="str">
        <f t="shared" ref="J523:J586" si="47">A523</f>
        <v>stk168</v>
      </c>
    </row>
    <row r="524" spans="1:10" hidden="1">
      <c r="A524" s="79" t="s">
        <v>1020</v>
      </c>
      <c r="B524" s="84"/>
      <c r="C524" s="79" t="s">
        <v>3062</v>
      </c>
      <c r="D524" s="80" t="s">
        <v>2566</v>
      </c>
      <c r="E524" s="2277" t="str">
        <f t="shared" si="46"/>
        <v>co</v>
      </c>
      <c r="F524" s="55">
        <v>50</v>
      </c>
      <c r="G524" s="55" t="s">
        <v>512</v>
      </c>
      <c r="J524" s="55" t="str">
        <f t="shared" si="47"/>
        <v>costk114</v>
      </c>
    </row>
    <row r="525" spans="1:10" hidden="1">
      <c r="A525" s="79" t="s">
        <v>670</v>
      </c>
      <c r="B525" s="1778"/>
      <c r="C525" s="79" t="s">
        <v>3063</v>
      </c>
      <c r="D525" s="80" t="s">
        <v>2566</v>
      </c>
      <c r="E525" s="2277" t="str">
        <f t="shared" si="46"/>
        <v>co</v>
      </c>
      <c r="F525" s="55">
        <v>50</v>
      </c>
      <c r="G525" s="55" t="s">
        <v>512</v>
      </c>
      <c r="J525" s="55" t="str">
        <f t="shared" si="47"/>
        <v>costk90</v>
      </c>
    </row>
    <row r="526" spans="1:10" hidden="1">
      <c r="A526" s="79" t="s">
        <v>2006</v>
      </c>
      <c r="B526" s="1778"/>
      <c r="C526" s="79" t="s">
        <v>3064</v>
      </c>
      <c r="D526" s="80" t="s">
        <v>2566</v>
      </c>
      <c r="E526" s="2277" t="str">
        <f t="shared" si="46"/>
        <v>YC</v>
      </c>
      <c r="F526" s="55">
        <v>50</v>
      </c>
      <c r="G526" s="55" t="s">
        <v>512</v>
      </c>
      <c r="J526" s="55" t="str">
        <f t="shared" si="47"/>
        <v>YC</v>
      </c>
    </row>
    <row r="527" spans="1:10" hidden="1">
      <c r="A527" s="1777"/>
      <c r="C527" s="1777"/>
      <c r="D527" s="1790"/>
      <c r="E527" s="2277" t="str">
        <f t="shared" si="46"/>
        <v/>
      </c>
      <c r="F527" s="55">
        <v>50</v>
      </c>
      <c r="J527" s="55">
        <f t="shared" si="47"/>
        <v>0</v>
      </c>
    </row>
    <row r="528" spans="1:10" hidden="1">
      <c r="A528" s="1777"/>
      <c r="C528" s="1777"/>
      <c r="D528" s="1790"/>
      <c r="E528" s="2277" t="str">
        <f t="shared" si="46"/>
        <v/>
      </c>
      <c r="F528" s="55">
        <v>50</v>
      </c>
      <c r="J528" s="55">
        <f t="shared" si="47"/>
        <v>0</v>
      </c>
    </row>
    <row r="529" spans="1:10" hidden="1">
      <c r="A529" s="1777" t="s">
        <v>4432</v>
      </c>
      <c r="C529" s="1777"/>
      <c r="D529" s="1791"/>
      <c r="E529" s="2277" t="str">
        <f t="shared" si="46"/>
        <v>Bả</v>
      </c>
      <c r="F529" s="55">
        <v>50</v>
      </c>
      <c r="J529" s="55" t="str">
        <f t="shared" si="47"/>
        <v>Bảng kê đơn Giá nhân công  ( 67/1999/QĐ-BCN )</v>
      </c>
    </row>
    <row r="530" spans="1:10" hidden="1">
      <c r="A530" s="1777"/>
      <c r="C530" s="1777"/>
      <c r="D530" s="1790"/>
      <c r="E530" s="2277" t="str">
        <f t="shared" si="46"/>
        <v/>
      </c>
      <c r="F530" s="55">
        <v>50</v>
      </c>
      <c r="J530" s="55">
        <f t="shared" si="47"/>
        <v>0</v>
      </c>
    </row>
    <row r="531" spans="1:10" hidden="1">
      <c r="A531" s="1792" t="s">
        <v>2614</v>
      </c>
      <c r="B531" s="1793" t="s">
        <v>2615</v>
      </c>
      <c r="C531" s="1792" t="s">
        <v>3065</v>
      </c>
      <c r="D531" s="1794" t="s">
        <v>2617</v>
      </c>
      <c r="E531" s="2277" t="str">
        <f t="shared" si="46"/>
        <v>Mã</v>
      </c>
      <c r="F531" s="55">
        <v>50</v>
      </c>
      <c r="J531" s="55" t="str">
        <f t="shared" si="47"/>
        <v>Mã</v>
      </c>
    </row>
    <row r="532" spans="1:10" hidden="1">
      <c r="A532" s="1792">
        <v>1</v>
      </c>
      <c r="B532" s="1793">
        <v>2</v>
      </c>
      <c r="C532" s="1792">
        <v>3</v>
      </c>
      <c r="D532" s="1794">
        <v>4</v>
      </c>
      <c r="E532" s="2277" t="str">
        <f t="shared" si="46"/>
        <v>1</v>
      </c>
      <c r="F532" s="55">
        <v>50</v>
      </c>
      <c r="J532" s="55">
        <f t="shared" si="47"/>
        <v>1</v>
      </c>
    </row>
    <row r="533" spans="1:10" hidden="1">
      <c r="A533" s="1779" t="s">
        <v>959</v>
      </c>
      <c r="B533" s="84" t="s">
        <v>454</v>
      </c>
      <c r="C533" s="79" t="s">
        <v>3066</v>
      </c>
      <c r="D533" s="80" t="s">
        <v>858</v>
      </c>
      <c r="E533" s="2277" t="str">
        <f t="shared" si="46"/>
        <v>MD</v>
      </c>
      <c r="F533" s="55">
        <v>2000</v>
      </c>
      <c r="J533" s="55" t="str">
        <f t="shared" si="47"/>
        <v>MDDA1</v>
      </c>
    </row>
    <row r="534" spans="1:10" hidden="1">
      <c r="A534" s="1779" t="s">
        <v>453</v>
      </c>
      <c r="B534" s="84" t="s">
        <v>454</v>
      </c>
      <c r="C534" s="79" t="s">
        <v>3067</v>
      </c>
      <c r="D534" s="80" t="s">
        <v>858</v>
      </c>
      <c r="E534" s="2277" t="str">
        <f t="shared" si="46"/>
        <v>MD</v>
      </c>
      <c r="F534" s="55">
        <v>2000</v>
      </c>
      <c r="J534" s="55" t="str">
        <f t="shared" si="47"/>
        <v>MDDA2</v>
      </c>
    </row>
    <row r="535" spans="1:10" hidden="1">
      <c r="A535" s="1779" t="s">
        <v>583</v>
      </c>
      <c r="B535" s="84" t="s">
        <v>545</v>
      </c>
      <c r="C535" s="79" t="s">
        <v>3068</v>
      </c>
      <c r="D535" s="80" t="s">
        <v>858</v>
      </c>
      <c r="E535" s="2277" t="str">
        <f t="shared" si="46"/>
        <v>MD</v>
      </c>
      <c r="F535" s="55">
        <v>2000</v>
      </c>
      <c r="J535" s="55" t="str">
        <f t="shared" si="47"/>
        <v>MDD11</v>
      </c>
    </row>
    <row r="536" spans="1:10" hidden="1">
      <c r="A536" s="79" t="s">
        <v>1993</v>
      </c>
      <c r="B536" s="84" t="s">
        <v>2126</v>
      </c>
      <c r="C536" s="79" t="s">
        <v>3069</v>
      </c>
      <c r="D536" s="80" t="s">
        <v>858</v>
      </c>
      <c r="E536" s="2277" t="str">
        <f t="shared" si="46"/>
        <v>MD</v>
      </c>
      <c r="F536" s="55">
        <v>2000</v>
      </c>
      <c r="J536" s="55" t="str">
        <f t="shared" si="47"/>
        <v>MDD21</v>
      </c>
    </row>
    <row r="537" spans="1:10" hidden="1">
      <c r="A537" s="1779" t="s">
        <v>822</v>
      </c>
      <c r="B537" s="84" t="s">
        <v>599</v>
      </c>
      <c r="C537" s="79" t="s">
        <v>3070</v>
      </c>
      <c r="D537" s="80" t="s">
        <v>858</v>
      </c>
      <c r="E537" s="2277" t="str">
        <f t="shared" si="46"/>
        <v>MD</v>
      </c>
      <c r="F537" s="55">
        <v>2000</v>
      </c>
      <c r="J537" s="55" t="str">
        <f t="shared" si="47"/>
        <v>MDD31</v>
      </c>
    </row>
    <row r="538" spans="1:10" hidden="1">
      <c r="A538" s="1779" t="s">
        <v>527</v>
      </c>
      <c r="B538" s="84" t="s">
        <v>296</v>
      </c>
      <c r="C538" s="79" t="s">
        <v>3071</v>
      </c>
      <c r="D538" s="80" t="s">
        <v>858</v>
      </c>
      <c r="E538" s="2277" t="str">
        <f t="shared" si="46"/>
        <v>MD</v>
      </c>
      <c r="F538" s="55">
        <v>2000</v>
      </c>
      <c r="J538" s="55" t="str">
        <f t="shared" si="47"/>
        <v>MDD41</v>
      </c>
    </row>
    <row r="539" spans="1:10" hidden="1">
      <c r="A539" s="1779" t="s">
        <v>978</v>
      </c>
      <c r="B539" s="84" t="s">
        <v>1992</v>
      </c>
      <c r="C539" s="79" t="s">
        <v>3072</v>
      </c>
      <c r="D539" s="80" t="s">
        <v>858</v>
      </c>
      <c r="E539" s="2277" t="str">
        <f t="shared" si="46"/>
        <v>MD</v>
      </c>
      <c r="F539" s="55">
        <v>2000</v>
      </c>
      <c r="J539" s="55" t="str">
        <f t="shared" si="47"/>
        <v>MDD2</v>
      </c>
    </row>
    <row r="540" spans="1:10" hidden="1">
      <c r="A540" s="1779" t="s">
        <v>639</v>
      </c>
      <c r="B540" s="1795" t="s">
        <v>1753</v>
      </c>
      <c r="C540" s="79" t="s">
        <v>5192</v>
      </c>
      <c r="D540" s="80" t="s">
        <v>858</v>
      </c>
      <c r="E540" s="2277" t="str">
        <f t="shared" si="46"/>
        <v>MD</v>
      </c>
      <c r="F540" s="55">
        <v>3000</v>
      </c>
      <c r="J540" s="55" t="str">
        <f t="shared" si="47"/>
        <v>MDD3</v>
      </c>
    </row>
    <row r="541" spans="1:10" hidden="1">
      <c r="A541" s="79" t="s">
        <v>1231</v>
      </c>
      <c r="B541" s="84" t="s">
        <v>709</v>
      </c>
      <c r="C541" s="79" t="s">
        <v>3073</v>
      </c>
      <c r="D541" s="80" t="s">
        <v>858</v>
      </c>
      <c r="E541" s="2277" t="str">
        <f t="shared" si="46"/>
        <v>AH</v>
      </c>
      <c r="F541" s="55">
        <v>2000</v>
      </c>
      <c r="J541" s="55" t="str">
        <f t="shared" si="47"/>
        <v>AH2120</v>
      </c>
    </row>
    <row r="542" spans="1:10" hidden="1">
      <c r="A542" s="1779" t="s">
        <v>1397</v>
      </c>
      <c r="B542" s="84" t="s">
        <v>1398</v>
      </c>
      <c r="C542" s="79" t="s">
        <v>3074</v>
      </c>
      <c r="D542" s="80" t="s">
        <v>858</v>
      </c>
      <c r="E542" s="2277" t="str">
        <f t="shared" si="46"/>
        <v>MD</v>
      </c>
      <c r="F542" s="55">
        <v>2000</v>
      </c>
      <c r="J542" s="55" t="str">
        <f t="shared" si="47"/>
        <v>MDD4</v>
      </c>
    </row>
    <row r="543" spans="1:10" hidden="1">
      <c r="A543" s="1779" t="s">
        <v>127</v>
      </c>
      <c r="B543" s="84" t="s">
        <v>676</v>
      </c>
      <c r="C543" s="79" t="s">
        <v>3075</v>
      </c>
      <c r="D543" s="80" t="s">
        <v>858</v>
      </c>
      <c r="E543" s="2277" t="str">
        <f t="shared" si="46"/>
        <v>MD</v>
      </c>
      <c r="F543" s="55">
        <v>2000</v>
      </c>
      <c r="J543" s="55" t="str">
        <f t="shared" si="47"/>
        <v>MDAP1</v>
      </c>
    </row>
    <row r="544" spans="1:10" hidden="1">
      <c r="A544" s="1779" t="s">
        <v>677</v>
      </c>
      <c r="B544" s="84" t="s">
        <v>678</v>
      </c>
      <c r="C544" s="79" t="s">
        <v>3076</v>
      </c>
      <c r="D544" s="80" t="s">
        <v>858</v>
      </c>
      <c r="E544" s="2277" t="str">
        <f t="shared" si="46"/>
        <v>MD</v>
      </c>
      <c r="F544" s="55">
        <v>2000</v>
      </c>
      <c r="J544" s="55" t="str">
        <f t="shared" si="47"/>
        <v>MDAP2</v>
      </c>
    </row>
    <row r="545" spans="1:10" hidden="1">
      <c r="A545" s="1779" t="s">
        <v>21</v>
      </c>
      <c r="B545" s="1795" t="s">
        <v>1754</v>
      </c>
      <c r="C545" s="79" t="s">
        <v>3077</v>
      </c>
      <c r="D545" s="80" t="s">
        <v>858</v>
      </c>
      <c r="E545" s="2277" t="str">
        <f t="shared" si="46"/>
        <v>MD</v>
      </c>
      <c r="F545" s="55">
        <v>2000</v>
      </c>
      <c r="J545" s="55" t="str">
        <f t="shared" si="47"/>
        <v>MDAP3</v>
      </c>
    </row>
    <row r="546" spans="1:10" hidden="1">
      <c r="A546" s="1779" t="s">
        <v>1832</v>
      </c>
      <c r="B546" s="84" t="s">
        <v>22</v>
      </c>
      <c r="C546" s="79" t="s">
        <v>3078</v>
      </c>
      <c r="D546" s="80" t="s">
        <v>858</v>
      </c>
      <c r="E546" s="2277" t="str">
        <f t="shared" ref="E546:E608" si="48">LEFT(A546,2)</f>
        <v>MD</v>
      </c>
      <c r="F546" s="55">
        <v>2000</v>
      </c>
      <c r="J546" s="55" t="str">
        <f t="shared" si="47"/>
        <v>MDAP4</v>
      </c>
    </row>
    <row r="547" spans="1:10" hidden="1">
      <c r="A547" s="79" t="s">
        <v>143</v>
      </c>
      <c r="B547" s="84" t="s">
        <v>25</v>
      </c>
      <c r="C547" s="79" t="s">
        <v>3079</v>
      </c>
      <c r="D547" s="80" t="s">
        <v>858</v>
      </c>
      <c r="E547" s="2277" t="str">
        <f t="shared" si="48"/>
        <v>DM</v>
      </c>
      <c r="F547" s="55">
        <v>2000</v>
      </c>
      <c r="J547" s="55" t="str">
        <f t="shared" si="47"/>
        <v>DMC2</v>
      </c>
    </row>
    <row r="548" spans="1:10" hidden="1">
      <c r="A548" s="79" t="s">
        <v>144</v>
      </c>
      <c r="B548" s="84" t="s">
        <v>797</v>
      </c>
      <c r="C548" s="79" t="s">
        <v>3080</v>
      </c>
      <c r="D548" s="80" t="s">
        <v>858</v>
      </c>
      <c r="E548" s="2277" t="str">
        <f t="shared" si="48"/>
        <v>DM</v>
      </c>
      <c r="F548" s="55">
        <v>2000</v>
      </c>
      <c r="J548" s="55" t="str">
        <f t="shared" si="47"/>
        <v>DMC3</v>
      </c>
    </row>
    <row r="549" spans="1:10" hidden="1">
      <c r="A549" s="79" t="s">
        <v>145</v>
      </c>
      <c r="B549" s="84" t="s">
        <v>600</v>
      </c>
      <c r="C549" s="79" t="s">
        <v>3081</v>
      </c>
      <c r="D549" s="80" t="s">
        <v>858</v>
      </c>
      <c r="E549" s="2277" t="str">
        <f t="shared" si="48"/>
        <v>DM</v>
      </c>
      <c r="F549" s="55">
        <v>2000</v>
      </c>
      <c r="J549" s="55" t="str">
        <f t="shared" si="47"/>
        <v>DMC4</v>
      </c>
    </row>
    <row r="550" spans="1:10" hidden="1">
      <c r="A550" s="79" t="s">
        <v>528</v>
      </c>
      <c r="B550" s="84" t="s">
        <v>799</v>
      </c>
      <c r="C550" s="79" t="s">
        <v>3082</v>
      </c>
      <c r="D550" s="80" t="s">
        <v>858</v>
      </c>
      <c r="E550" s="2277" t="str">
        <f t="shared" si="48"/>
        <v>DD</v>
      </c>
      <c r="F550" s="55">
        <v>2000</v>
      </c>
      <c r="J550" s="55" t="str">
        <f t="shared" si="47"/>
        <v>DDMC2</v>
      </c>
    </row>
    <row r="551" spans="1:10" hidden="1">
      <c r="A551" s="79" t="s">
        <v>529</v>
      </c>
      <c r="B551" s="84" t="s">
        <v>801</v>
      </c>
      <c r="C551" s="79" t="s">
        <v>3083</v>
      </c>
      <c r="D551" s="80" t="s">
        <v>858</v>
      </c>
      <c r="E551" s="2277" t="str">
        <f t="shared" si="48"/>
        <v>DD</v>
      </c>
      <c r="F551" s="55">
        <v>2000</v>
      </c>
      <c r="J551" s="55" t="str">
        <f t="shared" si="47"/>
        <v>DDMC3</v>
      </c>
    </row>
    <row r="552" spans="1:10" hidden="1">
      <c r="A552" s="79" t="s">
        <v>530</v>
      </c>
      <c r="B552" s="84" t="s">
        <v>801</v>
      </c>
      <c r="C552" s="79" t="s">
        <v>3084</v>
      </c>
      <c r="D552" s="80" t="s">
        <v>858</v>
      </c>
      <c r="E552" s="2277" t="str">
        <f t="shared" si="48"/>
        <v>DD</v>
      </c>
      <c r="F552" s="55">
        <v>2000</v>
      </c>
      <c r="J552" s="55" t="str">
        <f t="shared" si="47"/>
        <v>DDMC4</v>
      </c>
    </row>
    <row r="553" spans="1:10" hidden="1">
      <c r="A553" s="79" t="s">
        <v>23</v>
      </c>
      <c r="B553" s="84" t="s">
        <v>848</v>
      </c>
      <c r="C553" s="79" t="s">
        <v>3085</v>
      </c>
      <c r="D553" s="80" t="s">
        <v>858</v>
      </c>
      <c r="E553" s="2277" t="str">
        <f t="shared" si="48"/>
        <v>DC</v>
      </c>
      <c r="F553" s="55">
        <v>2000</v>
      </c>
      <c r="J553" s="55" t="str">
        <f t="shared" si="47"/>
        <v>DCAT</v>
      </c>
    </row>
    <row r="554" spans="1:10" hidden="1">
      <c r="A554" s="79" t="s">
        <v>1113</v>
      </c>
      <c r="B554" s="84" t="s">
        <v>848</v>
      </c>
      <c r="C554" s="79" t="s">
        <v>3086</v>
      </c>
      <c r="D554" s="80" t="s">
        <v>858</v>
      </c>
      <c r="E554" s="2277" t="str">
        <f t="shared" si="48"/>
        <v>DD</v>
      </c>
      <c r="F554" s="55">
        <v>2000</v>
      </c>
      <c r="J554" s="55" t="str">
        <f t="shared" si="47"/>
        <v>DD1x2</v>
      </c>
    </row>
    <row r="555" spans="1:10" hidden="1">
      <c r="A555" s="79" t="s">
        <v>1108</v>
      </c>
      <c r="B555" s="84" t="s">
        <v>848</v>
      </c>
      <c r="C555" s="79" t="s">
        <v>3087</v>
      </c>
      <c r="D555" s="80" t="s">
        <v>858</v>
      </c>
      <c r="E555" s="2277" t="str">
        <f t="shared" si="48"/>
        <v>DD</v>
      </c>
      <c r="F555" s="55">
        <v>2000</v>
      </c>
      <c r="J555" s="55" t="str">
        <f t="shared" si="47"/>
        <v>DD2x4</v>
      </c>
    </row>
    <row r="556" spans="1:10" hidden="1">
      <c r="A556" s="79" t="s">
        <v>24</v>
      </c>
      <c r="B556" s="84" t="s">
        <v>25</v>
      </c>
      <c r="C556" s="79" t="s">
        <v>3088</v>
      </c>
      <c r="D556" s="80" t="s">
        <v>858</v>
      </c>
      <c r="E556" s="2277" t="str">
        <f t="shared" si="48"/>
        <v>DT</v>
      </c>
      <c r="F556" s="55">
        <v>2000</v>
      </c>
      <c r="J556" s="55" t="str">
        <f t="shared" si="47"/>
        <v>DTD2</v>
      </c>
    </row>
    <row r="557" spans="1:10" hidden="1">
      <c r="A557" s="79" t="s">
        <v>796</v>
      </c>
      <c r="B557" s="84" t="s">
        <v>1758</v>
      </c>
      <c r="C557" s="79" t="s">
        <v>3089</v>
      </c>
      <c r="D557" s="80" t="s">
        <v>858</v>
      </c>
      <c r="E557" s="2277" t="str">
        <f t="shared" si="48"/>
        <v>DT</v>
      </c>
      <c r="F557" s="55">
        <v>2000</v>
      </c>
      <c r="J557" s="55" t="str">
        <f t="shared" si="47"/>
        <v>DTD3</v>
      </c>
    </row>
    <row r="558" spans="1:10" hidden="1">
      <c r="A558" s="79" t="s">
        <v>1860</v>
      </c>
      <c r="B558" s="84" t="s">
        <v>797</v>
      </c>
      <c r="C558" s="79" t="s">
        <v>3090</v>
      </c>
      <c r="D558" s="80" t="s">
        <v>858</v>
      </c>
      <c r="E558" s="2277" t="str">
        <f t="shared" si="48"/>
        <v>DT</v>
      </c>
      <c r="F558" s="55">
        <v>2000</v>
      </c>
      <c r="J558" s="55" t="str">
        <f t="shared" si="47"/>
        <v>DTD4</v>
      </c>
    </row>
    <row r="559" spans="1:10" hidden="1">
      <c r="A559" s="79" t="s">
        <v>798</v>
      </c>
      <c r="B559" s="84" t="s">
        <v>799</v>
      </c>
      <c r="C559" s="79" t="s">
        <v>3091</v>
      </c>
      <c r="D559" s="80" t="s">
        <v>858</v>
      </c>
      <c r="E559" s="2277" t="str">
        <f t="shared" si="48"/>
        <v>DA</v>
      </c>
      <c r="F559" s="55">
        <v>2000</v>
      </c>
      <c r="J559" s="55" t="str">
        <f t="shared" si="47"/>
        <v>DATD2</v>
      </c>
    </row>
    <row r="560" spans="1:10" hidden="1">
      <c r="A560" s="79" t="s">
        <v>800</v>
      </c>
      <c r="B560" s="84" t="s">
        <v>1759</v>
      </c>
      <c r="C560" s="79" t="s">
        <v>4933</v>
      </c>
      <c r="D560" s="80" t="s">
        <v>858</v>
      </c>
      <c r="E560" s="2277" t="str">
        <f t="shared" si="48"/>
        <v>DA</v>
      </c>
      <c r="F560" s="55">
        <v>2000</v>
      </c>
      <c r="J560" s="55" t="str">
        <f t="shared" si="47"/>
        <v>DATD3</v>
      </c>
    </row>
    <row r="561" spans="1:10" hidden="1">
      <c r="A561" s="79" t="s">
        <v>1859</v>
      </c>
      <c r="B561" s="84" t="s">
        <v>801</v>
      </c>
      <c r="C561" s="79" t="s">
        <v>3092</v>
      </c>
      <c r="D561" s="80" t="s">
        <v>858</v>
      </c>
      <c r="E561" s="2277" t="str">
        <f t="shared" si="48"/>
        <v>DA</v>
      </c>
      <c r="F561" s="55">
        <v>2000</v>
      </c>
      <c r="J561" s="55" t="str">
        <f t="shared" si="47"/>
        <v>DATD4</v>
      </c>
    </row>
    <row r="562" spans="1:10" hidden="1">
      <c r="A562" s="79" t="s">
        <v>2026</v>
      </c>
      <c r="B562" s="84" t="s">
        <v>693</v>
      </c>
      <c r="C562" s="81" t="s">
        <v>4433</v>
      </c>
      <c r="D562" s="80" t="s">
        <v>2448</v>
      </c>
      <c r="E562" s="2277" t="str">
        <f t="shared" si="48"/>
        <v>LG</v>
      </c>
      <c r="F562" s="55">
        <v>2000</v>
      </c>
      <c r="J562" s="55" t="str">
        <f t="shared" si="47"/>
        <v>LGIA</v>
      </c>
    </row>
    <row r="563" spans="1:10" hidden="1">
      <c r="A563" s="79" t="s">
        <v>2132</v>
      </c>
      <c r="B563" s="1778" t="s">
        <v>1460</v>
      </c>
      <c r="C563" s="81" t="s">
        <v>3093</v>
      </c>
      <c r="D563" s="80" t="s">
        <v>2448</v>
      </c>
      <c r="E563" s="2277" t="str">
        <f t="shared" si="48"/>
        <v>la</v>
      </c>
      <c r="F563" s="55">
        <v>2000</v>
      </c>
      <c r="J563" s="55" t="str">
        <f t="shared" si="47"/>
        <v>lapkep</v>
      </c>
    </row>
    <row r="564" spans="1:10" hidden="1">
      <c r="A564" s="79" t="s">
        <v>1105</v>
      </c>
      <c r="B564" s="84" t="s">
        <v>85</v>
      </c>
      <c r="C564" s="79" t="s">
        <v>3094</v>
      </c>
      <c r="D564" s="80" t="s">
        <v>3027</v>
      </c>
      <c r="E564" s="2277" t="str">
        <f t="shared" si="48"/>
        <v>LG</v>
      </c>
      <c r="F564" s="55">
        <v>2000</v>
      </c>
      <c r="J564" s="55" t="str">
        <f t="shared" si="47"/>
        <v>LGACH</v>
      </c>
    </row>
    <row r="565" spans="1:10" hidden="1">
      <c r="A565" s="79" t="s">
        <v>662</v>
      </c>
      <c r="B565" s="84"/>
      <c r="C565" s="79" t="s">
        <v>3095</v>
      </c>
      <c r="D565" s="80" t="s">
        <v>858</v>
      </c>
      <c r="E565" s="2277" t="str">
        <f t="shared" si="48"/>
        <v>LN</v>
      </c>
      <c r="F565" s="55">
        <v>2000</v>
      </c>
      <c r="J565" s="55" t="str">
        <f t="shared" si="47"/>
        <v>LNLON</v>
      </c>
    </row>
    <row r="566" spans="1:10" hidden="1">
      <c r="A566" s="79" t="s">
        <v>624</v>
      </c>
      <c r="B566" s="84" t="s">
        <v>220</v>
      </c>
      <c r="C566" s="79" t="s">
        <v>3096</v>
      </c>
      <c r="D566" s="80" t="s">
        <v>2566</v>
      </c>
      <c r="E566" s="2277" t="str">
        <f t="shared" si="48"/>
        <v>M1</v>
      </c>
      <c r="F566" s="55">
        <v>2000</v>
      </c>
      <c r="J566" s="55" t="str">
        <f t="shared" si="47"/>
        <v>M15</v>
      </c>
    </row>
    <row r="567" spans="1:10" hidden="1">
      <c r="A567" s="79" t="s">
        <v>1050</v>
      </c>
      <c r="B567" s="84" t="s">
        <v>1563</v>
      </c>
      <c r="C567" s="79" t="s">
        <v>3097</v>
      </c>
      <c r="D567" s="80" t="s">
        <v>2566</v>
      </c>
      <c r="E567" s="2277" t="str">
        <f t="shared" si="48"/>
        <v>MD</v>
      </c>
      <c r="F567" s="55">
        <v>2000</v>
      </c>
      <c r="J567" s="55" t="str">
        <f t="shared" si="47"/>
        <v>MD25</v>
      </c>
    </row>
    <row r="568" spans="1:10" hidden="1">
      <c r="A568" s="79" t="s">
        <v>980</v>
      </c>
      <c r="B568" s="84" t="s">
        <v>1564</v>
      </c>
      <c r="C568" s="79" t="s">
        <v>3098</v>
      </c>
      <c r="D568" s="80" t="s">
        <v>2601</v>
      </c>
      <c r="E568" s="2277" t="str">
        <f t="shared" si="48"/>
        <v>DC</v>
      </c>
      <c r="F568" s="55">
        <v>2000</v>
      </c>
      <c r="J568" s="55" t="str">
        <f t="shared" si="47"/>
        <v>DCT25</v>
      </c>
    </row>
    <row r="569" spans="1:10" hidden="1">
      <c r="A569" s="79" t="s">
        <v>993</v>
      </c>
      <c r="B569" s="84" t="s">
        <v>1564</v>
      </c>
      <c r="C569" s="79" t="s">
        <v>3099</v>
      </c>
      <c r="D569" s="80" t="s">
        <v>2601</v>
      </c>
      <c r="E569" s="2277" t="str">
        <f t="shared" si="48"/>
        <v>DC</v>
      </c>
      <c r="F569" s="55">
        <v>2000</v>
      </c>
      <c r="J569" s="55" t="str">
        <f t="shared" si="47"/>
        <v>DCT30</v>
      </c>
    </row>
    <row r="570" spans="1:10" hidden="1">
      <c r="A570" s="79" t="s">
        <v>445</v>
      </c>
      <c r="B570" s="84" t="s">
        <v>1564</v>
      </c>
      <c r="C570" s="79" t="s">
        <v>3100</v>
      </c>
      <c r="D570" s="80" t="s">
        <v>2601</v>
      </c>
      <c r="E570" s="2277" t="str">
        <f t="shared" si="48"/>
        <v>DC</v>
      </c>
      <c r="F570" s="55">
        <v>2000</v>
      </c>
      <c r="J570" s="55" t="str">
        <f t="shared" si="47"/>
        <v>DCT50</v>
      </c>
    </row>
    <row r="571" spans="1:10" hidden="1">
      <c r="A571" s="79" t="s">
        <v>152</v>
      </c>
      <c r="B571" s="84" t="s">
        <v>153</v>
      </c>
      <c r="C571" s="79" t="s">
        <v>3101</v>
      </c>
      <c r="D571" s="80" t="s">
        <v>1966</v>
      </c>
      <c r="E571" s="2277" t="str">
        <f t="shared" si="48"/>
        <v>QB</v>
      </c>
      <c r="F571" s="55">
        <v>2000</v>
      </c>
      <c r="J571" s="55" t="str">
        <f t="shared" si="47"/>
        <v>QBT</v>
      </c>
    </row>
    <row r="572" spans="1:10" hidden="1">
      <c r="A572" s="79" t="s">
        <v>37</v>
      </c>
      <c r="B572" s="84" t="s">
        <v>556</v>
      </c>
      <c r="C572" s="79" t="s">
        <v>2594</v>
      </c>
      <c r="D572" s="80" t="s">
        <v>2451</v>
      </c>
      <c r="E572" s="2277" t="str">
        <f t="shared" si="48"/>
        <v>VC</v>
      </c>
      <c r="F572" s="55">
        <v>2000</v>
      </c>
      <c r="J572" s="55" t="str">
        <f t="shared" si="47"/>
        <v>VCDA1</v>
      </c>
    </row>
    <row r="573" spans="1:10" hidden="1">
      <c r="A573" s="79" t="s">
        <v>1826</v>
      </c>
      <c r="B573" s="84" t="s">
        <v>1827</v>
      </c>
      <c r="C573" s="79" t="s">
        <v>3102</v>
      </c>
      <c r="D573" s="80" t="s">
        <v>2451</v>
      </c>
      <c r="E573" s="2277" t="str">
        <f t="shared" si="48"/>
        <v>VC</v>
      </c>
      <c r="F573" s="55">
        <v>2000</v>
      </c>
      <c r="J573" s="55" t="str">
        <f t="shared" si="47"/>
        <v>VCDA2</v>
      </c>
    </row>
    <row r="574" spans="1:10" hidden="1">
      <c r="A574" s="79" t="s">
        <v>192</v>
      </c>
      <c r="B574" s="84" t="s">
        <v>193</v>
      </c>
      <c r="C574" s="79" t="s">
        <v>3103</v>
      </c>
      <c r="D574" s="80" t="s">
        <v>2451</v>
      </c>
      <c r="E574" s="2277" t="str">
        <f t="shared" si="48"/>
        <v>VC</v>
      </c>
      <c r="F574" s="55">
        <v>2000</v>
      </c>
      <c r="J574" s="55" t="str">
        <f t="shared" si="47"/>
        <v>VCDA3</v>
      </c>
    </row>
    <row r="575" spans="1:10" hidden="1">
      <c r="A575" s="79" t="s">
        <v>343</v>
      </c>
      <c r="B575" s="84" t="s">
        <v>1097</v>
      </c>
      <c r="C575" s="79" t="s">
        <v>3104</v>
      </c>
      <c r="D575" s="80" t="s">
        <v>2451</v>
      </c>
      <c r="E575" s="2277" t="str">
        <f t="shared" si="48"/>
        <v>VC</v>
      </c>
      <c r="F575" s="55">
        <v>2000</v>
      </c>
      <c r="J575" s="55" t="str">
        <f t="shared" si="47"/>
        <v>VCDA4</v>
      </c>
    </row>
    <row r="576" spans="1:10" hidden="1">
      <c r="A576" s="79" t="s">
        <v>1636</v>
      </c>
      <c r="B576" s="84" t="s">
        <v>556</v>
      </c>
      <c r="C576" s="79" t="s">
        <v>2596</v>
      </c>
      <c r="D576" s="80" t="s">
        <v>2451</v>
      </c>
      <c r="E576" s="2277" t="str">
        <f t="shared" si="48"/>
        <v>VC</v>
      </c>
      <c r="F576" s="55">
        <v>2000</v>
      </c>
      <c r="J576" s="55" t="str">
        <f t="shared" si="47"/>
        <v>VCDN1</v>
      </c>
    </row>
    <row r="577" spans="1:10" hidden="1">
      <c r="A577" s="79" t="s">
        <v>263</v>
      </c>
      <c r="B577" s="84" t="s">
        <v>1827</v>
      </c>
      <c r="C577" s="79" t="s">
        <v>3105</v>
      </c>
      <c r="D577" s="80" t="s">
        <v>2451</v>
      </c>
      <c r="E577" s="2277" t="str">
        <f t="shared" si="48"/>
        <v>VC</v>
      </c>
      <c r="F577" s="55">
        <v>2000</v>
      </c>
      <c r="J577" s="55" t="str">
        <f t="shared" si="47"/>
        <v>VCDN2</v>
      </c>
    </row>
    <row r="578" spans="1:10" hidden="1">
      <c r="A578" s="79" t="s">
        <v>1478</v>
      </c>
      <c r="B578" s="84" t="s">
        <v>193</v>
      </c>
      <c r="C578" s="79" t="s">
        <v>3106</v>
      </c>
      <c r="D578" s="80" t="s">
        <v>2451</v>
      </c>
      <c r="E578" s="2277" t="str">
        <f t="shared" si="48"/>
        <v>VC</v>
      </c>
      <c r="F578" s="55">
        <v>2000</v>
      </c>
      <c r="J578" s="55" t="str">
        <f t="shared" si="47"/>
        <v>VCDN3</v>
      </c>
    </row>
    <row r="579" spans="1:10" hidden="1">
      <c r="A579" s="79" t="s">
        <v>1672</v>
      </c>
      <c r="B579" s="84" t="s">
        <v>1097</v>
      </c>
      <c r="C579" s="79" t="s">
        <v>3107</v>
      </c>
      <c r="D579" s="80" t="s">
        <v>2451</v>
      </c>
      <c r="E579" s="2277" t="str">
        <f t="shared" si="48"/>
        <v>VC</v>
      </c>
      <c r="F579" s="55">
        <v>2000</v>
      </c>
      <c r="J579" s="55" t="str">
        <f t="shared" si="47"/>
        <v>VCDN4</v>
      </c>
    </row>
    <row r="580" spans="1:10" hidden="1">
      <c r="A580" s="79" t="s">
        <v>1713</v>
      </c>
      <c r="B580" s="84" t="s">
        <v>1135</v>
      </c>
      <c r="C580" s="79" t="s">
        <v>2597</v>
      </c>
      <c r="D580" s="80" t="s">
        <v>2451</v>
      </c>
      <c r="E580" s="2277" t="str">
        <f t="shared" si="48"/>
        <v>VC</v>
      </c>
      <c r="F580" s="55">
        <v>2000</v>
      </c>
      <c r="J580" s="55" t="str">
        <f t="shared" si="47"/>
        <v>VCNX1</v>
      </c>
    </row>
    <row r="581" spans="1:10" hidden="1">
      <c r="A581" s="79" t="s">
        <v>1127</v>
      </c>
      <c r="B581" s="84" t="s">
        <v>27</v>
      </c>
      <c r="C581" s="79" t="s">
        <v>3108</v>
      </c>
      <c r="D581" s="80" t="s">
        <v>2451</v>
      </c>
      <c r="E581" s="2277" t="str">
        <f t="shared" si="48"/>
        <v>VC</v>
      </c>
      <c r="F581" s="55">
        <v>2000</v>
      </c>
      <c r="J581" s="55" t="str">
        <f t="shared" si="47"/>
        <v>VCNX2</v>
      </c>
    </row>
    <row r="582" spans="1:10" hidden="1">
      <c r="A582" s="79" t="s">
        <v>1128</v>
      </c>
      <c r="B582" s="84" t="s">
        <v>1678</v>
      </c>
      <c r="C582" s="79" t="s">
        <v>3109</v>
      </c>
      <c r="D582" s="80" t="s">
        <v>2451</v>
      </c>
      <c r="E582" s="2277" t="str">
        <f t="shared" si="48"/>
        <v>VC</v>
      </c>
      <c r="F582" s="55">
        <v>2000</v>
      </c>
      <c r="J582" s="55" t="str">
        <f t="shared" si="47"/>
        <v>VCNX3</v>
      </c>
    </row>
    <row r="583" spans="1:10" hidden="1">
      <c r="A583" s="79" t="s">
        <v>1129</v>
      </c>
      <c r="B583" s="84" t="s">
        <v>141</v>
      </c>
      <c r="C583" s="79" t="s">
        <v>3110</v>
      </c>
      <c r="D583" s="80" t="s">
        <v>2451</v>
      </c>
      <c r="E583" s="2277" t="str">
        <f t="shared" si="48"/>
        <v>VC</v>
      </c>
      <c r="F583" s="55">
        <v>2000</v>
      </c>
      <c r="J583" s="55" t="str">
        <f t="shared" si="47"/>
        <v>VCNX4</v>
      </c>
    </row>
    <row r="584" spans="1:10" hidden="1">
      <c r="A584" s="79" t="s">
        <v>1588</v>
      </c>
      <c r="B584" s="84" t="s">
        <v>2244</v>
      </c>
      <c r="C584" s="79" t="s">
        <v>2598</v>
      </c>
      <c r="D584" s="80" t="s">
        <v>2451</v>
      </c>
      <c r="E584" s="2277" t="str">
        <f t="shared" si="48"/>
        <v>VC</v>
      </c>
      <c r="F584" s="55">
        <v>2000</v>
      </c>
      <c r="J584" s="55" t="str">
        <f t="shared" si="47"/>
        <v>VCC1</v>
      </c>
    </row>
    <row r="585" spans="1:10" hidden="1">
      <c r="A585" s="79" t="s">
        <v>2245</v>
      </c>
      <c r="B585" s="84" t="s">
        <v>2246</v>
      </c>
      <c r="C585" s="79" t="s">
        <v>3111</v>
      </c>
      <c r="D585" s="80" t="s">
        <v>2451</v>
      </c>
      <c r="E585" s="2277" t="str">
        <f t="shared" si="48"/>
        <v>VC</v>
      </c>
      <c r="F585" s="55">
        <v>2000</v>
      </c>
      <c r="J585" s="55" t="str">
        <f t="shared" si="47"/>
        <v>VCC2</v>
      </c>
    </row>
    <row r="586" spans="1:10" hidden="1">
      <c r="A586" s="79" t="s">
        <v>567</v>
      </c>
      <c r="B586" s="84" t="s">
        <v>568</v>
      </c>
      <c r="C586" s="79" t="s">
        <v>3112</v>
      </c>
      <c r="D586" s="80" t="s">
        <v>2451</v>
      </c>
      <c r="E586" s="2277" t="str">
        <f t="shared" si="48"/>
        <v>VC</v>
      </c>
      <c r="F586" s="55">
        <v>2000</v>
      </c>
      <c r="J586" s="55" t="str">
        <f t="shared" si="47"/>
        <v>VCC3</v>
      </c>
    </row>
    <row r="587" spans="1:10" hidden="1">
      <c r="A587" s="79" t="s">
        <v>1648</v>
      </c>
      <c r="B587" s="84" t="s">
        <v>2248</v>
      </c>
      <c r="C587" s="79" t="s">
        <v>3113</v>
      </c>
      <c r="D587" s="80" t="s">
        <v>2451</v>
      </c>
      <c r="E587" s="2277" t="str">
        <f t="shared" si="48"/>
        <v>VC</v>
      </c>
      <c r="F587" s="55">
        <v>2000</v>
      </c>
      <c r="J587" s="55" t="str">
        <f t="shared" ref="J587:J650" si="49">A587</f>
        <v>VCC4</v>
      </c>
    </row>
    <row r="588" spans="1:10" hidden="1">
      <c r="A588" s="79" t="s">
        <v>1134</v>
      </c>
      <c r="B588" s="84" t="s">
        <v>1135</v>
      </c>
      <c r="C588" s="79" t="s">
        <v>2599</v>
      </c>
      <c r="D588" s="80" t="s">
        <v>2451</v>
      </c>
      <c r="E588" s="2277" t="str">
        <f t="shared" si="48"/>
        <v>VC</v>
      </c>
      <c r="F588" s="55">
        <v>2000</v>
      </c>
      <c r="J588" s="55" t="str">
        <f t="shared" si="49"/>
        <v>VCPK1</v>
      </c>
    </row>
    <row r="589" spans="1:10" hidden="1">
      <c r="A589" s="79" t="s">
        <v>1136</v>
      </c>
      <c r="B589" s="84" t="s">
        <v>27</v>
      </c>
      <c r="C589" s="79" t="s">
        <v>3114</v>
      </c>
      <c r="D589" s="80" t="s">
        <v>2451</v>
      </c>
      <c r="E589" s="2277" t="str">
        <f t="shared" si="48"/>
        <v>VC</v>
      </c>
      <c r="F589" s="55">
        <v>2000</v>
      </c>
      <c r="J589" s="55" t="str">
        <f t="shared" si="49"/>
        <v>VCPK2</v>
      </c>
    </row>
    <row r="590" spans="1:10" hidden="1">
      <c r="A590" s="79" t="s">
        <v>1677</v>
      </c>
      <c r="B590" s="84" t="s">
        <v>1678</v>
      </c>
      <c r="C590" s="79" t="s">
        <v>3115</v>
      </c>
      <c r="D590" s="80" t="s">
        <v>2451</v>
      </c>
      <c r="E590" s="2277" t="str">
        <f t="shared" si="48"/>
        <v>VC</v>
      </c>
      <c r="F590" s="55">
        <v>2000</v>
      </c>
      <c r="J590" s="55" t="str">
        <f t="shared" si="49"/>
        <v>VCPK3</v>
      </c>
    </row>
    <row r="591" spans="1:10" hidden="1">
      <c r="A591" s="79" t="s">
        <v>1409</v>
      </c>
      <c r="B591" s="84" t="s">
        <v>141</v>
      </c>
      <c r="C591" s="79" t="s">
        <v>3116</v>
      </c>
      <c r="D591" s="80" t="s">
        <v>2451</v>
      </c>
      <c r="E591" s="2277" t="str">
        <f t="shared" si="48"/>
        <v>VC</v>
      </c>
      <c r="F591" s="55">
        <v>2000</v>
      </c>
      <c r="J591" s="55" t="str">
        <f t="shared" si="49"/>
        <v>VCPK4</v>
      </c>
    </row>
    <row r="592" spans="1:10" hidden="1">
      <c r="A592" s="79" t="s">
        <v>1835</v>
      </c>
      <c r="B592" s="84" t="s">
        <v>1211</v>
      </c>
      <c r="C592" s="79" t="s">
        <v>2595</v>
      </c>
      <c r="D592" s="80" t="s">
        <v>2451</v>
      </c>
      <c r="E592" s="2277" t="str">
        <f t="shared" si="48"/>
        <v>VC</v>
      </c>
      <c r="F592" s="55">
        <v>2000</v>
      </c>
      <c r="J592" s="55" t="str">
        <f t="shared" si="49"/>
        <v>VCTD1</v>
      </c>
    </row>
    <row r="593" spans="1:10" hidden="1">
      <c r="A593" s="79" t="s">
        <v>117</v>
      </c>
      <c r="B593" s="84" t="s">
        <v>1543</v>
      </c>
      <c r="C593" s="79" t="s">
        <v>3117</v>
      </c>
      <c r="D593" s="80" t="s">
        <v>2451</v>
      </c>
      <c r="E593" s="2277" t="str">
        <f t="shared" si="48"/>
        <v>VC</v>
      </c>
      <c r="F593" s="55">
        <v>2000</v>
      </c>
      <c r="J593" s="55" t="str">
        <f t="shared" si="49"/>
        <v>VCTD2</v>
      </c>
    </row>
    <row r="594" spans="1:10" hidden="1">
      <c r="A594" s="79" t="s">
        <v>966</v>
      </c>
      <c r="B594" s="84" t="s">
        <v>1549</v>
      </c>
      <c r="C594" s="79" t="s">
        <v>3118</v>
      </c>
      <c r="D594" s="80" t="s">
        <v>2451</v>
      </c>
      <c r="E594" s="2277" t="str">
        <f t="shared" si="48"/>
        <v>VC</v>
      </c>
      <c r="F594" s="55">
        <v>2000</v>
      </c>
      <c r="J594" s="55" t="str">
        <f t="shared" si="49"/>
        <v>VCTD3</v>
      </c>
    </row>
    <row r="595" spans="1:10" hidden="1">
      <c r="A595" s="79" t="s">
        <v>1960</v>
      </c>
      <c r="B595" s="84" t="s">
        <v>1551</v>
      </c>
      <c r="C595" s="79" t="s">
        <v>3119</v>
      </c>
      <c r="D595" s="80" t="s">
        <v>2451</v>
      </c>
      <c r="E595" s="2277" t="str">
        <f t="shared" si="48"/>
        <v>VC</v>
      </c>
      <c r="F595" s="55">
        <v>2000</v>
      </c>
      <c r="J595" s="55" t="str">
        <f t="shared" si="49"/>
        <v>VCTD4</v>
      </c>
    </row>
    <row r="596" spans="1:10" hidden="1">
      <c r="A596" s="79" t="s">
        <v>1198</v>
      </c>
      <c r="B596" s="84" t="s">
        <v>1199</v>
      </c>
      <c r="C596" s="79" t="s">
        <v>2602</v>
      </c>
      <c r="D596" s="80" t="s">
        <v>2451</v>
      </c>
      <c r="E596" s="2277" t="str">
        <f t="shared" si="48"/>
        <v>VC</v>
      </c>
      <c r="F596" s="55">
        <v>2000</v>
      </c>
      <c r="J596" s="55" t="str">
        <f t="shared" si="49"/>
        <v>VCD1</v>
      </c>
    </row>
    <row r="597" spans="1:10" hidden="1">
      <c r="A597" s="79" t="s">
        <v>2124</v>
      </c>
      <c r="B597" s="84" t="s">
        <v>2045</v>
      </c>
      <c r="C597" s="79" t="s">
        <v>3120</v>
      </c>
      <c r="D597" s="80" t="s">
        <v>2451</v>
      </c>
      <c r="E597" s="2277" t="str">
        <f t="shared" si="48"/>
        <v>VC</v>
      </c>
      <c r="F597" s="55">
        <v>2000</v>
      </c>
      <c r="J597" s="55" t="str">
        <f t="shared" si="49"/>
        <v>VCD2</v>
      </c>
    </row>
    <row r="598" spans="1:10" hidden="1">
      <c r="A598" s="79" t="s">
        <v>315</v>
      </c>
      <c r="B598" s="84" t="s">
        <v>316</v>
      </c>
      <c r="C598" s="79" t="s">
        <v>3121</v>
      </c>
      <c r="D598" s="80" t="s">
        <v>2451</v>
      </c>
      <c r="E598" s="2277" t="str">
        <f t="shared" si="48"/>
        <v>VC</v>
      </c>
      <c r="F598" s="55">
        <v>2000</v>
      </c>
      <c r="J598" s="55" t="str">
        <f t="shared" si="49"/>
        <v>VCD3</v>
      </c>
    </row>
    <row r="599" spans="1:10" hidden="1">
      <c r="A599" s="79" t="s">
        <v>1546</v>
      </c>
      <c r="B599" s="84" t="s">
        <v>1547</v>
      </c>
      <c r="C599" s="79" t="s">
        <v>3122</v>
      </c>
      <c r="D599" s="80" t="s">
        <v>2451</v>
      </c>
      <c r="E599" s="2277" t="str">
        <f t="shared" si="48"/>
        <v>VC</v>
      </c>
      <c r="F599" s="55">
        <v>2000</v>
      </c>
      <c r="J599" s="55" t="str">
        <f t="shared" si="49"/>
        <v>VCD4</v>
      </c>
    </row>
    <row r="600" spans="1:10" hidden="1">
      <c r="A600" s="79" t="s">
        <v>1910</v>
      </c>
      <c r="B600" s="84" t="s">
        <v>75</v>
      </c>
      <c r="C600" s="79" t="s">
        <v>3123</v>
      </c>
      <c r="D600" s="80" t="s">
        <v>2451</v>
      </c>
      <c r="E600" s="2277" t="str">
        <f t="shared" si="48"/>
        <v>VC</v>
      </c>
      <c r="F600" s="55">
        <v>2000</v>
      </c>
      <c r="J600" s="55" t="str">
        <f t="shared" si="49"/>
        <v>VCS1</v>
      </c>
    </row>
    <row r="601" spans="1:10" hidden="1">
      <c r="A601" s="79" t="s">
        <v>76</v>
      </c>
      <c r="B601" s="84" t="s">
        <v>77</v>
      </c>
      <c r="C601" s="79" t="s">
        <v>3124</v>
      </c>
      <c r="D601" s="80" t="s">
        <v>2451</v>
      </c>
      <c r="E601" s="2277" t="str">
        <f t="shared" si="48"/>
        <v>VC</v>
      </c>
      <c r="F601" s="55">
        <v>2000</v>
      </c>
      <c r="J601" s="55" t="str">
        <f t="shared" si="49"/>
        <v>VCS2</v>
      </c>
    </row>
    <row r="602" spans="1:10" hidden="1">
      <c r="A602" s="79" t="s">
        <v>2083</v>
      </c>
      <c r="B602" s="84" t="s">
        <v>2084</v>
      </c>
      <c r="C602" s="79" t="s">
        <v>3125</v>
      </c>
      <c r="D602" s="80" t="s">
        <v>2451</v>
      </c>
      <c r="E602" s="2277" t="str">
        <f t="shared" si="48"/>
        <v>VC</v>
      </c>
      <c r="F602" s="55">
        <v>2000</v>
      </c>
      <c r="J602" s="55" t="str">
        <f t="shared" si="49"/>
        <v>VCS3</v>
      </c>
    </row>
    <row r="603" spans="1:10" hidden="1">
      <c r="A603" s="79" t="s">
        <v>946</v>
      </c>
      <c r="B603" s="84" t="s">
        <v>1610</v>
      </c>
      <c r="C603" s="79" t="s">
        <v>3126</v>
      </c>
      <c r="D603" s="80" t="s">
        <v>2451</v>
      </c>
      <c r="E603" s="2277" t="str">
        <f t="shared" si="48"/>
        <v>VC</v>
      </c>
      <c r="F603" s="55">
        <v>2000</v>
      </c>
      <c r="J603" s="55" t="str">
        <f t="shared" si="49"/>
        <v>VCS4</v>
      </c>
    </row>
    <row r="604" spans="1:10" hidden="1">
      <c r="A604" s="79" t="s">
        <v>1611</v>
      </c>
      <c r="B604" s="84" t="s">
        <v>1612</v>
      </c>
      <c r="C604" s="79" t="s">
        <v>2452</v>
      </c>
      <c r="D604" s="80" t="s">
        <v>2451</v>
      </c>
      <c r="E604" s="2277" t="str">
        <f t="shared" si="48"/>
        <v>VC</v>
      </c>
      <c r="F604" s="55">
        <v>2000</v>
      </c>
      <c r="J604" s="55" t="str">
        <f t="shared" si="49"/>
        <v>VCX1</v>
      </c>
    </row>
    <row r="605" spans="1:10" hidden="1">
      <c r="A605" s="79" t="s">
        <v>1613</v>
      </c>
      <c r="B605" s="84" t="s">
        <v>2249</v>
      </c>
      <c r="C605" s="79" t="s">
        <v>3127</v>
      </c>
      <c r="D605" s="80" t="s">
        <v>2451</v>
      </c>
      <c r="E605" s="2277" t="str">
        <f t="shared" si="48"/>
        <v>VC</v>
      </c>
      <c r="F605" s="55">
        <v>2000</v>
      </c>
      <c r="J605" s="55" t="str">
        <f t="shared" si="49"/>
        <v>VCX2</v>
      </c>
    </row>
    <row r="606" spans="1:10" hidden="1">
      <c r="A606" s="79" t="s">
        <v>1395</v>
      </c>
      <c r="B606" s="84" t="s">
        <v>1998</v>
      </c>
      <c r="C606" s="79" t="s">
        <v>3128</v>
      </c>
      <c r="D606" s="80" t="s">
        <v>2451</v>
      </c>
      <c r="E606" s="2277" t="str">
        <f t="shared" si="48"/>
        <v>VC</v>
      </c>
      <c r="F606" s="55">
        <v>2000</v>
      </c>
      <c r="J606" s="55" t="str">
        <f t="shared" si="49"/>
        <v>VCX3</v>
      </c>
    </row>
    <row r="607" spans="1:10" hidden="1">
      <c r="A607" s="79" t="s">
        <v>1999</v>
      </c>
      <c r="B607" s="84" t="s">
        <v>2000</v>
      </c>
      <c r="C607" s="79" t="s">
        <v>3129</v>
      </c>
      <c r="D607" s="80" t="s">
        <v>2451</v>
      </c>
      <c r="E607" s="2277" t="str">
        <f t="shared" si="48"/>
        <v>VC</v>
      </c>
      <c r="F607" s="55">
        <v>2000</v>
      </c>
      <c r="J607" s="55" t="str">
        <f t="shared" si="49"/>
        <v>VCX4</v>
      </c>
    </row>
    <row r="608" spans="1:10" hidden="1">
      <c r="A608" s="79" t="s">
        <v>1987</v>
      </c>
      <c r="B608" s="84" t="s">
        <v>1697</v>
      </c>
      <c r="C608" s="79" t="s">
        <v>2453</v>
      </c>
      <c r="D608" s="80" t="s">
        <v>2451</v>
      </c>
      <c r="E608" s="2277" t="str">
        <f t="shared" si="48"/>
        <v>VC</v>
      </c>
      <c r="F608" s="55">
        <v>2000</v>
      </c>
      <c r="J608" s="55" t="str">
        <f t="shared" si="49"/>
        <v>VCDC1</v>
      </c>
    </row>
    <row r="609" spans="1:10" hidden="1">
      <c r="A609" s="79" t="s">
        <v>1534</v>
      </c>
      <c r="B609" s="84" t="s">
        <v>1535</v>
      </c>
      <c r="C609" s="79" t="s">
        <v>3130</v>
      </c>
      <c r="D609" s="80" t="s">
        <v>2451</v>
      </c>
      <c r="E609" s="2277" t="str">
        <f t="shared" ref="E609:E672" si="50">LEFT(A609,2)</f>
        <v>VC</v>
      </c>
      <c r="F609" s="55">
        <v>2000</v>
      </c>
      <c r="J609" s="55" t="str">
        <f t="shared" si="49"/>
        <v>VCDC2</v>
      </c>
    </row>
    <row r="610" spans="1:10" hidden="1">
      <c r="A610" s="79" t="s">
        <v>1536</v>
      </c>
      <c r="B610" s="84" t="s">
        <v>1537</v>
      </c>
      <c r="C610" s="79" t="s">
        <v>3131</v>
      </c>
      <c r="D610" s="80" t="s">
        <v>2451</v>
      </c>
      <c r="E610" s="2277" t="str">
        <f t="shared" si="50"/>
        <v>VC</v>
      </c>
      <c r="F610" s="55">
        <v>2000</v>
      </c>
      <c r="J610" s="55" t="str">
        <f t="shared" si="49"/>
        <v>VCDC3</v>
      </c>
    </row>
    <row r="611" spans="1:10" hidden="1">
      <c r="A611" s="79" t="s">
        <v>992</v>
      </c>
      <c r="B611" s="84" t="s">
        <v>1817</v>
      </c>
      <c r="C611" s="79" t="s">
        <v>3132</v>
      </c>
      <c r="D611" s="80" t="s">
        <v>2451</v>
      </c>
      <c r="E611" s="2277" t="str">
        <f t="shared" si="50"/>
        <v>VC</v>
      </c>
      <c r="F611" s="55">
        <v>2000</v>
      </c>
      <c r="J611" s="55" t="str">
        <f t="shared" si="49"/>
        <v>VCDC4</v>
      </c>
    </row>
    <row r="612" spans="1:10" hidden="1">
      <c r="A612" s="79" t="s">
        <v>1252</v>
      </c>
      <c r="B612" s="84" t="s">
        <v>1253</v>
      </c>
      <c r="C612" s="79" t="s">
        <v>3133</v>
      </c>
      <c r="D612" s="80" t="s">
        <v>2601</v>
      </c>
      <c r="E612" s="2277" t="str">
        <f t="shared" si="50"/>
        <v>VC</v>
      </c>
      <c r="F612" s="55">
        <v>2000</v>
      </c>
      <c r="J612" s="55" t="str">
        <f t="shared" si="49"/>
        <v>VCCT1</v>
      </c>
    </row>
    <row r="613" spans="1:10" hidden="1">
      <c r="A613" s="79" t="s">
        <v>1420</v>
      </c>
      <c r="B613" s="84" t="s">
        <v>598</v>
      </c>
      <c r="C613" s="79" t="s">
        <v>3134</v>
      </c>
      <c r="D613" s="80" t="s">
        <v>2601</v>
      </c>
      <c r="E613" s="2277" t="str">
        <f t="shared" si="50"/>
        <v>VC</v>
      </c>
      <c r="F613" s="55">
        <v>2000</v>
      </c>
      <c r="J613" s="55" t="str">
        <f t="shared" si="49"/>
        <v>VCCT2</v>
      </c>
    </row>
    <row r="614" spans="1:10" hidden="1">
      <c r="A614" s="79" t="s">
        <v>2252</v>
      </c>
      <c r="B614" s="84" t="s">
        <v>2253</v>
      </c>
      <c r="C614" s="79" t="s">
        <v>3135</v>
      </c>
      <c r="D614" s="80" t="s">
        <v>2601</v>
      </c>
      <c r="E614" s="2277" t="str">
        <f t="shared" si="50"/>
        <v>VC</v>
      </c>
      <c r="F614" s="55">
        <v>2000</v>
      </c>
      <c r="J614" s="55" t="str">
        <f t="shared" si="49"/>
        <v>VCCT3</v>
      </c>
    </row>
    <row r="615" spans="1:10" hidden="1">
      <c r="A615" s="79" t="s">
        <v>1805</v>
      </c>
      <c r="B615" s="84" t="s">
        <v>716</v>
      </c>
      <c r="C615" s="79" t="s">
        <v>3136</v>
      </c>
      <c r="D615" s="80" t="s">
        <v>2601</v>
      </c>
      <c r="E615" s="2277" t="str">
        <f t="shared" si="50"/>
        <v>VC</v>
      </c>
      <c r="F615" s="55">
        <v>2000</v>
      </c>
      <c r="J615" s="55" t="str">
        <f t="shared" si="49"/>
        <v>VCCT4</v>
      </c>
    </row>
    <row r="616" spans="1:10" hidden="1">
      <c r="A616" s="79" t="s">
        <v>717</v>
      </c>
      <c r="B616" s="84" t="s">
        <v>718</v>
      </c>
      <c r="C616" s="79" t="s">
        <v>2600</v>
      </c>
      <c r="D616" s="80" t="s">
        <v>2601</v>
      </c>
      <c r="E616" s="2277" t="str">
        <f t="shared" si="50"/>
        <v>VC</v>
      </c>
      <c r="F616" s="55">
        <v>2000</v>
      </c>
      <c r="J616" s="55" t="str">
        <f t="shared" si="49"/>
        <v>VCCT5</v>
      </c>
    </row>
    <row r="617" spans="1:10" hidden="1">
      <c r="A617" s="79" t="s">
        <v>719</v>
      </c>
      <c r="B617" s="84" t="s">
        <v>720</v>
      </c>
      <c r="C617" s="79" t="s">
        <v>3137</v>
      </c>
      <c r="D617" s="80" t="s">
        <v>2601</v>
      </c>
      <c r="E617" s="2277" t="str">
        <f t="shared" si="50"/>
        <v>VC</v>
      </c>
      <c r="F617" s="55">
        <v>2000</v>
      </c>
      <c r="J617" s="55" t="str">
        <f t="shared" si="49"/>
        <v>VCCT6</v>
      </c>
    </row>
    <row r="618" spans="1:10" hidden="1">
      <c r="A618" s="79" t="s">
        <v>1562</v>
      </c>
      <c r="B618" s="84" t="s">
        <v>1023</v>
      </c>
      <c r="C618" s="79" t="s">
        <v>3138</v>
      </c>
      <c r="D618" s="80" t="s">
        <v>2601</v>
      </c>
      <c r="E618" s="2277" t="str">
        <f t="shared" si="50"/>
        <v>VC</v>
      </c>
      <c r="F618" s="55">
        <v>2000</v>
      </c>
      <c r="J618" s="55" t="str">
        <f t="shared" si="49"/>
        <v>VCCT7</v>
      </c>
    </row>
    <row r="619" spans="1:10" hidden="1">
      <c r="A619" s="79" t="s">
        <v>1822</v>
      </c>
      <c r="B619" s="84" t="s">
        <v>1823</v>
      </c>
      <c r="C619" s="79" t="s">
        <v>3139</v>
      </c>
      <c r="D619" s="80" t="s">
        <v>2601</v>
      </c>
      <c r="E619" s="2277" t="str">
        <f t="shared" si="50"/>
        <v>VC</v>
      </c>
      <c r="F619" s="55">
        <v>2000</v>
      </c>
      <c r="J619" s="55" t="str">
        <f t="shared" si="49"/>
        <v>VCCT8</v>
      </c>
    </row>
    <row r="620" spans="1:10" hidden="1">
      <c r="A620" s="79" t="s">
        <v>495</v>
      </c>
      <c r="B620" s="84" t="s">
        <v>496</v>
      </c>
      <c r="C620" s="79" t="s">
        <v>2591</v>
      </c>
      <c r="D620" s="80" t="s">
        <v>2451</v>
      </c>
      <c r="E620" s="2277" t="str">
        <f t="shared" si="50"/>
        <v>VC</v>
      </c>
      <c r="F620" s="55">
        <v>2000</v>
      </c>
      <c r="J620" s="55" t="str">
        <f t="shared" si="49"/>
        <v>VCXM1</v>
      </c>
    </row>
    <row r="621" spans="1:10" hidden="1">
      <c r="A621" s="79" t="s">
        <v>1288</v>
      </c>
      <c r="B621" s="84" t="s">
        <v>1289</v>
      </c>
      <c r="C621" s="79" t="s">
        <v>3140</v>
      </c>
      <c r="D621" s="80" t="s">
        <v>2451</v>
      </c>
      <c r="E621" s="2277" t="str">
        <f t="shared" si="50"/>
        <v>VC</v>
      </c>
      <c r="F621" s="55">
        <v>2000</v>
      </c>
      <c r="J621" s="55" t="str">
        <f t="shared" si="49"/>
        <v>VCXM2</v>
      </c>
    </row>
    <row r="622" spans="1:10" hidden="1">
      <c r="A622" s="79" t="s">
        <v>1290</v>
      </c>
      <c r="B622" s="84" t="s">
        <v>1291</v>
      </c>
      <c r="C622" s="79" t="s">
        <v>3141</v>
      </c>
      <c r="D622" s="80" t="s">
        <v>2451</v>
      </c>
      <c r="E622" s="2277" t="str">
        <f t="shared" si="50"/>
        <v>VC</v>
      </c>
      <c r="F622" s="55">
        <v>2000</v>
      </c>
      <c r="J622" s="55" t="str">
        <f t="shared" si="49"/>
        <v>VCXM3</v>
      </c>
    </row>
    <row r="623" spans="1:10" hidden="1">
      <c r="A623" s="79" t="s">
        <v>1292</v>
      </c>
      <c r="B623" s="84" t="s">
        <v>1293</v>
      </c>
      <c r="C623" s="79" t="s">
        <v>3142</v>
      </c>
      <c r="D623" s="80" t="s">
        <v>2451</v>
      </c>
      <c r="E623" s="2277" t="str">
        <f t="shared" si="50"/>
        <v>VC</v>
      </c>
      <c r="F623" s="55">
        <v>2000</v>
      </c>
      <c r="J623" s="55" t="str">
        <f t="shared" si="49"/>
        <v>VCXM4</v>
      </c>
    </row>
    <row r="624" spans="1:10" hidden="1">
      <c r="A624" s="79" t="s">
        <v>521</v>
      </c>
      <c r="B624" s="84" t="s">
        <v>810</v>
      </c>
      <c r="C624" s="79" t="s">
        <v>2593</v>
      </c>
      <c r="D624" s="80" t="s">
        <v>858</v>
      </c>
      <c r="E624" s="2277" t="str">
        <f t="shared" si="50"/>
        <v>VC</v>
      </c>
      <c r="F624" s="55">
        <v>2000</v>
      </c>
      <c r="J624" s="55" t="str">
        <f t="shared" si="49"/>
        <v>VCLD1</v>
      </c>
    </row>
    <row r="625" spans="1:10" hidden="1">
      <c r="A625" s="79" t="s">
        <v>1972</v>
      </c>
      <c r="B625" s="84" t="s">
        <v>1973</v>
      </c>
      <c r="C625" s="79" t="s">
        <v>3143</v>
      </c>
      <c r="D625" s="80" t="s">
        <v>858</v>
      </c>
      <c r="E625" s="2277" t="str">
        <f t="shared" si="50"/>
        <v>VC</v>
      </c>
      <c r="F625" s="55">
        <v>2000</v>
      </c>
      <c r="J625" s="55" t="str">
        <f t="shared" si="49"/>
        <v>VCLD2</v>
      </c>
    </row>
    <row r="626" spans="1:10" hidden="1">
      <c r="A626" s="79" t="s">
        <v>1974</v>
      </c>
      <c r="B626" s="84" t="s">
        <v>1975</v>
      </c>
      <c r="C626" s="79" t="s">
        <v>3144</v>
      </c>
      <c r="D626" s="80" t="s">
        <v>858</v>
      </c>
      <c r="E626" s="2277" t="str">
        <f t="shared" si="50"/>
        <v>VC</v>
      </c>
      <c r="F626" s="55">
        <v>2000</v>
      </c>
      <c r="J626" s="55" t="str">
        <f t="shared" si="49"/>
        <v>VCLD3</v>
      </c>
    </row>
    <row r="627" spans="1:10" hidden="1">
      <c r="A627" s="79" t="s">
        <v>1976</v>
      </c>
      <c r="B627" s="84" t="s">
        <v>1977</v>
      </c>
      <c r="C627" s="79" t="s">
        <v>3145</v>
      </c>
      <c r="D627" s="80" t="s">
        <v>858</v>
      </c>
      <c r="E627" s="2277" t="str">
        <f t="shared" si="50"/>
        <v>VC</v>
      </c>
      <c r="F627" s="55">
        <v>2000</v>
      </c>
      <c r="J627" s="55" t="str">
        <f t="shared" si="49"/>
        <v>VCLD4</v>
      </c>
    </row>
    <row r="628" spans="1:10" hidden="1">
      <c r="A628" s="79" t="s">
        <v>43</v>
      </c>
      <c r="B628" s="84" t="s">
        <v>44</v>
      </c>
      <c r="C628" s="79" t="s">
        <v>3146</v>
      </c>
      <c r="D628" s="80" t="s">
        <v>858</v>
      </c>
      <c r="E628" s="2277" t="str">
        <f t="shared" si="50"/>
        <v>VC</v>
      </c>
      <c r="F628" s="55">
        <v>2000</v>
      </c>
      <c r="J628" s="55" t="str">
        <f t="shared" si="49"/>
        <v>VCDAT1</v>
      </c>
    </row>
    <row r="629" spans="1:10" hidden="1">
      <c r="A629" s="79" t="s">
        <v>1988</v>
      </c>
      <c r="B629" s="84" t="s">
        <v>1989</v>
      </c>
      <c r="C629" s="79" t="s">
        <v>3147</v>
      </c>
      <c r="D629" s="80" t="s">
        <v>858</v>
      </c>
      <c r="E629" s="2277" t="str">
        <f t="shared" si="50"/>
        <v>VC</v>
      </c>
      <c r="F629" s="55">
        <v>2000</v>
      </c>
      <c r="J629" s="55" t="str">
        <f t="shared" si="49"/>
        <v>VCDAT2</v>
      </c>
    </row>
    <row r="630" spans="1:10" hidden="1">
      <c r="A630" s="79" t="s">
        <v>1401</v>
      </c>
      <c r="B630" s="84" t="s">
        <v>1402</v>
      </c>
      <c r="C630" s="79" t="s">
        <v>3148</v>
      </c>
      <c r="D630" s="80" t="s">
        <v>858</v>
      </c>
      <c r="E630" s="2277" t="str">
        <f t="shared" si="50"/>
        <v>VC</v>
      </c>
      <c r="F630" s="55">
        <v>2000</v>
      </c>
      <c r="J630" s="55" t="str">
        <f t="shared" si="49"/>
        <v>VCDAT3</v>
      </c>
    </row>
    <row r="631" spans="1:10" hidden="1">
      <c r="A631" s="79" t="s">
        <v>1776</v>
      </c>
      <c r="B631" s="84" t="s">
        <v>2009</v>
      </c>
      <c r="C631" s="79" t="s">
        <v>3149</v>
      </c>
      <c r="D631" s="80" t="s">
        <v>858</v>
      </c>
      <c r="E631" s="2277" t="str">
        <f t="shared" si="50"/>
        <v>VC</v>
      </c>
      <c r="F631" s="55">
        <v>2000</v>
      </c>
      <c r="J631" s="55" t="str">
        <f t="shared" si="49"/>
        <v>VCDAT4</v>
      </c>
    </row>
    <row r="632" spans="1:10" hidden="1">
      <c r="A632" s="79" t="s">
        <v>2010</v>
      </c>
      <c r="B632" s="84" t="s">
        <v>2011</v>
      </c>
      <c r="C632" s="79" t="s">
        <v>3150</v>
      </c>
      <c r="D632" s="80" t="s">
        <v>858</v>
      </c>
      <c r="E632" s="2277" t="str">
        <f t="shared" si="50"/>
        <v>VC</v>
      </c>
      <c r="F632" s="55">
        <v>2000</v>
      </c>
      <c r="J632" s="55" t="str">
        <f t="shared" si="49"/>
        <v>VCCAT1D</v>
      </c>
    </row>
    <row r="633" spans="1:10" hidden="1">
      <c r="A633" s="79" t="s">
        <v>45</v>
      </c>
      <c r="B633" s="84" t="s">
        <v>46</v>
      </c>
      <c r="C633" s="79" t="s">
        <v>3151</v>
      </c>
      <c r="D633" s="80" t="s">
        <v>858</v>
      </c>
      <c r="E633" s="2277" t="str">
        <f t="shared" si="50"/>
        <v>VC</v>
      </c>
      <c r="F633" s="55">
        <v>2000</v>
      </c>
      <c r="J633" s="55" t="str">
        <f t="shared" si="49"/>
        <v>VCCAT2d</v>
      </c>
    </row>
    <row r="634" spans="1:10" hidden="1">
      <c r="A634" s="79" t="s">
        <v>1709</v>
      </c>
      <c r="B634" s="84" t="s">
        <v>1710</v>
      </c>
      <c r="C634" s="79" t="s">
        <v>3152</v>
      </c>
      <c r="D634" s="80" t="s">
        <v>858</v>
      </c>
      <c r="E634" s="2277" t="str">
        <f t="shared" si="50"/>
        <v>VC</v>
      </c>
      <c r="F634" s="55">
        <v>2000</v>
      </c>
      <c r="J634" s="55" t="str">
        <f t="shared" si="49"/>
        <v>VCCAT3d</v>
      </c>
    </row>
    <row r="635" spans="1:10" hidden="1">
      <c r="A635" s="79" t="s">
        <v>1711</v>
      </c>
      <c r="B635" s="84" t="s">
        <v>1712</v>
      </c>
      <c r="C635" s="79" t="s">
        <v>3153</v>
      </c>
      <c r="D635" s="80" t="s">
        <v>858</v>
      </c>
      <c r="E635" s="2277" t="str">
        <f t="shared" si="50"/>
        <v>VC</v>
      </c>
      <c r="F635" s="55">
        <v>2000</v>
      </c>
      <c r="J635" s="55" t="str">
        <f t="shared" si="49"/>
        <v>VCCAT4d</v>
      </c>
    </row>
    <row r="636" spans="1:10" hidden="1">
      <c r="A636" s="79" t="s">
        <v>1616</v>
      </c>
      <c r="B636" s="84" t="s">
        <v>1119</v>
      </c>
      <c r="C636" s="79" t="s">
        <v>2592</v>
      </c>
      <c r="D636" s="80" t="s">
        <v>858</v>
      </c>
      <c r="E636" s="2277" t="str">
        <f t="shared" si="50"/>
        <v>VC</v>
      </c>
      <c r="F636" s="55">
        <v>2000</v>
      </c>
      <c r="J636" s="55" t="str">
        <f t="shared" si="49"/>
        <v>VCCAT1</v>
      </c>
    </row>
    <row r="637" spans="1:10" hidden="1">
      <c r="A637" s="79" t="s">
        <v>802</v>
      </c>
      <c r="B637" s="84" t="s">
        <v>1797</v>
      </c>
      <c r="C637" s="79" t="s">
        <v>3154</v>
      </c>
      <c r="D637" s="80" t="s">
        <v>858</v>
      </c>
      <c r="E637" s="2277" t="str">
        <f t="shared" si="50"/>
        <v>VC</v>
      </c>
      <c r="F637" s="55">
        <v>2000</v>
      </c>
      <c r="J637" s="55" t="str">
        <f t="shared" si="49"/>
        <v>VCCAT2</v>
      </c>
    </row>
    <row r="638" spans="1:10" hidden="1">
      <c r="A638" s="79" t="s">
        <v>1237</v>
      </c>
      <c r="B638" s="84" t="s">
        <v>1238</v>
      </c>
      <c r="C638" s="79" t="s">
        <v>3155</v>
      </c>
      <c r="D638" s="80" t="s">
        <v>858</v>
      </c>
      <c r="E638" s="2277" t="str">
        <f t="shared" si="50"/>
        <v>VC</v>
      </c>
      <c r="F638" s="55">
        <v>2000</v>
      </c>
      <c r="J638" s="55" t="str">
        <f t="shared" si="49"/>
        <v>VCCAT3</v>
      </c>
    </row>
    <row r="639" spans="1:10" hidden="1">
      <c r="A639" s="79" t="s">
        <v>1239</v>
      </c>
      <c r="B639" s="84" t="s">
        <v>1209</v>
      </c>
      <c r="C639" s="79" t="s">
        <v>3156</v>
      </c>
      <c r="D639" s="80" t="s">
        <v>858</v>
      </c>
      <c r="E639" s="2277" t="str">
        <f t="shared" si="50"/>
        <v>VC</v>
      </c>
      <c r="F639" s="55">
        <v>2000</v>
      </c>
      <c r="J639" s="55" t="str">
        <f t="shared" si="49"/>
        <v>VCCAT4</v>
      </c>
    </row>
    <row r="640" spans="1:10" hidden="1">
      <c r="A640" s="79" t="s">
        <v>1210</v>
      </c>
      <c r="B640" s="84" t="s">
        <v>1211</v>
      </c>
      <c r="C640" s="79" t="s">
        <v>2590</v>
      </c>
      <c r="D640" s="80" t="s">
        <v>2451</v>
      </c>
      <c r="E640" s="2277" t="str">
        <f t="shared" si="50"/>
        <v>VC</v>
      </c>
      <c r="F640" s="55">
        <v>2000</v>
      </c>
      <c r="J640" s="55" t="str">
        <f t="shared" si="49"/>
        <v>VCFE1</v>
      </c>
    </row>
    <row r="641" spans="1:10" hidden="1">
      <c r="A641" s="79" t="s">
        <v>1542</v>
      </c>
      <c r="B641" s="84" t="s">
        <v>1543</v>
      </c>
      <c r="C641" s="79" t="s">
        <v>3157</v>
      </c>
      <c r="D641" s="80" t="s">
        <v>2451</v>
      </c>
      <c r="E641" s="2277" t="str">
        <f t="shared" si="50"/>
        <v>VC</v>
      </c>
      <c r="F641" s="55">
        <v>2000</v>
      </c>
      <c r="J641" s="55" t="str">
        <f t="shared" si="49"/>
        <v>VCFE2</v>
      </c>
    </row>
    <row r="642" spans="1:10" hidden="1">
      <c r="A642" s="79" t="s">
        <v>1548</v>
      </c>
      <c r="B642" s="84" t="s">
        <v>1549</v>
      </c>
      <c r="C642" s="79" t="s">
        <v>3158</v>
      </c>
      <c r="D642" s="80" t="s">
        <v>2451</v>
      </c>
      <c r="E642" s="2277" t="str">
        <f t="shared" si="50"/>
        <v>VC</v>
      </c>
      <c r="F642" s="55">
        <v>2000</v>
      </c>
      <c r="J642" s="55" t="str">
        <f t="shared" si="49"/>
        <v>VCFE3</v>
      </c>
    </row>
    <row r="643" spans="1:10" hidden="1">
      <c r="A643" s="79" t="s">
        <v>1550</v>
      </c>
      <c r="B643" s="84" t="s">
        <v>1551</v>
      </c>
      <c r="C643" s="79" t="s">
        <v>3159</v>
      </c>
      <c r="D643" s="80" t="s">
        <v>2451</v>
      </c>
      <c r="E643" s="2277" t="str">
        <f t="shared" si="50"/>
        <v>VC</v>
      </c>
      <c r="F643" s="55">
        <v>2000</v>
      </c>
      <c r="J643" s="55" t="str">
        <f t="shared" si="49"/>
        <v>VCFE4</v>
      </c>
    </row>
    <row r="644" spans="1:10" hidden="1">
      <c r="A644" s="79" t="s">
        <v>1581</v>
      </c>
      <c r="B644" s="84" t="s">
        <v>1983</v>
      </c>
      <c r="C644" s="79" t="s">
        <v>3160</v>
      </c>
      <c r="D644" s="80" t="s">
        <v>2451</v>
      </c>
      <c r="E644" s="2277" t="str">
        <f t="shared" si="50"/>
        <v>BO</v>
      </c>
      <c r="F644" s="55">
        <v>2000</v>
      </c>
      <c r="J644" s="55" t="str">
        <f t="shared" si="49"/>
        <v>BOCDC</v>
      </c>
    </row>
    <row r="645" spans="1:10" hidden="1">
      <c r="A645" s="79" t="s">
        <v>765</v>
      </c>
      <c r="B645" s="84" t="s">
        <v>766</v>
      </c>
      <c r="C645" s="79" t="s">
        <v>3161</v>
      </c>
      <c r="D645" s="80" t="s">
        <v>2451</v>
      </c>
      <c r="E645" s="2277" t="str">
        <f t="shared" si="50"/>
        <v>BO</v>
      </c>
      <c r="F645" s="55">
        <v>2000</v>
      </c>
      <c r="J645" s="55" t="str">
        <f t="shared" si="49"/>
        <v>BOCNX</v>
      </c>
    </row>
    <row r="646" spans="1:10" hidden="1">
      <c r="A646" s="79" t="s">
        <v>1479</v>
      </c>
      <c r="B646" s="84" t="s">
        <v>1480</v>
      </c>
      <c r="C646" s="79" t="s">
        <v>3162</v>
      </c>
      <c r="D646" s="80" t="s">
        <v>2451</v>
      </c>
      <c r="E646" s="2277" t="str">
        <f t="shared" si="50"/>
        <v>BO</v>
      </c>
      <c r="F646" s="55">
        <v>2000</v>
      </c>
      <c r="J646" s="55" t="str">
        <f t="shared" si="49"/>
        <v>BOCTR</v>
      </c>
    </row>
    <row r="647" spans="1:10" hidden="1">
      <c r="A647" s="79" t="s">
        <v>217</v>
      </c>
      <c r="B647" s="84" t="s">
        <v>218</v>
      </c>
      <c r="C647" s="79" t="s">
        <v>2450</v>
      </c>
      <c r="D647" s="80" t="s">
        <v>2451</v>
      </c>
      <c r="E647" s="2277" t="str">
        <f t="shared" si="50"/>
        <v>BO</v>
      </c>
      <c r="F647" s="55">
        <v>2000</v>
      </c>
      <c r="J647" s="55" t="str">
        <f t="shared" si="49"/>
        <v>BOCX</v>
      </c>
    </row>
    <row r="648" spans="1:10" hidden="1">
      <c r="A648" s="79" t="s">
        <v>1481</v>
      </c>
      <c r="B648" s="84" t="s">
        <v>1229</v>
      </c>
      <c r="C648" s="79" t="s">
        <v>3163</v>
      </c>
      <c r="D648" s="80" t="s">
        <v>2451</v>
      </c>
      <c r="E648" s="2277" t="str">
        <f t="shared" si="50"/>
        <v>BO</v>
      </c>
      <c r="F648" s="55">
        <v>2000</v>
      </c>
      <c r="J648" s="55" t="str">
        <f t="shared" si="49"/>
        <v>BOCD</v>
      </c>
    </row>
    <row r="649" spans="1:10" hidden="1">
      <c r="A649" s="79" t="s">
        <v>2137</v>
      </c>
      <c r="B649" s="84" t="s">
        <v>1059</v>
      </c>
      <c r="C649" s="79" t="s">
        <v>3164</v>
      </c>
      <c r="D649" s="80" t="s">
        <v>2451</v>
      </c>
      <c r="E649" s="2277" t="str">
        <f t="shared" si="50"/>
        <v>BO</v>
      </c>
      <c r="F649" s="55">
        <v>2000</v>
      </c>
      <c r="J649" s="55" t="str">
        <f t="shared" si="49"/>
        <v>BOCPK</v>
      </c>
    </row>
    <row r="650" spans="1:10" hidden="1">
      <c r="A650" s="79" t="s">
        <v>815</v>
      </c>
      <c r="B650" s="84" t="s">
        <v>816</v>
      </c>
      <c r="C650" s="79" t="s">
        <v>3165</v>
      </c>
      <c r="D650" s="80" t="s">
        <v>2451</v>
      </c>
      <c r="E650" s="2277" t="str">
        <f t="shared" si="50"/>
        <v>BO</v>
      </c>
      <c r="F650" s="55">
        <v>2000</v>
      </c>
      <c r="J650" s="55" t="str">
        <f t="shared" si="49"/>
        <v>BOCS</v>
      </c>
    </row>
    <row r="651" spans="1:10" hidden="1">
      <c r="A651" s="79" t="s">
        <v>817</v>
      </c>
      <c r="B651" s="84" t="s">
        <v>317</v>
      </c>
      <c r="C651" s="79" t="s">
        <v>3166</v>
      </c>
      <c r="D651" s="80" t="s">
        <v>2451</v>
      </c>
      <c r="E651" s="2277" t="str">
        <f t="shared" si="50"/>
        <v>BO</v>
      </c>
      <c r="F651" s="55">
        <v>2000</v>
      </c>
      <c r="J651" s="55" t="str">
        <f t="shared" ref="J651:J714" si="51">A651</f>
        <v>BOCTH</v>
      </c>
    </row>
    <row r="652" spans="1:10" hidden="1">
      <c r="A652" s="79" t="s">
        <v>1298</v>
      </c>
      <c r="B652" s="84" t="s">
        <v>1299</v>
      </c>
      <c r="C652" s="79" t="s">
        <v>3167</v>
      </c>
      <c r="D652" s="80" t="s">
        <v>2451</v>
      </c>
      <c r="E652" s="2277" t="str">
        <f t="shared" si="50"/>
        <v>BO</v>
      </c>
      <c r="F652" s="55">
        <v>2000</v>
      </c>
      <c r="J652" s="55" t="str">
        <f t="shared" si="51"/>
        <v>BOCXI</v>
      </c>
    </row>
    <row r="653" spans="1:10" hidden="1">
      <c r="A653" s="79" t="s">
        <v>133</v>
      </c>
      <c r="B653" s="84" t="s">
        <v>134</v>
      </c>
      <c r="C653" s="79" t="s">
        <v>3168</v>
      </c>
      <c r="D653" s="80" t="s">
        <v>858</v>
      </c>
      <c r="E653" s="2277" t="str">
        <f t="shared" si="50"/>
        <v>BO</v>
      </c>
      <c r="F653" s="55">
        <v>2000</v>
      </c>
      <c r="J653" s="55" t="str">
        <f t="shared" si="51"/>
        <v>BOCCAT</v>
      </c>
    </row>
    <row r="654" spans="1:10" hidden="1">
      <c r="A654" s="79" t="s">
        <v>135</v>
      </c>
      <c r="B654" s="84" t="s">
        <v>725</v>
      </c>
      <c r="C654" s="79" t="s">
        <v>3169</v>
      </c>
      <c r="D654" s="80" t="s">
        <v>858</v>
      </c>
      <c r="E654" s="2277" t="str">
        <f t="shared" si="50"/>
        <v>BO</v>
      </c>
      <c r="F654" s="55">
        <v>2000</v>
      </c>
      <c r="J654" s="55" t="str">
        <f t="shared" si="51"/>
        <v>BOCDA</v>
      </c>
    </row>
    <row r="655" spans="1:10" hidden="1">
      <c r="A655" s="79" t="s">
        <v>2113</v>
      </c>
      <c r="B655" s="84" t="s">
        <v>1099</v>
      </c>
      <c r="C655" s="79" t="s">
        <v>3170</v>
      </c>
      <c r="D655" s="80" t="s">
        <v>858</v>
      </c>
      <c r="E655" s="2277" t="str">
        <f t="shared" si="50"/>
        <v>BO</v>
      </c>
      <c r="F655" s="55">
        <v>2000</v>
      </c>
      <c r="J655" s="55" t="str">
        <f t="shared" si="51"/>
        <v>BOBT</v>
      </c>
    </row>
    <row r="656" spans="1:10" hidden="1">
      <c r="A656" s="79" t="s">
        <v>1582</v>
      </c>
      <c r="B656" s="84" t="s">
        <v>726</v>
      </c>
      <c r="C656" s="79" t="s">
        <v>3171</v>
      </c>
      <c r="D656" s="80" t="s">
        <v>2601</v>
      </c>
      <c r="E656" s="2277" t="str">
        <f t="shared" si="50"/>
        <v>BO</v>
      </c>
      <c r="F656" s="55">
        <v>2000</v>
      </c>
      <c r="J656" s="55" t="str">
        <f t="shared" si="51"/>
        <v>BOCCT5</v>
      </c>
    </row>
    <row r="657" spans="1:10" hidden="1">
      <c r="A657" s="79" t="s">
        <v>1522</v>
      </c>
      <c r="B657" s="84" t="s">
        <v>266</v>
      </c>
      <c r="C657" s="79" t="s">
        <v>3172</v>
      </c>
      <c r="D657" s="80" t="s">
        <v>2541</v>
      </c>
      <c r="E657" s="2277" t="str">
        <f t="shared" si="50"/>
        <v>KT</v>
      </c>
      <c r="F657" s="55">
        <v>2000</v>
      </c>
      <c r="J657" s="55" t="str">
        <f t="shared" si="51"/>
        <v>KTD</v>
      </c>
    </row>
    <row r="658" spans="1:10" hidden="1">
      <c r="A658" s="79" t="s">
        <v>389</v>
      </c>
      <c r="B658" s="84" t="s">
        <v>1499</v>
      </c>
      <c r="C658" s="79" t="s">
        <v>3173</v>
      </c>
      <c r="D658" s="80" t="s">
        <v>2541</v>
      </c>
      <c r="E658" s="2277" t="str">
        <f t="shared" si="50"/>
        <v>KT</v>
      </c>
      <c r="F658" s="55">
        <v>2000</v>
      </c>
      <c r="J658" s="55" t="str">
        <f t="shared" si="51"/>
        <v>KTDTBA</v>
      </c>
    </row>
    <row r="659" spans="1:10" hidden="1">
      <c r="A659" s="79" t="s">
        <v>1106</v>
      </c>
      <c r="B659" s="1795" t="s">
        <v>1769</v>
      </c>
      <c r="C659" s="79" t="s">
        <v>4361</v>
      </c>
      <c r="D659" s="80" t="s">
        <v>2286</v>
      </c>
      <c r="E659" s="2277" t="str">
        <f t="shared" si="50"/>
        <v>DC</v>
      </c>
      <c r="F659" s="55">
        <v>2000</v>
      </c>
      <c r="J659" s="55" t="str">
        <f t="shared" si="51"/>
        <v>DCTD3</v>
      </c>
    </row>
    <row r="660" spans="1:10" hidden="1">
      <c r="A660" s="79" t="s">
        <v>61</v>
      </c>
      <c r="B660" s="84" t="s">
        <v>1500</v>
      </c>
      <c r="C660" s="79" t="s">
        <v>3174</v>
      </c>
      <c r="D660" s="80" t="s">
        <v>2286</v>
      </c>
      <c r="E660" s="2277" t="str">
        <f t="shared" si="50"/>
        <v>DC</v>
      </c>
      <c r="F660" s="55">
        <v>2000</v>
      </c>
      <c r="J660" s="55" t="str">
        <f t="shared" si="51"/>
        <v>DCTD4</v>
      </c>
    </row>
    <row r="661" spans="1:10" hidden="1">
      <c r="A661" s="79" t="s">
        <v>1443</v>
      </c>
      <c r="B661" s="84" t="s">
        <v>1715</v>
      </c>
      <c r="C661" s="79" t="s">
        <v>3175</v>
      </c>
      <c r="D661" s="80" t="s">
        <v>2286</v>
      </c>
      <c r="E661" s="2277" t="str">
        <f t="shared" si="50"/>
        <v>DC</v>
      </c>
      <c r="F661" s="55">
        <v>2000</v>
      </c>
      <c r="J661" s="55" t="str">
        <f t="shared" si="51"/>
        <v>DCTDTBA</v>
      </c>
    </row>
    <row r="662" spans="1:10" hidden="1">
      <c r="A662" s="79" t="s">
        <v>1501</v>
      </c>
      <c r="B662" s="84" t="s">
        <v>1502</v>
      </c>
      <c r="C662" s="79" t="s">
        <v>3176</v>
      </c>
      <c r="D662" s="80" t="s">
        <v>2842</v>
      </c>
      <c r="E662" s="2277" t="str">
        <f t="shared" si="50"/>
        <v>C8</v>
      </c>
      <c r="F662" s="55">
        <v>2000</v>
      </c>
      <c r="J662" s="55" t="str">
        <f t="shared" si="51"/>
        <v>C8</v>
      </c>
    </row>
    <row r="663" spans="1:10" hidden="1">
      <c r="A663" s="79" t="s">
        <v>1821</v>
      </c>
      <c r="B663" s="84" t="s">
        <v>392</v>
      </c>
      <c r="C663" s="79" t="s">
        <v>3177</v>
      </c>
      <c r="D663" s="80" t="s">
        <v>2842</v>
      </c>
      <c r="E663" s="2277" t="str">
        <f t="shared" si="50"/>
        <v>C1</v>
      </c>
      <c r="F663" s="55">
        <v>2000</v>
      </c>
      <c r="J663" s="55" t="str">
        <f t="shared" si="51"/>
        <v>C10</v>
      </c>
    </row>
    <row r="664" spans="1:10" hidden="1">
      <c r="A664" s="79" t="s">
        <v>456</v>
      </c>
      <c r="B664" s="84" t="s">
        <v>136</v>
      </c>
      <c r="C664" s="79" t="s">
        <v>3178</v>
      </c>
      <c r="D664" s="80" t="s">
        <v>2842</v>
      </c>
      <c r="E664" s="2277" t="str">
        <f t="shared" si="50"/>
        <v>C1</v>
      </c>
      <c r="F664" s="55">
        <v>2000</v>
      </c>
      <c r="J664" s="55" t="str">
        <f t="shared" si="51"/>
        <v>C105</v>
      </c>
    </row>
    <row r="665" spans="1:10" hidden="1">
      <c r="A665" s="79" t="s">
        <v>1619</v>
      </c>
      <c r="B665" s="84" t="s">
        <v>136</v>
      </c>
      <c r="C665" s="79" t="s">
        <v>3179</v>
      </c>
      <c r="D665" s="80" t="s">
        <v>2842</v>
      </c>
      <c r="E665" s="2277" t="str">
        <f t="shared" si="50"/>
        <v>C1</v>
      </c>
      <c r="F665" s="55">
        <v>2000</v>
      </c>
      <c r="J665" s="55" t="str">
        <f t="shared" si="51"/>
        <v>C12</v>
      </c>
    </row>
    <row r="666" spans="1:10" hidden="1">
      <c r="A666" s="1779" t="s">
        <v>1017</v>
      </c>
      <c r="B666" s="84" t="s">
        <v>684</v>
      </c>
      <c r="C666" s="79" t="s">
        <v>3180</v>
      </c>
      <c r="D666" s="80" t="s">
        <v>2842</v>
      </c>
      <c r="E666" s="2277" t="str">
        <f t="shared" si="50"/>
        <v>C1</v>
      </c>
      <c r="F666" s="55">
        <v>2000</v>
      </c>
      <c r="J666" s="55" t="str">
        <f t="shared" si="51"/>
        <v>C14</v>
      </c>
    </row>
    <row r="667" spans="1:10" hidden="1">
      <c r="A667" s="79" t="s">
        <v>2258</v>
      </c>
      <c r="B667" s="84" t="s">
        <v>2259</v>
      </c>
      <c r="C667" s="79" t="s">
        <v>3181</v>
      </c>
      <c r="D667" s="80" t="s">
        <v>2842</v>
      </c>
      <c r="E667" s="2277" t="str">
        <f t="shared" si="50"/>
        <v>C2</v>
      </c>
      <c r="F667" s="55">
        <v>2000</v>
      </c>
      <c r="J667" s="55" t="str">
        <f t="shared" si="51"/>
        <v>C20</v>
      </c>
    </row>
    <row r="668" spans="1:10" hidden="1">
      <c r="A668" s="79" t="s">
        <v>1604</v>
      </c>
      <c r="B668" s="1795" t="s">
        <v>2104</v>
      </c>
      <c r="C668" s="79" t="s">
        <v>3182</v>
      </c>
      <c r="D668" s="80" t="s">
        <v>2842</v>
      </c>
      <c r="E668" s="2277" t="str">
        <f t="shared" si="50"/>
        <v>C8</v>
      </c>
      <c r="F668" s="55">
        <v>2000</v>
      </c>
      <c r="J668" s="55" t="str">
        <f t="shared" si="51"/>
        <v>C8m</v>
      </c>
    </row>
    <row r="669" spans="1:10" hidden="1">
      <c r="A669" s="79" t="s">
        <v>2260</v>
      </c>
      <c r="B669" s="1795" t="s">
        <v>1770</v>
      </c>
      <c r="C669" s="79" t="s">
        <v>3183</v>
      </c>
      <c r="D669" s="80" t="s">
        <v>2842</v>
      </c>
      <c r="E669" s="2277" t="str">
        <f t="shared" si="50"/>
        <v>C1</v>
      </c>
      <c r="F669" s="55">
        <v>2000</v>
      </c>
      <c r="J669" s="55" t="str">
        <f t="shared" si="51"/>
        <v>C10m</v>
      </c>
    </row>
    <row r="670" spans="1:10" hidden="1">
      <c r="A670" s="79" t="s">
        <v>1617</v>
      </c>
      <c r="B670" s="1795" t="s">
        <v>1771</v>
      </c>
      <c r="C670" s="79" t="s">
        <v>3184</v>
      </c>
      <c r="D670" s="80" t="s">
        <v>2842</v>
      </c>
      <c r="E670" s="2277" t="str">
        <f t="shared" si="50"/>
        <v>C1</v>
      </c>
      <c r="F670" s="55">
        <v>2000</v>
      </c>
      <c r="J670" s="55" t="str">
        <f t="shared" si="51"/>
        <v>C105m</v>
      </c>
    </row>
    <row r="671" spans="1:10" hidden="1">
      <c r="A671" s="79" t="s">
        <v>2177</v>
      </c>
      <c r="B671" s="84" t="s">
        <v>1771</v>
      </c>
      <c r="C671" s="79" t="s">
        <v>3185</v>
      </c>
      <c r="D671" s="80" t="s">
        <v>2842</v>
      </c>
      <c r="E671" s="2277" t="str">
        <f t="shared" si="50"/>
        <v>C1</v>
      </c>
      <c r="F671" s="55">
        <v>2000</v>
      </c>
      <c r="J671" s="55" t="str">
        <f t="shared" si="51"/>
        <v>C12m</v>
      </c>
    </row>
    <row r="672" spans="1:10" hidden="1">
      <c r="A672" s="1779" t="s">
        <v>1665</v>
      </c>
      <c r="B672" s="84" t="s">
        <v>1666</v>
      </c>
      <c r="C672" s="79" t="s">
        <v>3186</v>
      </c>
      <c r="D672" s="80" t="s">
        <v>2842</v>
      </c>
      <c r="E672" s="2277" t="str">
        <f t="shared" si="50"/>
        <v>C1</v>
      </c>
      <c r="F672" s="55">
        <v>2000</v>
      </c>
      <c r="J672" s="55" t="str">
        <f t="shared" si="51"/>
        <v>C14m</v>
      </c>
    </row>
    <row r="673" spans="1:10" hidden="1">
      <c r="A673" s="79" t="s">
        <v>1667</v>
      </c>
      <c r="B673" s="84" t="s">
        <v>1668</v>
      </c>
      <c r="C673" s="79" t="s">
        <v>3187</v>
      </c>
      <c r="D673" s="80" t="s">
        <v>2842</v>
      </c>
      <c r="E673" s="2277" t="str">
        <f t="shared" ref="E673:E736" si="52">LEFT(A673,2)</f>
        <v>C2</v>
      </c>
      <c r="F673" s="55">
        <v>2000</v>
      </c>
      <c r="J673" s="55" t="str">
        <f t="shared" si="51"/>
        <v>C20m</v>
      </c>
    </row>
    <row r="674" spans="1:10" hidden="1">
      <c r="A674" s="79" t="s">
        <v>2134</v>
      </c>
      <c r="B674" s="84" t="s">
        <v>2135</v>
      </c>
      <c r="C674" s="79" t="s">
        <v>3188</v>
      </c>
      <c r="D674" s="80" t="s">
        <v>2842</v>
      </c>
      <c r="E674" s="2277" t="str">
        <f t="shared" si="52"/>
        <v>C1</v>
      </c>
      <c r="F674" s="55">
        <v>2000</v>
      </c>
      <c r="J674" s="55" t="str">
        <f t="shared" si="51"/>
        <v>C12m-TBA</v>
      </c>
    </row>
    <row r="675" spans="1:10" hidden="1">
      <c r="A675" s="79" t="s">
        <v>644</v>
      </c>
      <c r="B675" s="84" t="s">
        <v>2135</v>
      </c>
      <c r="C675" s="79" t="s">
        <v>3189</v>
      </c>
      <c r="D675" s="80" t="s">
        <v>2842</v>
      </c>
      <c r="E675" s="2277" t="str">
        <f t="shared" si="52"/>
        <v>C1</v>
      </c>
      <c r="F675" s="55">
        <v>2000</v>
      </c>
      <c r="J675" s="55" t="str">
        <f t="shared" si="51"/>
        <v>C10m-TBA</v>
      </c>
    </row>
    <row r="676" spans="1:10" hidden="1">
      <c r="A676" s="79" t="s">
        <v>2001</v>
      </c>
      <c r="B676" s="84" t="s">
        <v>4488</v>
      </c>
      <c r="C676" s="81" t="s">
        <v>3190</v>
      </c>
      <c r="D676" s="80" t="s">
        <v>2448</v>
      </c>
      <c r="E676" s="2277" t="str">
        <f t="shared" si="52"/>
        <v>LX</v>
      </c>
      <c r="F676" s="55">
        <v>2000</v>
      </c>
      <c r="J676" s="55" t="str">
        <f t="shared" si="51"/>
        <v>LXIT</v>
      </c>
    </row>
    <row r="677" spans="1:10" hidden="1">
      <c r="A677" s="79" t="s">
        <v>516</v>
      </c>
      <c r="B677" s="84" t="s">
        <v>1552</v>
      </c>
      <c r="C677" s="81" t="s">
        <v>3191</v>
      </c>
      <c r="D677" s="80" t="s">
        <v>2448</v>
      </c>
      <c r="E677" s="2277" t="str">
        <f t="shared" si="52"/>
        <v>LX</v>
      </c>
      <c r="F677" s="55">
        <v>2000</v>
      </c>
      <c r="J677" s="55" t="str">
        <f t="shared" si="51"/>
        <v>LXITL</v>
      </c>
    </row>
    <row r="678" spans="1:10" hidden="1">
      <c r="A678" s="79" t="s">
        <v>2013</v>
      </c>
      <c r="B678" s="84" t="s">
        <v>820</v>
      </c>
      <c r="C678" s="81" t="s">
        <v>3192</v>
      </c>
      <c r="D678" s="80" t="s">
        <v>2448</v>
      </c>
      <c r="E678" s="2277" t="str">
        <f t="shared" si="52"/>
        <v>LX</v>
      </c>
      <c r="F678" s="55">
        <v>2000</v>
      </c>
      <c r="J678" s="55" t="str">
        <f t="shared" si="51"/>
        <v>LXINN</v>
      </c>
    </row>
    <row r="679" spans="1:10" hidden="1">
      <c r="A679" s="79" t="s">
        <v>2004</v>
      </c>
      <c r="B679" s="84" t="s">
        <v>1553</v>
      </c>
      <c r="C679" s="81" t="s">
        <v>3193</v>
      </c>
      <c r="D679" s="80" t="s">
        <v>2448</v>
      </c>
      <c r="E679" s="2277" t="str">
        <f t="shared" si="52"/>
        <v>LX</v>
      </c>
      <c r="F679" s="55">
        <v>2000</v>
      </c>
      <c r="J679" s="55" t="str">
        <f t="shared" si="51"/>
        <v>LXIN</v>
      </c>
    </row>
    <row r="680" spans="1:10" hidden="1">
      <c r="A680" s="79" t="s">
        <v>517</v>
      </c>
      <c r="B680" s="84" t="s">
        <v>1878</v>
      </c>
      <c r="C680" s="81" t="s">
        <v>3194</v>
      </c>
      <c r="D680" s="80" t="s">
        <v>2448</v>
      </c>
      <c r="E680" s="2277" t="str">
        <f t="shared" si="52"/>
        <v>LX</v>
      </c>
      <c r="F680" s="55">
        <v>2000</v>
      </c>
      <c r="J680" s="55" t="str">
        <f t="shared" si="51"/>
        <v>LXINL</v>
      </c>
    </row>
    <row r="681" spans="1:10" hidden="1">
      <c r="A681" s="79" t="s">
        <v>1885</v>
      </c>
      <c r="B681" s="84" t="s">
        <v>1887</v>
      </c>
      <c r="C681" s="81" t="s">
        <v>3195</v>
      </c>
      <c r="D681" s="80" t="s">
        <v>2448</v>
      </c>
      <c r="E681" s="2277" t="str">
        <f t="shared" si="52"/>
        <v>LX</v>
      </c>
      <c r="F681" s="55">
        <v>2000</v>
      </c>
      <c r="J681" s="55" t="str">
        <f t="shared" si="51"/>
        <v>LXID</v>
      </c>
    </row>
    <row r="682" spans="1:10" hidden="1">
      <c r="A682" s="79" t="s">
        <v>1886</v>
      </c>
      <c r="B682" s="84" t="s">
        <v>1888</v>
      </c>
      <c r="C682" s="81" t="s">
        <v>3196</v>
      </c>
      <c r="D682" s="80" t="s">
        <v>2448</v>
      </c>
      <c r="E682" s="2277" t="str">
        <f t="shared" si="52"/>
        <v>LX</v>
      </c>
      <c r="F682" s="55">
        <v>2000</v>
      </c>
      <c r="J682" s="55" t="str">
        <f t="shared" si="51"/>
        <v>LXIDL</v>
      </c>
    </row>
    <row r="683" spans="1:10" hidden="1">
      <c r="A683" s="79" t="s">
        <v>2250</v>
      </c>
      <c r="B683" s="84" t="s">
        <v>1766</v>
      </c>
      <c r="C683" s="81" t="s">
        <v>2449</v>
      </c>
      <c r="D683" s="80" t="s">
        <v>2448</v>
      </c>
      <c r="E683" s="2277" t="str">
        <f t="shared" si="52"/>
        <v>LX</v>
      </c>
      <c r="F683" s="55">
        <v>2000</v>
      </c>
      <c r="J683" s="55" t="str">
        <f t="shared" si="51"/>
        <v>LXHN1</v>
      </c>
    </row>
    <row r="684" spans="1:10" hidden="1">
      <c r="A684" s="79" t="s">
        <v>969</v>
      </c>
      <c r="B684" s="84" t="s">
        <v>1082</v>
      </c>
      <c r="C684" s="81" t="s">
        <v>3197</v>
      </c>
      <c r="D684" s="80" t="s">
        <v>2448</v>
      </c>
      <c r="E684" s="2277" t="str">
        <f t="shared" si="52"/>
        <v>LX</v>
      </c>
      <c r="F684" s="55">
        <v>2000</v>
      </c>
      <c r="J684" s="55" t="str">
        <f t="shared" si="51"/>
        <v>LXHN2</v>
      </c>
    </row>
    <row r="685" spans="1:10" hidden="1">
      <c r="A685" s="79" t="s">
        <v>680</v>
      </c>
      <c r="B685" s="84" t="s">
        <v>1554</v>
      </c>
      <c r="C685" s="81" t="s">
        <v>3198</v>
      </c>
      <c r="D685" s="80" t="s">
        <v>2448</v>
      </c>
      <c r="E685" s="2277" t="str">
        <f t="shared" si="52"/>
        <v>LX</v>
      </c>
      <c r="F685" s="55">
        <v>2000</v>
      </c>
      <c r="J685" s="55" t="str">
        <f t="shared" si="51"/>
        <v>LXHN3</v>
      </c>
    </row>
    <row r="686" spans="1:10" hidden="1">
      <c r="A686" s="79" t="s">
        <v>1594</v>
      </c>
      <c r="B686" s="84" t="s">
        <v>1595</v>
      </c>
      <c r="C686" s="81" t="s">
        <v>3199</v>
      </c>
      <c r="D686" s="80" t="s">
        <v>2566</v>
      </c>
      <c r="E686" s="2277" t="str">
        <f t="shared" si="52"/>
        <v>LD</v>
      </c>
      <c r="F686" s="55">
        <v>2000</v>
      </c>
      <c r="J686" s="55" t="str">
        <f t="shared" si="51"/>
        <v>LDAUCAP70</v>
      </c>
    </row>
    <row r="687" spans="1:10" hidden="1">
      <c r="A687" s="79" t="s">
        <v>1593</v>
      </c>
      <c r="B687" s="84" t="s">
        <v>40</v>
      </c>
      <c r="C687" s="81" t="s">
        <v>3200</v>
      </c>
      <c r="D687" s="80" t="s">
        <v>2566</v>
      </c>
      <c r="E687" s="2277" t="str">
        <f t="shared" si="52"/>
        <v>LD</v>
      </c>
      <c r="F687" s="55">
        <v>2000</v>
      </c>
      <c r="J687" s="55" t="str">
        <f t="shared" si="51"/>
        <v>LDAUCAP120</v>
      </c>
    </row>
    <row r="688" spans="1:10" hidden="1">
      <c r="A688" s="79" t="s">
        <v>39</v>
      </c>
      <c r="B688" s="84" t="s">
        <v>944</v>
      </c>
      <c r="C688" s="81" t="s">
        <v>3201</v>
      </c>
      <c r="D688" s="80" t="s">
        <v>2566</v>
      </c>
      <c r="E688" s="2277" t="str">
        <f t="shared" si="52"/>
        <v>LD</v>
      </c>
      <c r="F688" s="55">
        <v>2000</v>
      </c>
      <c r="J688" s="55" t="str">
        <f t="shared" si="51"/>
        <v>LDAUCAP185</v>
      </c>
    </row>
    <row r="689" spans="1:10" hidden="1">
      <c r="A689" s="79" t="s">
        <v>307</v>
      </c>
      <c r="B689" s="84" t="s">
        <v>551</v>
      </c>
      <c r="C689" s="81" t="s">
        <v>3202</v>
      </c>
      <c r="D689" s="80" t="s">
        <v>2566</v>
      </c>
      <c r="E689" s="2277" t="str">
        <f t="shared" si="52"/>
        <v>LD</v>
      </c>
      <c r="F689" s="55">
        <v>2000</v>
      </c>
      <c r="J689" s="55" t="str">
        <f t="shared" si="51"/>
        <v>LDAUCAP70HT</v>
      </c>
    </row>
    <row r="690" spans="1:10" hidden="1">
      <c r="A690" s="79" t="s">
        <v>308</v>
      </c>
      <c r="B690" s="84" t="s">
        <v>1784</v>
      </c>
      <c r="C690" s="81" t="s">
        <v>3203</v>
      </c>
      <c r="D690" s="80" t="s">
        <v>2566</v>
      </c>
      <c r="E690" s="2277" t="str">
        <f t="shared" si="52"/>
        <v>LD</v>
      </c>
      <c r="F690" s="55">
        <v>2000</v>
      </c>
      <c r="J690" s="55" t="str">
        <f t="shared" si="51"/>
        <v>LDAUCAP120HT</v>
      </c>
    </row>
    <row r="691" spans="1:10" hidden="1">
      <c r="A691" s="79" t="s">
        <v>309</v>
      </c>
      <c r="B691" s="84" t="s">
        <v>148</v>
      </c>
      <c r="C691" s="81" t="s">
        <v>3204</v>
      </c>
      <c r="D691" s="80" t="s">
        <v>2566</v>
      </c>
      <c r="E691" s="2277" t="str">
        <f t="shared" si="52"/>
        <v>LD</v>
      </c>
      <c r="F691" s="55">
        <v>2000</v>
      </c>
      <c r="J691" s="55" t="str">
        <f t="shared" si="51"/>
        <v>LDAUCAP185HT</v>
      </c>
    </row>
    <row r="692" spans="1:10" hidden="1">
      <c r="A692" s="79" t="s">
        <v>681</v>
      </c>
      <c r="B692" s="84" t="s">
        <v>682</v>
      </c>
      <c r="C692" s="81" t="s">
        <v>2988</v>
      </c>
      <c r="D692" s="80" t="s">
        <v>2566</v>
      </c>
      <c r="E692" s="2277" t="str">
        <f t="shared" si="52"/>
        <v>XL</v>
      </c>
      <c r="F692" s="55">
        <v>2000</v>
      </c>
      <c r="J692" s="55" t="str">
        <f t="shared" si="51"/>
        <v>XLCD</v>
      </c>
    </row>
    <row r="693" spans="1:10" hidden="1">
      <c r="A693" s="79" t="s">
        <v>973</v>
      </c>
      <c r="B693" s="84"/>
      <c r="C693" s="81" t="s">
        <v>3205</v>
      </c>
      <c r="D693" s="80"/>
      <c r="E693" s="2277" t="str">
        <f t="shared" si="52"/>
        <v>LB</v>
      </c>
      <c r="F693" s="55">
        <v>2000</v>
      </c>
      <c r="J693" s="55" t="str">
        <f t="shared" si="51"/>
        <v>LBAKE</v>
      </c>
    </row>
    <row r="694" spans="1:10" hidden="1">
      <c r="A694" s="79" t="s">
        <v>972</v>
      </c>
      <c r="B694" s="84"/>
      <c r="C694" s="81" t="s">
        <v>3206</v>
      </c>
      <c r="D694" s="80"/>
      <c r="E694" s="2277" t="str">
        <f t="shared" si="52"/>
        <v>LC</v>
      </c>
      <c r="F694" s="55">
        <v>2000</v>
      </c>
      <c r="J694" s="55" t="str">
        <f t="shared" si="51"/>
        <v>LCHI</v>
      </c>
    </row>
    <row r="695" spans="1:10" hidden="1">
      <c r="A695" s="79" t="s">
        <v>348</v>
      </c>
      <c r="B695" s="84" t="s">
        <v>1760</v>
      </c>
      <c r="C695" s="81" t="s">
        <v>3207</v>
      </c>
      <c r="D695" s="80" t="s">
        <v>2566</v>
      </c>
      <c r="E695" s="2277" t="str">
        <f t="shared" si="52"/>
        <v>LC</v>
      </c>
      <c r="F695" s="55">
        <v>2000</v>
      </c>
      <c r="J695" s="55" t="str">
        <f t="shared" si="51"/>
        <v>LCSD</v>
      </c>
    </row>
    <row r="696" spans="1:10" hidden="1">
      <c r="A696" s="79" t="s">
        <v>1912</v>
      </c>
      <c r="B696" s="84" t="s">
        <v>1462</v>
      </c>
      <c r="C696" s="81" t="s">
        <v>3208</v>
      </c>
      <c r="D696" s="80" t="s">
        <v>2448</v>
      </c>
      <c r="E696" s="2277" t="str">
        <f t="shared" si="52"/>
        <v>LC</v>
      </c>
      <c r="F696" s="55">
        <v>2000</v>
      </c>
      <c r="J696" s="55" t="str">
        <f t="shared" si="51"/>
        <v>LCL</v>
      </c>
    </row>
    <row r="697" spans="1:10" hidden="1">
      <c r="A697" s="79" t="s">
        <v>1924</v>
      </c>
      <c r="B697" s="84" t="s">
        <v>1772</v>
      </c>
      <c r="C697" s="81" t="s">
        <v>3209</v>
      </c>
      <c r="D697" s="80" t="s">
        <v>2448</v>
      </c>
      <c r="E697" s="2277" t="str">
        <f t="shared" si="52"/>
        <v>LD</v>
      </c>
      <c r="F697" s="55">
        <v>2000</v>
      </c>
      <c r="J697" s="55" t="str">
        <f t="shared" si="51"/>
        <v>LDN</v>
      </c>
    </row>
    <row r="698" spans="1:10" hidden="1">
      <c r="A698" s="79" t="s">
        <v>1967</v>
      </c>
      <c r="B698" s="84" t="s">
        <v>220</v>
      </c>
      <c r="C698" s="81" t="s">
        <v>3210</v>
      </c>
      <c r="D698" s="80" t="s">
        <v>2566</v>
      </c>
      <c r="E698" s="2277" t="str">
        <f t="shared" si="52"/>
        <v>NX</v>
      </c>
      <c r="F698" s="55">
        <v>2000</v>
      </c>
      <c r="J698" s="55" t="str">
        <f t="shared" si="51"/>
        <v>NXOE</v>
      </c>
    </row>
    <row r="699" spans="1:10" hidden="1">
      <c r="A699" s="79" t="s">
        <v>2140</v>
      </c>
      <c r="B699" s="84" t="s">
        <v>220</v>
      </c>
      <c r="C699" s="81" t="s">
        <v>3211</v>
      </c>
      <c r="D699" s="80" t="s">
        <v>2566</v>
      </c>
      <c r="E699" s="2277" t="str">
        <f t="shared" si="52"/>
        <v>LD</v>
      </c>
      <c r="F699" s="55">
        <v>2000</v>
      </c>
      <c r="J699" s="55" t="str">
        <f t="shared" si="51"/>
        <v>LDN0212</v>
      </c>
    </row>
    <row r="700" spans="1:10" hidden="1">
      <c r="A700" s="79" t="s">
        <v>2141</v>
      </c>
      <c r="B700" s="84" t="s">
        <v>220</v>
      </c>
      <c r="C700" s="81" t="s">
        <v>3212</v>
      </c>
      <c r="D700" s="80" t="s">
        <v>2566</v>
      </c>
      <c r="E700" s="2277" t="str">
        <f t="shared" si="52"/>
        <v>LD</v>
      </c>
      <c r="F700" s="55">
        <v>2000</v>
      </c>
      <c r="J700" s="55" t="str">
        <f t="shared" si="51"/>
        <v>LDN0412</v>
      </c>
    </row>
    <row r="701" spans="1:10" hidden="1">
      <c r="A701" s="79" t="s">
        <v>1182</v>
      </c>
      <c r="B701" s="84" t="s">
        <v>1563</v>
      </c>
      <c r="C701" s="81" t="s">
        <v>3213</v>
      </c>
      <c r="D701" s="80" t="s">
        <v>2566</v>
      </c>
      <c r="E701" s="2277" t="str">
        <f t="shared" si="52"/>
        <v>LD</v>
      </c>
      <c r="F701" s="55">
        <v>2000</v>
      </c>
      <c r="J701" s="55" t="str">
        <f t="shared" si="51"/>
        <v>LDN0415</v>
      </c>
    </row>
    <row r="702" spans="1:10" hidden="1">
      <c r="A702" s="79" t="s">
        <v>1183</v>
      </c>
      <c r="B702" s="84" t="s">
        <v>1563</v>
      </c>
      <c r="C702" s="81" t="s">
        <v>3214</v>
      </c>
      <c r="D702" s="80" t="s">
        <v>2566</v>
      </c>
      <c r="E702" s="2277" t="str">
        <f t="shared" si="52"/>
        <v>LD</v>
      </c>
      <c r="F702" s="55">
        <v>2000</v>
      </c>
      <c r="J702" s="55" t="str">
        <f t="shared" si="51"/>
        <v>LDN0615</v>
      </c>
    </row>
    <row r="703" spans="1:10" hidden="1">
      <c r="A703" s="79" t="s">
        <v>604</v>
      </c>
      <c r="B703" s="84" t="s">
        <v>220</v>
      </c>
      <c r="C703" s="81" t="s">
        <v>3215</v>
      </c>
      <c r="D703" s="80" t="s">
        <v>2566</v>
      </c>
      <c r="E703" s="2277" t="str">
        <f t="shared" si="52"/>
        <v>LD</v>
      </c>
      <c r="F703" s="55">
        <v>2000</v>
      </c>
      <c r="J703" s="55" t="str">
        <f t="shared" si="51"/>
        <v>LDN4</v>
      </c>
    </row>
    <row r="704" spans="1:10" hidden="1">
      <c r="A704" s="79" t="s">
        <v>1913</v>
      </c>
      <c r="B704" s="84" t="s">
        <v>1563</v>
      </c>
      <c r="C704" s="81" t="s">
        <v>3216</v>
      </c>
      <c r="D704" s="80" t="s">
        <v>2566</v>
      </c>
      <c r="E704" s="2277" t="str">
        <f t="shared" si="52"/>
        <v>LD</v>
      </c>
      <c r="F704" s="55">
        <v>2000</v>
      </c>
      <c r="J704" s="55" t="str">
        <f t="shared" si="51"/>
        <v>LDN6</v>
      </c>
    </row>
    <row r="705" spans="1:10" hidden="1">
      <c r="A705" s="79" t="s">
        <v>1961</v>
      </c>
      <c r="B705" s="84" t="s">
        <v>1391</v>
      </c>
      <c r="C705" s="81" t="s">
        <v>3217</v>
      </c>
      <c r="D705" s="80" t="s">
        <v>858</v>
      </c>
      <c r="E705" s="2277" t="str">
        <f t="shared" si="52"/>
        <v>DB</v>
      </c>
      <c r="F705" s="55">
        <v>2000</v>
      </c>
      <c r="J705" s="55" t="str">
        <f t="shared" si="51"/>
        <v>DBT10046</v>
      </c>
    </row>
    <row r="706" spans="1:10" hidden="1">
      <c r="A706" s="79" t="s">
        <v>1841</v>
      </c>
      <c r="B706" s="84" t="s">
        <v>1768</v>
      </c>
      <c r="C706" s="81" t="s">
        <v>3218</v>
      </c>
      <c r="D706" s="80" t="s">
        <v>858</v>
      </c>
      <c r="E706" s="2277" t="str">
        <f t="shared" si="52"/>
        <v>DB</v>
      </c>
      <c r="F706" s="55">
        <v>2000</v>
      </c>
      <c r="J706" s="55" t="str">
        <f t="shared" si="51"/>
        <v>DBT15012</v>
      </c>
    </row>
    <row r="707" spans="1:10" hidden="1">
      <c r="A707" s="79" t="s">
        <v>1842</v>
      </c>
      <c r="B707" s="1795" t="s">
        <v>1767</v>
      </c>
      <c r="C707" s="81" t="s">
        <v>3219</v>
      </c>
      <c r="D707" s="80" t="s">
        <v>858</v>
      </c>
      <c r="E707" s="2277" t="str">
        <f t="shared" si="52"/>
        <v>DB</v>
      </c>
      <c r="F707" s="55">
        <v>2000</v>
      </c>
      <c r="J707" s="55" t="str">
        <f t="shared" si="51"/>
        <v>DBT20012</v>
      </c>
    </row>
    <row r="708" spans="1:10" hidden="1">
      <c r="A708" s="79" t="s">
        <v>9</v>
      </c>
      <c r="B708" s="84" t="s">
        <v>1781</v>
      </c>
      <c r="C708" s="81" t="s">
        <v>3220</v>
      </c>
      <c r="D708" s="80" t="s">
        <v>2256</v>
      </c>
      <c r="E708" s="2277" t="str">
        <f t="shared" si="52"/>
        <v>LC</v>
      </c>
      <c r="F708" s="55">
        <v>2000</v>
      </c>
      <c r="J708" s="55" t="str">
        <f t="shared" si="51"/>
        <v>LCT10</v>
      </c>
    </row>
    <row r="709" spans="1:10" hidden="1">
      <c r="A709" s="79" t="s">
        <v>585</v>
      </c>
      <c r="B709" s="84" t="s">
        <v>888</v>
      </c>
      <c r="C709" s="81" t="s">
        <v>3221</v>
      </c>
      <c r="D709" s="80" t="s">
        <v>2256</v>
      </c>
      <c r="E709" s="2277" t="str">
        <f t="shared" si="52"/>
        <v>LC</v>
      </c>
      <c r="F709" s="55">
        <v>2000</v>
      </c>
      <c r="J709" s="55" t="str">
        <f t="shared" si="51"/>
        <v>LCT18</v>
      </c>
    </row>
    <row r="710" spans="1:10" hidden="1">
      <c r="A710" s="79" t="s">
        <v>1813</v>
      </c>
      <c r="B710" s="84" t="s">
        <v>1814</v>
      </c>
      <c r="C710" s="81" t="s">
        <v>3222</v>
      </c>
      <c r="D710" s="80" t="s">
        <v>2256</v>
      </c>
      <c r="E710" s="2277" t="str">
        <f t="shared" si="52"/>
        <v>LC</v>
      </c>
      <c r="F710" s="55">
        <v>2000</v>
      </c>
      <c r="J710" s="55" t="str">
        <f t="shared" si="51"/>
        <v>LCT&gt;18</v>
      </c>
    </row>
    <row r="711" spans="1:10" hidden="1">
      <c r="A711" s="79" t="s">
        <v>10</v>
      </c>
      <c r="B711" s="84" t="s">
        <v>53</v>
      </c>
      <c r="C711" s="81" t="s">
        <v>3223</v>
      </c>
      <c r="D711" s="80" t="s">
        <v>1966</v>
      </c>
      <c r="E711" s="2277" t="str">
        <f t="shared" si="52"/>
        <v>LD</v>
      </c>
      <c r="F711" s="55">
        <v>2000</v>
      </c>
      <c r="J711" s="55" t="str">
        <f t="shared" si="51"/>
        <v>LDVANK</v>
      </c>
    </row>
    <row r="712" spans="1:10" hidden="1">
      <c r="A712" s="79" t="s">
        <v>1968</v>
      </c>
      <c r="B712" s="84" t="s">
        <v>1407</v>
      </c>
      <c r="C712" s="81" t="s">
        <v>3224</v>
      </c>
      <c r="D712" s="80" t="s">
        <v>2044</v>
      </c>
      <c r="E712" s="2277" t="str">
        <f t="shared" si="52"/>
        <v>KD</v>
      </c>
      <c r="F712" s="55">
        <v>2000</v>
      </c>
      <c r="J712" s="55" t="str">
        <f t="shared" si="51"/>
        <v>KDA35</v>
      </c>
    </row>
    <row r="713" spans="1:10" hidden="1">
      <c r="A713" s="79" t="s">
        <v>1408</v>
      </c>
      <c r="B713" s="84" t="s">
        <v>1630</v>
      </c>
      <c r="C713" s="81" t="s">
        <v>3225</v>
      </c>
      <c r="D713" s="80" t="s">
        <v>2044</v>
      </c>
      <c r="E713" s="2277" t="str">
        <f t="shared" si="52"/>
        <v>KD</v>
      </c>
      <c r="F713" s="55">
        <v>2000</v>
      </c>
      <c r="J713" s="55" t="str">
        <f t="shared" si="51"/>
        <v>KDA50</v>
      </c>
    </row>
    <row r="714" spans="1:10" hidden="1">
      <c r="A714" s="79" t="s">
        <v>619</v>
      </c>
      <c r="B714" s="84" t="s">
        <v>620</v>
      </c>
      <c r="C714" s="81" t="s">
        <v>3226</v>
      </c>
      <c r="D714" s="80" t="s">
        <v>2044</v>
      </c>
      <c r="E714" s="2277" t="str">
        <f t="shared" si="52"/>
        <v>KD</v>
      </c>
      <c r="F714" s="55">
        <v>2000</v>
      </c>
      <c r="J714" s="55" t="str">
        <f t="shared" si="51"/>
        <v>KDA70</v>
      </c>
    </row>
    <row r="715" spans="1:10" hidden="1">
      <c r="A715" s="79" t="s">
        <v>2251</v>
      </c>
      <c r="B715" s="84" t="s">
        <v>1164</v>
      </c>
      <c r="C715" s="81" t="s">
        <v>3227</v>
      </c>
      <c r="D715" s="80" t="s">
        <v>2044</v>
      </c>
      <c r="E715" s="2277" t="str">
        <f t="shared" si="52"/>
        <v>KD</v>
      </c>
      <c r="F715" s="55">
        <v>2000</v>
      </c>
      <c r="J715" s="55" t="str">
        <f t="shared" ref="J715:J778" si="53">A715</f>
        <v>KDA95</v>
      </c>
    </row>
    <row r="716" spans="1:10" hidden="1">
      <c r="A716" s="79" t="s">
        <v>1168</v>
      </c>
      <c r="B716" s="84" t="s">
        <v>1527</v>
      </c>
      <c r="C716" s="81" t="s">
        <v>3228</v>
      </c>
      <c r="D716" s="80" t="s">
        <v>2044</v>
      </c>
      <c r="E716" s="2277" t="str">
        <f t="shared" si="52"/>
        <v>KD</v>
      </c>
      <c r="F716" s="55">
        <v>2000</v>
      </c>
      <c r="J716" s="55" t="str">
        <f t="shared" si="53"/>
        <v>KDA35B</v>
      </c>
    </row>
    <row r="717" spans="1:10" hidden="1">
      <c r="A717" s="79" t="s">
        <v>451</v>
      </c>
      <c r="B717" s="84" t="s">
        <v>1630</v>
      </c>
      <c r="C717" s="81" t="s">
        <v>3229</v>
      </c>
      <c r="D717" s="80" t="s">
        <v>2044</v>
      </c>
      <c r="E717" s="2277" t="str">
        <f t="shared" si="52"/>
        <v>KD</v>
      </c>
      <c r="F717" s="55">
        <v>2000</v>
      </c>
      <c r="J717" s="55" t="str">
        <f t="shared" si="53"/>
        <v>KDA50B</v>
      </c>
    </row>
    <row r="718" spans="1:10" hidden="1">
      <c r="A718" s="79" t="s">
        <v>79</v>
      </c>
      <c r="B718" s="84" t="s">
        <v>1528</v>
      </c>
      <c r="C718" s="81" t="s">
        <v>3230</v>
      </c>
      <c r="D718" s="80" t="s">
        <v>2044</v>
      </c>
      <c r="E718" s="2277" t="str">
        <f t="shared" si="52"/>
        <v>KD</v>
      </c>
      <c r="F718" s="55">
        <v>2000</v>
      </c>
      <c r="J718" s="55" t="str">
        <f t="shared" si="53"/>
        <v>KDA70B</v>
      </c>
    </row>
    <row r="719" spans="1:10" hidden="1">
      <c r="A719" s="79" t="s">
        <v>1514</v>
      </c>
      <c r="B719" s="84" t="s">
        <v>2041</v>
      </c>
      <c r="C719" s="81" t="s">
        <v>3231</v>
      </c>
      <c r="D719" s="80" t="s">
        <v>2044</v>
      </c>
      <c r="E719" s="2277" t="str">
        <f t="shared" si="52"/>
        <v>KD</v>
      </c>
      <c r="F719" s="55">
        <v>2000</v>
      </c>
      <c r="J719" s="55" t="str">
        <f t="shared" si="53"/>
        <v>KDA95B</v>
      </c>
    </row>
    <row r="720" spans="1:10" hidden="1">
      <c r="A720" s="79" t="s">
        <v>1176</v>
      </c>
      <c r="B720" s="84" t="s">
        <v>1165</v>
      </c>
      <c r="C720" s="81" t="s">
        <v>3232</v>
      </c>
      <c r="D720" s="80" t="s">
        <v>2044</v>
      </c>
      <c r="E720" s="2277" t="str">
        <f t="shared" si="52"/>
        <v>KD</v>
      </c>
      <c r="F720" s="55">
        <v>2000</v>
      </c>
      <c r="J720" s="55" t="str">
        <f t="shared" si="53"/>
        <v>KDA120B</v>
      </c>
    </row>
    <row r="721" spans="1:10" hidden="1">
      <c r="A721" s="79" t="s">
        <v>926</v>
      </c>
      <c r="B721" s="84" t="s">
        <v>794</v>
      </c>
      <c r="C721" s="81" t="s">
        <v>3233</v>
      </c>
      <c r="D721" s="80" t="s">
        <v>2044</v>
      </c>
      <c r="E721" s="2277" t="str">
        <f t="shared" si="52"/>
        <v>KD</v>
      </c>
      <c r="F721" s="55">
        <v>2000</v>
      </c>
      <c r="J721" s="55" t="str">
        <f t="shared" si="53"/>
        <v>KDA150B</v>
      </c>
    </row>
    <row r="722" spans="1:10" hidden="1">
      <c r="A722" s="79" t="s">
        <v>927</v>
      </c>
      <c r="B722" s="84" t="s">
        <v>1166</v>
      </c>
      <c r="C722" s="81" t="s">
        <v>3234</v>
      </c>
      <c r="D722" s="80" t="s">
        <v>2044</v>
      </c>
      <c r="E722" s="2277" t="str">
        <f t="shared" si="52"/>
        <v>KD</v>
      </c>
      <c r="F722" s="55">
        <v>2000</v>
      </c>
      <c r="J722" s="55" t="str">
        <f t="shared" si="53"/>
        <v>KDA185B</v>
      </c>
    </row>
    <row r="723" spans="1:10" hidden="1">
      <c r="A723" s="79" t="s">
        <v>1446</v>
      </c>
      <c r="B723" s="84" t="s">
        <v>1167</v>
      </c>
      <c r="C723" s="81" t="s">
        <v>3235</v>
      </c>
      <c r="D723" s="80" t="s">
        <v>2044</v>
      </c>
      <c r="E723" s="2277" t="str">
        <f t="shared" si="52"/>
        <v>KD</v>
      </c>
      <c r="F723" s="55">
        <v>2000</v>
      </c>
      <c r="J723" s="55" t="str">
        <f t="shared" si="53"/>
        <v>KDA240B</v>
      </c>
    </row>
    <row r="724" spans="1:10" hidden="1">
      <c r="A724" s="1796" t="s">
        <v>2230</v>
      </c>
      <c r="B724" s="84" t="s">
        <v>785</v>
      </c>
      <c r="C724" s="81" t="s">
        <v>3236</v>
      </c>
      <c r="D724" s="80" t="s">
        <v>2044</v>
      </c>
      <c r="E724" s="2277" t="str">
        <f t="shared" si="52"/>
        <v>KD</v>
      </c>
      <c r="F724" s="55">
        <v>2000</v>
      </c>
      <c r="J724" s="55" t="str">
        <f t="shared" si="53"/>
        <v>KDAABC150</v>
      </c>
    </row>
    <row r="725" spans="1:10" hidden="1">
      <c r="A725" s="1796" t="s">
        <v>865</v>
      </c>
      <c r="B725" s="84" t="s">
        <v>785</v>
      </c>
      <c r="C725" s="81" t="s">
        <v>3237</v>
      </c>
      <c r="D725" s="80" t="s">
        <v>2044</v>
      </c>
      <c r="E725" s="2277" t="str">
        <f t="shared" si="52"/>
        <v>KD</v>
      </c>
      <c r="F725" s="55">
        <v>2000</v>
      </c>
      <c r="J725" s="55" t="str">
        <f t="shared" si="53"/>
        <v>KDAABC120</v>
      </c>
    </row>
    <row r="726" spans="1:10" hidden="1">
      <c r="A726" s="1796" t="s">
        <v>866</v>
      </c>
      <c r="B726" s="84" t="s">
        <v>786</v>
      </c>
      <c r="C726" s="81" t="s">
        <v>4353</v>
      </c>
      <c r="D726" s="80" t="s">
        <v>2044</v>
      </c>
      <c r="E726" s="2277" t="str">
        <f t="shared" si="52"/>
        <v>KD</v>
      </c>
      <c r="F726" s="55">
        <v>2000</v>
      </c>
      <c r="J726" s="55" t="str">
        <f t="shared" si="53"/>
        <v>KDAABC95</v>
      </c>
    </row>
    <row r="727" spans="1:10" hidden="1">
      <c r="A727" s="1796" t="s">
        <v>867</v>
      </c>
      <c r="B727" s="1795" t="s">
        <v>2105</v>
      </c>
      <c r="C727" s="81" t="s">
        <v>3238</v>
      </c>
      <c r="D727" s="80" t="s">
        <v>2044</v>
      </c>
      <c r="E727" s="2277" t="str">
        <f t="shared" si="52"/>
        <v>KD</v>
      </c>
      <c r="F727" s="55">
        <v>2000</v>
      </c>
      <c r="J727" s="55" t="str">
        <f t="shared" si="53"/>
        <v>KDAABC70</v>
      </c>
    </row>
    <row r="728" spans="1:10" hidden="1">
      <c r="A728" s="1796" t="s">
        <v>868</v>
      </c>
      <c r="B728" s="84" t="s">
        <v>1775</v>
      </c>
      <c r="C728" s="81" t="s">
        <v>3239</v>
      </c>
      <c r="D728" s="80" t="s">
        <v>2044</v>
      </c>
      <c r="E728" s="2277" t="str">
        <f t="shared" si="52"/>
        <v>KD</v>
      </c>
      <c r="F728" s="55">
        <v>2000</v>
      </c>
      <c r="J728" s="55" t="str">
        <f t="shared" si="53"/>
        <v>KDAABC50</v>
      </c>
    </row>
    <row r="729" spans="1:10" hidden="1">
      <c r="A729" s="79" t="s">
        <v>1526</v>
      </c>
      <c r="B729" s="84" t="s">
        <v>1527</v>
      </c>
      <c r="C729" s="81" t="s">
        <v>3240</v>
      </c>
      <c r="D729" s="80" t="s">
        <v>2044</v>
      </c>
      <c r="E729" s="2277" t="str">
        <f t="shared" si="52"/>
        <v>KD</v>
      </c>
      <c r="F729" s="55">
        <v>2000</v>
      </c>
      <c r="J729" s="55" t="str">
        <f t="shared" si="53"/>
        <v>KDAC35</v>
      </c>
    </row>
    <row r="730" spans="1:10" hidden="1">
      <c r="A730" s="79" t="s">
        <v>1274</v>
      </c>
      <c r="B730" s="84" t="s">
        <v>1773</v>
      </c>
      <c r="C730" s="81" t="s">
        <v>3241</v>
      </c>
      <c r="D730" s="80" t="s">
        <v>2044</v>
      </c>
      <c r="E730" s="2277" t="str">
        <f t="shared" si="52"/>
        <v>KD</v>
      </c>
      <c r="F730" s="55">
        <v>2000</v>
      </c>
      <c r="J730" s="55" t="str">
        <f t="shared" si="53"/>
        <v>KDAC50</v>
      </c>
    </row>
    <row r="731" spans="1:10" hidden="1">
      <c r="A731" s="79" t="s">
        <v>1419</v>
      </c>
      <c r="B731" s="84" t="s">
        <v>1528</v>
      </c>
      <c r="C731" s="81" t="s">
        <v>3242</v>
      </c>
      <c r="D731" s="80" t="s">
        <v>2044</v>
      </c>
      <c r="E731" s="2277" t="str">
        <f t="shared" si="52"/>
        <v>KD</v>
      </c>
      <c r="F731" s="55">
        <v>2000</v>
      </c>
      <c r="J731" s="55" t="str">
        <f t="shared" si="53"/>
        <v>KDAC70</v>
      </c>
    </row>
    <row r="732" spans="1:10" hidden="1">
      <c r="A732" s="79" t="s">
        <v>1529</v>
      </c>
      <c r="B732" s="84" t="s">
        <v>2041</v>
      </c>
      <c r="C732" s="81" t="s">
        <v>3243</v>
      </c>
      <c r="D732" s="80" t="s">
        <v>2044</v>
      </c>
      <c r="E732" s="2277" t="str">
        <f t="shared" si="52"/>
        <v>KD</v>
      </c>
      <c r="F732" s="55">
        <v>2000</v>
      </c>
      <c r="J732" s="55" t="str">
        <f t="shared" si="53"/>
        <v>KDAC95</v>
      </c>
    </row>
    <row r="733" spans="1:10" hidden="1">
      <c r="A733" s="79" t="s">
        <v>139</v>
      </c>
      <c r="B733" s="84" t="s">
        <v>1165</v>
      </c>
      <c r="C733" s="81" t="s">
        <v>3244</v>
      </c>
      <c r="D733" s="80" t="s">
        <v>2044</v>
      </c>
      <c r="E733" s="2277" t="str">
        <f t="shared" si="52"/>
        <v>KD</v>
      </c>
      <c r="F733" s="55">
        <v>2000</v>
      </c>
      <c r="J733" s="55" t="str">
        <f t="shared" si="53"/>
        <v>KDAC120</v>
      </c>
    </row>
    <row r="734" spans="1:10" hidden="1">
      <c r="A734" s="79" t="s">
        <v>793</v>
      </c>
      <c r="B734" s="84" t="s">
        <v>794</v>
      </c>
      <c r="C734" s="81" t="s">
        <v>3245</v>
      </c>
      <c r="D734" s="80" t="s">
        <v>2044</v>
      </c>
      <c r="E734" s="2277" t="str">
        <f t="shared" si="52"/>
        <v>KD</v>
      </c>
      <c r="F734" s="55">
        <v>2000</v>
      </c>
      <c r="J734" s="55" t="str">
        <f t="shared" si="53"/>
        <v>KDAC150</v>
      </c>
    </row>
    <row r="735" spans="1:10" hidden="1">
      <c r="A735" s="79" t="s">
        <v>366</v>
      </c>
      <c r="B735" s="84" t="s">
        <v>1773</v>
      </c>
      <c r="C735" s="81" t="s">
        <v>4366</v>
      </c>
      <c r="D735" s="80" t="s">
        <v>2044</v>
      </c>
      <c r="E735" s="2277" t="str">
        <f t="shared" si="52"/>
        <v>KD</v>
      </c>
      <c r="F735" s="55">
        <v>2000</v>
      </c>
      <c r="J735" s="55" t="str">
        <f t="shared" si="53"/>
        <v>KDACXV50</v>
      </c>
    </row>
    <row r="736" spans="1:10" hidden="1">
      <c r="A736" s="79" t="s">
        <v>1377</v>
      </c>
      <c r="B736" s="84" t="s">
        <v>794</v>
      </c>
      <c r="C736" s="81" t="s">
        <v>3246</v>
      </c>
      <c r="D736" s="80" t="s">
        <v>2044</v>
      </c>
      <c r="E736" s="2277" t="str">
        <f t="shared" si="52"/>
        <v>KD</v>
      </c>
      <c r="F736" s="55">
        <v>2000</v>
      </c>
      <c r="J736" s="55" t="str">
        <f t="shared" si="53"/>
        <v>KDACXV150</v>
      </c>
    </row>
    <row r="737" spans="1:10" hidden="1">
      <c r="A737" s="79" t="s">
        <v>140</v>
      </c>
      <c r="B737" s="84" t="s">
        <v>1166</v>
      </c>
      <c r="C737" s="81" t="s">
        <v>3247</v>
      </c>
      <c r="D737" s="80" t="s">
        <v>2044</v>
      </c>
      <c r="E737" s="2277" t="str">
        <f t="shared" ref="E737:E800" si="54">LEFT(A737,2)</f>
        <v>KD</v>
      </c>
      <c r="F737" s="55">
        <v>2000</v>
      </c>
      <c r="J737" s="55" t="str">
        <f t="shared" si="53"/>
        <v>KDAC185</v>
      </c>
    </row>
    <row r="738" spans="1:10" hidden="1">
      <c r="A738" s="79" t="s">
        <v>713</v>
      </c>
      <c r="B738" s="84" t="s">
        <v>1167</v>
      </c>
      <c r="C738" s="81" t="s">
        <v>3248</v>
      </c>
      <c r="D738" s="80" t="s">
        <v>2044</v>
      </c>
      <c r="E738" s="2277" t="str">
        <f t="shared" si="54"/>
        <v>KD</v>
      </c>
      <c r="F738" s="55">
        <v>2000</v>
      </c>
      <c r="J738" s="55" t="str">
        <f t="shared" si="53"/>
        <v>KDAC240</v>
      </c>
    </row>
    <row r="739" spans="1:10" hidden="1">
      <c r="A739" s="79" t="s">
        <v>390</v>
      </c>
      <c r="B739" s="84" t="s">
        <v>391</v>
      </c>
      <c r="C739" s="81" t="s">
        <v>3249</v>
      </c>
      <c r="D739" s="80" t="s">
        <v>2044</v>
      </c>
      <c r="E739" s="2277" t="str">
        <f t="shared" si="54"/>
        <v>KD</v>
      </c>
      <c r="F739" s="55">
        <v>2000</v>
      </c>
      <c r="J739" s="55" t="str">
        <f t="shared" si="53"/>
        <v>KDM22</v>
      </c>
    </row>
    <row r="740" spans="1:10" hidden="1">
      <c r="A740" s="79" t="s">
        <v>679</v>
      </c>
      <c r="B740" s="84" t="s">
        <v>391</v>
      </c>
      <c r="C740" s="81" t="s">
        <v>3250</v>
      </c>
      <c r="D740" s="80" t="s">
        <v>2044</v>
      </c>
      <c r="E740" s="2277" t="str">
        <f t="shared" si="54"/>
        <v>KD</v>
      </c>
      <c r="F740" s="55">
        <v>2000</v>
      </c>
      <c r="J740" s="55" t="str">
        <f t="shared" si="53"/>
        <v>KDM25</v>
      </c>
    </row>
    <row r="741" spans="1:10" hidden="1">
      <c r="A741" s="79" t="s">
        <v>298</v>
      </c>
      <c r="B741" s="84" t="s">
        <v>299</v>
      </c>
      <c r="C741" s="81" t="s">
        <v>3251</v>
      </c>
      <c r="D741" s="80" t="s">
        <v>2044</v>
      </c>
      <c r="E741" s="2277" t="str">
        <f t="shared" si="54"/>
        <v>KD</v>
      </c>
      <c r="F741" s="55">
        <v>2000</v>
      </c>
      <c r="J741" s="55" t="str">
        <f t="shared" si="53"/>
        <v>KDM35</v>
      </c>
    </row>
    <row r="742" spans="1:10" hidden="1">
      <c r="A742" s="79" t="s">
        <v>413</v>
      </c>
      <c r="B742" s="84" t="s">
        <v>414</v>
      </c>
      <c r="C742" s="81" t="s">
        <v>3252</v>
      </c>
      <c r="D742" s="80" t="s">
        <v>2044</v>
      </c>
      <c r="E742" s="2277" t="str">
        <f t="shared" si="54"/>
        <v>KD</v>
      </c>
      <c r="F742" s="55">
        <v>2000</v>
      </c>
      <c r="J742" s="55" t="str">
        <f t="shared" si="53"/>
        <v>KDM48</v>
      </c>
    </row>
    <row r="743" spans="1:10" hidden="1">
      <c r="A743" s="79" t="s">
        <v>480</v>
      </c>
      <c r="B743" s="84" t="s">
        <v>414</v>
      </c>
      <c r="C743" s="81" t="s">
        <v>3253</v>
      </c>
      <c r="D743" s="80" t="s">
        <v>2044</v>
      </c>
      <c r="E743" s="2277" t="str">
        <f t="shared" si="54"/>
        <v>KD</v>
      </c>
      <c r="F743" s="55">
        <v>2000</v>
      </c>
      <c r="J743" s="55" t="str">
        <f t="shared" si="53"/>
        <v>KDM50</v>
      </c>
    </row>
    <row r="744" spans="1:10" hidden="1">
      <c r="A744" s="79" t="s">
        <v>481</v>
      </c>
      <c r="B744" s="84" t="s">
        <v>482</v>
      </c>
      <c r="C744" s="81" t="s">
        <v>3254</v>
      </c>
      <c r="D744" s="80" t="s">
        <v>2044</v>
      </c>
      <c r="E744" s="2277" t="str">
        <f t="shared" si="54"/>
        <v>KD</v>
      </c>
      <c r="F744" s="55">
        <v>2000</v>
      </c>
      <c r="J744" s="55" t="str">
        <f t="shared" si="53"/>
        <v>KDM70</v>
      </c>
    </row>
    <row r="745" spans="1:10" hidden="1">
      <c r="A745" s="79" t="s">
        <v>477</v>
      </c>
      <c r="B745" s="84" t="s">
        <v>478</v>
      </c>
      <c r="C745" s="81" t="s">
        <v>3255</v>
      </c>
      <c r="D745" s="80" t="s">
        <v>2044</v>
      </c>
      <c r="E745" s="2277" t="str">
        <f t="shared" si="54"/>
        <v>KD</v>
      </c>
      <c r="F745" s="55">
        <v>2000</v>
      </c>
      <c r="J745" s="55" t="str">
        <f t="shared" si="53"/>
        <v>KDM95</v>
      </c>
    </row>
    <row r="746" spans="1:10" hidden="1">
      <c r="A746" s="79" t="s">
        <v>96</v>
      </c>
      <c r="B746" s="84" t="s">
        <v>391</v>
      </c>
      <c r="C746" s="81" t="s">
        <v>3256</v>
      </c>
      <c r="D746" s="80" t="s">
        <v>2044</v>
      </c>
      <c r="E746" s="2277" t="str">
        <f t="shared" si="54"/>
        <v>KD</v>
      </c>
      <c r="F746" s="55">
        <v>2000</v>
      </c>
      <c r="J746" s="55" t="str">
        <f t="shared" si="53"/>
        <v>KDM25B</v>
      </c>
    </row>
    <row r="747" spans="1:10" hidden="1">
      <c r="A747" s="79" t="s">
        <v>253</v>
      </c>
      <c r="B747" s="84" t="s">
        <v>414</v>
      </c>
      <c r="C747" s="81" t="s">
        <v>3257</v>
      </c>
      <c r="D747" s="80" t="s">
        <v>2044</v>
      </c>
      <c r="E747" s="2277" t="str">
        <f t="shared" si="54"/>
        <v>KD</v>
      </c>
      <c r="F747" s="55">
        <v>2000</v>
      </c>
      <c r="J747" s="55" t="str">
        <f t="shared" si="53"/>
        <v>KDM50B</v>
      </c>
    </row>
    <row r="748" spans="1:10" hidden="1">
      <c r="A748" s="79" t="s">
        <v>2101</v>
      </c>
      <c r="B748" s="84" t="s">
        <v>478</v>
      </c>
      <c r="C748" s="81" t="s">
        <v>3258</v>
      </c>
      <c r="D748" s="80" t="s">
        <v>2044</v>
      </c>
      <c r="E748" s="2277" t="str">
        <f t="shared" si="54"/>
        <v>KD</v>
      </c>
      <c r="F748" s="55">
        <v>2000</v>
      </c>
      <c r="J748" s="55" t="str">
        <f t="shared" si="53"/>
        <v>KDM95B</v>
      </c>
    </row>
    <row r="749" spans="1:10" hidden="1">
      <c r="A749" s="79" t="s">
        <v>1405</v>
      </c>
      <c r="B749" s="84" t="s">
        <v>1406</v>
      </c>
      <c r="C749" s="81" t="s">
        <v>3259</v>
      </c>
      <c r="D749" s="80" t="s">
        <v>3260</v>
      </c>
      <c r="E749" s="2277" t="str">
        <f t="shared" si="54"/>
        <v>KD</v>
      </c>
      <c r="F749" s="55">
        <v>2000</v>
      </c>
      <c r="J749" s="55" t="str">
        <f t="shared" si="53"/>
        <v>KDQG1</v>
      </c>
    </row>
    <row r="750" spans="1:10" hidden="1">
      <c r="A750" s="79" t="s">
        <v>353</v>
      </c>
      <c r="B750" s="84" t="s">
        <v>332</v>
      </c>
      <c r="C750" s="81" t="s">
        <v>3261</v>
      </c>
      <c r="D750" s="80" t="s">
        <v>3260</v>
      </c>
      <c r="E750" s="2277" t="str">
        <f t="shared" si="54"/>
        <v>KD</v>
      </c>
      <c r="F750" s="55">
        <v>2000</v>
      </c>
      <c r="J750" s="55" t="str">
        <f t="shared" si="53"/>
        <v>KDQG2</v>
      </c>
    </row>
    <row r="751" spans="1:10" hidden="1">
      <c r="A751" s="79" t="s">
        <v>354</v>
      </c>
      <c r="B751" s="84" t="s">
        <v>333</v>
      </c>
      <c r="C751" s="81" t="s">
        <v>3262</v>
      </c>
      <c r="D751" s="80" t="s">
        <v>3260</v>
      </c>
      <c r="E751" s="2277" t="str">
        <f t="shared" si="54"/>
        <v>KD</v>
      </c>
      <c r="F751" s="55">
        <v>2000</v>
      </c>
      <c r="J751" s="55" t="str">
        <f t="shared" si="53"/>
        <v>KDQS</v>
      </c>
    </row>
    <row r="752" spans="1:10" hidden="1">
      <c r="A752" s="79" t="s">
        <v>62</v>
      </c>
      <c r="B752" s="84" t="s">
        <v>333</v>
      </c>
      <c r="C752" s="81" t="s">
        <v>3263</v>
      </c>
      <c r="D752" s="80" t="s">
        <v>3260</v>
      </c>
      <c r="E752" s="2277" t="str">
        <f t="shared" si="54"/>
        <v>KD</v>
      </c>
      <c r="F752" s="55">
        <v>2000</v>
      </c>
      <c r="J752" s="55" t="str">
        <f t="shared" si="53"/>
        <v>KDQMR</v>
      </c>
    </row>
    <row r="753" spans="1:10" hidden="1">
      <c r="A753" s="79" t="s">
        <v>2046</v>
      </c>
      <c r="B753" s="84" t="s">
        <v>2047</v>
      </c>
      <c r="C753" s="81" t="s">
        <v>3264</v>
      </c>
      <c r="D753" s="80" t="s">
        <v>3260</v>
      </c>
      <c r="E753" s="2277" t="str">
        <f t="shared" si="54"/>
        <v>KD</v>
      </c>
      <c r="F753" s="55">
        <v>2000</v>
      </c>
      <c r="J753" s="55" t="str">
        <f t="shared" si="53"/>
        <v>KDQD</v>
      </c>
    </row>
    <row r="754" spans="1:10" hidden="1">
      <c r="A754" s="79" t="s">
        <v>2048</v>
      </c>
      <c r="B754" s="84" t="s">
        <v>1162</v>
      </c>
      <c r="C754" s="81" t="s">
        <v>3265</v>
      </c>
      <c r="D754" s="80" t="s">
        <v>3260</v>
      </c>
      <c r="E754" s="2277" t="str">
        <f t="shared" si="54"/>
        <v>KD</v>
      </c>
      <c r="F754" s="55">
        <v>2000</v>
      </c>
      <c r="J754" s="55" t="str">
        <f t="shared" si="53"/>
        <v>KDQD1</v>
      </c>
    </row>
    <row r="755" spans="1:10" hidden="1">
      <c r="A755" s="79" t="s">
        <v>1555</v>
      </c>
      <c r="B755" s="84" t="s">
        <v>1911</v>
      </c>
      <c r="C755" s="81" t="s">
        <v>3266</v>
      </c>
      <c r="D755" s="80" t="s">
        <v>2541</v>
      </c>
      <c r="E755" s="2277" t="str">
        <f t="shared" si="54"/>
        <v>LS</v>
      </c>
      <c r="F755" s="55">
        <v>2000</v>
      </c>
      <c r="J755" s="55" t="str">
        <f t="shared" si="53"/>
        <v>LSTK100</v>
      </c>
    </row>
    <row r="756" spans="1:10" hidden="1">
      <c r="A756" s="79" t="s">
        <v>1556</v>
      </c>
      <c r="B756" s="84" t="s">
        <v>1102</v>
      </c>
      <c r="C756" s="81" t="s">
        <v>3267</v>
      </c>
      <c r="D756" s="80" t="s">
        <v>2541</v>
      </c>
      <c r="E756" s="2277" t="str">
        <f t="shared" si="54"/>
        <v>LS</v>
      </c>
      <c r="F756" s="55">
        <v>2000</v>
      </c>
      <c r="J756" s="55" t="str">
        <f t="shared" si="53"/>
        <v>LSTK70</v>
      </c>
    </row>
    <row r="757" spans="1:10" hidden="1">
      <c r="A757" s="79" t="s">
        <v>411</v>
      </c>
      <c r="B757" s="84" t="s">
        <v>1103</v>
      </c>
      <c r="C757" s="81" t="s">
        <v>3268</v>
      </c>
      <c r="D757" s="80" t="s">
        <v>2541</v>
      </c>
      <c r="E757" s="2277" t="str">
        <f t="shared" si="54"/>
        <v>LS</v>
      </c>
      <c r="F757" s="55">
        <v>2000</v>
      </c>
      <c r="J757" s="55" t="str">
        <f t="shared" si="53"/>
        <v>LSTK50</v>
      </c>
    </row>
    <row r="758" spans="1:10" hidden="1">
      <c r="A758" s="79" t="s">
        <v>412</v>
      </c>
      <c r="B758" s="84" t="s">
        <v>1283</v>
      </c>
      <c r="C758" s="81" t="s">
        <v>3269</v>
      </c>
      <c r="D758" s="80" t="s">
        <v>2541</v>
      </c>
      <c r="E758" s="2277" t="str">
        <f t="shared" si="54"/>
        <v>LS</v>
      </c>
      <c r="F758" s="55">
        <v>2000</v>
      </c>
      <c r="J758" s="55" t="str">
        <f t="shared" si="53"/>
        <v>LSTK120d</v>
      </c>
    </row>
    <row r="759" spans="1:10" hidden="1">
      <c r="A759" s="79" t="s">
        <v>491</v>
      </c>
      <c r="B759" s="84" t="s">
        <v>1421</v>
      </c>
      <c r="C759" s="81" t="s">
        <v>3270</v>
      </c>
      <c r="D759" s="80" t="s">
        <v>2541</v>
      </c>
      <c r="E759" s="2277" t="str">
        <f t="shared" si="54"/>
        <v>LS</v>
      </c>
      <c r="F759" s="55">
        <v>2000</v>
      </c>
      <c r="J759" s="55" t="str">
        <f t="shared" si="53"/>
        <v>LSTK220d</v>
      </c>
    </row>
    <row r="760" spans="1:10" hidden="1">
      <c r="A760" s="79" t="s">
        <v>2016</v>
      </c>
      <c r="B760" s="84" t="s">
        <v>1104</v>
      </c>
      <c r="C760" s="81" t="s">
        <v>3271</v>
      </c>
      <c r="D760" s="80" t="s">
        <v>2541</v>
      </c>
      <c r="E760" s="2277" t="str">
        <f t="shared" si="54"/>
        <v>LP</v>
      </c>
      <c r="F760" s="55">
        <v>2000</v>
      </c>
      <c r="J760" s="55" t="str">
        <f t="shared" si="53"/>
        <v>LPVC42CL</v>
      </c>
    </row>
    <row r="761" spans="1:10" hidden="1">
      <c r="A761" s="79" t="s">
        <v>1101</v>
      </c>
      <c r="B761" s="84" t="s">
        <v>2110</v>
      </c>
      <c r="C761" s="81" t="s">
        <v>3272</v>
      </c>
      <c r="D761" s="80" t="s">
        <v>2541</v>
      </c>
      <c r="E761" s="2277" t="str">
        <f t="shared" si="54"/>
        <v>LP</v>
      </c>
      <c r="F761" s="55">
        <v>2000</v>
      </c>
      <c r="J761" s="55" t="str">
        <f t="shared" si="53"/>
        <v>LPVC60CL</v>
      </c>
    </row>
    <row r="762" spans="1:10" hidden="1">
      <c r="A762" s="79" t="s">
        <v>552</v>
      </c>
      <c r="B762" s="84" t="s">
        <v>1756</v>
      </c>
      <c r="C762" s="81" t="s">
        <v>3273</v>
      </c>
      <c r="D762" s="80" t="s">
        <v>2541</v>
      </c>
      <c r="E762" s="2277" t="str">
        <f t="shared" si="54"/>
        <v>LP</v>
      </c>
      <c r="F762" s="55">
        <v>2000</v>
      </c>
      <c r="J762" s="55" t="str">
        <f t="shared" si="53"/>
        <v>LPVC90CL</v>
      </c>
    </row>
    <row r="763" spans="1:10" hidden="1">
      <c r="A763" s="79" t="s">
        <v>963</v>
      </c>
      <c r="B763" s="84" t="s">
        <v>964</v>
      </c>
      <c r="C763" s="81" t="s">
        <v>3274</v>
      </c>
      <c r="D763" s="80" t="s">
        <v>2541</v>
      </c>
      <c r="E763" s="2277" t="str">
        <f t="shared" si="54"/>
        <v>LP</v>
      </c>
      <c r="F763" s="55">
        <v>2000</v>
      </c>
      <c r="J763" s="55" t="str">
        <f t="shared" si="53"/>
        <v>LPVC114CL</v>
      </c>
    </row>
    <row r="764" spans="1:10" hidden="1">
      <c r="A764" s="79" t="s">
        <v>442</v>
      </c>
      <c r="B764" s="84" t="s">
        <v>1104</v>
      </c>
      <c r="C764" s="81" t="s">
        <v>3275</v>
      </c>
      <c r="D764" s="80" t="s">
        <v>2541</v>
      </c>
      <c r="E764" s="2277" t="str">
        <f t="shared" si="54"/>
        <v>LP</v>
      </c>
      <c r="F764" s="55">
        <v>2000</v>
      </c>
      <c r="J764" s="55" t="str">
        <f t="shared" si="53"/>
        <v>LPVC140CL</v>
      </c>
    </row>
    <row r="765" spans="1:10" hidden="1">
      <c r="A765" s="79" t="s">
        <v>1190</v>
      </c>
      <c r="B765" s="1778" t="s">
        <v>575</v>
      </c>
      <c r="C765" s="81" t="s">
        <v>1191</v>
      </c>
      <c r="D765" s="80" t="s">
        <v>2541</v>
      </c>
      <c r="E765" s="2277" t="str">
        <f t="shared" si="54"/>
        <v>LP</v>
      </c>
      <c r="F765" s="55">
        <v>2000</v>
      </c>
      <c r="J765" s="55" t="str">
        <f t="shared" si="53"/>
        <v>LPVC</v>
      </c>
    </row>
    <row r="766" spans="1:10" hidden="1">
      <c r="A766" s="79" t="s">
        <v>2102</v>
      </c>
      <c r="B766" s="1778" t="s">
        <v>1605</v>
      </c>
      <c r="C766" s="81" t="s">
        <v>3276</v>
      </c>
      <c r="D766" s="80" t="s">
        <v>2541</v>
      </c>
      <c r="E766" s="2277" t="str">
        <f t="shared" si="54"/>
        <v>KC</v>
      </c>
      <c r="F766" s="55">
        <v>2000</v>
      </c>
      <c r="J766" s="55" t="str">
        <f t="shared" si="53"/>
        <v>KCN1kg</v>
      </c>
    </row>
    <row r="767" spans="1:10" hidden="1">
      <c r="A767" s="79" t="s">
        <v>1839</v>
      </c>
      <c r="B767" s="1778" t="s">
        <v>1606</v>
      </c>
      <c r="C767" s="81" t="s">
        <v>3277</v>
      </c>
      <c r="D767" s="80" t="s">
        <v>2541</v>
      </c>
      <c r="E767" s="2277" t="str">
        <f t="shared" si="54"/>
        <v>KC</v>
      </c>
      <c r="F767" s="55">
        <v>2000</v>
      </c>
      <c r="J767" s="55" t="str">
        <f t="shared" si="53"/>
        <v>KCN2kg</v>
      </c>
    </row>
    <row r="768" spans="1:10" hidden="1">
      <c r="A768" s="79" t="s">
        <v>812</v>
      </c>
      <c r="B768" s="1778" t="s">
        <v>1607</v>
      </c>
      <c r="C768" s="81" t="s">
        <v>3278</v>
      </c>
      <c r="D768" s="80" t="s">
        <v>2541</v>
      </c>
      <c r="E768" s="2277" t="str">
        <f t="shared" si="54"/>
        <v>KC</v>
      </c>
      <c r="F768" s="55">
        <v>2000</v>
      </c>
      <c r="J768" s="55" t="str">
        <f t="shared" si="53"/>
        <v>KCN3kg</v>
      </c>
    </row>
    <row r="769" spans="1:10" hidden="1">
      <c r="A769" s="79" t="s">
        <v>813</v>
      </c>
      <c r="B769" s="1778" t="s">
        <v>1608</v>
      </c>
      <c r="C769" s="81" t="s">
        <v>3279</v>
      </c>
      <c r="D769" s="80" t="s">
        <v>2541</v>
      </c>
      <c r="E769" s="2277" t="str">
        <f t="shared" si="54"/>
        <v>KC</v>
      </c>
      <c r="F769" s="55">
        <v>2000</v>
      </c>
      <c r="J769" s="55" t="str">
        <f t="shared" si="53"/>
        <v>KCN4kg</v>
      </c>
    </row>
    <row r="770" spans="1:10" hidden="1">
      <c r="A770" s="79" t="s">
        <v>1184</v>
      </c>
      <c r="B770" s="1778" t="s">
        <v>1609</v>
      </c>
      <c r="C770" s="81" t="s">
        <v>3280</v>
      </c>
      <c r="D770" s="80" t="s">
        <v>2541</v>
      </c>
      <c r="E770" s="2277" t="str">
        <f t="shared" si="54"/>
        <v>KC</v>
      </c>
      <c r="F770" s="55">
        <v>2000</v>
      </c>
      <c r="J770" s="55" t="str">
        <f t="shared" si="53"/>
        <v>KCN6kg</v>
      </c>
    </row>
    <row r="771" spans="1:10" hidden="1">
      <c r="A771" s="79" t="s">
        <v>1185</v>
      </c>
      <c r="B771" s="1778" t="s">
        <v>1691</v>
      </c>
      <c r="C771" s="81" t="s">
        <v>3281</v>
      </c>
      <c r="D771" s="80" t="s">
        <v>2541</v>
      </c>
      <c r="E771" s="2277" t="str">
        <f t="shared" si="54"/>
        <v>KC</v>
      </c>
      <c r="F771" s="55">
        <v>2000</v>
      </c>
      <c r="J771" s="55" t="str">
        <f t="shared" si="53"/>
        <v>KCN7kg</v>
      </c>
    </row>
    <row r="772" spans="1:10" hidden="1">
      <c r="A772" s="79" t="s">
        <v>1041</v>
      </c>
      <c r="B772" s="1778" t="s">
        <v>1692</v>
      </c>
      <c r="C772" s="81" t="s">
        <v>3282</v>
      </c>
      <c r="D772" s="80" t="s">
        <v>2541</v>
      </c>
      <c r="E772" s="2277" t="str">
        <f t="shared" si="54"/>
        <v>KC</v>
      </c>
      <c r="F772" s="55">
        <v>2000</v>
      </c>
      <c r="J772" s="55" t="str">
        <f t="shared" si="53"/>
        <v>KCN9kg</v>
      </c>
    </row>
    <row r="773" spans="1:10" hidden="1">
      <c r="A773" s="79" t="s">
        <v>1693</v>
      </c>
      <c r="B773" s="1778" t="s">
        <v>1695</v>
      </c>
      <c r="C773" s="81" t="s">
        <v>3283</v>
      </c>
      <c r="D773" s="80" t="s">
        <v>2541</v>
      </c>
      <c r="E773" s="2277" t="str">
        <f t="shared" si="54"/>
        <v>KC</v>
      </c>
      <c r="F773" s="55">
        <v>2000</v>
      </c>
      <c r="J773" s="55" t="str">
        <f t="shared" si="53"/>
        <v>KCN10kg</v>
      </c>
    </row>
    <row r="774" spans="1:10" hidden="1">
      <c r="A774" s="79" t="s">
        <v>1694</v>
      </c>
      <c r="B774" s="1778" t="s">
        <v>1696</v>
      </c>
      <c r="C774" s="81" t="s">
        <v>3284</v>
      </c>
      <c r="D774" s="80" t="s">
        <v>2541</v>
      </c>
      <c r="E774" s="2277" t="str">
        <f t="shared" si="54"/>
        <v>KC</v>
      </c>
      <c r="F774" s="55">
        <v>2000</v>
      </c>
      <c r="J774" s="55" t="str">
        <f t="shared" si="53"/>
        <v>KCN12kg</v>
      </c>
    </row>
    <row r="775" spans="1:10" hidden="1">
      <c r="A775" s="79" t="s">
        <v>1202</v>
      </c>
      <c r="B775" s="84" t="s">
        <v>1532</v>
      </c>
      <c r="C775" s="81" t="s">
        <v>3285</v>
      </c>
      <c r="D775" s="80" t="s">
        <v>2541</v>
      </c>
      <c r="E775" s="2277" t="str">
        <f t="shared" si="54"/>
        <v>KC</v>
      </c>
      <c r="F775" s="55">
        <v>2000</v>
      </c>
      <c r="J775" s="55" t="str">
        <f t="shared" si="53"/>
        <v>KCNT1kg</v>
      </c>
    </row>
    <row r="776" spans="1:10" hidden="1">
      <c r="A776" s="79" t="s">
        <v>1203</v>
      </c>
      <c r="B776" s="84" t="s">
        <v>334</v>
      </c>
      <c r="C776" s="81" t="s">
        <v>3286</v>
      </c>
      <c r="D776" s="80" t="s">
        <v>2541</v>
      </c>
      <c r="E776" s="2277" t="str">
        <f t="shared" si="54"/>
        <v>KC</v>
      </c>
      <c r="F776" s="55">
        <v>2000</v>
      </c>
      <c r="J776" s="55" t="str">
        <f t="shared" si="53"/>
        <v>KCNT2kg</v>
      </c>
    </row>
    <row r="777" spans="1:10" hidden="1">
      <c r="A777" s="79" t="s">
        <v>1204</v>
      </c>
      <c r="B777" s="84" t="s">
        <v>335</v>
      </c>
      <c r="C777" s="81" t="s">
        <v>3287</v>
      </c>
      <c r="D777" s="80" t="s">
        <v>2541</v>
      </c>
      <c r="E777" s="2277" t="str">
        <f t="shared" si="54"/>
        <v>KC</v>
      </c>
      <c r="F777" s="55">
        <v>2000</v>
      </c>
      <c r="J777" s="55" t="str">
        <f t="shared" si="53"/>
        <v>KCNT3kg</v>
      </c>
    </row>
    <row r="778" spans="1:10" hidden="1">
      <c r="A778" s="79" t="s">
        <v>1205</v>
      </c>
      <c r="B778" s="84" t="s">
        <v>336</v>
      </c>
      <c r="C778" s="81" t="s">
        <v>3288</v>
      </c>
      <c r="D778" s="80" t="s">
        <v>2541</v>
      </c>
      <c r="E778" s="2277" t="str">
        <f t="shared" si="54"/>
        <v>KC</v>
      </c>
      <c r="F778" s="55">
        <v>2000</v>
      </c>
      <c r="J778" s="55" t="str">
        <f t="shared" si="53"/>
        <v>KCNT4kg</v>
      </c>
    </row>
    <row r="779" spans="1:10" hidden="1">
      <c r="A779" s="79" t="s">
        <v>1206</v>
      </c>
      <c r="B779" s="84" t="s">
        <v>337</v>
      </c>
      <c r="C779" s="81" t="s">
        <v>3289</v>
      </c>
      <c r="D779" s="80" t="s">
        <v>2541</v>
      </c>
      <c r="E779" s="2277" t="str">
        <f t="shared" si="54"/>
        <v>KC</v>
      </c>
      <c r="F779" s="55">
        <v>2000</v>
      </c>
      <c r="J779" s="55" t="str">
        <f t="shared" ref="J779:J842" si="55">A779</f>
        <v>KCNT6kg</v>
      </c>
    </row>
    <row r="780" spans="1:10" hidden="1">
      <c r="A780" s="79" t="s">
        <v>1207</v>
      </c>
      <c r="B780" s="84" t="s">
        <v>1285</v>
      </c>
      <c r="C780" s="81" t="s">
        <v>3290</v>
      </c>
      <c r="D780" s="80" t="s">
        <v>2541</v>
      </c>
      <c r="E780" s="2277" t="str">
        <f t="shared" si="54"/>
        <v>KC</v>
      </c>
      <c r="F780" s="55">
        <v>2000</v>
      </c>
      <c r="J780" s="55" t="str">
        <f t="shared" si="55"/>
        <v>KCNT7kg</v>
      </c>
    </row>
    <row r="781" spans="1:10" hidden="1">
      <c r="A781" s="79" t="s">
        <v>1208</v>
      </c>
      <c r="B781" s="84" t="s">
        <v>338</v>
      </c>
      <c r="C781" s="81" t="s">
        <v>3291</v>
      </c>
      <c r="D781" s="80" t="s">
        <v>2541</v>
      </c>
      <c r="E781" s="2277" t="str">
        <f t="shared" si="54"/>
        <v>KC</v>
      </c>
      <c r="F781" s="55">
        <v>2000</v>
      </c>
      <c r="J781" s="55" t="str">
        <f t="shared" si="55"/>
        <v>KCNT9kg</v>
      </c>
    </row>
    <row r="782" spans="1:10" hidden="1">
      <c r="A782" s="79" t="s">
        <v>347</v>
      </c>
      <c r="B782" s="84" t="s">
        <v>434</v>
      </c>
      <c r="C782" s="81" t="s">
        <v>3292</v>
      </c>
      <c r="D782" s="80" t="s">
        <v>2448</v>
      </c>
      <c r="E782" s="2277" t="str">
        <f t="shared" si="54"/>
        <v>LS</v>
      </c>
      <c r="F782" s="55">
        <v>2000</v>
      </c>
      <c r="J782" s="55" t="str">
        <f t="shared" si="55"/>
        <v>LSD</v>
      </c>
    </row>
    <row r="783" spans="1:10" hidden="1">
      <c r="A783" s="79" t="s">
        <v>1232</v>
      </c>
      <c r="B783" s="84" t="s">
        <v>434</v>
      </c>
      <c r="C783" s="81" t="s">
        <v>3293</v>
      </c>
      <c r="D783" s="80" t="s">
        <v>2448</v>
      </c>
      <c r="E783" s="2277" t="str">
        <f t="shared" si="54"/>
        <v>LS</v>
      </c>
      <c r="F783" s="55">
        <v>2000</v>
      </c>
      <c r="J783" s="55" t="str">
        <f t="shared" si="55"/>
        <v>LSD_T</v>
      </c>
    </row>
    <row r="784" spans="1:10" hidden="1">
      <c r="A784" s="79" t="s">
        <v>1186</v>
      </c>
      <c r="B784" s="84" t="s">
        <v>928</v>
      </c>
      <c r="C784" s="81" t="s">
        <v>3294</v>
      </c>
      <c r="D784" s="80" t="s">
        <v>2448</v>
      </c>
      <c r="E784" s="2277" t="str">
        <f t="shared" si="54"/>
        <v>ls</v>
      </c>
      <c r="F784" s="55">
        <v>2000</v>
      </c>
      <c r="J784" s="55" t="str">
        <f t="shared" si="55"/>
        <v>lsd35</v>
      </c>
    </row>
    <row r="785" spans="1:10" hidden="1">
      <c r="A785" s="79" t="s">
        <v>349</v>
      </c>
      <c r="B785" s="84" t="s">
        <v>1254</v>
      </c>
      <c r="C785" s="81" t="s">
        <v>3295</v>
      </c>
      <c r="D785" s="80" t="s">
        <v>2521</v>
      </c>
      <c r="E785" s="2277" t="str">
        <f t="shared" si="54"/>
        <v>LC</v>
      </c>
      <c r="F785" s="55">
        <v>2000</v>
      </c>
      <c r="J785" s="55" t="str">
        <f t="shared" si="55"/>
        <v>LCHSD</v>
      </c>
    </row>
    <row r="786" spans="1:10" hidden="1">
      <c r="A786" s="79" t="s">
        <v>350</v>
      </c>
      <c r="B786" s="84" t="s">
        <v>294</v>
      </c>
      <c r="C786" s="81" t="s">
        <v>3296</v>
      </c>
      <c r="D786" s="80" t="s">
        <v>2521</v>
      </c>
      <c r="E786" s="2277" t="str">
        <f t="shared" si="54"/>
        <v>LC</v>
      </c>
      <c r="F786" s="55">
        <v>2000</v>
      </c>
      <c r="J786" s="55" t="str">
        <f t="shared" si="55"/>
        <v>LCHSN</v>
      </c>
    </row>
    <row r="787" spans="1:10" hidden="1">
      <c r="A787" s="79" t="s">
        <v>1512</v>
      </c>
      <c r="B787" s="84" t="s">
        <v>4370</v>
      </c>
      <c r="C787" s="81" t="s">
        <v>3297</v>
      </c>
      <c r="D787" s="80" t="s">
        <v>2521</v>
      </c>
      <c r="E787" s="2277" t="str">
        <f t="shared" si="54"/>
        <v>LC</v>
      </c>
      <c r="F787" s="55">
        <v>2000</v>
      </c>
      <c r="J787" s="55" t="str">
        <f t="shared" si="55"/>
        <v>LCHSNply</v>
      </c>
    </row>
    <row r="788" spans="1:10" hidden="1">
      <c r="A788" s="79" t="s">
        <v>626</v>
      </c>
      <c r="B788" s="84" t="s">
        <v>627</v>
      </c>
      <c r="C788" s="81" t="s">
        <v>3298</v>
      </c>
      <c r="D788" s="80" t="s">
        <v>2521</v>
      </c>
      <c r="E788" s="2277" t="str">
        <f t="shared" si="54"/>
        <v>LC</v>
      </c>
      <c r="F788" s="55">
        <v>2000</v>
      </c>
      <c r="J788" s="55" t="str">
        <f t="shared" si="55"/>
        <v>LCHSN3</v>
      </c>
    </row>
    <row r="789" spans="1:10" hidden="1">
      <c r="A789" s="79" t="s">
        <v>351</v>
      </c>
      <c r="B789" s="84" t="s">
        <v>4369</v>
      </c>
      <c r="C789" s="81" t="s">
        <v>3299</v>
      </c>
      <c r="D789" s="80" t="s">
        <v>2448</v>
      </c>
      <c r="E789" s="2277" t="str">
        <f t="shared" si="54"/>
        <v>LS</v>
      </c>
      <c r="F789" s="55">
        <v>2000</v>
      </c>
      <c r="J789" s="55" t="str">
        <f t="shared" si="55"/>
        <v>LSOC</v>
      </c>
    </row>
    <row r="790" spans="1:10" hidden="1">
      <c r="A790" s="79" t="s">
        <v>125</v>
      </c>
      <c r="B790" s="84" t="s">
        <v>126</v>
      </c>
      <c r="C790" s="81" t="s">
        <v>3300</v>
      </c>
      <c r="D790" s="80" t="s">
        <v>2448</v>
      </c>
      <c r="E790" s="2277" t="str">
        <f t="shared" si="54"/>
        <v>LR</v>
      </c>
      <c r="F790" s="55">
        <v>2000</v>
      </c>
      <c r="J790" s="55" t="str">
        <f t="shared" si="55"/>
        <v>LR2</v>
      </c>
    </row>
    <row r="791" spans="1:10" hidden="1">
      <c r="A791" s="79" t="s">
        <v>452</v>
      </c>
      <c r="B791" s="84" t="s">
        <v>1013</v>
      </c>
      <c r="C791" s="81" t="s">
        <v>3301</v>
      </c>
      <c r="D791" s="80" t="s">
        <v>2448</v>
      </c>
      <c r="E791" s="2277" t="str">
        <f t="shared" si="54"/>
        <v>LR</v>
      </c>
      <c r="F791" s="55">
        <v>2000</v>
      </c>
      <c r="J791" s="55" t="str">
        <f t="shared" si="55"/>
        <v>LR3</v>
      </c>
    </row>
    <row r="792" spans="1:10" hidden="1">
      <c r="A792" s="79" t="s">
        <v>691</v>
      </c>
      <c r="B792" s="84" t="s">
        <v>1014</v>
      </c>
      <c r="C792" s="81" t="s">
        <v>3302</v>
      </c>
      <c r="D792" s="80" t="s">
        <v>2448</v>
      </c>
      <c r="E792" s="2277" t="str">
        <f t="shared" si="54"/>
        <v>LR</v>
      </c>
      <c r="F792" s="55">
        <v>2000</v>
      </c>
      <c r="J792" s="55" t="str">
        <f t="shared" si="55"/>
        <v>LR4</v>
      </c>
    </row>
    <row r="793" spans="1:10" hidden="1">
      <c r="A793" s="79" t="s">
        <v>2172</v>
      </c>
      <c r="B793" s="1778" t="s">
        <v>2173</v>
      </c>
      <c r="C793" s="81" t="s">
        <v>3303</v>
      </c>
      <c r="D793" s="80" t="s">
        <v>2842</v>
      </c>
      <c r="E793" s="2277" t="str">
        <f t="shared" si="54"/>
        <v>LT</v>
      </c>
      <c r="F793" s="55">
        <v>2000</v>
      </c>
      <c r="J793" s="55" t="str">
        <f t="shared" si="55"/>
        <v>LTRUHL-I</v>
      </c>
    </row>
    <row r="794" spans="1:10" hidden="1">
      <c r="A794" s="79" t="s">
        <v>160</v>
      </c>
      <c r="B794" s="1778" t="s">
        <v>156</v>
      </c>
      <c r="C794" s="81" t="s">
        <v>3304</v>
      </c>
      <c r="D794" s="80" t="s">
        <v>2448</v>
      </c>
      <c r="E794" s="2277" t="str">
        <f t="shared" si="54"/>
        <v>LS</v>
      </c>
      <c r="F794" s="55">
        <v>2000</v>
      </c>
      <c r="J794" s="55" t="str">
        <f t="shared" si="55"/>
        <v>LSDHL-DX</v>
      </c>
    </row>
    <row r="795" spans="1:10" hidden="1">
      <c r="A795" s="79" t="s">
        <v>155</v>
      </c>
      <c r="B795" s="1778" t="s">
        <v>157</v>
      </c>
      <c r="C795" s="81" t="s">
        <v>3305</v>
      </c>
      <c r="D795" s="80" t="s">
        <v>2448</v>
      </c>
      <c r="E795" s="2277" t="str">
        <f t="shared" si="54"/>
        <v>LC</v>
      </c>
      <c r="F795" s="55">
        <v>2000</v>
      </c>
      <c r="J795" s="55" t="str">
        <f t="shared" si="55"/>
        <v>LCHSNplyHL</v>
      </c>
    </row>
    <row r="796" spans="1:10" hidden="1">
      <c r="A796" s="79" t="s">
        <v>401</v>
      </c>
      <c r="B796" s="1778" t="s">
        <v>402</v>
      </c>
      <c r="C796" s="81" t="s">
        <v>3306</v>
      </c>
      <c r="D796" s="80" t="s">
        <v>3307</v>
      </c>
      <c r="E796" s="2277" t="str">
        <f t="shared" si="54"/>
        <v>DN</v>
      </c>
      <c r="F796" s="55">
        <v>2000</v>
      </c>
      <c r="J796" s="55" t="str">
        <f t="shared" si="55"/>
        <v>DN CL</v>
      </c>
    </row>
    <row r="797" spans="1:10" hidden="1">
      <c r="A797" s="79" t="s">
        <v>159</v>
      </c>
      <c r="B797" s="1778" t="s">
        <v>158</v>
      </c>
      <c r="C797" s="81" t="s">
        <v>3308</v>
      </c>
      <c r="D797" s="80" t="s">
        <v>2448</v>
      </c>
      <c r="E797" s="2277" t="str">
        <f t="shared" si="54"/>
        <v>LX</v>
      </c>
      <c r="F797" s="55">
        <v>2000</v>
      </c>
      <c r="J797" s="55" t="str">
        <f t="shared" si="55"/>
        <v>LXHL</v>
      </c>
    </row>
    <row r="798" spans="1:10" hidden="1">
      <c r="A798" s="79" t="s">
        <v>161</v>
      </c>
      <c r="B798" s="1778" t="s">
        <v>325</v>
      </c>
      <c r="C798" s="81" t="s">
        <v>3309</v>
      </c>
      <c r="D798" s="80" t="s">
        <v>2448</v>
      </c>
      <c r="E798" s="2277" t="str">
        <f t="shared" si="54"/>
        <v>LS</v>
      </c>
      <c r="F798" s="55">
        <v>2000</v>
      </c>
      <c r="J798" s="55" t="str">
        <f t="shared" si="55"/>
        <v>LSDHL-V</v>
      </c>
    </row>
    <row r="799" spans="1:10" hidden="1">
      <c r="A799" s="79" t="s">
        <v>327</v>
      </c>
      <c r="B799" s="1778" t="s">
        <v>326</v>
      </c>
      <c r="C799" s="81" t="s">
        <v>3310</v>
      </c>
      <c r="D799" s="80" t="s">
        <v>2448</v>
      </c>
      <c r="E799" s="2277" t="str">
        <f t="shared" si="54"/>
        <v>LF</v>
      </c>
      <c r="F799" s="55">
        <v>2000</v>
      </c>
      <c r="J799" s="55" t="str">
        <f t="shared" si="55"/>
        <v>LFCOHL</v>
      </c>
    </row>
    <row r="800" spans="1:10" hidden="1">
      <c r="A800" s="79" t="s">
        <v>328</v>
      </c>
      <c r="B800" s="1778" t="s">
        <v>326</v>
      </c>
      <c r="C800" s="81" t="s">
        <v>3311</v>
      </c>
      <c r="D800" s="80" t="s">
        <v>2566</v>
      </c>
      <c r="E800" s="2277" t="str">
        <f t="shared" si="54"/>
        <v>LL</v>
      </c>
      <c r="F800" s="55">
        <v>2000</v>
      </c>
      <c r="J800" s="55" t="str">
        <f t="shared" si="55"/>
        <v>LLAHL</v>
      </c>
    </row>
    <row r="801" spans="1:10" hidden="1">
      <c r="A801" s="79" t="s">
        <v>352</v>
      </c>
      <c r="B801" s="84" t="s">
        <v>2130</v>
      </c>
      <c r="C801" s="81" t="s">
        <v>3312</v>
      </c>
      <c r="D801" s="80" t="s">
        <v>2566</v>
      </c>
      <c r="E801" s="2277" t="str">
        <f t="shared" ref="E801:E864" si="56">LEFT(A801,2)</f>
        <v>LB</v>
      </c>
      <c r="F801" s="55">
        <v>2000</v>
      </c>
      <c r="J801" s="55" t="str">
        <f t="shared" si="55"/>
        <v>LBNH</v>
      </c>
    </row>
    <row r="802" spans="1:10" hidden="1">
      <c r="A802" s="79" t="s">
        <v>850</v>
      </c>
      <c r="B802" s="84" t="s">
        <v>2257</v>
      </c>
      <c r="C802" s="81" t="s">
        <v>3313</v>
      </c>
      <c r="D802" s="80" t="s">
        <v>1829</v>
      </c>
      <c r="E802" s="2277" t="str">
        <f t="shared" si="56"/>
        <v>Lc</v>
      </c>
      <c r="F802" s="55">
        <v>2000</v>
      </c>
      <c r="J802" s="55" t="str">
        <f t="shared" si="55"/>
        <v>LcapdongTB95</v>
      </c>
    </row>
    <row r="803" spans="1:10" hidden="1">
      <c r="A803" s="79" t="s">
        <v>851</v>
      </c>
      <c r="B803" s="84" t="s">
        <v>33</v>
      </c>
      <c r="C803" s="81" t="s">
        <v>3314</v>
      </c>
      <c r="D803" s="80" t="s">
        <v>1829</v>
      </c>
      <c r="E803" s="2277" t="str">
        <f t="shared" si="56"/>
        <v>Lc</v>
      </c>
      <c r="F803" s="55">
        <v>2000</v>
      </c>
      <c r="J803" s="55" t="str">
        <f t="shared" si="55"/>
        <v>LcapdongTB150</v>
      </c>
    </row>
    <row r="804" spans="1:10" hidden="1">
      <c r="A804" s="79" t="s">
        <v>1896</v>
      </c>
      <c r="B804" s="84" t="s">
        <v>1016</v>
      </c>
      <c r="C804" s="81" t="s">
        <v>3315</v>
      </c>
      <c r="D804" s="80" t="s">
        <v>1829</v>
      </c>
      <c r="E804" s="2277" t="str">
        <f t="shared" si="56"/>
        <v>Lc</v>
      </c>
      <c r="F804" s="55">
        <v>2000</v>
      </c>
      <c r="J804" s="55" t="str">
        <f t="shared" si="55"/>
        <v>LcapdongTB240</v>
      </c>
    </row>
    <row r="805" spans="1:10" hidden="1">
      <c r="A805" s="79" t="s">
        <v>833</v>
      </c>
      <c r="B805" s="84" t="s">
        <v>435</v>
      </c>
      <c r="C805" s="81" t="s">
        <v>3316</v>
      </c>
      <c r="D805" s="80" t="s">
        <v>2566</v>
      </c>
      <c r="E805" s="2277" t="str">
        <f t="shared" si="56"/>
        <v>LF</v>
      </c>
      <c r="F805" s="55">
        <v>2000</v>
      </c>
      <c r="J805" s="55" t="str">
        <f t="shared" si="55"/>
        <v>LFCO</v>
      </c>
    </row>
    <row r="806" spans="1:10" hidden="1">
      <c r="A806" s="79" t="s">
        <v>1403</v>
      </c>
      <c r="B806" s="84" t="s">
        <v>435</v>
      </c>
      <c r="C806" s="81" t="s">
        <v>3317</v>
      </c>
      <c r="D806" s="80" t="s">
        <v>2566</v>
      </c>
      <c r="E806" s="2277" t="str">
        <f t="shared" si="56"/>
        <v>LL</v>
      </c>
      <c r="F806" s="55">
        <v>2000</v>
      </c>
      <c r="J806" s="55" t="str">
        <f t="shared" si="55"/>
        <v>LLBFCO</v>
      </c>
    </row>
    <row r="807" spans="1:10" hidden="1">
      <c r="A807" s="79" t="s">
        <v>1404</v>
      </c>
      <c r="B807" s="84" t="s">
        <v>682</v>
      </c>
      <c r="C807" s="81" t="s">
        <v>2535</v>
      </c>
      <c r="D807" s="80" t="s">
        <v>2448</v>
      </c>
      <c r="E807" s="2277" t="str">
        <f t="shared" si="56"/>
        <v>LG</v>
      </c>
      <c r="F807" s="55">
        <v>2000</v>
      </c>
      <c r="J807" s="55" t="str">
        <f t="shared" si="55"/>
        <v>LGFCO</v>
      </c>
    </row>
    <row r="808" spans="1:10" hidden="1">
      <c r="A808" s="79" t="s">
        <v>98</v>
      </c>
      <c r="B808" s="84" t="s">
        <v>99</v>
      </c>
      <c r="C808" s="81" t="s">
        <v>3318</v>
      </c>
      <c r="D808" s="80" t="s">
        <v>1966</v>
      </c>
      <c r="E808" s="2277" t="str">
        <f t="shared" si="56"/>
        <v>PT</v>
      </c>
      <c r="F808" s="55">
        <v>2000</v>
      </c>
      <c r="J808" s="55" t="str">
        <f t="shared" si="55"/>
        <v>PT</v>
      </c>
    </row>
    <row r="809" spans="1:10" hidden="1">
      <c r="A809" s="79" t="s">
        <v>1218</v>
      </c>
      <c r="B809" s="84" t="s">
        <v>849</v>
      </c>
      <c r="C809" s="81" t="s">
        <v>3319</v>
      </c>
      <c r="D809" s="80" t="s">
        <v>1966</v>
      </c>
      <c r="E809" s="2277" t="str">
        <f t="shared" si="56"/>
        <v>PH</v>
      </c>
      <c r="F809" s="55">
        <v>2000</v>
      </c>
      <c r="J809" s="55" t="str">
        <f t="shared" si="55"/>
        <v>PHABETONG</v>
      </c>
    </row>
    <row r="810" spans="1:10" hidden="1">
      <c r="B810" s="1798"/>
      <c r="C810" s="1799"/>
      <c r="D810" s="1800"/>
      <c r="E810" s="2277" t="str">
        <f t="shared" si="56"/>
        <v/>
      </c>
      <c r="J810" s="55">
        <f t="shared" si="55"/>
        <v>0</v>
      </c>
    </row>
    <row r="811" spans="1:10" hidden="1">
      <c r="B811" s="1801"/>
      <c r="C811" s="1802"/>
      <c r="D811" s="1803"/>
      <c r="E811" s="2277" t="str">
        <f t="shared" si="56"/>
        <v/>
      </c>
      <c r="J811" s="55">
        <f t="shared" si="55"/>
        <v>0</v>
      </c>
    </row>
    <row r="812" spans="1:10" hidden="1">
      <c r="B812" s="1801"/>
      <c r="C812" s="1802"/>
      <c r="D812" s="1803"/>
      <c r="E812" s="2277" t="str">
        <f t="shared" si="56"/>
        <v/>
      </c>
      <c r="J812" s="55">
        <f t="shared" si="55"/>
        <v>0</v>
      </c>
    </row>
    <row r="813" spans="1:10" hidden="1">
      <c r="A813" s="1802"/>
      <c r="B813" s="1804"/>
      <c r="C813" s="1805"/>
      <c r="D813" s="1803"/>
      <c r="E813" s="2277" t="str">
        <f t="shared" si="56"/>
        <v/>
      </c>
      <c r="J813" s="55">
        <f t="shared" si="55"/>
        <v>0</v>
      </c>
    </row>
    <row r="814" spans="1:10" hidden="1">
      <c r="A814" s="1777" t="s">
        <v>4434</v>
      </c>
      <c r="B814" s="1806"/>
      <c r="C814" s="1777"/>
      <c r="D814" s="1791"/>
      <c r="E814" s="2277" t="str">
        <f t="shared" si="56"/>
        <v>Bả</v>
      </c>
      <c r="J814" s="55" t="str">
        <f t="shared" si="55"/>
        <v>Bảng kê đơn Giá trạm biến áp ( 66/1999/QĐ-BCN)</v>
      </c>
    </row>
    <row r="815" spans="1:10" hidden="1">
      <c r="A815" s="1777"/>
      <c r="B815" s="1806"/>
      <c r="C815" s="1777"/>
      <c r="D815" s="1790"/>
      <c r="E815" s="2277" t="str">
        <f t="shared" si="56"/>
        <v/>
      </c>
      <c r="J815" s="55">
        <f t="shared" si="55"/>
        <v>0</v>
      </c>
    </row>
    <row r="816" spans="1:10" hidden="1">
      <c r="A816" s="1792" t="s">
        <v>2614</v>
      </c>
      <c r="B816" s="1794" t="s">
        <v>2615</v>
      </c>
      <c r="C816" s="1792" t="s">
        <v>3065</v>
      </c>
      <c r="D816" s="1794" t="s">
        <v>2617</v>
      </c>
      <c r="E816" s="2277" t="str">
        <f t="shared" si="56"/>
        <v>Mã</v>
      </c>
      <c r="J816" s="55" t="str">
        <f t="shared" si="55"/>
        <v>Mã</v>
      </c>
    </row>
    <row r="817" spans="1:10" hidden="1">
      <c r="A817" s="1792">
        <v>1</v>
      </c>
      <c r="B817" s="1794">
        <v>2</v>
      </c>
      <c r="C817" s="1792">
        <v>3</v>
      </c>
      <c r="D817" s="1794">
        <v>4</v>
      </c>
      <c r="E817" s="2277" t="str">
        <f t="shared" si="56"/>
        <v>1</v>
      </c>
      <c r="J817" s="55">
        <f t="shared" si="55"/>
        <v>1</v>
      </c>
    </row>
    <row r="818" spans="1:10" hidden="1">
      <c r="A818" s="79" t="s">
        <v>1629</v>
      </c>
      <c r="B818" s="1778" t="s">
        <v>781</v>
      </c>
      <c r="C818" s="81" t="s">
        <v>3320</v>
      </c>
      <c r="D818" s="80" t="s">
        <v>3321</v>
      </c>
      <c r="E818" s="2277" t="str">
        <f t="shared" si="56"/>
        <v>TR</v>
      </c>
      <c r="F818" s="55">
        <v>1</v>
      </c>
      <c r="G818" s="55" t="s">
        <v>512</v>
      </c>
      <c r="J818" s="55" t="str">
        <f t="shared" si="55"/>
        <v>TR15</v>
      </c>
    </row>
    <row r="819" spans="1:10" hidden="1">
      <c r="A819" s="79" t="s">
        <v>937</v>
      </c>
      <c r="B819" s="1778" t="s">
        <v>781</v>
      </c>
      <c r="C819" s="81" t="s">
        <v>3322</v>
      </c>
      <c r="D819" s="80" t="s">
        <v>3321</v>
      </c>
      <c r="E819" s="2277" t="str">
        <f t="shared" si="56"/>
        <v>TR</v>
      </c>
      <c r="F819" s="55">
        <v>1</v>
      </c>
      <c r="G819" s="55" t="s">
        <v>512</v>
      </c>
      <c r="J819" s="55" t="str">
        <f t="shared" si="55"/>
        <v>TR25</v>
      </c>
    </row>
    <row r="820" spans="1:10" hidden="1">
      <c r="A820" s="79" t="s">
        <v>1654</v>
      </c>
      <c r="B820" s="1778" t="s">
        <v>1655</v>
      </c>
      <c r="C820" s="81" t="s">
        <v>3323</v>
      </c>
      <c r="D820" s="80" t="s">
        <v>3321</v>
      </c>
      <c r="E820" s="2277" t="str">
        <f t="shared" si="56"/>
        <v>TR</v>
      </c>
      <c r="F820" s="55">
        <v>1</v>
      </c>
      <c r="G820" s="55" t="s">
        <v>512</v>
      </c>
      <c r="J820" s="55" t="str">
        <f t="shared" si="55"/>
        <v>TR37</v>
      </c>
    </row>
    <row r="821" spans="1:10" hidden="1">
      <c r="A821" s="79" t="s">
        <v>948</v>
      </c>
      <c r="B821" s="1778" t="s">
        <v>1655</v>
      </c>
      <c r="C821" s="81" t="s">
        <v>3324</v>
      </c>
      <c r="D821" s="80" t="s">
        <v>3321</v>
      </c>
      <c r="E821" s="2277" t="str">
        <f t="shared" si="56"/>
        <v>TR</v>
      </c>
      <c r="F821" s="55">
        <v>1</v>
      </c>
      <c r="G821" s="55" t="s">
        <v>512</v>
      </c>
      <c r="J821" s="55" t="str">
        <f t="shared" si="55"/>
        <v>TR50</v>
      </c>
    </row>
    <row r="822" spans="1:10" hidden="1">
      <c r="A822" s="79" t="s">
        <v>1836</v>
      </c>
      <c r="B822" s="1778" t="s">
        <v>214</v>
      </c>
      <c r="C822" s="81" t="s">
        <v>3325</v>
      </c>
      <c r="D822" s="80" t="s">
        <v>3321</v>
      </c>
      <c r="E822" s="2277" t="str">
        <f t="shared" si="56"/>
        <v>TR</v>
      </c>
      <c r="F822" s="55">
        <v>1</v>
      </c>
      <c r="G822" s="55" t="s">
        <v>512</v>
      </c>
      <c r="J822" s="55" t="str">
        <f t="shared" si="55"/>
        <v>TR75</v>
      </c>
    </row>
    <row r="823" spans="1:10" hidden="1">
      <c r="A823" s="79" t="s">
        <v>502</v>
      </c>
      <c r="B823" s="84" t="s">
        <v>1861</v>
      </c>
      <c r="C823" s="81" t="s">
        <v>3326</v>
      </c>
      <c r="D823" s="80" t="s">
        <v>3321</v>
      </c>
      <c r="E823" s="2277" t="str">
        <f t="shared" si="56"/>
        <v>T1</v>
      </c>
      <c r="F823" s="55">
        <v>1</v>
      </c>
      <c r="G823" s="55" t="s">
        <v>512</v>
      </c>
      <c r="J823" s="55" t="str">
        <f t="shared" si="55"/>
        <v>T100</v>
      </c>
    </row>
    <row r="824" spans="1:10" hidden="1">
      <c r="A824" s="79" t="s">
        <v>824</v>
      </c>
      <c r="B824" s="1778" t="s">
        <v>781</v>
      </c>
      <c r="C824" s="81" t="s">
        <v>3327</v>
      </c>
      <c r="D824" s="80" t="s">
        <v>3321</v>
      </c>
      <c r="E824" s="2277" t="str">
        <f t="shared" si="56"/>
        <v>TR</v>
      </c>
      <c r="F824" s="55">
        <v>1</v>
      </c>
      <c r="G824" s="55" t="s">
        <v>512</v>
      </c>
      <c r="J824" s="55" t="str">
        <f t="shared" si="55"/>
        <v>TR151</v>
      </c>
    </row>
    <row r="825" spans="1:10" hidden="1">
      <c r="A825" s="79" t="s">
        <v>1212</v>
      </c>
      <c r="B825" s="1778" t="s">
        <v>781</v>
      </c>
      <c r="C825" s="81" t="s">
        <v>3328</v>
      </c>
      <c r="D825" s="80" t="s">
        <v>3321</v>
      </c>
      <c r="E825" s="2277" t="str">
        <f t="shared" si="56"/>
        <v>TR</v>
      </c>
      <c r="F825" s="55">
        <v>1</v>
      </c>
      <c r="G825" s="55" t="s">
        <v>512</v>
      </c>
      <c r="J825" s="55" t="str">
        <f t="shared" si="55"/>
        <v>TR251</v>
      </c>
    </row>
    <row r="826" spans="1:10" hidden="1">
      <c r="A826" s="79" t="s">
        <v>1213</v>
      </c>
      <c r="B826" s="1778" t="s">
        <v>1749</v>
      </c>
      <c r="C826" s="81" t="s">
        <v>3329</v>
      </c>
      <c r="D826" s="80" t="s">
        <v>3321</v>
      </c>
      <c r="E826" s="2277" t="str">
        <f t="shared" si="56"/>
        <v>TR</v>
      </c>
      <c r="F826" s="55">
        <v>1</v>
      </c>
      <c r="G826" s="55" t="s">
        <v>512</v>
      </c>
      <c r="J826" s="55" t="str">
        <f t="shared" si="55"/>
        <v>TR371</v>
      </c>
    </row>
    <row r="827" spans="1:10" hidden="1">
      <c r="A827" s="79" t="s">
        <v>1214</v>
      </c>
      <c r="B827" s="1778" t="s">
        <v>1655</v>
      </c>
      <c r="C827" s="81" t="s">
        <v>4810</v>
      </c>
      <c r="D827" s="80" t="s">
        <v>3321</v>
      </c>
      <c r="E827" s="2277" t="str">
        <f t="shared" si="56"/>
        <v>TR</v>
      </c>
      <c r="F827" s="55">
        <v>1</v>
      </c>
      <c r="G827" s="55" t="s">
        <v>512</v>
      </c>
      <c r="J827" s="55" t="str">
        <f t="shared" si="55"/>
        <v>TR501</v>
      </c>
    </row>
    <row r="828" spans="1:10" hidden="1">
      <c r="A828" s="79" t="s">
        <v>1215</v>
      </c>
      <c r="B828" s="1778" t="s">
        <v>214</v>
      </c>
      <c r="C828" s="81" t="s">
        <v>4555</v>
      </c>
      <c r="D828" s="80" t="s">
        <v>3321</v>
      </c>
      <c r="E828" s="2277" t="str">
        <f t="shared" si="56"/>
        <v>TR</v>
      </c>
      <c r="F828" s="55">
        <v>1</v>
      </c>
      <c r="G828" s="55" t="s">
        <v>512</v>
      </c>
      <c r="J828" s="55" t="str">
        <f t="shared" si="55"/>
        <v>TR751</v>
      </c>
    </row>
    <row r="829" spans="1:10" hidden="1">
      <c r="A829" s="79" t="s">
        <v>503</v>
      </c>
      <c r="B829" s="84" t="s">
        <v>1861</v>
      </c>
      <c r="C829" s="81" t="s">
        <v>3330</v>
      </c>
      <c r="D829" s="80" t="s">
        <v>3321</v>
      </c>
      <c r="E829" s="2277" t="str">
        <f t="shared" si="56"/>
        <v>T1</v>
      </c>
      <c r="F829" s="55">
        <v>1</v>
      </c>
      <c r="G829" s="55" t="s">
        <v>512</v>
      </c>
      <c r="J829" s="55" t="str">
        <f t="shared" si="55"/>
        <v>T1001</v>
      </c>
    </row>
    <row r="830" spans="1:10" hidden="1">
      <c r="A830" s="81" t="s">
        <v>249</v>
      </c>
      <c r="B830" s="1807" t="s">
        <v>931</v>
      </c>
      <c r="C830" s="81" t="s">
        <v>3331</v>
      </c>
      <c r="D830" s="80" t="s">
        <v>3321</v>
      </c>
      <c r="E830" s="2277" t="str">
        <f t="shared" si="56"/>
        <v>TR</v>
      </c>
      <c r="F830" s="55">
        <v>1</v>
      </c>
      <c r="G830" s="55" t="s">
        <v>512</v>
      </c>
      <c r="J830" s="55" t="str">
        <f t="shared" si="55"/>
        <v>TR100</v>
      </c>
    </row>
    <row r="831" spans="1:10" hidden="1">
      <c r="A831" s="81" t="s">
        <v>1507</v>
      </c>
      <c r="B831" s="1807" t="s">
        <v>1862</v>
      </c>
      <c r="C831" s="81" t="s">
        <v>3332</v>
      </c>
      <c r="D831" s="80" t="s">
        <v>3321</v>
      </c>
      <c r="E831" s="2277" t="str">
        <f t="shared" si="56"/>
        <v>TR</v>
      </c>
      <c r="F831" s="55">
        <v>1</v>
      </c>
      <c r="G831" s="55" t="s">
        <v>512</v>
      </c>
      <c r="J831" s="55" t="str">
        <f t="shared" si="55"/>
        <v>TR160</v>
      </c>
    </row>
    <row r="832" spans="1:10" hidden="1">
      <c r="A832" s="81" t="s">
        <v>1247</v>
      </c>
      <c r="B832" s="1807" t="s">
        <v>1862</v>
      </c>
      <c r="C832" s="81" t="s">
        <v>3333</v>
      </c>
      <c r="D832" s="80" t="s">
        <v>3321</v>
      </c>
      <c r="E832" s="2277" t="str">
        <f t="shared" si="56"/>
        <v>TR</v>
      </c>
      <c r="F832" s="55">
        <v>1</v>
      </c>
      <c r="G832" s="55" t="s">
        <v>512</v>
      </c>
      <c r="J832" s="55" t="str">
        <f t="shared" si="55"/>
        <v>TR180</v>
      </c>
    </row>
    <row r="833" spans="1:10" hidden="1">
      <c r="A833" s="81" t="s">
        <v>2077</v>
      </c>
      <c r="B833" s="1807" t="s">
        <v>1863</v>
      </c>
      <c r="C833" s="81" t="s">
        <v>3334</v>
      </c>
      <c r="D833" s="80" t="s">
        <v>3321</v>
      </c>
      <c r="E833" s="2277" t="str">
        <f t="shared" si="56"/>
        <v>TR</v>
      </c>
      <c r="F833" s="55">
        <v>1</v>
      </c>
      <c r="G833" s="55" t="s">
        <v>512</v>
      </c>
      <c r="J833" s="55" t="str">
        <f t="shared" si="55"/>
        <v>TR250</v>
      </c>
    </row>
    <row r="834" spans="1:10" hidden="1">
      <c r="A834" s="81" t="s">
        <v>436</v>
      </c>
      <c r="B834" s="1807" t="s">
        <v>1863</v>
      </c>
      <c r="C834" s="81" t="s">
        <v>3335</v>
      </c>
      <c r="D834" s="80" t="s">
        <v>3321</v>
      </c>
      <c r="E834" s="2277" t="str">
        <f t="shared" si="56"/>
        <v>TR</v>
      </c>
      <c r="F834" s="55">
        <v>1</v>
      </c>
      <c r="G834" s="55" t="s">
        <v>512</v>
      </c>
      <c r="J834" s="55" t="str">
        <f t="shared" si="55"/>
        <v>TR320</v>
      </c>
    </row>
    <row r="835" spans="1:10" hidden="1">
      <c r="A835" s="81" t="s">
        <v>63</v>
      </c>
      <c r="B835" s="1807" t="s">
        <v>1863</v>
      </c>
      <c r="C835" s="81" t="s">
        <v>3336</v>
      </c>
      <c r="D835" s="80" t="s">
        <v>3321</v>
      </c>
      <c r="E835" s="2277" t="str">
        <f t="shared" si="56"/>
        <v>TR</v>
      </c>
      <c r="F835" s="55">
        <v>1</v>
      </c>
      <c r="G835" s="55" t="s">
        <v>512</v>
      </c>
      <c r="J835" s="55" t="str">
        <f t="shared" si="55"/>
        <v>TR400</v>
      </c>
    </row>
    <row r="836" spans="1:10" hidden="1">
      <c r="A836" s="81" t="s">
        <v>845</v>
      </c>
      <c r="B836" s="1807" t="s">
        <v>1864</v>
      </c>
      <c r="C836" s="81" t="s">
        <v>3337</v>
      </c>
      <c r="D836" s="80" t="s">
        <v>3321</v>
      </c>
      <c r="E836" s="2277" t="str">
        <f t="shared" si="56"/>
        <v>TR</v>
      </c>
      <c r="F836" s="55">
        <v>1</v>
      </c>
      <c r="G836" s="55" t="s">
        <v>512</v>
      </c>
      <c r="J836" s="55" t="str">
        <f t="shared" si="55"/>
        <v>TR560</v>
      </c>
    </row>
    <row r="837" spans="1:10" hidden="1">
      <c r="A837" s="81" t="s">
        <v>879</v>
      </c>
      <c r="B837" s="1807" t="s">
        <v>1864</v>
      </c>
      <c r="C837" s="81" t="s">
        <v>3338</v>
      </c>
      <c r="D837" s="80" t="s">
        <v>3321</v>
      </c>
      <c r="E837" s="2277" t="str">
        <f t="shared" si="56"/>
        <v>TR</v>
      </c>
      <c r="F837" s="55">
        <v>1</v>
      </c>
      <c r="G837" s="55" t="s">
        <v>512</v>
      </c>
      <c r="J837" s="55" t="str">
        <f t="shared" si="55"/>
        <v>TR630</v>
      </c>
    </row>
    <row r="838" spans="1:10" hidden="1">
      <c r="A838" s="81" t="s">
        <v>2174</v>
      </c>
      <c r="B838" s="1807" t="s">
        <v>1865</v>
      </c>
      <c r="C838" s="81" t="s">
        <v>3339</v>
      </c>
      <c r="D838" s="80" t="s">
        <v>3321</v>
      </c>
      <c r="E838" s="2277" t="str">
        <f t="shared" si="56"/>
        <v>TR</v>
      </c>
      <c r="F838" s="55">
        <v>1</v>
      </c>
      <c r="G838" s="55" t="s">
        <v>512</v>
      </c>
      <c r="J838" s="55" t="str">
        <f t="shared" si="55"/>
        <v>TR750</v>
      </c>
    </row>
    <row r="839" spans="1:10" hidden="1">
      <c r="A839" s="81" t="s">
        <v>1986</v>
      </c>
      <c r="B839" s="1807" t="s">
        <v>1865</v>
      </c>
      <c r="C839" s="81" t="s">
        <v>3340</v>
      </c>
      <c r="D839" s="80" t="s">
        <v>3321</v>
      </c>
      <c r="E839" s="2277" t="str">
        <f t="shared" si="56"/>
        <v>TR</v>
      </c>
      <c r="F839" s="55">
        <v>1</v>
      </c>
      <c r="G839" s="55" t="s">
        <v>512</v>
      </c>
      <c r="J839" s="55" t="str">
        <f t="shared" si="55"/>
        <v>TR1000</v>
      </c>
    </row>
    <row r="840" spans="1:10" hidden="1">
      <c r="A840" s="81" t="s">
        <v>696</v>
      </c>
      <c r="B840" s="1807" t="s">
        <v>1865</v>
      </c>
      <c r="C840" s="81" t="s">
        <v>3341</v>
      </c>
      <c r="D840" s="80" t="s">
        <v>3321</v>
      </c>
      <c r="E840" s="2277" t="str">
        <f t="shared" si="56"/>
        <v>TR</v>
      </c>
      <c r="F840" s="55">
        <v>1</v>
      </c>
      <c r="G840" s="55" t="s">
        <v>512</v>
      </c>
      <c r="J840" s="55" t="str">
        <f t="shared" si="55"/>
        <v>TR1250</v>
      </c>
    </row>
    <row r="841" spans="1:10" hidden="1">
      <c r="A841" s="81" t="s">
        <v>1417</v>
      </c>
      <c r="B841" s="1807" t="s">
        <v>1865</v>
      </c>
      <c r="C841" s="81" t="s">
        <v>3342</v>
      </c>
      <c r="D841" s="80" t="s">
        <v>3321</v>
      </c>
      <c r="E841" s="2277" t="str">
        <f t="shared" si="56"/>
        <v>TR</v>
      </c>
      <c r="F841" s="55">
        <v>1</v>
      </c>
      <c r="G841" s="55" t="s">
        <v>512</v>
      </c>
      <c r="J841" s="55" t="str">
        <f t="shared" si="55"/>
        <v>TR1500</v>
      </c>
    </row>
    <row r="842" spans="1:10" hidden="1">
      <c r="A842" s="81" t="s">
        <v>1457</v>
      </c>
      <c r="B842" s="1807" t="s">
        <v>1865</v>
      </c>
      <c r="C842" s="81" t="s">
        <v>3343</v>
      </c>
      <c r="D842" s="80" t="s">
        <v>3321</v>
      </c>
      <c r="E842" s="2277" t="str">
        <f t="shared" si="56"/>
        <v>TR</v>
      </c>
      <c r="F842" s="55">
        <v>1</v>
      </c>
      <c r="G842" s="55" t="s">
        <v>512</v>
      </c>
      <c r="J842" s="55" t="str">
        <f t="shared" si="55"/>
        <v>TR1600</v>
      </c>
    </row>
    <row r="843" spans="1:10" hidden="1">
      <c r="A843" s="81" t="s">
        <v>902</v>
      </c>
      <c r="B843" s="1807" t="s">
        <v>1865</v>
      </c>
      <c r="C843" s="81" t="s">
        <v>3344</v>
      </c>
      <c r="D843" s="80" t="s">
        <v>3321</v>
      </c>
      <c r="E843" s="2277" t="str">
        <f t="shared" si="56"/>
        <v>TR</v>
      </c>
      <c r="F843" s="55">
        <v>1</v>
      </c>
      <c r="G843" s="55" t="s">
        <v>512</v>
      </c>
      <c r="J843" s="55" t="str">
        <f t="shared" ref="J843:J906" si="57">A843</f>
        <v>TR2000</v>
      </c>
    </row>
    <row r="844" spans="1:10" hidden="1">
      <c r="A844" s="81" t="s">
        <v>1426</v>
      </c>
      <c r="B844" s="1807" t="s">
        <v>1865</v>
      </c>
      <c r="C844" s="81" t="s">
        <v>3345</v>
      </c>
      <c r="D844" s="80" t="s">
        <v>3321</v>
      </c>
      <c r="E844" s="2277" t="str">
        <f t="shared" si="56"/>
        <v>TR</v>
      </c>
      <c r="F844" s="55">
        <v>1</v>
      </c>
      <c r="G844" s="55" t="s">
        <v>512</v>
      </c>
      <c r="J844" s="55" t="str">
        <f t="shared" si="57"/>
        <v>TR2500</v>
      </c>
    </row>
    <row r="845" spans="1:10" hidden="1">
      <c r="A845" s="81" t="s">
        <v>1427</v>
      </c>
      <c r="B845" s="1807" t="s">
        <v>1865</v>
      </c>
      <c r="C845" s="81" t="s">
        <v>3346</v>
      </c>
      <c r="D845" s="80" t="s">
        <v>3321</v>
      </c>
      <c r="E845" s="2277" t="str">
        <f t="shared" si="56"/>
        <v>TR</v>
      </c>
      <c r="F845" s="55">
        <v>1</v>
      </c>
      <c r="G845" s="55" t="s">
        <v>512</v>
      </c>
      <c r="J845" s="55" t="str">
        <f t="shared" si="57"/>
        <v>TR3000</v>
      </c>
    </row>
    <row r="846" spans="1:10" hidden="1">
      <c r="A846" s="81" t="s">
        <v>1428</v>
      </c>
      <c r="B846" s="1807" t="s">
        <v>1865</v>
      </c>
      <c r="C846" s="81" t="s">
        <v>3347</v>
      </c>
      <c r="D846" s="80" t="s">
        <v>3321</v>
      </c>
      <c r="E846" s="2277" t="str">
        <f t="shared" si="56"/>
        <v>TR</v>
      </c>
      <c r="F846" s="55">
        <v>1</v>
      </c>
      <c r="G846" s="55" t="s">
        <v>512</v>
      </c>
      <c r="J846" s="55" t="str">
        <f t="shared" si="57"/>
        <v>TR4000</v>
      </c>
    </row>
    <row r="847" spans="1:10" hidden="1">
      <c r="A847" s="79" t="s">
        <v>943</v>
      </c>
      <c r="B847" s="1778" t="s">
        <v>1866</v>
      </c>
      <c r="C847" s="81" t="s">
        <v>5000</v>
      </c>
      <c r="D847" s="80" t="s">
        <v>3321</v>
      </c>
      <c r="E847" s="2277" t="str">
        <f t="shared" si="56"/>
        <v>TR</v>
      </c>
      <c r="F847" s="55">
        <v>1</v>
      </c>
      <c r="G847" s="55" t="s">
        <v>512</v>
      </c>
      <c r="J847" s="55" t="str">
        <f t="shared" si="57"/>
        <v>TR1001</v>
      </c>
    </row>
    <row r="848" spans="1:10" hidden="1">
      <c r="A848" s="79" t="s">
        <v>1508</v>
      </c>
      <c r="B848" s="1778" t="s">
        <v>651</v>
      </c>
      <c r="C848" s="81" t="s">
        <v>3348</v>
      </c>
      <c r="D848" s="80" t="s">
        <v>3321</v>
      </c>
      <c r="E848" s="2277" t="str">
        <f t="shared" si="56"/>
        <v>TR</v>
      </c>
      <c r="F848" s="55">
        <v>1</v>
      </c>
      <c r="G848" s="55" t="s">
        <v>512</v>
      </c>
      <c r="J848" s="55" t="str">
        <f t="shared" si="57"/>
        <v>TR1601</v>
      </c>
    </row>
    <row r="849" spans="1:10" hidden="1">
      <c r="A849" s="79" t="s">
        <v>1246</v>
      </c>
      <c r="B849" s="1778" t="s">
        <v>651</v>
      </c>
      <c r="C849" s="81" t="s">
        <v>3349</v>
      </c>
      <c r="D849" s="80" t="s">
        <v>3321</v>
      </c>
      <c r="E849" s="2277" t="str">
        <f t="shared" si="56"/>
        <v>TR</v>
      </c>
      <c r="F849" s="55">
        <v>1</v>
      </c>
      <c r="G849" s="55" t="s">
        <v>512</v>
      </c>
      <c r="J849" s="55" t="str">
        <f t="shared" si="57"/>
        <v>TR1801</v>
      </c>
    </row>
    <row r="850" spans="1:10" hidden="1">
      <c r="A850" s="79" t="s">
        <v>783</v>
      </c>
      <c r="B850" s="1778" t="s">
        <v>1750</v>
      </c>
      <c r="C850" s="81" t="s">
        <v>3350</v>
      </c>
      <c r="D850" s="80" t="s">
        <v>3321</v>
      </c>
      <c r="E850" s="2277" t="str">
        <f t="shared" si="56"/>
        <v>TR</v>
      </c>
      <c r="F850" s="55">
        <v>1</v>
      </c>
      <c r="G850" s="55" t="s">
        <v>512</v>
      </c>
      <c r="J850" s="55" t="str">
        <f t="shared" si="57"/>
        <v>TR2501</v>
      </c>
    </row>
    <row r="851" spans="1:10" hidden="1">
      <c r="A851" s="79" t="s">
        <v>485</v>
      </c>
      <c r="B851" s="1778" t="s">
        <v>692</v>
      </c>
      <c r="C851" s="81" t="s">
        <v>3351</v>
      </c>
      <c r="D851" s="80" t="s">
        <v>3321</v>
      </c>
      <c r="E851" s="2277" t="str">
        <f t="shared" si="56"/>
        <v>TR</v>
      </c>
      <c r="F851" s="55">
        <v>1</v>
      </c>
      <c r="G851" s="55" t="s">
        <v>512</v>
      </c>
      <c r="J851" s="55" t="str">
        <f t="shared" si="57"/>
        <v>TR3201</v>
      </c>
    </row>
    <row r="852" spans="1:10" hidden="1">
      <c r="A852" s="79" t="s">
        <v>65</v>
      </c>
      <c r="B852" s="1778" t="s">
        <v>2103</v>
      </c>
      <c r="C852" s="81" t="s">
        <v>3352</v>
      </c>
      <c r="D852" s="80" t="s">
        <v>3321</v>
      </c>
      <c r="E852" s="2277" t="str">
        <f t="shared" si="56"/>
        <v>TR</v>
      </c>
      <c r="F852" s="55">
        <v>1</v>
      </c>
      <c r="G852" s="55" t="s">
        <v>512</v>
      </c>
      <c r="J852" s="55" t="str">
        <f t="shared" si="57"/>
        <v>TR4001</v>
      </c>
    </row>
    <row r="853" spans="1:10" hidden="1">
      <c r="A853" s="79" t="s">
        <v>878</v>
      </c>
      <c r="B853" s="1778" t="s">
        <v>2103</v>
      </c>
      <c r="C853" s="81" t="s">
        <v>3353</v>
      </c>
      <c r="D853" s="80" t="s">
        <v>3321</v>
      </c>
      <c r="E853" s="2277" t="str">
        <f t="shared" si="56"/>
        <v>TR</v>
      </c>
      <c r="F853" s="55">
        <v>1</v>
      </c>
      <c r="G853" s="55" t="s">
        <v>512</v>
      </c>
      <c r="J853" s="55" t="str">
        <f t="shared" si="57"/>
        <v>TR5601</v>
      </c>
    </row>
    <row r="854" spans="1:10" hidden="1">
      <c r="A854" s="79" t="s">
        <v>880</v>
      </c>
      <c r="B854" s="1778" t="s">
        <v>2103</v>
      </c>
      <c r="C854" s="81" t="s">
        <v>3354</v>
      </c>
      <c r="D854" s="80" t="s">
        <v>3321</v>
      </c>
      <c r="E854" s="2277" t="str">
        <f t="shared" si="56"/>
        <v>TR</v>
      </c>
      <c r="F854" s="55">
        <v>1</v>
      </c>
      <c r="G854" s="55" t="s">
        <v>512</v>
      </c>
      <c r="J854" s="55" t="str">
        <f t="shared" si="57"/>
        <v>TR6301</v>
      </c>
    </row>
    <row r="855" spans="1:10" hidden="1">
      <c r="A855" s="79" t="s">
        <v>613</v>
      </c>
      <c r="B855" s="1778" t="s">
        <v>652</v>
      </c>
      <c r="C855" s="81" t="s">
        <v>3355</v>
      </c>
      <c r="D855" s="80" t="s">
        <v>3321</v>
      </c>
      <c r="E855" s="2277" t="str">
        <f t="shared" si="56"/>
        <v>TR</v>
      </c>
      <c r="F855" s="55">
        <v>1</v>
      </c>
      <c r="G855" s="55" t="s">
        <v>512</v>
      </c>
      <c r="J855" s="55" t="str">
        <f t="shared" si="57"/>
        <v>TR7501</v>
      </c>
    </row>
    <row r="856" spans="1:10" hidden="1">
      <c r="A856" s="79" t="s">
        <v>614</v>
      </c>
      <c r="B856" s="1778" t="s">
        <v>652</v>
      </c>
      <c r="C856" s="81" t="s">
        <v>3356</v>
      </c>
      <c r="D856" s="80" t="s">
        <v>3321</v>
      </c>
      <c r="E856" s="2277" t="str">
        <f t="shared" si="56"/>
        <v>TR</v>
      </c>
      <c r="F856" s="55">
        <v>1</v>
      </c>
      <c r="G856" s="55" t="s">
        <v>512</v>
      </c>
      <c r="J856" s="55" t="str">
        <f t="shared" si="57"/>
        <v>TR10001</v>
      </c>
    </row>
    <row r="857" spans="1:10" hidden="1">
      <c r="A857" s="79" t="s">
        <v>1418</v>
      </c>
      <c r="B857" s="1778" t="s">
        <v>652</v>
      </c>
      <c r="C857" s="81" t="s">
        <v>3357</v>
      </c>
      <c r="D857" s="80" t="s">
        <v>3321</v>
      </c>
      <c r="E857" s="2277" t="str">
        <f t="shared" si="56"/>
        <v>TR</v>
      </c>
      <c r="F857" s="55">
        <v>1</v>
      </c>
      <c r="G857" s="55" t="s">
        <v>512</v>
      </c>
      <c r="J857" s="55" t="str">
        <f t="shared" si="57"/>
        <v>TR12501</v>
      </c>
    </row>
    <row r="858" spans="1:10" hidden="1">
      <c r="A858" s="79" t="s">
        <v>306</v>
      </c>
      <c r="B858" s="1778" t="s">
        <v>652</v>
      </c>
      <c r="C858" s="81" t="s">
        <v>3358</v>
      </c>
      <c r="D858" s="80" t="s">
        <v>3321</v>
      </c>
      <c r="E858" s="2277" t="str">
        <f t="shared" si="56"/>
        <v>TR</v>
      </c>
      <c r="F858" s="55">
        <v>1</v>
      </c>
      <c r="G858" s="55" t="s">
        <v>512</v>
      </c>
      <c r="J858" s="55" t="str">
        <f t="shared" si="57"/>
        <v>TR15001</v>
      </c>
    </row>
    <row r="859" spans="1:10" hidden="1">
      <c r="A859" s="79" t="s">
        <v>1458</v>
      </c>
      <c r="B859" s="1778" t="s">
        <v>652</v>
      </c>
      <c r="C859" s="81" t="s">
        <v>3359</v>
      </c>
      <c r="D859" s="80" t="s">
        <v>3321</v>
      </c>
      <c r="E859" s="2277" t="str">
        <f t="shared" si="56"/>
        <v>TR</v>
      </c>
      <c r="F859" s="55">
        <v>1</v>
      </c>
      <c r="G859" s="55" t="s">
        <v>512</v>
      </c>
      <c r="J859" s="55" t="str">
        <f t="shared" si="57"/>
        <v>TR16001</v>
      </c>
    </row>
    <row r="860" spans="1:10" hidden="1">
      <c r="A860" s="79" t="s">
        <v>2160</v>
      </c>
      <c r="B860" s="1778" t="s">
        <v>652</v>
      </c>
      <c r="C860" s="81" t="s">
        <v>3360</v>
      </c>
      <c r="D860" s="80" t="s">
        <v>3321</v>
      </c>
      <c r="E860" s="2277" t="str">
        <f t="shared" si="56"/>
        <v>TR</v>
      </c>
      <c r="F860" s="55">
        <v>1</v>
      </c>
      <c r="G860" s="55" t="s">
        <v>512</v>
      </c>
      <c r="J860" s="55" t="str">
        <f t="shared" si="57"/>
        <v>TR20001</v>
      </c>
    </row>
    <row r="861" spans="1:10" hidden="1">
      <c r="A861" s="79" t="s">
        <v>48</v>
      </c>
      <c r="B861" s="1778" t="s">
        <v>652</v>
      </c>
      <c r="C861" s="81" t="s">
        <v>3361</v>
      </c>
      <c r="D861" s="80" t="s">
        <v>3321</v>
      </c>
      <c r="E861" s="2277" t="str">
        <f t="shared" si="56"/>
        <v>TR</v>
      </c>
      <c r="F861" s="55">
        <v>1</v>
      </c>
      <c r="G861" s="55" t="s">
        <v>512</v>
      </c>
      <c r="J861" s="55" t="str">
        <f t="shared" si="57"/>
        <v>TR25001</v>
      </c>
    </row>
    <row r="862" spans="1:10" hidden="1">
      <c r="A862" s="79" t="s">
        <v>1284</v>
      </c>
      <c r="B862" s="1778" t="s">
        <v>652</v>
      </c>
      <c r="C862" s="81" t="s">
        <v>3362</v>
      </c>
      <c r="D862" s="80" t="s">
        <v>3321</v>
      </c>
      <c r="E862" s="2277" t="str">
        <f t="shared" si="56"/>
        <v>TR</v>
      </c>
      <c r="F862" s="55">
        <v>1</v>
      </c>
      <c r="G862" s="55" t="s">
        <v>512</v>
      </c>
      <c r="J862" s="55" t="str">
        <f t="shared" si="57"/>
        <v>TR30001</v>
      </c>
    </row>
    <row r="863" spans="1:10" hidden="1">
      <c r="A863" s="79" t="s">
        <v>806</v>
      </c>
      <c r="B863" s="1778" t="s">
        <v>652</v>
      </c>
      <c r="C863" s="81" t="s">
        <v>3363</v>
      </c>
      <c r="D863" s="80" t="s">
        <v>3321</v>
      </c>
      <c r="E863" s="2277" t="str">
        <f t="shared" si="56"/>
        <v>TR</v>
      </c>
      <c r="F863" s="55">
        <v>1</v>
      </c>
      <c r="G863" s="55" t="s">
        <v>512</v>
      </c>
      <c r="J863" s="55" t="str">
        <f t="shared" si="57"/>
        <v>TR40001</v>
      </c>
    </row>
    <row r="864" spans="1:10" hidden="1">
      <c r="A864" s="79" t="s">
        <v>1660</v>
      </c>
      <c r="B864" s="1808" t="s">
        <v>1656</v>
      </c>
      <c r="C864" s="79" t="s">
        <v>5004</v>
      </c>
      <c r="D864" s="80" t="s">
        <v>2566</v>
      </c>
      <c r="E864" s="2277" t="str">
        <f t="shared" si="56"/>
        <v>FC</v>
      </c>
      <c r="F864" s="55">
        <v>3</v>
      </c>
      <c r="G864" s="55" t="s">
        <v>512</v>
      </c>
      <c r="J864" s="55" t="str">
        <f t="shared" si="57"/>
        <v>FCO100-15</v>
      </c>
    </row>
    <row r="865" spans="1:10" hidden="1">
      <c r="A865" s="79" t="s">
        <v>1661</v>
      </c>
      <c r="B865" s="1808" t="s">
        <v>1656</v>
      </c>
      <c r="C865" s="79" t="s">
        <v>2036</v>
      </c>
      <c r="D865" s="80" t="s">
        <v>2566</v>
      </c>
      <c r="E865" s="2277" t="str">
        <f t="shared" ref="E865:E929" si="58">LEFT(A865,2)</f>
        <v>FC</v>
      </c>
      <c r="F865" s="55">
        <v>3</v>
      </c>
      <c r="G865" s="55" t="s">
        <v>512</v>
      </c>
      <c r="J865" s="55" t="str">
        <f t="shared" si="57"/>
        <v>FCO200-15</v>
      </c>
    </row>
    <row r="866" spans="1:10" hidden="1">
      <c r="A866" s="79" t="s">
        <v>1657</v>
      </c>
      <c r="B866" s="1808" t="s">
        <v>1751</v>
      </c>
      <c r="C866" s="79" t="s">
        <v>4847</v>
      </c>
      <c r="D866" s="80" t="s">
        <v>2566</v>
      </c>
      <c r="E866" s="2277" t="str">
        <f t="shared" si="58"/>
        <v>FC</v>
      </c>
      <c r="F866" s="55">
        <v>3</v>
      </c>
      <c r="G866" s="55" t="s">
        <v>512</v>
      </c>
      <c r="J866" s="55" t="str">
        <f t="shared" si="57"/>
        <v>FCO100-22</v>
      </c>
    </row>
    <row r="867" spans="1:10" hidden="1">
      <c r="A867" s="79" t="s">
        <v>1658</v>
      </c>
      <c r="B867" s="1808" t="s">
        <v>435</v>
      </c>
      <c r="C867" s="79" t="s">
        <v>2036</v>
      </c>
      <c r="D867" s="80" t="s">
        <v>2566</v>
      </c>
      <c r="E867" s="2277" t="str">
        <f t="shared" si="58"/>
        <v>FC</v>
      </c>
      <c r="F867" s="55">
        <v>3</v>
      </c>
      <c r="G867" s="55" t="s">
        <v>512</v>
      </c>
      <c r="J867" s="55" t="str">
        <f t="shared" si="57"/>
        <v>FCO200-22</v>
      </c>
    </row>
    <row r="868" spans="1:10" hidden="1">
      <c r="A868" s="79" t="s">
        <v>1662</v>
      </c>
      <c r="B868" s="1808" t="s">
        <v>1656</v>
      </c>
      <c r="C868" s="79" t="s">
        <v>1261</v>
      </c>
      <c r="D868" s="80" t="s">
        <v>2566</v>
      </c>
      <c r="E868" s="2277" t="str">
        <f t="shared" si="58"/>
        <v>lb</v>
      </c>
      <c r="F868" s="55">
        <v>3</v>
      </c>
      <c r="G868" s="55" t="s">
        <v>512</v>
      </c>
      <c r="J868" s="55" t="str">
        <f t="shared" si="57"/>
        <v>lbfco100-15</v>
      </c>
    </row>
    <row r="869" spans="1:10" hidden="1">
      <c r="A869" s="79" t="s">
        <v>1663</v>
      </c>
      <c r="B869" s="1808" t="s">
        <v>1656</v>
      </c>
      <c r="C869" s="79" t="s">
        <v>1260</v>
      </c>
      <c r="D869" s="80" t="s">
        <v>2566</v>
      </c>
      <c r="E869" s="2277" t="str">
        <f t="shared" si="58"/>
        <v>LB</v>
      </c>
      <c r="F869" s="55">
        <v>3</v>
      </c>
      <c r="G869" s="55" t="s">
        <v>512</v>
      </c>
      <c r="J869" s="55" t="str">
        <f t="shared" si="57"/>
        <v>LBFCO200-15</v>
      </c>
    </row>
    <row r="870" spans="1:10" hidden="1">
      <c r="A870" s="79" t="s">
        <v>2133</v>
      </c>
      <c r="B870" s="1808" t="s">
        <v>435</v>
      </c>
      <c r="C870" s="79" t="s">
        <v>1261</v>
      </c>
      <c r="D870" s="80" t="s">
        <v>2566</v>
      </c>
      <c r="E870" s="2277" t="str">
        <f t="shared" si="58"/>
        <v>lb</v>
      </c>
      <c r="F870" s="55">
        <v>3</v>
      </c>
      <c r="G870" s="55" t="s">
        <v>512</v>
      </c>
      <c r="J870" s="55" t="str">
        <f t="shared" si="57"/>
        <v>lbfco100-22</v>
      </c>
    </row>
    <row r="871" spans="1:10" hidden="1">
      <c r="A871" s="79" t="s">
        <v>1659</v>
      </c>
      <c r="B871" s="1808" t="s">
        <v>435</v>
      </c>
      <c r="C871" s="79" t="s">
        <v>1260</v>
      </c>
      <c r="D871" s="80" t="s">
        <v>2566</v>
      </c>
      <c r="E871" s="2277" t="str">
        <f t="shared" si="58"/>
        <v>LB</v>
      </c>
      <c r="F871" s="55">
        <v>3</v>
      </c>
      <c r="G871" s="55" t="s">
        <v>512</v>
      </c>
      <c r="J871" s="55" t="str">
        <f t="shared" si="57"/>
        <v>LBFCO200-22</v>
      </c>
    </row>
    <row r="872" spans="1:10" hidden="1">
      <c r="A872" s="79" t="s">
        <v>446</v>
      </c>
      <c r="B872" s="1809" t="s">
        <v>1394</v>
      </c>
      <c r="C872" s="79" t="s">
        <v>1220</v>
      </c>
      <c r="D872" s="80" t="s">
        <v>2448</v>
      </c>
      <c r="E872" s="2277" t="str">
        <f t="shared" si="58"/>
        <v>DS</v>
      </c>
      <c r="F872" s="55">
        <v>50</v>
      </c>
      <c r="G872" s="55" t="s">
        <v>512</v>
      </c>
      <c r="J872" s="55" t="str">
        <f t="shared" si="57"/>
        <v>DS1P</v>
      </c>
    </row>
    <row r="873" spans="1:10" hidden="1">
      <c r="A873" s="79" t="s">
        <v>393</v>
      </c>
      <c r="B873" s="1809" t="s">
        <v>1394</v>
      </c>
      <c r="C873" s="79" t="s">
        <v>1598</v>
      </c>
      <c r="D873" s="80" t="s">
        <v>2448</v>
      </c>
      <c r="E873" s="2277" t="str">
        <f t="shared" si="58"/>
        <v>DS</v>
      </c>
      <c r="F873" s="55">
        <v>50</v>
      </c>
      <c r="G873" s="55" t="s">
        <v>512</v>
      </c>
      <c r="J873" s="55" t="str">
        <f t="shared" si="57"/>
        <v>DS3P</v>
      </c>
    </row>
    <row r="874" spans="1:10" hidden="1">
      <c r="A874" s="79" t="s">
        <v>1192</v>
      </c>
      <c r="B874" s="1809" t="s">
        <v>128</v>
      </c>
      <c r="C874" s="79" t="s">
        <v>1220</v>
      </c>
      <c r="D874" s="80" t="s">
        <v>2448</v>
      </c>
      <c r="E874" s="2277" t="str">
        <f t="shared" si="58"/>
        <v>DS</v>
      </c>
      <c r="F874" s="55">
        <v>50</v>
      </c>
      <c r="G874" s="55" t="s">
        <v>512</v>
      </c>
      <c r="J874" s="55" t="str">
        <f t="shared" si="57"/>
        <v>DS1PDD</v>
      </c>
    </row>
    <row r="875" spans="1:10" hidden="1">
      <c r="A875" s="79" t="s">
        <v>1193</v>
      </c>
      <c r="B875" s="1809" t="s">
        <v>129</v>
      </c>
      <c r="C875" s="79" t="s">
        <v>1598</v>
      </c>
      <c r="D875" s="80" t="s">
        <v>2448</v>
      </c>
      <c r="E875" s="2277" t="str">
        <f t="shared" si="58"/>
        <v>DS</v>
      </c>
      <c r="F875" s="55">
        <v>50</v>
      </c>
      <c r="G875" s="55" t="s">
        <v>512</v>
      </c>
      <c r="J875" s="55" t="str">
        <f t="shared" si="57"/>
        <v>DS3PDD</v>
      </c>
    </row>
    <row r="876" spans="1:10" hidden="1">
      <c r="A876" s="79" t="s">
        <v>602</v>
      </c>
      <c r="B876" s="1809" t="s">
        <v>1510</v>
      </c>
      <c r="C876" s="79" t="s">
        <v>1708</v>
      </c>
      <c r="D876" s="80" t="s">
        <v>2448</v>
      </c>
      <c r="E876" s="2277" t="str">
        <f t="shared" si="58"/>
        <v>LB</v>
      </c>
      <c r="F876" s="55">
        <v>50</v>
      </c>
      <c r="G876" s="55" t="s">
        <v>512</v>
      </c>
      <c r="J876" s="55" t="str">
        <f t="shared" si="57"/>
        <v>LBS 16</v>
      </c>
    </row>
    <row r="877" spans="1:10" hidden="1">
      <c r="A877" s="79" t="s">
        <v>535</v>
      </c>
      <c r="B877" s="1809" t="s">
        <v>1510</v>
      </c>
      <c r="C877" s="79" t="s">
        <v>3364</v>
      </c>
      <c r="D877" s="80" t="s">
        <v>2448</v>
      </c>
      <c r="E877" s="2277" t="str">
        <f t="shared" si="58"/>
        <v>LB</v>
      </c>
      <c r="F877" s="55">
        <v>50</v>
      </c>
      <c r="G877" s="55" t="s">
        <v>512</v>
      </c>
      <c r="J877" s="55" t="str">
        <f t="shared" si="57"/>
        <v>LBS treo</v>
      </c>
    </row>
    <row r="878" spans="1:10" hidden="1">
      <c r="A878" s="79" t="s">
        <v>2192</v>
      </c>
      <c r="B878" s="1809" t="s">
        <v>642</v>
      </c>
      <c r="C878" s="79" t="s">
        <v>2042</v>
      </c>
      <c r="D878" s="80" t="s">
        <v>2448</v>
      </c>
      <c r="E878" s="2277" t="str">
        <f t="shared" si="58"/>
        <v>RE</v>
      </c>
      <c r="F878" s="55">
        <v>50</v>
      </c>
      <c r="G878" s="55" t="s">
        <v>512</v>
      </c>
      <c r="J878" s="55" t="str">
        <f t="shared" si="57"/>
        <v>REC</v>
      </c>
    </row>
    <row r="879" spans="1:10" hidden="1">
      <c r="A879" s="79" t="s">
        <v>1918</v>
      </c>
      <c r="B879" s="1809" t="s">
        <v>1510</v>
      </c>
      <c r="C879" s="79" t="s">
        <v>2065</v>
      </c>
      <c r="D879" s="80" t="s">
        <v>2448</v>
      </c>
      <c r="E879" s="2277" t="str">
        <f t="shared" si="58"/>
        <v>Re</v>
      </c>
      <c r="F879" s="55">
        <v>50</v>
      </c>
      <c r="G879" s="55" t="s">
        <v>512</v>
      </c>
      <c r="J879" s="55" t="str">
        <f t="shared" si="57"/>
        <v>Recloser</v>
      </c>
    </row>
    <row r="880" spans="1:10" hidden="1">
      <c r="A880" s="79" t="s">
        <v>790</v>
      </c>
      <c r="B880" s="1809" t="s">
        <v>668</v>
      </c>
      <c r="C880" s="79" t="s">
        <v>1189</v>
      </c>
      <c r="D880" s="80" t="s">
        <v>2566</v>
      </c>
      <c r="E880" s="2277" t="str">
        <f t="shared" si="58"/>
        <v>LT</v>
      </c>
      <c r="F880" s="55">
        <v>50</v>
      </c>
      <c r="G880" s="55" t="s">
        <v>512</v>
      </c>
      <c r="J880" s="55" t="str">
        <f t="shared" si="57"/>
        <v>LTD</v>
      </c>
    </row>
    <row r="881" spans="1:10" hidden="1">
      <c r="A881" s="79" t="s">
        <v>968</v>
      </c>
      <c r="B881" s="1809" t="s">
        <v>967</v>
      </c>
      <c r="C881" s="79" t="s">
        <v>1196</v>
      </c>
      <c r="D881" s="80" t="s">
        <v>2566</v>
      </c>
      <c r="E881" s="2277" t="str">
        <f t="shared" si="58"/>
        <v>LA</v>
      </c>
      <c r="F881" s="55">
        <v>4</v>
      </c>
      <c r="G881" s="55" t="s">
        <v>512</v>
      </c>
      <c r="J881" s="55" t="str">
        <f t="shared" si="57"/>
        <v>LA12</v>
      </c>
    </row>
    <row r="882" spans="1:10" hidden="1">
      <c r="A882" s="79" t="s">
        <v>1378</v>
      </c>
      <c r="B882" s="1809" t="s">
        <v>967</v>
      </c>
      <c r="C882" s="79" t="s">
        <v>5006</v>
      </c>
      <c r="D882" s="80" t="s">
        <v>2566</v>
      </c>
      <c r="E882" s="2277" t="str">
        <f t="shared" si="58"/>
        <v>LA</v>
      </c>
      <c r="F882" s="55">
        <v>4</v>
      </c>
      <c r="G882" s="55" t="s">
        <v>512</v>
      </c>
      <c r="J882" s="55" t="str">
        <f t="shared" si="57"/>
        <v>LA18</v>
      </c>
    </row>
    <row r="883" spans="1:10" hidden="1">
      <c r="A883" s="79" t="s">
        <v>2166</v>
      </c>
      <c r="B883" s="84" t="s">
        <v>1480</v>
      </c>
      <c r="C883" s="79" t="s">
        <v>3365</v>
      </c>
      <c r="D883" s="80" t="s">
        <v>2566</v>
      </c>
      <c r="E883" s="2277" t="str">
        <f t="shared" si="58"/>
        <v>TI</v>
      </c>
      <c r="F883" s="55">
        <v>2000</v>
      </c>
      <c r="G883" s="55" t="s">
        <v>512</v>
      </c>
      <c r="J883" s="55" t="str">
        <f t="shared" si="57"/>
        <v>TI10</v>
      </c>
    </row>
    <row r="884" spans="1:10" hidden="1">
      <c r="A884" s="79" t="s">
        <v>1673</v>
      </c>
      <c r="B884" s="84" t="s">
        <v>1480</v>
      </c>
      <c r="C884" s="79" t="s">
        <v>3366</v>
      </c>
      <c r="D884" s="80" t="s">
        <v>2566</v>
      </c>
      <c r="E884" s="2277" t="str">
        <f t="shared" si="58"/>
        <v>TI</v>
      </c>
      <c r="F884" s="55">
        <v>2000</v>
      </c>
      <c r="G884" s="55" t="s">
        <v>512</v>
      </c>
      <c r="J884" s="55" t="str">
        <f t="shared" si="57"/>
        <v>TI15</v>
      </c>
    </row>
    <row r="885" spans="1:10" hidden="1">
      <c r="A885" s="79" t="s">
        <v>1735</v>
      </c>
      <c r="B885" s="84" t="s">
        <v>1480</v>
      </c>
      <c r="C885" s="79" t="s">
        <v>3367</v>
      </c>
      <c r="D885" s="80" t="s">
        <v>2566</v>
      </c>
      <c r="E885" s="2277" t="str">
        <f t="shared" si="58"/>
        <v>TI</v>
      </c>
      <c r="F885" s="55">
        <v>2000</v>
      </c>
      <c r="G885" s="55" t="s">
        <v>512</v>
      </c>
      <c r="J885" s="55" t="str">
        <f t="shared" si="57"/>
        <v>TI20</v>
      </c>
    </row>
    <row r="886" spans="1:10" hidden="1">
      <c r="A886" s="79" t="s">
        <v>1733</v>
      </c>
      <c r="B886" s="84" t="s">
        <v>1480</v>
      </c>
      <c r="C886" s="79" t="s">
        <v>3368</v>
      </c>
      <c r="D886" s="80" t="s">
        <v>2566</v>
      </c>
      <c r="E886" s="2277" t="str">
        <f t="shared" si="58"/>
        <v>TI</v>
      </c>
      <c r="F886" s="55">
        <v>2000</v>
      </c>
      <c r="G886" s="55" t="s">
        <v>512</v>
      </c>
      <c r="J886" s="55" t="str">
        <f t="shared" si="57"/>
        <v>TI25</v>
      </c>
    </row>
    <row r="887" spans="1:10" hidden="1">
      <c r="A887" s="79" t="s">
        <v>903</v>
      </c>
      <c r="B887" s="84" t="s">
        <v>1480</v>
      </c>
      <c r="C887" s="79" t="s">
        <v>3369</v>
      </c>
      <c r="D887" s="80" t="s">
        <v>2566</v>
      </c>
      <c r="E887" s="2277" t="str">
        <f t="shared" si="58"/>
        <v>TI</v>
      </c>
      <c r="F887" s="55">
        <v>2000</v>
      </c>
      <c r="G887" s="55" t="s">
        <v>512</v>
      </c>
      <c r="J887" s="55" t="str">
        <f t="shared" si="57"/>
        <v>TI30</v>
      </c>
    </row>
    <row r="888" spans="1:10" hidden="1">
      <c r="A888" s="79" t="s">
        <v>1734</v>
      </c>
      <c r="B888" s="84" t="s">
        <v>1480</v>
      </c>
      <c r="C888" s="79" t="s">
        <v>3370</v>
      </c>
      <c r="D888" s="80" t="s">
        <v>2566</v>
      </c>
      <c r="E888" s="2277" t="str">
        <f t="shared" si="58"/>
        <v>TI</v>
      </c>
      <c r="F888" s="55">
        <v>2000</v>
      </c>
      <c r="G888" s="55" t="s">
        <v>512</v>
      </c>
      <c r="J888" s="55" t="str">
        <f t="shared" si="57"/>
        <v>TI40</v>
      </c>
    </row>
    <row r="889" spans="1:10" hidden="1">
      <c r="A889" s="79" t="s">
        <v>202</v>
      </c>
      <c r="B889" s="84" t="s">
        <v>1480</v>
      </c>
      <c r="C889" s="79" t="s">
        <v>3371</v>
      </c>
      <c r="D889" s="80" t="s">
        <v>2566</v>
      </c>
      <c r="E889" s="2277" t="str">
        <f t="shared" si="58"/>
        <v>TI</v>
      </c>
      <c r="F889" s="55">
        <v>2000</v>
      </c>
      <c r="G889" s="55" t="s">
        <v>512</v>
      </c>
      <c r="J889" s="55" t="str">
        <f t="shared" si="57"/>
        <v>TI50</v>
      </c>
    </row>
    <row r="890" spans="1:10" hidden="1">
      <c r="A890" s="79" t="s">
        <v>2198</v>
      </c>
      <c r="B890" s="84" t="s">
        <v>1480</v>
      </c>
      <c r="C890" s="79" t="s">
        <v>3372</v>
      </c>
      <c r="D890" s="80" t="s">
        <v>2566</v>
      </c>
      <c r="E890" s="2277" t="str">
        <f t="shared" si="58"/>
        <v>TI</v>
      </c>
      <c r="F890" s="55">
        <v>2000</v>
      </c>
      <c r="G890" s="55" t="s">
        <v>512</v>
      </c>
      <c r="J890" s="55" t="str">
        <f t="shared" si="57"/>
        <v>TI60</v>
      </c>
    </row>
    <row r="891" spans="1:10" hidden="1">
      <c r="A891" s="79" t="s">
        <v>2097</v>
      </c>
      <c r="B891" s="84" t="s">
        <v>1480</v>
      </c>
      <c r="C891" s="79" t="s">
        <v>3373</v>
      </c>
      <c r="D891" s="80" t="s">
        <v>2566</v>
      </c>
      <c r="E891" s="2277" t="str">
        <f t="shared" si="58"/>
        <v>TI</v>
      </c>
      <c r="F891" s="55">
        <v>2000</v>
      </c>
      <c r="G891" s="55" t="s">
        <v>512</v>
      </c>
      <c r="J891" s="55" t="str">
        <f t="shared" si="57"/>
        <v>TI75</v>
      </c>
    </row>
    <row r="892" spans="1:10" hidden="1">
      <c r="A892" s="79" t="s">
        <v>1476</v>
      </c>
      <c r="B892" s="84" t="s">
        <v>1480</v>
      </c>
      <c r="C892" s="79" t="s">
        <v>3374</v>
      </c>
      <c r="D892" s="80" t="s">
        <v>2566</v>
      </c>
      <c r="E892" s="2277" t="str">
        <f t="shared" si="58"/>
        <v>TI</v>
      </c>
      <c r="F892" s="55">
        <v>2000</v>
      </c>
      <c r="G892" s="55" t="s">
        <v>512</v>
      </c>
      <c r="J892" s="55" t="str">
        <f t="shared" si="57"/>
        <v>TI100</v>
      </c>
    </row>
    <row r="893" spans="1:10" hidden="1">
      <c r="A893" s="79" t="s">
        <v>819</v>
      </c>
      <c r="B893" s="84" t="s">
        <v>1480</v>
      </c>
      <c r="C893" s="79" t="s">
        <v>3375</v>
      </c>
      <c r="D893" s="80" t="s">
        <v>2566</v>
      </c>
      <c r="E893" s="2277" t="str">
        <f t="shared" si="58"/>
        <v>TI</v>
      </c>
      <c r="F893" s="55">
        <v>2000</v>
      </c>
      <c r="G893" s="55" t="s">
        <v>512</v>
      </c>
      <c r="J893" s="55" t="str">
        <f t="shared" si="57"/>
        <v>TI150</v>
      </c>
    </row>
    <row r="894" spans="1:10" hidden="1">
      <c r="A894" s="79" t="s">
        <v>825</v>
      </c>
      <c r="B894" s="84"/>
      <c r="C894" s="1786" t="s">
        <v>3376</v>
      </c>
      <c r="D894" s="80" t="s">
        <v>2566</v>
      </c>
      <c r="E894" s="2277" t="str">
        <f t="shared" si="58"/>
        <v>TI</v>
      </c>
      <c r="F894" s="55">
        <v>2000</v>
      </c>
      <c r="G894" s="55" t="s">
        <v>512</v>
      </c>
      <c r="J894" s="55" t="str">
        <f t="shared" si="57"/>
        <v>TI755</v>
      </c>
    </row>
    <row r="895" spans="1:10" hidden="1">
      <c r="A895" s="79" t="s">
        <v>2050</v>
      </c>
      <c r="B895" s="84"/>
      <c r="C895" s="1786" t="s">
        <v>3377</v>
      </c>
      <c r="D895" s="80" t="s">
        <v>2566</v>
      </c>
      <c r="E895" s="2277" t="str">
        <f t="shared" si="58"/>
        <v>TI</v>
      </c>
      <c r="F895" s="55">
        <v>2000</v>
      </c>
      <c r="G895" s="55" t="s">
        <v>512</v>
      </c>
      <c r="J895" s="55" t="str">
        <f t="shared" si="57"/>
        <v>TI1005</v>
      </c>
    </row>
    <row r="896" spans="1:10" hidden="1">
      <c r="A896" s="79" t="s">
        <v>2051</v>
      </c>
      <c r="B896" s="84"/>
      <c r="C896" s="1786" t="s">
        <v>3378</v>
      </c>
      <c r="D896" s="80" t="s">
        <v>2566</v>
      </c>
      <c r="E896" s="2277" t="str">
        <f t="shared" si="58"/>
        <v>TI</v>
      </c>
      <c r="F896" s="55">
        <v>2000</v>
      </c>
      <c r="G896" s="55" t="s">
        <v>512</v>
      </c>
      <c r="J896" s="55" t="str">
        <f t="shared" si="57"/>
        <v>TI1255</v>
      </c>
    </row>
    <row r="897" spans="1:10" hidden="1">
      <c r="A897" s="79" t="s">
        <v>2194</v>
      </c>
      <c r="B897" s="84"/>
      <c r="C897" s="1786" t="s">
        <v>3379</v>
      </c>
      <c r="D897" s="80" t="s">
        <v>2566</v>
      </c>
      <c r="E897" s="2277" t="str">
        <f t="shared" si="58"/>
        <v>TI</v>
      </c>
      <c r="F897" s="55">
        <v>2000</v>
      </c>
      <c r="G897" s="55" t="s">
        <v>512</v>
      </c>
      <c r="J897" s="55" t="str">
        <f t="shared" si="57"/>
        <v>TI1505</v>
      </c>
    </row>
    <row r="898" spans="1:10" hidden="1">
      <c r="A898" s="79" t="s">
        <v>1118</v>
      </c>
      <c r="B898" s="84"/>
      <c r="C898" s="1786" t="s">
        <v>3380</v>
      </c>
      <c r="D898" s="80" t="s">
        <v>2566</v>
      </c>
      <c r="E898" s="2277" t="str">
        <f t="shared" si="58"/>
        <v>TI</v>
      </c>
      <c r="F898" s="55">
        <v>2000</v>
      </c>
      <c r="G898" s="55" t="s">
        <v>512</v>
      </c>
      <c r="J898" s="55" t="str">
        <f t="shared" si="57"/>
        <v>TI200</v>
      </c>
    </row>
    <row r="899" spans="1:10" hidden="1">
      <c r="A899" s="79" t="s">
        <v>1674</v>
      </c>
      <c r="B899" s="84"/>
      <c r="C899" s="1786" t="s">
        <v>3381</v>
      </c>
      <c r="D899" s="80" t="s">
        <v>2566</v>
      </c>
      <c r="E899" s="2277" t="str">
        <f t="shared" si="58"/>
        <v>TI</v>
      </c>
      <c r="F899" s="55">
        <v>2000</v>
      </c>
      <c r="G899" s="55" t="s">
        <v>512</v>
      </c>
      <c r="J899" s="55" t="str">
        <f t="shared" si="57"/>
        <v>TI250</v>
      </c>
    </row>
    <row r="900" spans="1:10" hidden="1">
      <c r="A900" s="79" t="s">
        <v>900</v>
      </c>
      <c r="B900" s="84"/>
      <c r="C900" s="1786" t="s">
        <v>3382</v>
      </c>
      <c r="D900" s="80" t="s">
        <v>2566</v>
      </c>
      <c r="E900" s="2277" t="str">
        <f t="shared" si="58"/>
        <v>TI</v>
      </c>
      <c r="F900" s="55">
        <v>2000</v>
      </c>
      <c r="G900" s="55" t="s">
        <v>512</v>
      </c>
      <c r="J900" s="55" t="str">
        <f t="shared" si="57"/>
        <v>TI300</v>
      </c>
    </row>
    <row r="901" spans="1:10" hidden="1">
      <c r="A901" s="79" t="s">
        <v>899</v>
      </c>
      <c r="B901" s="84"/>
      <c r="C901" s="1786" t="s">
        <v>3383</v>
      </c>
      <c r="D901" s="80" t="s">
        <v>2566</v>
      </c>
      <c r="E901" s="2277" t="str">
        <f t="shared" si="58"/>
        <v>TI</v>
      </c>
      <c r="F901" s="55">
        <v>2000</v>
      </c>
      <c r="G901" s="55" t="s">
        <v>512</v>
      </c>
      <c r="J901" s="55" t="str">
        <f t="shared" si="57"/>
        <v>TI400</v>
      </c>
    </row>
    <row r="902" spans="1:10" hidden="1">
      <c r="A902" s="79" t="s">
        <v>2283</v>
      </c>
      <c r="B902" s="84"/>
      <c r="C902" s="1786" t="s">
        <v>3384</v>
      </c>
      <c r="D902" s="80" t="s">
        <v>2566</v>
      </c>
      <c r="E902" s="2277" t="str">
        <f t="shared" si="58"/>
        <v>TI</v>
      </c>
      <c r="F902" s="55">
        <v>2000</v>
      </c>
      <c r="G902" s="55" t="s">
        <v>512</v>
      </c>
      <c r="J902" s="55" t="str">
        <f t="shared" si="57"/>
        <v>TI500</v>
      </c>
    </row>
    <row r="903" spans="1:10" hidden="1">
      <c r="A903" s="79" t="s">
        <v>64</v>
      </c>
      <c r="B903" s="84"/>
      <c r="C903" s="79" t="s">
        <v>3385</v>
      </c>
      <c r="D903" s="80" t="s">
        <v>2566</v>
      </c>
      <c r="E903" s="2277" t="str">
        <f t="shared" si="58"/>
        <v>TI</v>
      </c>
      <c r="F903" s="55">
        <v>2000</v>
      </c>
      <c r="G903" s="55" t="s">
        <v>512</v>
      </c>
      <c r="J903" s="55" t="str">
        <f t="shared" si="57"/>
        <v>TI600</v>
      </c>
    </row>
    <row r="904" spans="1:10" hidden="1">
      <c r="A904" s="79" t="s">
        <v>2049</v>
      </c>
      <c r="B904" s="84"/>
      <c r="C904" s="1786" t="s">
        <v>3386</v>
      </c>
      <c r="D904" s="80" t="s">
        <v>2566</v>
      </c>
      <c r="E904" s="2277" t="str">
        <f t="shared" si="58"/>
        <v>TI</v>
      </c>
      <c r="F904" s="55">
        <v>2000</v>
      </c>
      <c r="G904" s="55" t="s">
        <v>512</v>
      </c>
      <c r="J904" s="55" t="str">
        <f t="shared" si="57"/>
        <v>TI800</v>
      </c>
    </row>
    <row r="905" spans="1:10" hidden="1">
      <c r="A905" s="79" t="s">
        <v>1379</v>
      </c>
      <c r="B905" s="84" t="s">
        <v>317</v>
      </c>
      <c r="C905" s="1786" t="s">
        <v>3387</v>
      </c>
      <c r="D905" s="80" t="s">
        <v>2566</v>
      </c>
      <c r="E905" s="2277" t="str">
        <f t="shared" si="58"/>
        <v>TU</v>
      </c>
      <c r="F905" s="55">
        <v>2000</v>
      </c>
      <c r="G905" s="55" t="s">
        <v>512</v>
      </c>
      <c r="J905" s="55" t="str">
        <f t="shared" si="57"/>
        <v>TU15</v>
      </c>
    </row>
    <row r="906" spans="1:10" hidden="1">
      <c r="A906" s="79" t="s">
        <v>2195</v>
      </c>
      <c r="B906" s="84" t="s">
        <v>317</v>
      </c>
      <c r="C906" s="1786" t="s">
        <v>3388</v>
      </c>
      <c r="D906" s="80" t="s">
        <v>2566</v>
      </c>
      <c r="E906" s="2277" t="str">
        <f t="shared" si="58"/>
        <v>TU</v>
      </c>
      <c r="F906" s="55">
        <v>2000</v>
      </c>
      <c r="G906" s="55" t="s">
        <v>512</v>
      </c>
      <c r="J906" s="55" t="str">
        <f t="shared" si="57"/>
        <v>TU22</v>
      </c>
    </row>
    <row r="907" spans="1:10" hidden="1">
      <c r="A907" s="79" t="s">
        <v>2232</v>
      </c>
      <c r="B907" s="84"/>
      <c r="C907" s="1786" t="s">
        <v>3389</v>
      </c>
      <c r="D907" s="80" t="s">
        <v>2448</v>
      </c>
      <c r="E907" s="2277" t="str">
        <f t="shared" si="58"/>
        <v>TI</v>
      </c>
      <c r="F907" s="55">
        <v>50</v>
      </c>
      <c r="G907" s="55" t="s">
        <v>512</v>
      </c>
      <c r="J907" s="55" t="str">
        <f t="shared" ref="J907:J970" si="59">A907</f>
        <v>TIMER</v>
      </c>
    </row>
    <row r="908" spans="1:10" hidden="1">
      <c r="A908" s="79" t="s">
        <v>1802</v>
      </c>
      <c r="B908" s="84"/>
      <c r="C908" s="1786" t="s">
        <v>1142</v>
      </c>
      <c r="D908" s="80" t="s">
        <v>2566</v>
      </c>
      <c r="E908" s="2277" t="str">
        <f t="shared" si="58"/>
        <v>CO</v>
      </c>
      <c r="F908" s="55">
        <v>50</v>
      </c>
      <c r="G908" s="55" t="s">
        <v>512</v>
      </c>
      <c r="J908" s="55" t="str">
        <f t="shared" si="59"/>
        <v>COTATOR</v>
      </c>
    </row>
    <row r="909" spans="1:10" hidden="1">
      <c r="A909" s="79" t="s">
        <v>67</v>
      </c>
      <c r="B909" s="84"/>
      <c r="C909" s="1786" t="s">
        <v>68</v>
      </c>
      <c r="D909" s="80" t="s">
        <v>2566</v>
      </c>
      <c r="E909" s="2277" t="str">
        <f t="shared" si="58"/>
        <v>CO</v>
      </c>
      <c r="F909" s="55">
        <v>50</v>
      </c>
      <c r="G909" s="55" t="s">
        <v>512</v>
      </c>
      <c r="J909" s="55" t="str">
        <f t="shared" si="59"/>
        <v>CONTACTOR 100</v>
      </c>
    </row>
    <row r="910" spans="1:10" hidden="1">
      <c r="A910" s="79" t="s">
        <v>1649</v>
      </c>
      <c r="B910" s="84"/>
      <c r="C910" s="1786" t="s">
        <v>898</v>
      </c>
      <c r="D910" s="80" t="s">
        <v>2566</v>
      </c>
      <c r="E910" s="2277" t="str">
        <f t="shared" si="58"/>
        <v>CO</v>
      </c>
      <c r="F910" s="55">
        <v>50</v>
      </c>
      <c r="G910" s="55" t="s">
        <v>512</v>
      </c>
      <c r="J910" s="55" t="str">
        <f t="shared" si="59"/>
        <v>CONTACTOR 125</v>
      </c>
    </row>
    <row r="911" spans="1:10" hidden="1">
      <c r="A911" s="79" t="s">
        <v>2199</v>
      </c>
      <c r="B911" s="1778" t="s">
        <v>1392</v>
      </c>
      <c r="C911" s="1786" t="s">
        <v>3390</v>
      </c>
      <c r="D911" s="80" t="s">
        <v>3391</v>
      </c>
      <c r="E911" s="2277" t="str">
        <f t="shared" si="58"/>
        <v>TU</v>
      </c>
      <c r="F911" s="55">
        <v>2000</v>
      </c>
      <c r="G911" s="55" t="s">
        <v>512</v>
      </c>
      <c r="J911" s="55" t="str">
        <f t="shared" si="59"/>
        <v>TUBU1000</v>
      </c>
    </row>
    <row r="912" spans="1:10" hidden="1">
      <c r="A912" s="79" t="s">
        <v>2058</v>
      </c>
      <c r="B912" s="1778" t="s">
        <v>1392</v>
      </c>
      <c r="C912" s="1786" t="s">
        <v>3392</v>
      </c>
      <c r="D912" s="80" t="s">
        <v>3391</v>
      </c>
      <c r="E912" s="2277" t="str">
        <f t="shared" si="58"/>
        <v>TU</v>
      </c>
      <c r="F912" s="55">
        <v>2000</v>
      </c>
      <c r="G912" s="55" t="s">
        <v>512</v>
      </c>
      <c r="J912" s="55" t="str">
        <f t="shared" si="59"/>
        <v>TUBU750</v>
      </c>
    </row>
    <row r="913" spans="1:10" hidden="1">
      <c r="A913" s="79" t="s">
        <v>570</v>
      </c>
      <c r="B913" s="1778" t="s">
        <v>1392</v>
      </c>
      <c r="C913" s="1786" t="s">
        <v>3393</v>
      </c>
      <c r="D913" s="80" t="s">
        <v>3391</v>
      </c>
      <c r="E913" s="2277" t="str">
        <f t="shared" si="58"/>
        <v>TU</v>
      </c>
      <c r="F913" s="55">
        <v>2000</v>
      </c>
      <c r="G913" s="55" t="s">
        <v>512</v>
      </c>
      <c r="J913" s="55" t="str">
        <f t="shared" si="59"/>
        <v>TUBU600</v>
      </c>
    </row>
    <row r="914" spans="1:10" hidden="1">
      <c r="A914" s="79" t="s">
        <v>1965</v>
      </c>
      <c r="B914" s="1778" t="s">
        <v>1392</v>
      </c>
      <c r="C914" s="1786" t="s">
        <v>3394</v>
      </c>
      <c r="D914" s="80" t="s">
        <v>3391</v>
      </c>
      <c r="E914" s="2277" t="str">
        <f t="shared" si="58"/>
        <v>TU</v>
      </c>
      <c r="F914" s="55">
        <v>2000</v>
      </c>
      <c r="G914" s="55" t="s">
        <v>512</v>
      </c>
      <c r="J914" s="55" t="str">
        <f t="shared" si="59"/>
        <v>TUBU400</v>
      </c>
    </row>
    <row r="915" spans="1:10" hidden="1">
      <c r="A915" s="79" t="s">
        <v>1596</v>
      </c>
      <c r="B915" s="1778" t="s">
        <v>1392</v>
      </c>
      <c r="C915" s="1786" t="s">
        <v>3395</v>
      </c>
      <c r="D915" s="80" t="s">
        <v>3391</v>
      </c>
      <c r="E915" s="2277" t="str">
        <f t="shared" si="58"/>
        <v>TU</v>
      </c>
      <c r="F915" s="55">
        <v>2000</v>
      </c>
      <c r="G915" s="55" t="s">
        <v>512</v>
      </c>
      <c r="J915" s="55" t="str">
        <f t="shared" si="59"/>
        <v>TUBU380</v>
      </c>
    </row>
    <row r="916" spans="1:10" hidden="1">
      <c r="A916" s="79" t="s">
        <v>1798</v>
      </c>
      <c r="B916" s="1778" t="s">
        <v>1392</v>
      </c>
      <c r="C916" s="1786" t="s">
        <v>3396</v>
      </c>
      <c r="D916" s="80" t="s">
        <v>3391</v>
      </c>
      <c r="E916" s="2277" t="str">
        <f t="shared" si="58"/>
        <v>TU</v>
      </c>
      <c r="F916" s="55">
        <v>2000</v>
      </c>
      <c r="G916" s="55" t="s">
        <v>512</v>
      </c>
      <c r="J916" s="55" t="str">
        <f t="shared" si="59"/>
        <v>TUBU300</v>
      </c>
    </row>
    <row r="917" spans="1:10" hidden="1">
      <c r="A917" s="79" t="s">
        <v>736</v>
      </c>
      <c r="B917" s="1778" t="s">
        <v>1392</v>
      </c>
      <c r="C917" s="1786" t="s">
        <v>3397</v>
      </c>
      <c r="D917" s="80" t="s">
        <v>3391</v>
      </c>
      <c r="E917" s="2277" t="str">
        <f t="shared" si="58"/>
        <v>TU</v>
      </c>
      <c r="F917" s="55">
        <v>2000</v>
      </c>
      <c r="G917" s="55" t="s">
        <v>512</v>
      </c>
      <c r="J917" s="55" t="str">
        <f t="shared" si="59"/>
        <v>TUBU250</v>
      </c>
    </row>
    <row r="918" spans="1:10" hidden="1">
      <c r="A918" s="79" t="s">
        <v>1963</v>
      </c>
      <c r="B918" s="1778" t="s">
        <v>1392</v>
      </c>
      <c r="C918" s="1786" t="s">
        <v>3398</v>
      </c>
      <c r="D918" s="80" t="s">
        <v>3391</v>
      </c>
      <c r="E918" s="2277" t="str">
        <f t="shared" si="58"/>
        <v>TU</v>
      </c>
      <c r="F918" s="55">
        <v>2000</v>
      </c>
      <c r="G918" s="55" t="s">
        <v>512</v>
      </c>
      <c r="J918" s="55" t="str">
        <f t="shared" si="59"/>
        <v>TUBU220</v>
      </c>
    </row>
    <row r="919" spans="1:10" hidden="1">
      <c r="A919" s="79" t="s">
        <v>729</v>
      </c>
      <c r="B919" s="1778" t="s">
        <v>1392</v>
      </c>
      <c r="C919" s="1786" t="s">
        <v>3399</v>
      </c>
      <c r="D919" s="80" t="s">
        <v>3391</v>
      </c>
      <c r="E919" s="2277" t="str">
        <f t="shared" si="58"/>
        <v>TU</v>
      </c>
      <c r="F919" s="55">
        <v>2000</v>
      </c>
      <c r="G919" s="55" t="s">
        <v>512</v>
      </c>
      <c r="J919" s="55" t="str">
        <f t="shared" si="59"/>
        <v>TUBU160</v>
      </c>
    </row>
    <row r="920" spans="1:10" hidden="1">
      <c r="A920" s="79" t="s">
        <v>486</v>
      </c>
      <c r="B920" s="1778" t="s">
        <v>1392</v>
      </c>
      <c r="C920" s="1786" t="s">
        <v>3400</v>
      </c>
      <c r="D920" s="80" t="s">
        <v>3391</v>
      </c>
      <c r="E920" s="2277" t="str">
        <f t="shared" si="58"/>
        <v>TU</v>
      </c>
      <c r="F920" s="55">
        <v>2000</v>
      </c>
      <c r="G920" s="55" t="s">
        <v>512</v>
      </c>
      <c r="J920" s="55" t="str">
        <f t="shared" si="59"/>
        <v>TUBU135</v>
      </c>
    </row>
    <row r="921" spans="1:10" hidden="1">
      <c r="A921" s="79" t="s">
        <v>774</v>
      </c>
      <c r="B921" s="1778" t="s">
        <v>1392</v>
      </c>
      <c r="C921" s="1786" t="s">
        <v>3401</v>
      </c>
      <c r="D921" s="80" t="s">
        <v>3391</v>
      </c>
      <c r="E921" s="2277" t="str">
        <f t="shared" si="58"/>
        <v>TU</v>
      </c>
      <c r="F921" s="55">
        <v>2000</v>
      </c>
      <c r="G921" s="55" t="s">
        <v>512</v>
      </c>
      <c r="J921" s="55" t="str">
        <f t="shared" si="59"/>
        <v>TUBU130</v>
      </c>
    </row>
    <row r="922" spans="1:10" hidden="1">
      <c r="A922" s="79" t="s">
        <v>1799</v>
      </c>
      <c r="B922" s="1778" t="s">
        <v>1765</v>
      </c>
      <c r="C922" s="1786" t="s">
        <v>3402</v>
      </c>
      <c r="D922" s="80" t="s">
        <v>3391</v>
      </c>
      <c r="E922" s="2277" t="str">
        <f t="shared" si="58"/>
        <v>TU</v>
      </c>
      <c r="F922" s="55">
        <v>2000</v>
      </c>
      <c r="G922" s="55" t="s">
        <v>512</v>
      </c>
      <c r="J922" s="55" t="str">
        <f t="shared" si="59"/>
        <v>TUBU100</v>
      </c>
    </row>
    <row r="923" spans="1:10" hidden="1">
      <c r="A923" s="79" t="s">
        <v>4637</v>
      </c>
      <c r="B923" s="1778" t="s">
        <v>1392</v>
      </c>
      <c r="C923" s="1786" t="s">
        <v>4638</v>
      </c>
      <c r="D923" s="80" t="s">
        <v>3391</v>
      </c>
      <c r="E923" s="2277" t="str">
        <f t="shared" ref="E923" si="60">LEFT(A923,2)</f>
        <v>TU</v>
      </c>
      <c r="F923" s="55">
        <v>2000</v>
      </c>
      <c r="G923" s="55" t="s">
        <v>512</v>
      </c>
      <c r="J923" s="55" t="str">
        <f t="shared" si="59"/>
        <v>TUBU90</v>
      </c>
    </row>
    <row r="924" spans="1:10" hidden="1">
      <c r="A924" s="79" t="s">
        <v>686</v>
      </c>
      <c r="B924" s="1778" t="s">
        <v>1392</v>
      </c>
      <c r="C924" s="1786" t="s">
        <v>3403</v>
      </c>
      <c r="D924" s="80" t="s">
        <v>3391</v>
      </c>
      <c r="E924" s="2277" t="str">
        <f t="shared" si="58"/>
        <v>TU</v>
      </c>
      <c r="F924" s="55">
        <v>2000</v>
      </c>
      <c r="G924" s="55" t="s">
        <v>512</v>
      </c>
      <c r="J924" s="55" t="str">
        <f t="shared" si="59"/>
        <v>TUBU80</v>
      </c>
    </row>
    <row r="925" spans="1:10" hidden="1">
      <c r="A925" s="79" t="s">
        <v>2200</v>
      </c>
      <c r="B925" s="1778" t="s">
        <v>1392</v>
      </c>
      <c r="C925" s="1786" t="s">
        <v>3404</v>
      </c>
      <c r="D925" s="80" t="s">
        <v>3391</v>
      </c>
      <c r="E925" s="2277" t="str">
        <f t="shared" si="58"/>
        <v>TU</v>
      </c>
      <c r="F925" s="55">
        <v>2000</v>
      </c>
      <c r="G925" s="55" t="s">
        <v>512</v>
      </c>
      <c r="J925" s="55" t="str">
        <f t="shared" si="59"/>
        <v>TUBU60</v>
      </c>
    </row>
    <row r="926" spans="1:10" hidden="1">
      <c r="A926" s="79" t="s">
        <v>760</v>
      </c>
      <c r="B926" s="1778" t="s">
        <v>1392</v>
      </c>
      <c r="C926" s="1786" t="s">
        <v>5002</v>
      </c>
      <c r="D926" s="80" t="s">
        <v>3391</v>
      </c>
      <c r="E926" s="2277" t="str">
        <f t="shared" si="58"/>
        <v>TU</v>
      </c>
      <c r="F926" s="55">
        <v>2000</v>
      </c>
      <c r="G926" s="55" t="s">
        <v>512</v>
      </c>
      <c r="J926" s="55" t="str">
        <f t="shared" si="59"/>
        <v>TUBU40</v>
      </c>
    </row>
    <row r="927" spans="1:10" hidden="1">
      <c r="A927" s="79" t="s">
        <v>1599</v>
      </c>
      <c r="B927" s="1778" t="s">
        <v>1393</v>
      </c>
      <c r="C927" s="79" t="s">
        <v>3405</v>
      </c>
      <c r="D927" s="80" t="s">
        <v>3391</v>
      </c>
      <c r="E927" s="2277" t="str">
        <f t="shared" si="58"/>
        <v>TU</v>
      </c>
      <c r="F927" s="55">
        <v>50</v>
      </c>
      <c r="G927" s="55" t="s">
        <v>512</v>
      </c>
      <c r="J927" s="55" t="str">
        <f t="shared" si="59"/>
        <v>TULBS</v>
      </c>
    </row>
    <row r="928" spans="1:10" hidden="1">
      <c r="A928" s="79" t="s">
        <v>11</v>
      </c>
      <c r="B928" s="1778" t="s">
        <v>1393</v>
      </c>
      <c r="C928" s="79" t="s">
        <v>3406</v>
      </c>
      <c r="D928" s="80" t="s">
        <v>3391</v>
      </c>
      <c r="E928" s="2277" t="str">
        <f t="shared" si="58"/>
        <v>TU</v>
      </c>
      <c r="F928" s="55">
        <v>50</v>
      </c>
      <c r="G928" s="55" t="s">
        <v>512</v>
      </c>
      <c r="J928" s="55" t="str">
        <f t="shared" si="59"/>
        <v>TU LBS</v>
      </c>
    </row>
    <row r="929" spans="1:10" hidden="1">
      <c r="A929" s="79" t="s">
        <v>1796</v>
      </c>
      <c r="B929" s="1778" t="s">
        <v>1393</v>
      </c>
      <c r="C929" s="79" t="s">
        <v>3407</v>
      </c>
      <c r="D929" s="80" t="s">
        <v>3391</v>
      </c>
      <c r="E929" s="2277" t="str">
        <f t="shared" si="58"/>
        <v>TU</v>
      </c>
      <c r="F929" s="55">
        <v>50</v>
      </c>
      <c r="G929" s="55" t="s">
        <v>512</v>
      </c>
      <c r="J929" s="55" t="str">
        <f t="shared" si="59"/>
        <v>TUTC LBS</v>
      </c>
    </row>
    <row r="930" spans="1:10" hidden="1">
      <c r="A930" s="79" t="s">
        <v>1600</v>
      </c>
      <c r="B930" s="1778" t="s">
        <v>1393</v>
      </c>
      <c r="C930" s="79" t="s">
        <v>3408</v>
      </c>
      <c r="D930" s="80" t="s">
        <v>3391</v>
      </c>
      <c r="E930" s="2277" t="str">
        <f t="shared" ref="E930:E994" si="61">LEFT(A930,2)</f>
        <v>TU</v>
      </c>
      <c r="F930" s="55">
        <v>50</v>
      </c>
      <c r="G930" s="55" t="s">
        <v>512</v>
      </c>
      <c r="J930" s="55" t="str">
        <f t="shared" si="59"/>
        <v>TUDS</v>
      </c>
    </row>
    <row r="931" spans="1:10" hidden="1">
      <c r="A931" s="79" t="s">
        <v>1384</v>
      </c>
      <c r="B931" s="1778" t="s">
        <v>1027</v>
      </c>
      <c r="C931" s="79" t="s">
        <v>3409</v>
      </c>
      <c r="D931" s="80" t="s">
        <v>2566</v>
      </c>
      <c r="E931" s="2277" t="str">
        <f t="shared" si="61"/>
        <v>TU</v>
      </c>
      <c r="F931" s="55">
        <v>50</v>
      </c>
      <c r="G931" s="55" t="s">
        <v>512</v>
      </c>
      <c r="J931" s="55" t="str">
        <f t="shared" si="59"/>
        <v>TUACB</v>
      </c>
    </row>
    <row r="932" spans="1:10" hidden="1">
      <c r="A932" s="79" t="s">
        <v>889</v>
      </c>
      <c r="B932" s="1778" t="s">
        <v>1027</v>
      </c>
      <c r="C932" s="79" t="s">
        <v>3410</v>
      </c>
      <c r="D932" s="80" t="s">
        <v>2566</v>
      </c>
      <c r="E932" s="2277" t="str">
        <f t="shared" si="61"/>
        <v>TU</v>
      </c>
      <c r="F932" s="55">
        <v>50</v>
      </c>
      <c r="G932" s="55" t="s">
        <v>512</v>
      </c>
      <c r="J932" s="55" t="str">
        <f t="shared" si="59"/>
        <v>TUACB3200</v>
      </c>
    </row>
    <row r="933" spans="1:10" hidden="1">
      <c r="A933" s="79" t="s">
        <v>628</v>
      </c>
      <c r="B933" s="1778" t="s">
        <v>1027</v>
      </c>
      <c r="C933" s="79" t="s">
        <v>3411</v>
      </c>
      <c r="D933" s="80" t="s">
        <v>2566</v>
      </c>
      <c r="E933" s="2277" t="str">
        <f t="shared" si="61"/>
        <v>TU</v>
      </c>
      <c r="F933" s="55">
        <v>50</v>
      </c>
      <c r="G933" s="55" t="s">
        <v>512</v>
      </c>
      <c r="J933" s="55" t="str">
        <f t="shared" si="59"/>
        <v>TUACB4000</v>
      </c>
    </row>
    <row r="934" spans="1:10" hidden="1">
      <c r="A934" s="79" t="s">
        <v>615</v>
      </c>
      <c r="B934" s="1778" t="s">
        <v>1762</v>
      </c>
      <c r="C934" s="79" t="s">
        <v>3412</v>
      </c>
      <c r="D934" s="80" t="s">
        <v>2566</v>
      </c>
      <c r="E934" s="2277" t="str">
        <f t="shared" si="61"/>
        <v>TU</v>
      </c>
      <c r="F934" s="55">
        <v>50</v>
      </c>
      <c r="G934" s="55" t="s">
        <v>512</v>
      </c>
      <c r="J934" s="55" t="str">
        <f t="shared" si="59"/>
        <v>TUAP3-N</v>
      </c>
    </row>
    <row r="935" spans="1:10" hidden="1">
      <c r="A935" s="79" t="s">
        <v>1026</v>
      </c>
      <c r="B935" s="1778" t="s">
        <v>1761</v>
      </c>
      <c r="C935" s="79" t="s">
        <v>3413</v>
      </c>
      <c r="D935" s="80" t="s">
        <v>2566</v>
      </c>
      <c r="E935" s="2277" t="str">
        <f t="shared" si="61"/>
        <v>TU</v>
      </c>
      <c r="F935" s="55">
        <v>50</v>
      </c>
      <c r="G935" s="55" t="s">
        <v>512</v>
      </c>
      <c r="J935" s="55" t="str">
        <f t="shared" si="59"/>
        <v>TUAP1</v>
      </c>
    </row>
    <row r="936" spans="1:10" hidden="1">
      <c r="A936" s="79" t="s">
        <v>840</v>
      </c>
      <c r="B936" s="84" t="s">
        <v>1675</v>
      </c>
      <c r="C936" s="79" t="s">
        <v>3414</v>
      </c>
      <c r="D936" s="80" t="s">
        <v>2566</v>
      </c>
      <c r="E936" s="2277" t="str">
        <f t="shared" si="61"/>
        <v>TU</v>
      </c>
      <c r="F936" s="55">
        <v>50</v>
      </c>
      <c r="G936" s="55" t="s">
        <v>512</v>
      </c>
      <c r="J936" s="55" t="str">
        <f t="shared" si="59"/>
        <v>TUN</v>
      </c>
    </row>
    <row r="937" spans="1:10" hidden="1">
      <c r="A937" s="79" t="s">
        <v>1921</v>
      </c>
      <c r="B937" s="84" t="s">
        <v>1675</v>
      </c>
      <c r="C937" s="79" t="s">
        <v>3415</v>
      </c>
      <c r="D937" s="80" t="s">
        <v>2566</v>
      </c>
      <c r="E937" s="2277" t="str">
        <f t="shared" si="61"/>
        <v>TU</v>
      </c>
      <c r="F937" s="55">
        <v>50</v>
      </c>
      <c r="G937" s="55" t="s">
        <v>512</v>
      </c>
      <c r="J937" s="55" t="str">
        <f t="shared" si="59"/>
        <v>TUDKDT</v>
      </c>
    </row>
    <row r="938" spans="1:10" hidden="1">
      <c r="A938" s="79" t="s">
        <v>1028</v>
      </c>
      <c r="B938" s="84" t="s">
        <v>1027</v>
      </c>
      <c r="C938" s="79" t="s">
        <v>3416</v>
      </c>
      <c r="D938" s="80" t="s">
        <v>2566</v>
      </c>
      <c r="E938" s="2277" t="str">
        <f t="shared" si="61"/>
        <v>TU</v>
      </c>
      <c r="F938" s="55">
        <v>50</v>
      </c>
      <c r="G938" s="55" t="s">
        <v>512</v>
      </c>
      <c r="J938" s="55" t="str">
        <f t="shared" si="59"/>
        <v>TUAP3</v>
      </c>
    </row>
    <row r="939" spans="1:10" hidden="1">
      <c r="A939" s="79" t="s">
        <v>1509</v>
      </c>
      <c r="B939" s="84" t="s">
        <v>1762</v>
      </c>
      <c r="C939" s="79" t="s">
        <v>3417</v>
      </c>
      <c r="D939" s="80" t="s">
        <v>2566</v>
      </c>
      <c r="E939" s="2277" t="str">
        <f t="shared" si="61"/>
        <v>TU</v>
      </c>
      <c r="F939" s="55">
        <v>50</v>
      </c>
      <c r="G939" s="55" t="s">
        <v>512</v>
      </c>
      <c r="J939" s="55" t="str">
        <f t="shared" si="59"/>
        <v>TUAP3L</v>
      </c>
    </row>
    <row r="940" spans="1:10" hidden="1">
      <c r="A940" s="79" t="s">
        <v>1234</v>
      </c>
      <c r="B940" s="84" t="s">
        <v>1027</v>
      </c>
      <c r="C940" s="79" t="s">
        <v>3418</v>
      </c>
      <c r="D940" s="80" t="s">
        <v>2714</v>
      </c>
      <c r="E940" s="2277" t="str">
        <f t="shared" si="61"/>
        <v>KH</v>
      </c>
      <c r="F940" s="55">
        <v>50</v>
      </c>
      <c r="G940" s="55" t="s">
        <v>512</v>
      </c>
      <c r="J940" s="55" t="str">
        <f t="shared" si="59"/>
        <v>KHUNG TU</v>
      </c>
    </row>
    <row r="941" spans="1:10" hidden="1">
      <c r="A941" s="79" t="s">
        <v>919</v>
      </c>
      <c r="B941" s="84" t="s">
        <v>1675</v>
      </c>
      <c r="C941" s="79" t="s">
        <v>3419</v>
      </c>
      <c r="D941" s="80" t="s">
        <v>2566</v>
      </c>
      <c r="E941" s="2277" t="str">
        <f t="shared" si="61"/>
        <v>TU</v>
      </c>
      <c r="F941" s="55">
        <v>50</v>
      </c>
      <c r="G941" s="55" t="s">
        <v>512</v>
      </c>
      <c r="J941" s="55" t="str">
        <f t="shared" si="59"/>
        <v>TUPP</v>
      </c>
    </row>
    <row r="942" spans="1:10" hidden="1">
      <c r="A942" s="79" t="s">
        <v>2182</v>
      </c>
      <c r="B942" s="80"/>
      <c r="C942" s="79" t="s">
        <v>3420</v>
      </c>
      <c r="D942" s="80" t="s">
        <v>2566</v>
      </c>
      <c r="E942" s="2277" t="str">
        <f t="shared" si="61"/>
        <v>AT</v>
      </c>
      <c r="F942" s="55">
        <v>50</v>
      </c>
      <c r="G942" s="55" t="s">
        <v>512</v>
      </c>
      <c r="J942" s="55" t="str">
        <f t="shared" si="59"/>
        <v>ATM30A</v>
      </c>
    </row>
    <row r="943" spans="1:10" hidden="1">
      <c r="A943" s="79" t="s">
        <v>891</v>
      </c>
      <c r="B943" s="80"/>
      <c r="C943" s="79" t="s">
        <v>3421</v>
      </c>
      <c r="D943" s="80" t="s">
        <v>2566</v>
      </c>
      <c r="E943" s="2277" t="str">
        <f t="shared" si="61"/>
        <v>AT</v>
      </c>
      <c r="F943" s="55">
        <v>50</v>
      </c>
      <c r="G943" s="55" t="s">
        <v>512</v>
      </c>
      <c r="J943" s="55" t="str">
        <f t="shared" si="59"/>
        <v>ATM40A</v>
      </c>
    </row>
    <row r="944" spans="1:10" hidden="1">
      <c r="A944" s="79" t="s">
        <v>1423</v>
      </c>
      <c r="B944" s="80"/>
      <c r="C944" s="79" t="s">
        <v>3422</v>
      </c>
      <c r="D944" s="80" t="s">
        <v>2566</v>
      </c>
      <c r="E944" s="2277" t="str">
        <f t="shared" si="61"/>
        <v>AT</v>
      </c>
      <c r="F944" s="55">
        <v>50</v>
      </c>
      <c r="G944" s="55" t="s">
        <v>512</v>
      </c>
      <c r="J944" s="55" t="str">
        <f t="shared" si="59"/>
        <v>ATM100A</v>
      </c>
    </row>
    <row r="945" spans="1:10" hidden="1">
      <c r="A945" s="79" t="s">
        <v>80</v>
      </c>
      <c r="B945" s="1809" t="s">
        <v>1518</v>
      </c>
      <c r="C945" s="79" t="s">
        <v>5008</v>
      </c>
      <c r="D945" s="80" t="s">
        <v>2566</v>
      </c>
      <c r="E945" s="2277" t="str">
        <f t="shared" si="61"/>
        <v>AT</v>
      </c>
      <c r="F945" s="55">
        <v>5</v>
      </c>
      <c r="G945" s="55" t="s">
        <v>512</v>
      </c>
      <c r="J945" s="55" t="str">
        <f t="shared" si="59"/>
        <v>ATM50</v>
      </c>
    </row>
    <row r="946" spans="1:10" hidden="1">
      <c r="A946" s="79" t="s">
        <v>1730</v>
      </c>
      <c r="B946" s="1809" t="s">
        <v>1518</v>
      </c>
      <c r="C946" s="79" t="s">
        <v>3423</v>
      </c>
      <c r="D946" s="80" t="s">
        <v>2566</v>
      </c>
      <c r="E946" s="2277" t="str">
        <f t="shared" si="61"/>
        <v>AT</v>
      </c>
      <c r="F946" s="55">
        <v>5</v>
      </c>
      <c r="G946" s="55" t="s">
        <v>512</v>
      </c>
      <c r="J946" s="55" t="str">
        <f t="shared" si="59"/>
        <v>ATM80</v>
      </c>
    </row>
    <row r="947" spans="1:10" hidden="1">
      <c r="A947" s="79" t="s">
        <v>81</v>
      </c>
      <c r="B947" s="1809" t="s">
        <v>1518</v>
      </c>
      <c r="C947" s="79" t="s">
        <v>3424</v>
      </c>
      <c r="D947" s="80" t="s">
        <v>2566</v>
      </c>
      <c r="E947" s="2277" t="str">
        <f t="shared" si="61"/>
        <v>AT</v>
      </c>
      <c r="F947" s="55">
        <v>5</v>
      </c>
      <c r="G947" s="55" t="s">
        <v>512</v>
      </c>
      <c r="J947" s="55" t="str">
        <f t="shared" si="59"/>
        <v>ATM75</v>
      </c>
    </row>
    <row r="948" spans="1:10" hidden="1">
      <c r="A948" s="79" t="s">
        <v>795</v>
      </c>
      <c r="B948" s="1809" t="s">
        <v>1518</v>
      </c>
      <c r="C948" s="79" t="s">
        <v>3425</v>
      </c>
      <c r="D948" s="80" t="s">
        <v>2566</v>
      </c>
      <c r="E948" s="2277" t="str">
        <f t="shared" si="61"/>
        <v>AT</v>
      </c>
      <c r="F948" s="55">
        <v>5</v>
      </c>
      <c r="G948" s="55" t="s">
        <v>512</v>
      </c>
      <c r="J948" s="55" t="str">
        <f t="shared" si="59"/>
        <v>ATM100</v>
      </c>
    </row>
    <row r="949" spans="1:10" hidden="1">
      <c r="A949" s="79" t="s">
        <v>1424</v>
      </c>
      <c r="B949" s="1809" t="s">
        <v>1518</v>
      </c>
      <c r="C949" s="79" t="s">
        <v>4576</v>
      </c>
      <c r="D949" s="80" t="s">
        <v>2566</v>
      </c>
      <c r="E949" s="2277" t="str">
        <f t="shared" si="61"/>
        <v>AT</v>
      </c>
      <c r="F949" s="55">
        <v>5</v>
      </c>
      <c r="G949" s="55" t="s">
        <v>512</v>
      </c>
      <c r="J949" s="55" t="str">
        <f t="shared" si="59"/>
        <v>ATM125</v>
      </c>
    </row>
    <row r="950" spans="1:10" hidden="1">
      <c r="A950" s="79" t="s">
        <v>1854</v>
      </c>
      <c r="B950" s="1809" t="s">
        <v>1518</v>
      </c>
      <c r="C950" s="79" t="s">
        <v>3426</v>
      </c>
      <c r="D950" s="80" t="s">
        <v>2566</v>
      </c>
      <c r="E950" s="2277" t="str">
        <f t="shared" si="61"/>
        <v>AT</v>
      </c>
      <c r="F950" s="55">
        <v>5</v>
      </c>
      <c r="G950" s="55" t="s">
        <v>512</v>
      </c>
      <c r="J950" s="55" t="str">
        <f t="shared" si="59"/>
        <v>ATM150</v>
      </c>
    </row>
    <row r="951" spans="1:10" hidden="1">
      <c r="A951" s="79" t="s">
        <v>1432</v>
      </c>
      <c r="B951" s="1809" t="s">
        <v>1518</v>
      </c>
      <c r="C951" s="79" t="s">
        <v>3427</v>
      </c>
      <c r="D951" s="80" t="s">
        <v>2566</v>
      </c>
      <c r="E951" s="2277" t="str">
        <f t="shared" si="61"/>
        <v>AT</v>
      </c>
      <c r="F951" s="55">
        <v>5</v>
      </c>
      <c r="G951" s="55" t="s">
        <v>512</v>
      </c>
      <c r="J951" s="55" t="str">
        <f t="shared" si="59"/>
        <v>ATM200</v>
      </c>
    </row>
    <row r="952" spans="1:10" hidden="1">
      <c r="A952" s="79" t="s">
        <v>1565</v>
      </c>
      <c r="B952" s="1809" t="s">
        <v>1518</v>
      </c>
      <c r="C952" s="79" t="s">
        <v>4489</v>
      </c>
      <c r="D952" s="80" t="s">
        <v>2566</v>
      </c>
      <c r="E952" s="2277" t="str">
        <f t="shared" si="61"/>
        <v>AT</v>
      </c>
      <c r="F952" s="55">
        <v>5</v>
      </c>
      <c r="G952" s="55" t="s">
        <v>512</v>
      </c>
      <c r="J952" s="55" t="str">
        <f t="shared" si="59"/>
        <v>ATM250</v>
      </c>
    </row>
    <row r="953" spans="1:10" hidden="1">
      <c r="A953" s="79" t="s">
        <v>988</v>
      </c>
      <c r="B953" s="1809" t="s">
        <v>1889</v>
      </c>
      <c r="C953" s="79" t="s">
        <v>4543</v>
      </c>
      <c r="D953" s="80" t="s">
        <v>2566</v>
      </c>
      <c r="E953" s="2277" t="str">
        <f t="shared" si="61"/>
        <v>AT</v>
      </c>
      <c r="F953" s="55">
        <v>5</v>
      </c>
      <c r="G953" s="55" t="s">
        <v>512</v>
      </c>
      <c r="J953" s="55" t="str">
        <f t="shared" si="59"/>
        <v>ATM400</v>
      </c>
    </row>
    <row r="954" spans="1:10" hidden="1">
      <c r="A954" s="79" t="s">
        <v>305</v>
      </c>
      <c r="B954" s="1809" t="s">
        <v>543</v>
      </c>
      <c r="C954" s="79" t="s">
        <v>4802</v>
      </c>
      <c r="D954" s="80" t="s">
        <v>2566</v>
      </c>
      <c r="E954" s="2277" t="str">
        <f t="shared" si="61"/>
        <v>AT</v>
      </c>
      <c r="F954" s="55">
        <v>5</v>
      </c>
      <c r="G954" s="55" t="s">
        <v>512</v>
      </c>
      <c r="J954" s="55" t="str">
        <f t="shared" si="59"/>
        <v>ATM500</v>
      </c>
    </row>
    <row r="955" spans="1:10" hidden="1">
      <c r="A955" s="79" t="s">
        <v>542</v>
      </c>
      <c r="B955" s="1809" t="s">
        <v>543</v>
      </c>
      <c r="C955" s="79" t="s">
        <v>3428</v>
      </c>
      <c r="D955" s="80" t="s">
        <v>2566</v>
      </c>
      <c r="E955" s="2277" t="str">
        <f t="shared" si="61"/>
        <v>AT</v>
      </c>
      <c r="F955" s="55">
        <v>5</v>
      </c>
      <c r="G955" s="55" t="s">
        <v>512</v>
      </c>
      <c r="J955" s="55" t="str">
        <f t="shared" si="59"/>
        <v>ATM600</v>
      </c>
    </row>
    <row r="956" spans="1:10" hidden="1">
      <c r="A956" s="79" t="s">
        <v>962</v>
      </c>
      <c r="B956" s="1809" t="s">
        <v>543</v>
      </c>
      <c r="C956" s="79" t="s">
        <v>3429</v>
      </c>
      <c r="D956" s="80" t="s">
        <v>2566</v>
      </c>
      <c r="E956" s="2277" t="str">
        <f t="shared" si="61"/>
        <v>AT</v>
      </c>
      <c r="F956" s="55">
        <v>5</v>
      </c>
      <c r="G956" s="55" t="s">
        <v>512</v>
      </c>
      <c r="J956" s="55" t="str">
        <f t="shared" si="59"/>
        <v>ATM630</v>
      </c>
    </row>
    <row r="957" spans="1:10" hidden="1">
      <c r="A957" s="79" t="s">
        <v>655</v>
      </c>
      <c r="B957" s="1809" t="s">
        <v>543</v>
      </c>
      <c r="C957" s="79" t="s">
        <v>3430</v>
      </c>
      <c r="D957" s="80" t="s">
        <v>2566</v>
      </c>
      <c r="E957" s="2277" t="str">
        <f t="shared" si="61"/>
        <v>AT</v>
      </c>
      <c r="F957" s="55">
        <v>5</v>
      </c>
      <c r="G957" s="55" t="s">
        <v>512</v>
      </c>
      <c r="J957" s="55" t="str">
        <f t="shared" si="59"/>
        <v>ATM800</v>
      </c>
    </row>
    <row r="958" spans="1:10" hidden="1">
      <c r="A958" s="79" t="s">
        <v>656</v>
      </c>
      <c r="B958" s="1809" t="s">
        <v>827</v>
      </c>
      <c r="C958" s="79" t="s">
        <v>3431</v>
      </c>
      <c r="D958" s="80" t="s">
        <v>2566</v>
      </c>
      <c r="E958" s="2277" t="str">
        <f t="shared" si="61"/>
        <v>AT</v>
      </c>
      <c r="F958" s="55">
        <v>5</v>
      </c>
      <c r="G958" s="55" t="s">
        <v>512</v>
      </c>
      <c r="J958" s="55" t="str">
        <f t="shared" si="59"/>
        <v>ATM1000</v>
      </c>
    </row>
    <row r="959" spans="1:10" hidden="1">
      <c r="A959" s="79" t="s">
        <v>1381</v>
      </c>
      <c r="B959" s="1809" t="s">
        <v>827</v>
      </c>
      <c r="C959" s="79" t="s">
        <v>3432</v>
      </c>
      <c r="D959" s="80" t="s">
        <v>2566</v>
      </c>
      <c r="E959" s="2277" t="str">
        <f t="shared" si="61"/>
        <v>AT</v>
      </c>
      <c r="F959" s="55">
        <v>5</v>
      </c>
      <c r="G959" s="55" t="s">
        <v>512</v>
      </c>
      <c r="J959" s="55" t="str">
        <f t="shared" si="59"/>
        <v>ATM1250</v>
      </c>
    </row>
    <row r="960" spans="1:10" hidden="1">
      <c r="A960" s="79" t="s">
        <v>1382</v>
      </c>
      <c r="B960" s="1809" t="s">
        <v>827</v>
      </c>
      <c r="C960" s="79" t="s">
        <v>3433</v>
      </c>
      <c r="D960" s="80" t="s">
        <v>2566</v>
      </c>
      <c r="E960" s="2277" t="str">
        <f t="shared" si="61"/>
        <v>AT</v>
      </c>
      <c r="F960" s="55">
        <v>5</v>
      </c>
      <c r="G960" s="55" t="s">
        <v>512</v>
      </c>
      <c r="J960" s="55" t="str">
        <f t="shared" si="59"/>
        <v>ATM1600</v>
      </c>
    </row>
    <row r="961" spans="1:10" hidden="1">
      <c r="A961" s="79" t="s">
        <v>641</v>
      </c>
      <c r="B961" s="1809" t="s">
        <v>827</v>
      </c>
      <c r="C961" s="79" t="s">
        <v>3434</v>
      </c>
      <c r="D961" s="80" t="s">
        <v>2566</v>
      </c>
      <c r="E961" s="2277" t="str">
        <f t="shared" si="61"/>
        <v>AC</v>
      </c>
      <c r="F961" s="55">
        <v>50</v>
      </c>
      <c r="G961" s="55" t="s">
        <v>512</v>
      </c>
      <c r="J961" s="55" t="str">
        <f t="shared" si="59"/>
        <v>ACB1600</v>
      </c>
    </row>
    <row r="962" spans="1:10" hidden="1">
      <c r="A962" s="79" t="s">
        <v>440</v>
      </c>
      <c r="B962" s="1809" t="s">
        <v>827</v>
      </c>
      <c r="C962" s="79" t="s">
        <v>3435</v>
      </c>
      <c r="D962" s="80" t="s">
        <v>2566</v>
      </c>
      <c r="E962" s="2277" t="str">
        <f t="shared" si="61"/>
        <v>AC</v>
      </c>
      <c r="F962" s="55">
        <v>50</v>
      </c>
      <c r="G962" s="55" t="s">
        <v>512</v>
      </c>
      <c r="J962" s="55" t="str">
        <f t="shared" si="59"/>
        <v>ACB2000</v>
      </c>
    </row>
    <row r="963" spans="1:10" hidden="1">
      <c r="A963" s="79" t="s">
        <v>1137</v>
      </c>
      <c r="B963" s="1809" t="s">
        <v>827</v>
      </c>
      <c r="C963" s="79" t="s">
        <v>3436</v>
      </c>
      <c r="D963" s="80" t="s">
        <v>2566</v>
      </c>
      <c r="E963" s="2277" t="str">
        <f t="shared" si="61"/>
        <v>AC</v>
      </c>
      <c r="F963" s="55">
        <v>50</v>
      </c>
      <c r="G963" s="55" t="s">
        <v>512</v>
      </c>
      <c r="J963" s="55" t="str">
        <f t="shared" si="59"/>
        <v>ACB2500</v>
      </c>
    </row>
    <row r="964" spans="1:10" hidden="1">
      <c r="A964" s="79" t="s">
        <v>2193</v>
      </c>
      <c r="B964" s="1809" t="s">
        <v>827</v>
      </c>
      <c r="C964" s="79" t="s">
        <v>3437</v>
      </c>
      <c r="D964" s="80" t="s">
        <v>2566</v>
      </c>
      <c r="E964" s="2277" t="str">
        <f t="shared" si="61"/>
        <v>AC</v>
      </c>
      <c r="F964" s="55">
        <v>50</v>
      </c>
      <c r="G964" s="55" t="s">
        <v>512</v>
      </c>
      <c r="J964" s="55" t="str">
        <f t="shared" si="59"/>
        <v>ACB3200</v>
      </c>
    </row>
    <row r="965" spans="1:10" hidden="1">
      <c r="A965" s="79" t="s">
        <v>826</v>
      </c>
      <c r="B965" s="1809" t="s">
        <v>827</v>
      </c>
      <c r="C965" s="79" t="s">
        <v>3438</v>
      </c>
      <c r="D965" s="80" t="s">
        <v>2566</v>
      </c>
      <c r="E965" s="2277" t="str">
        <f t="shared" si="61"/>
        <v>AC</v>
      </c>
      <c r="F965" s="55">
        <v>50</v>
      </c>
      <c r="G965" s="55" t="s">
        <v>512</v>
      </c>
      <c r="J965" s="55" t="str">
        <f t="shared" si="59"/>
        <v>ACB4000</v>
      </c>
    </row>
    <row r="966" spans="1:10" hidden="1">
      <c r="A966" s="79" t="s">
        <v>1459</v>
      </c>
      <c r="B966" s="1809" t="s">
        <v>827</v>
      </c>
      <c r="C966" s="79" t="s">
        <v>3439</v>
      </c>
      <c r="D966" s="80" t="s">
        <v>2566</v>
      </c>
      <c r="E966" s="2277" t="str">
        <f t="shared" si="61"/>
        <v>AC</v>
      </c>
      <c r="F966" s="55">
        <v>50</v>
      </c>
      <c r="G966" s="55" t="s">
        <v>512</v>
      </c>
      <c r="J966" s="55" t="str">
        <f t="shared" si="59"/>
        <v>ACB4000-130</v>
      </c>
    </row>
    <row r="967" spans="1:10" hidden="1">
      <c r="A967" s="79" t="s">
        <v>1840</v>
      </c>
      <c r="B967" s="1809" t="s">
        <v>827</v>
      </c>
      <c r="C967" s="79" t="s">
        <v>3440</v>
      </c>
      <c r="D967" s="80" t="s">
        <v>2566</v>
      </c>
      <c r="E967" s="2277" t="str">
        <f t="shared" si="61"/>
        <v>AC</v>
      </c>
      <c r="F967" s="55">
        <v>50</v>
      </c>
      <c r="G967" s="55" t="s">
        <v>512</v>
      </c>
      <c r="J967" s="55" t="str">
        <f t="shared" si="59"/>
        <v>ACB6300</v>
      </c>
    </row>
    <row r="968" spans="1:10" hidden="1">
      <c r="A968" s="79" t="s">
        <v>1566</v>
      </c>
      <c r="B968" s="1809"/>
      <c r="C968" s="79" t="s">
        <v>3441</v>
      </c>
      <c r="D968" s="80" t="s">
        <v>2566</v>
      </c>
      <c r="E968" s="2277" t="str">
        <f t="shared" si="61"/>
        <v>AP</v>
      </c>
      <c r="F968" s="55">
        <v>50</v>
      </c>
      <c r="G968" s="55" t="s">
        <v>512</v>
      </c>
      <c r="J968" s="55" t="str">
        <f t="shared" si="59"/>
        <v>AP250</v>
      </c>
    </row>
    <row r="969" spans="1:10" hidden="1">
      <c r="A969" s="79" t="s">
        <v>1671</v>
      </c>
      <c r="B969" s="1809"/>
      <c r="C969" s="79" t="s">
        <v>3442</v>
      </c>
      <c r="D969" s="80" t="s">
        <v>2566</v>
      </c>
      <c r="E969" s="2277" t="str">
        <f t="shared" si="61"/>
        <v>AP</v>
      </c>
      <c r="F969" s="55">
        <v>50</v>
      </c>
      <c r="G969" s="55" t="s">
        <v>512</v>
      </c>
      <c r="J969" s="55" t="str">
        <f t="shared" si="59"/>
        <v>AP150</v>
      </c>
    </row>
    <row r="970" spans="1:10" hidden="1">
      <c r="A970" s="79" t="s">
        <v>890</v>
      </c>
      <c r="B970" s="84"/>
      <c r="C970" s="79" t="s">
        <v>3443</v>
      </c>
      <c r="D970" s="80" t="s">
        <v>2611</v>
      </c>
      <c r="E970" s="2277" t="str">
        <f t="shared" si="61"/>
        <v>CH</v>
      </c>
      <c r="F970" s="55">
        <v>50</v>
      </c>
      <c r="G970" s="55" t="s">
        <v>512</v>
      </c>
      <c r="J970" s="55" t="str">
        <f t="shared" si="59"/>
        <v>CHI3K</v>
      </c>
    </row>
    <row r="971" spans="1:10" hidden="1">
      <c r="A971" s="79" t="s">
        <v>26</v>
      </c>
      <c r="B971" s="84"/>
      <c r="C971" s="79" t="s">
        <v>3444</v>
      </c>
      <c r="D971" s="80" t="s">
        <v>2611</v>
      </c>
      <c r="E971" s="2277" t="str">
        <f t="shared" si="61"/>
        <v>CH</v>
      </c>
      <c r="F971" s="55">
        <v>50</v>
      </c>
      <c r="G971" s="55" t="s">
        <v>512</v>
      </c>
      <c r="J971" s="55" t="str">
        <f t="shared" ref="J971:J1034" si="62">A971</f>
        <v>CHI6K</v>
      </c>
    </row>
    <row r="972" spans="1:10" hidden="1">
      <c r="A972" s="79" t="s">
        <v>1029</v>
      </c>
      <c r="B972" s="84"/>
      <c r="C972" s="79" t="s">
        <v>3445</v>
      </c>
      <c r="D972" s="80" t="s">
        <v>2611</v>
      </c>
      <c r="E972" s="2277" t="str">
        <f t="shared" si="61"/>
        <v>CH</v>
      </c>
      <c r="F972" s="55">
        <v>50</v>
      </c>
      <c r="G972" s="55" t="s">
        <v>512</v>
      </c>
      <c r="J972" s="55" t="str">
        <f t="shared" si="62"/>
        <v>CHI8K</v>
      </c>
    </row>
    <row r="973" spans="1:10" hidden="1">
      <c r="A973" s="79" t="s">
        <v>1148</v>
      </c>
      <c r="B973" s="84"/>
      <c r="C973" s="79" t="s">
        <v>3446</v>
      </c>
      <c r="D973" s="80" t="s">
        <v>2611</v>
      </c>
      <c r="E973" s="2277" t="str">
        <f t="shared" si="61"/>
        <v>CH</v>
      </c>
      <c r="F973" s="55">
        <v>50</v>
      </c>
      <c r="G973" s="55" t="s">
        <v>512</v>
      </c>
      <c r="J973" s="55" t="str">
        <f t="shared" si="62"/>
        <v>CHI10K</v>
      </c>
    </row>
    <row r="974" spans="1:10" hidden="1">
      <c r="A974" s="79" t="s">
        <v>2073</v>
      </c>
      <c r="B974" s="84"/>
      <c r="C974" s="79" t="s">
        <v>3447</v>
      </c>
      <c r="D974" s="80" t="s">
        <v>2611</v>
      </c>
      <c r="E974" s="2277" t="str">
        <f t="shared" si="61"/>
        <v>CH</v>
      </c>
      <c r="F974" s="55">
        <v>50</v>
      </c>
      <c r="G974" s="55" t="s">
        <v>512</v>
      </c>
      <c r="J974" s="55" t="str">
        <f t="shared" si="62"/>
        <v>CHI12K</v>
      </c>
    </row>
    <row r="975" spans="1:10" hidden="1">
      <c r="A975" s="79" t="s">
        <v>2074</v>
      </c>
      <c r="B975" s="84"/>
      <c r="C975" s="79" t="s">
        <v>3448</v>
      </c>
      <c r="D975" s="80" t="s">
        <v>2611</v>
      </c>
      <c r="E975" s="2277" t="str">
        <f t="shared" si="61"/>
        <v>CH</v>
      </c>
      <c r="F975" s="55">
        <v>50</v>
      </c>
      <c r="G975" s="55" t="s">
        <v>512</v>
      </c>
      <c r="J975" s="55" t="str">
        <f t="shared" si="62"/>
        <v>CHI15K</v>
      </c>
    </row>
    <row r="976" spans="1:10" hidden="1">
      <c r="A976" s="79" t="s">
        <v>1163</v>
      </c>
      <c r="B976" s="84"/>
      <c r="C976" s="79" t="s">
        <v>3449</v>
      </c>
      <c r="D976" s="80" t="s">
        <v>2611</v>
      </c>
      <c r="E976" s="2277" t="str">
        <f t="shared" si="61"/>
        <v>CH</v>
      </c>
      <c r="F976" s="55">
        <v>50</v>
      </c>
      <c r="G976" s="55" t="s">
        <v>512</v>
      </c>
      <c r="J976" s="55" t="str">
        <f t="shared" si="62"/>
        <v>CHI20K</v>
      </c>
    </row>
    <row r="977" spans="1:10" hidden="1">
      <c r="A977" s="79" t="s">
        <v>2072</v>
      </c>
      <c r="B977" s="84"/>
      <c r="C977" s="79" t="s">
        <v>3450</v>
      </c>
      <c r="D977" s="80" t="s">
        <v>2611</v>
      </c>
      <c r="E977" s="2277" t="str">
        <f t="shared" si="61"/>
        <v>CH</v>
      </c>
      <c r="F977" s="55">
        <v>50</v>
      </c>
      <c r="G977" s="55" t="s">
        <v>512</v>
      </c>
      <c r="J977" s="55" t="str">
        <f t="shared" si="62"/>
        <v>CHI25K</v>
      </c>
    </row>
    <row r="978" spans="1:10" hidden="1">
      <c r="A978" s="79" t="s">
        <v>2075</v>
      </c>
      <c r="B978" s="84"/>
      <c r="C978" s="79" t="s">
        <v>3451</v>
      </c>
      <c r="D978" s="80" t="s">
        <v>2611</v>
      </c>
      <c r="E978" s="2277" t="str">
        <f t="shared" si="61"/>
        <v>CH</v>
      </c>
      <c r="F978" s="55">
        <v>50</v>
      </c>
      <c r="G978" s="55" t="s">
        <v>512</v>
      </c>
      <c r="J978" s="55" t="str">
        <f t="shared" si="62"/>
        <v>CHI30K</v>
      </c>
    </row>
    <row r="979" spans="1:10" hidden="1">
      <c r="A979" s="79" t="s">
        <v>2076</v>
      </c>
      <c r="B979" s="84"/>
      <c r="C979" s="79" t="s">
        <v>3452</v>
      </c>
      <c r="D979" s="80" t="s">
        <v>2611</v>
      </c>
      <c r="E979" s="2277" t="str">
        <f t="shared" si="61"/>
        <v>CH</v>
      </c>
      <c r="F979" s="55">
        <v>50</v>
      </c>
      <c r="G979" s="55" t="s">
        <v>512</v>
      </c>
      <c r="J979" s="55" t="str">
        <f t="shared" si="62"/>
        <v>CHI40K</v>
      </c>
    </row>
    <row r="980" spans="1:10" hidden="1">
      <c r="A980" s="79" t="s">
        <v>541</v>
      </c>
      <c r="B980" s="84"/>
      <c r="C980" s="79" t="s">
        <v>3453</v>
      </c>
      <c r="D980" s="80" t="s">
        <v>2611</v>
      </c>
      <c r="E980" s="2277" t="str">
        <f t="shared" si="61"/>
        <v>CH</v>
      </c>
      <c r="F980" s="55">
        <v>50</v>
      </c>
      <c r="G980" s="55" t="s">
        <v>512</v>
      </c>
      <c r="J980" s="55" t="str">
        <f t="shared" si="62"/>
        <v>CHI50K</v>
      </c>
    </row>
    <row r="981" spans="1:10" hidden="1">
      <c r="A981" s="79" t="s">
        <v>695</v>
      </c>
      <c r="B981" s="84"/>
      <c r="C981" s="79" t="s">
        <v>3454</v>
      </c>
      <c r="D981" s="80" t="s">
        <v>2611</v>
      </c>
      <c r="E981" s="2277" t="str">
        <f t="shared" si="61"/>
        <v>CH</v>
      </c>
      <c r="F981" s="55">
        <v>50</v>
      </c>
      <c r="G981" s="55" t="s">
        <v>512</v>
      </c>
      <c r="J981" s="55" t="str">
        <f t="shared" si="62"/>
        <v>CHI65K</v>
      </c>
    </row>
    <row r="982" spans="1:10" hidden="1">
      <c r="A982" s="79" t="s">
        <v>555</v>
      </c>
      <c r="B982" s="84"/>
      <c r="C982" s="79" t="s">
        <v>3455</v>
      </c>
      <c r="D982" s="80" t="s">
        <v>2611</v>
      </c>
      <c r="E982" s="2277" t="str">
        <f t="shared" si="61"/>
        <v>CH</v>
      </c>
      <c r="F982" s="55">
        <v>50</v>
      </c>
      <c r="G982" s="55" t="s">
        <v>512</v>
      </c>
      <c r="J982" s="55" t="str">
        <f t="shared" si="62"/>
        <v>CHI80K</v>
      </c>
    </row>
    <row r="983" spans="1:10" hidden="1">
      <c r="A983" s="79" t="s">
        <v>561</v>
      </c>
      <c r="B983" s="84"/>
      <c r="C983" s="79" t="s">
        <v>3456</v>
      </c>
      <c r="D983" s="80" t="s">
        <v>2611</v>
      </c>
      <c r="E983" s="2277" t="str">
        <f t="shared" si="61"/>
        <v>CH</v>
      </c>
      <c r="F983" s="55">
        <v>50</v>
      </c>
      <c r="G983" s="55" t="s">
        <v>512</v>
      </c>
      <c r="J983" s="55" t="str">
        <f t="shared" si="62"/>
        <v>CHI100K</v>
      </c>
    </row>
    <row r="984" spans="1:10" hidden="1">
      <c r="A984" s="79" t="s">
        <v>562</v>
      </c>
      <c r="B984" s="84"/>
      <c r="C984" s="79" t="s">
        <v>3457</v>
      </c>
      <c r="D984" s="80" t="s">
        <v>2611</v>
      </c>
      <c r="E984" s="2277" t="str">
        <f t="shared" si="61"/>
        <v>CH</v>
      </c>
      <c r="F984" s="55">
        <v>50</v>
      </c>
      <c r="G984" s="55" t="s">
        <v>512</v>
      </c>
      <c r="J984" s="55" t="str">
        <f t="shared" si="62"/>
        <v>CHI140K</v>
      </c>
    </row>
    <row r="985" spans="1:10" hidden="1">
      <c r="A985" s="79" t="s">
        <v>1589</v>
      </c>
      <c r="B985" s="1809"/>
      <c r="C985" s="79" t="s">
        <v>3458</v>
      </c>
      <c r="D985" s="80" t="s">
        <v>2566</v>
      </c>
      <c r="E985" s="2277" t="str">
        <f t="shared" si="61"/>
        <v>DK</v>
      </c>
      <c r="F985" s="55">
        <v>2000</v>
      </c>
      <c r="G985" s="55" t="s">
        <v>512</v>
      </c>
      <c r="J985" s="55" t="str">
        <f t="shared" si="62"/>
        <v>DK1p100A</v>
      </c>
    </row>
    <row r="986" spans="1:10" hidden="1">
      <c r="A986" s="79" t="s">
        <v>2201</v>
      </c>
      <c r="B986" s="1809"/>
      <c r="C986" s="79" t="s">
        <v>3459</v>
      </c>
      <c r="D986" s="80" t="s">
        <v>2566</v>
      </c>
      <c r="E986" s="2277" t="str">
        <f t="shared" si="61"/>
        <v>DK</v>
      </c>
      <c r="F986" s="55">
        <v>2000</v>
      </c>
      <c r="G986" s="55" t="s">
        <v>512</v>
      </c>
      <c r="J986" s="55" t="str">
        <f t="shared" si="62"/>
        <v>DK1p80A</v>
      </c>
    </row>
    <row r="987" spans="1:10" hidden="1">
      <c r="A987" s="79" t="s">
        <v>287</v>
      </c>
      <c r="B987" s="1809"/>
      <c r="C987" s="79" t="s">
        <v>3460</v>
      </c>
      <c r="D987" s="80" t="s">
        <v>2566</v>
      </c>
      <c r="E987" s="2277" t="str">
        <f t="shared" si="61"/>
        <v>DK</v>
      </c>
      <c r="F987" s="55">
        <v>2000</v>
      </c>
      <c r="G987" s="55" t="s">
        <v>512</v>
      </c>
      <c r="J987" s="55" t="str">
        <f t="shared" si="62"/>
        <v>DK1p5A</v>
      </c>
    </row>
    <row r="988" spans="1:10" hidden="1">
      <c r="A988" s="79" t="s">
        <v>1396</v>
      </c>
      <c r="B988" s="1809"/>
      <c r="C988" s="79" t="s">
        <v>3461</v>
      </c>
      <c r="D988" s="80" t="s">
        <v>2566</v>
      </c>
      <c r="E988" s="2277" t="str">
        <f t="shared" si="61"/>
        <v>DK</v>
      </c>
      <c r="F988" s="55">
        <v>2000</v>
      </c>
      <c r="G988" s="55" t="s">
        <v>512</v>
      </c>
      <c r="J988" s="55" t="str">
        <f t="shared" si="62"/>
        <v>DK3p50(100)A</v>
      </c>
    </row>
    <row r="989" spans="1:10" hidden="1">
      <c r="A989" s="79" t="s">
        <v>288</v>
      </c>
      <c r="B989" s="1809" t="s">
        <v>58</v>
      </c>
      <c r="C989" s="79" t="s">
        <v>3462</v>
      </c>
      <c r="D989" s="80" t="s">
        <v>2566</v>
      </c>
      <c r="E989" s="2277" t="str">
        <f t="shared" si="61"/>
        <v>DK</v>
      </c>
      <c r="F989" s="55">
        <v>2000</v>
      </c>
      <c r="G989" s="55" t="s">
        <v>512</v>
      </c>
      <c r="J989" s="55" t="str">
        <f t="shared" si="62"/>
        <v>DK3p5A</v>
      </c>
    </row>
    <row r="990" spans="1:10" hidden="1">
      <c r="A990" s="79" t="s">
        <v>4545</v>
      </c>
      <c r="B990" s="1809" t="s">
        <v>58</v>
      </c>
      <c r="C990" s="79" t="s">
        <v>4546</v>
      </c>
      <c r="D990" s="80" t="s">
        <v>2566</v>
      </c>
      <c r="E990" s="2277" t="str">
        <f t="shared" ref="E990" si="63">LEFT(A990,2)</f>
        <v>DK</v>
      </c>
      <c r="F990" s="55">
        <v>2000</v>
      </c>
      <c r="G990" s="55" t="s">
        <v>512</v>
      </c>
      <c r="J990" s="55" t="str">
        <f t="shared" si="62"/>
        <v>DK380-5A</v>
      </c>
    </row>
    <row r="991" spans="1:10" hidden="1">
      <c r="A991" s="79" t="s">
        <v>1843</v>
      </c>
      <c r="B991" s="1809"/>
      <c r="C991" s="79" t="s">
        <v>3463</v>
      </c>
      <c r="D991" s="80" t="s">
        <v>2566</v>
      </c>
      <c r="E991" s="2277" t="str">
        <f t="shared" si="61"/>
        <v>DK</v>
      </c>
      <c r="F991" s="55">
        <v>2000</v>
      </c>
      <c r="G991" s="55" t="s">
        <v>512</v>
      </c>
      <c r="J991" s="55" t="str">
        <f t="shared" si="62"/>
        <v>DK3DT</v>
      </c>
    </row>
    <row r="992" spans="1:10" hidden="1">
      <c r="A992" s="79" t="s">
        <v>945</v>
      </c>
      <c r="B992" s="1809" t="s">
        <v>58</v>
      </c>
      <c r="C992" s="79" t="s">
        <v>3464</v>
      </c>
      <c r="D992" s="80" t="s">
        <v>2566</v>
      </c>
      <c r="E992" s="2277" t="str">
        <f t="shared" si="61"/>
        <v>DK</v>
      </c>
      <c r="F992" s="55">
        <v>2000</v>
      </c>
      <c r="G992" s="55" t="s">
        <v>512</v>
      </c>
      <c r="J992" s="55" t="str">
        <f t="shared" si="62"/>
        <v>DK3P</v>
      </c>
    </row>
    <row r="993" spans="1:10" hidden="1">
      <c r="A993" s="79" t="s">
        <v>289</v>
      </c>
      <c r="B993" s="1809" t="s">
        <v>1764</v>
      </c>
      <c r="C993" s="79" t="s">
        <v>4593</v>
      </c>
      <c r="D993" s="80" t="s">
        <v>2448</v>
      </c>
      <c r="E993" s="2277" t="str">
        <f t="shared" si="61"/>
        <v>BA</v>
      </c>
      <c r="F993" s="55">
        <v>50</v>
      </c>
      <c r="G993" s="55" t="s">
        <v>512</v>
      </c>
      <c r="J993" s="55" t="str">
        <f t="shared" si="62"/>
        <v>BANG</v>
      </c>
    </row>
    <row r="994" spans="1:10" hidden="1">
      <c r="A994" s="79" t="s">
        <v>1590</v>
      </c>
      <c r="B994" s="84"/>
      <c r="C994" s="1787" t="s">
        <v>3465</v>
      </c>
      <c r="D994" s="80" t="s">
        <v>3466</v>
      </c>
      <c r="E994" s="2277" t="str">
        <f t="shared" si="61"/>
        <v>GT</v>
      </c>
      <c r="F994" s="55">
        <v>50</v>
      </c>
      <c r="G994" s="55" t="s">
        <v>512</v>
      </c>
      <c r="J994" s="55" t="str">
        <f t="shared" si="62"/>
        <v>GTD</v>
      </c>
    </row>
    <row r="995" spans="1:10" hidden="1">
      <c r="A995" s="79" t="s">
        <v>3467</v>
      </c>
      <c r="B995" s="84"/>
      <c r="C995" s="1787" t="s">
        <v>3468</v>
      </c>
      <c r="D995" s="80" t="s">
        <v>3466</v>
      </c>
      <c r="E995" s="2277" t="str">
        <f t="shared" ref="E995:E1059" si="64">LEFT(A995,2)</f>
        <v>GT</v>
      </c>
      <c r="F995" s="55">
        <v>50</v>
      </c>
      <c r="G995" s="55" t="s">
        <v>512</v>
      </c>
      <c r="J995" s="55" t="str">
        <f t="shared" si="62"/>
        <v>GTDĐ</v>
      </c>
    </row>
    <row r="996" spans="1:10" hidden="1">
      <c r="A996" s="79" t="s">
        <v>1258</v>
      </c>
      <c r="B996" s="1808" t="s">
        <v>1259</v>
      </c>
      <c r="C996" s="1787" t="s">
        <v>3469</v>
      </c>
      <c r="D996" s="80" t="s">
        <v>2566</v>
      </c>
      <c r="E996" s="2277" t="str">
        <f t="shared" si="64"/>
        <v>SX</v>
      </c>
      <c r="F996" s="55">
        <v>50</v>
      </c>
      <c r="G996" s="55" t="s">
        <v>512</v>
      </c>
      <c r="J996" s="55" t="str">
        <f t="shared" si="62"/>
        <v>SXTg</v>
      </c>
    </row>
    <row r="997" spans="1:10" hidden="1">
      <c r="A997" s="79" t="s">
        <v>1732</v>
      </c>
      <c r="B997" s="84"/>
      <c r="C997" s="1787" t="s">
        <v>4435</v>
      </c>
      <c r="D997" s="80" t="s">
        <v>2448</v>
      </c>
      <c r="E997" s="2277" t="str">
        <f t="shared" si="64"/>
        <v>GS</v>
      </c>
      <c r="F997" s="55">
        <v>50</v>
      </c>
      <c r="G997" s="55" t="s">
        <v>512</v>
      </c>
      <c r="J997" s="55" t="str">
        <f t="shared" si="62"/>
        <v>GSXTg</v>
      </c>
    </row>
    <row r="998" spans="1:10" hidden="1">
      <c r="A998" s="79" t="s">
        <v>1634</v>
      </c>
      <c r="B998" s="84"/>
      <c r="C998" s="1787" t="s">
        <v>3470</v>
      </c>
      <c r="D998" s="80" t="s">
        <v>2448</v>
      </c>
      <c r="E998" s="2277" t="str">
        <f t="shared" si="64"/>
        <v>GC</v>
      </c>
      <c r="F998" s="55">
        <v>50</v>
      </c>
      <c r="G998" s="55" t="s">
        <v>512</v>
      </c>
      <c r="J998" s="55" t="str">
        <f t="shared" si="62"/>
        <v>GCAP</v>
      </c>
    </row>
    <row r="999" spans="1:10" hidden="1">
      <c r="A999" s="79" t="s">
        <v>2237</v>
      </c>
      <c r="B999" s="1809" t="s">
        <v>2238</v>
      </c>
      <c r="C999" s="1787" t="s">
        <v>3471</v>
      </c>
      <c r="D999" s="80" t="s">
        <v>2448</v>
      </c>
      <c r="E999" s="2277" t="str">
        <f t="shared" si="64"/>
        <v>SD</v>
      </c>
      <c r="F999" s="55">
        <v>50</v>
      </c>
      <c r="G999" s="55" t="s">
        <v>512</v>
      </c>
      <c r="J999" s="55" t="str">
        <f t="shared" si="62"/>
        <v>SDTC</v>
      </c>
    </row>
    <row r="1000" spans="1:10" hidden="1">
      <c r="A1000" s="79" t="s">
        <v>1981</v>
      </c>
      <c r="B1000" s="84" t="s">
        <v>1982</v>
      </c>
      <c r="C1000" s="1787" t="s">
        <v>3472</v>
      </c>
      <c r="D1000" s="80" t="s">
        <v>1829</v>
      </c>
      <c r="E1000" s="2277" t="str">
        <f t="shared" si="64"/>
        <v>TC</v>
      </c>
      <c r="F1000" s="55">
        <v>50</v>
      </c>
      <c r="G1000" s="55" t="s">
        <v>512</v>
      </c>
      <c r="J1000" s="55" t="str">
        <f t="shared" si="62"/>
        <v>TC450</v>
      </c>
    </row>
    <row r="1001" spans="1:10" hidden="1">
      <c r="A1001" s="79" t="s">
        <v>123</v>
      </c>
      <c r="B1001" s="84" t="s">
        <v>1982</v>
      </c>
      <c r="C1001" s="1787" t="s">
        <v>3473</v>
      </c>
      <c r="D1001" s="80" t="s">
        <v>1829</v>
      </c>
      <c r="E1001" s="2277" t="str">
        <f t="shared" si="64"/>
        <v>TC</v>
      </c>
      <c r="F1001" s="55">
        <v>50</v>
      </c>
      <c r="G1001" s="55" t="s">
        <v>512</v>
      </c>
      <c r="J1001" s="55" t="str">
        <f t="shared" si="62"/>
        <v>TC430</v>
      </c>
    </row>
    <row r="1002" spans="1:10" hidden="1">
      <c r="A1002" s="79" t="s">
        <v>124</v>
      </c>
      <c r="B1002" s="84" t="s">
        <v>1781</v>
      </c>
      <c r="C1002" s="1787" t="s">
        <v>3474</v>
      </c>
      <c r="D1002" s="80" t="s">
        <v>1829</v>
      </c>
      <c r="E1002" s="2277" t="str">
        <f t="shared" si="64"/>
        <v>TC</v>
      </c>
      <c r="F1002" s="55">
        <v>50</v>
      </c>
      <c r="G1002" s="55" t="s">
        <v>512</v>
      </c>
      <c r="J1002" s="55" t="str">
        <f t="shared" si="62"/>
        <v>TC420</v>
      </c>
    </row>
    <row r="1003" spans="1:10" hidden="1">
      <c r="A1003" s="79" t="s">
        <v>1130</v>
      </c>
      <c r="B1003" s="84"/>
      <c r="C1003" s="1787" t="s">
        <v>3475</v>
      </c>
      <c r="D1003" s="80" t="s">
        <v>2448</v>
      </c>
      <c r="E1003" s="2277" t="str">
        <f t="shared" si="64"/>
        <v>Gi</v>
      </c>
      <c r="F1003" s="55">
        <v>50</v>
      </c>
      <c r="G1003" s="55" t="s">
        <v>512</v>
      </c>
      <c r="J1003" s="55" t="str">
        <f t="shared" si="62"/>
        <v>GiacapTT-2m</v>
      </c>
    </row>
    <row r="1004" spans="1:10" hidden="1">
      <c r="A1004" s="79" t="s">
        <v>1235</v>
      </c>
      <c r="B1004" s="84"/>
      <c r="C1004" s="1787" t="s">
        <v>3475</v>
      </c>
      <c r="D1004" s="80" t="s">
        <v>2448</v>
      </c>
      <c r="E1004" s="2277" t="str">
        <f t="shared" si="64"/>
        <v>Gi</v>
      </c>
      <c r="F1004" s="55">
        <v>50</v>
      </c>
      <c r="G1004" s="55" t="s">
        <v>512</v>
      </c>
      <c r="J1004" s="55" t="str">
        <f t="shared" si="62"/>
        <v>GiacapTT-6m</v>
      </c>
    </row>
    <row r="1005" spans="1:10" hidden="1">
      <c r="A1005" s="79" t="s">
        <v>852</v>
      </c>
      <c r="B1005" s="84"/>
      <c r="C1005" s="1787" t="s">
        <v>3475</v>
      </c>
      <c r="D1005" s="80" t="s">
        <v>2448</v>
      </c>
      <c r="E1005" s="2277" t="str">
        <f t="shared" si="64"/>
        <v>Gi</v>
      </c>
      <c r="F1005" s="55">
        <v>50</v>
      </c>
      <c r="G1005" s="55" t="s">
        <v>512</v>
      </c>
      <c r="J1005" s="55" t="str">
        <f t="shared" si="62"/>
        <v>GiacapTT-8m</v>
      </c>
    </row>
    <row r="1006" spans="1:10" hidden="1">
      <c r="A1006" s="79" t="s">
        <v>560</v>
      </c>
      <c r="B1006" s="84"/>
      <c r="C1006" s="1787" t="s">
        <v>3475</v>
      </c>
      <c r="D1006" s="80" t="s">
        <v>2448</v>
      </c>
      <c r="E1006" s="2277" t="str">
        <f t="shared" si="64"/>
        <v>Gi</v>
      </c>
      <c r="F1006" s="55">
        <v>50</v>
      </c>
      <c r="G1006" s="55" t="s">
        <v>512</v>
      </c>
      <c r="J1006" s="55" t="str">
        <f t="shared" si="62"/>
        <v>GiacapTT-15m</v>
      </c>
    </row>
    <row r="1007" spans="1:10" hidden="1">
      <c r="A1007" s="79" t="s">
        <v>2145</v>
      </c>
      <c r="B1007" s="84"/>
      <c r="C1007" s="1787" t="s">
        <v>3476</v>
      </c>
      <c r="D1007" s="80" t="s">
        <v>2448</v>
      </c>
      <c r="E1007" s="2277" t="str">
        <f t="shared" si="64"/>
        <v>Gi</v>
      </c>
      <c r="F1007" s="55">
        <v>50</v>
      </c>
      <c r="G1007" s="55" t="s">
        <v>512</v>
      </c>
      <c r="J1007" s="55" t="str">
        <f t="shared" si="62"/>
        <v>GiacapTHT-10m</v>
      </c>
    </row>
    <row r="1008" spans="1:10" hidden="1">
      <c r="A1008" s="79" t="s">
        <v>909</v>
      </c>
      <c r="B1008" s="84"/>
      <c r="C1008" s="1787" t="s">
        <v>3477</v>
      </c>
      <c r="D1008" s="80" t="s">
        <v>2448</v>
      </c>
      <c r="E1008" s="2277" t="str">
        <f t="shared" si="64"/>
        <v>Gi</v>
      </c>
      <c r="F1008" s="55">
        <v>50</v>
      </c>
      <c r="G1008" s="55" t="s">
        <v>512</v>
      </c>
      <c r="J1008" s="55" t="str">
        <f t="shared" si="62"/>
        <v>GiacapHT-1m</v>
      </c>
    </row>
    <row r="1009" spans="1:10" hidden="1">
      <c r="A1009" s="79" t="s">
        <v>1456</v>
      </c>
      <c r="B1009" s="1808"/>
      <c r="C1009" s="1787" t="s">
        <v>3477</v>
      </c>
      <c r="D1009" s="80" t="s">
        <v>2448</v>
      </c>
      <c r="E1009" s="2277" t="str">
        <f t="shared" si="64"/>
        <v>Gi</v>
      </c>
      <c r="F1009" s="55">
        <v>50</v>
      </c>
      <c r="G1009" s="55" t="s">
        <v>512</v>
      </c>
      <c r="J1009" s="55" t="str">
        <f t="shared" si="62"/>
        <v>GiacapHT-2m</v>
      </c>
    </row>
    <row r="1010" spans="1:10" hidden="1">
      <c r="A1010" s="79" t="s">
        <v>2240</v>
      </c>
      <c r="B1010" s="1808"/>
      <c r="C1010" s="1787" t="s">
        <v>3477</v>
      </c>
      <c r="D1010" s="80" t="s">
        <v>2448</v>
      </c>
      <c r="E1010" s="2277" t="str">
        <f t="shared" si="64"/>
        <v>Gi</v>
      </c>
      <c r="F1010" s="55">
        <v>50</v>
      </c>
      <c r="G1010" s="55" t="s">
        <v>512</v>
      </c>
      <c r="J1010" s="55" t="str">
        <f t="shared" si="62"/>
        <v>GiacapHT-3m</v>
      </c>
    </row>
    <row r="1011" spans="1:10" hidden="1">
      <c r="A1011" s="79" t="s">
        <v>248</v>
      </c>
      <c r="B1011" s="1808"/>
      <c r="C1011" s="1787" t="s">
        <v>3477</v>
      </c>
      <c r="D1011" s="80" t="s">
        <v>2448</v>
      </c>
      <c r="E1011" s="2277" t="str">
        <f t="shared" si="64"/>
        <v>Gi</v>
      </c>
      <c r="F1011" s="55">
        <v>50</v>
      </c>
      <c r="G1011" s="55" t="s">
        <v>512</v>
      </c>
      <c r="J1011" s="55" t="str">
        <f t="shared" si="62"/>
        <v>GiacapHT-4m</v>
      </c>
    </row>
    <row r="1012" spans="1:10" hidden="1">
      <c r="A1012" s="79" t="s">
        <v>1824</v>
      </c>
      <c r="B1012" s="1808"/>
      <c r="C1012" s="1787" t="s">
        <v>3477</v>
      </c>
      <c r="D1012" s="80" t="s">
        <v>2714</v>
      </c>
      <c r="E1012" s="2277" t="str">
        <f t="shared" si="64"/>
        <v>Gi</v>
      </c>
      <c r="F1012" s="55">
        <v>50</v>
      </c>
      <c r="G1012" s="55" t="s">
        <v>512</v>
      </c>
      <c r="J1012" s="55" t="str">
        <f t="shared" si="62"/>
        <v>GiacapHT</v>
      </c>
    </row>
    <row r="1013" spans="1:10" hidden="1">
      <c r="A1013" s="79" t="s">
        <v>164</v>
      </c>
      <c r="B1013" s="1808"/>
      <c r="C1013" s="1787" t="s">
        <v>3477</v>
      </c>
      <c r="D1013" s="80" t="s">
        <v>2448</v>
      </c>
      <c r="E1013" s="2277" t="str">
        <f t="shared" si="64"/>
        <v>Gi</v>
      </c>
      <c r="F1013" s="55">
        <v>50</v>
      </c>
      <c r="G1013" s="55" t="s">
        <v>512</v>
      </c>
      <c r="J1013" s="55" t="str">
        <f t="shared" si="62"/>
        <v>GiacapHT-30m</v>
      </c>
    </row>
    <row r="1014" spans="1:10" hidden="1">
      <c r="A1014" s="79" t="s">
        <v>1591</v>
      </c>
      <c r="B1014" s="1778" t="s">
        <v>277</v>
      </c>
      <c r="C1014" s="1787" t="s">
        <v>4436</v>
      </c>
      <c r="D1014" s="80" t="s">
        <v>3478</v>
      </c>
      <c r="E1014" s="2277" t="str">
        <f t="shared" si="64"/>
        <v>GT</v>
      </c>
      <c r="F1014" s="55">
        <v>50</v>
      </c>
      <c r="G1014" s="55" t="s">
        <v>512</v>
      </c>
      <c r="J1014" s="55" t="str">
        <f t="shared" si="62"/>
        <v>GTMBA15</v>
      </c>
    </row>
    <row r="1015" spans="1:10" hidden="1">
      <c r="A1015" s="79" t="s">
        <v>1002</v>
      </c>
      <c r="B1015" s="1778" t="s">
        <v>277</v>
      </c>
      <c r="C1015" s="1787" t="s">
        <v>4437</v>
      </c>
      <c r="D1015" s="80" t="s">
        <v>2566</v>
      </c>
      <c r="E1015" s="2277" t="str">
        <f t="shared" si="64"/>
        <v>GT</v>
      </c>
      <c r="F1015" s="55">
        <v>50</v>
      </c>
      <c r="G1015" s="55" t="s">
        <v>512</v>
      </c>
      <c r="J1015" s="55" t="str">
        <f t="shared" si="62"/>
        <v>GTMBA25</v>
      </c>
    </row>
    <row r="1016" spans="1:10" hidden="1">
      <c r="A1016" s="79" t="s">
        <v>1592</v>
      </c>
      <c r="B1016" s="1778" t="s">
        <v>277</v>
      </c>
      <c r="C1016" s="1787" t="s">
        <v>4438</v>
      </c>
      <c r="D1016" s="80" t="s">
        <v>2566</v>
      </c>
      <c r="E1016" s="2277" t="str">
        <f t="shared" si="64"/>
        <v>GT</v>
      </c>
      <c r="F1016" s="55">
        <v>50</v>
      </c>
      <c r="G1016" s="55" t="s">
        <v>512</v>
      </c>
      <c r="J1016" s="55" t="str">
        <f t="shared" si="62"/>
        <v>GTMBA37,5</v>
      </c>
    </row>
    <row r="1017" spans="1:10" hidden="1">
      <c r="A1017" s="79" t="s">
        <v>1043</v>
      </c>
      <c r="B1017" s="1778" t="s">
        <v>277</v>
      </c>
      <c r="C1017" s="1787" t="s">
        <v>4439</v>
      </c>
      <c r="D1017" s="80" t="s">
        <v>2566</v>
      </c>
      <c r="E1017" s="2277" t="str">
        <f t="shared" ref="E1017" si="65">LEFT(A1017,2)</f>
        <v>GT</v>
      </c>
      <c r="F1017" s="55">
        <v>50</v>
      </c>
      <c r="G1017" s="55" t="s">
        <v>512</v>
      </c>
      <c r="J1017" s="55" t="str">
        <f t="shared" si="62"/>
        <v>GTMBA</v>
      </c>
    </row>
    <row r="1018" spans="1:10" hidden="1">
      <c r="A1018" s="79" t="s">
        <v>4811</v>
      </c>
      <c r="B1018" s="1778" t="s">
        <v>277</v>
      </c>
      <c r="C1018" s="1787" t="s">
        <v>4812</v>
      </c>
      <c r="D1018" s="80" t="s">
        <v>2451</v>
      </c>
      <c r="E1018" s="2277" t="str">
        <f t="shared" si="64"/>
        <v>La</v>
      </c>
      <c r="F1018" s="55">
        <v>2000</v>
      </c>
      <c r="G1018" s="55" t="s">
        <v>512</v>
      </c>
      <c r="J1018" s="55" t="str">
        <f t="shared" si="62"/>
        <v>LapGTMBA</v>
      </c>
    </row>
    <row r="1019" spans="1:10" hidden="1">
      <c r="A1019" s="79" t="s">
        <v>1175</v>
      </c>
      <c r="B1019" s="84" t="s">
        <v>1300</v>
      </c>
      <c r="C1019" s="79" t="s">
        <v>3479</v>
      </c>
      <c r="D1019" s="80" t="s">
        <v>2566</v>
      </c>
      <c r="E1019" s="2277" t="str">
        <f t="shared" si="64"/>
        <v>CO</v>
      </c>
      <c r="F1019" s="55">
        <v>50</v>
      </c>
      <c r="G1019" s="55" t="s">
        <v>512</v>
      </c>
      <c r="J1019" s="55" t="str">
        <f t="shared" si="62"/>
        <v>COSe16</v>
      </c>
    </row>
    <row r="1020" spans="1:10" hidden="1">
      <c r="A1020" s="79" t="s">
        <v>548</v>
      </c>
      <c r="B1020" s="84" t="s">
        <v>1300</v>
      </c>
      <c r="C1020" s="79" t="s">
        <v>3480</v>
      </c>
      <c r="D1020" s="80" t="s">
        <v>2566</v>
      </c>
      <c r="E1020" s="2277" t="str">
        <f t="shared" si="64"/>
        <v>CO</v>
      </c>
      <c r="F1020" s="55">
        <v>50</v>
      </c>
      <c r="G1020" s="55" t="s">
        <v>512</v>
      </c>
      <c r="J1020" s="55" t="str">
        <f t="shared" si="62"/>
        <v>COSe25</v>
      </c>
    </row>
    <row r="1021" spans="1:10" hidden="1">
      <c r="A1021" s="79" t="s">
        <v>1303</v>
      </c>
      <c r="B1021" s="84" t="s">
        <v>1302</v>
      </c>
      <c r="C1021" s="79" t="s">
        <v>3481</v>
      </c>
      <c r="D1021" s="80" t="s">
        <v>2566</v>
      </c>
      <c r="E1021" s="2277" t="str">
        <f t="shared" si="64"/>
        <v>CO</v>
      </c>
      <c r="F1021" s="55">
        <v>50</v>
      </c>
      <c r="G1021" s="55" t="s">
        <v>512</v>
      </c>
      <c r="J1021" s="55" t="str">
        <f t="shared" si="62"/>
        <v>COSe50</v>
      </c>
    </row>
    <row r="1022" spans="1:10" hidden="1">
      <c r="A1022" s="79" t="s">
        <v>1994</v>
      </c>
      <c r="B1022" s="84" t="s">
        <v>1304</v>
      </c>
      <c r="C1022" s="79" t="s">
        <v>3482</v>
      </c>
      <c r="D1022" s="80" t="s">
        <v>2566</v>
      </c>
      <c r="E1022" s="2277" t="str">
        <f t="shared" si="64"/>
        <v>CO</v>
      </c>
      <c r="F1022" s="55">
        <v>50</v>
      </c>
      <c r="G1022" s="55" t="s">
        <v>512</v>
      </c>
      <c r="J1022" s="55" t="str">
        <f t="shared" si="62"/>
        <v>COSe70</v>
      </c>
    </row>
    <row r="1023" spans="1:10" hidden="1">
      <c r="A1023" s="79" t="s">
        <v>1305</v>
      </c>
      <c r="B1023" s="84" t="s">
        <v>1306</v>
      </c>
      <c r="C1023" s="79" t="s">
        <v>3483</v>
      </c>
      <c r="D1023" s="80" t="s">
        <v>2566</v>
      </c>
      <c r="E1023" s="2277" t="str">
        <f t="shared" si="64"/>
        <v>CO</v>
      </c>
      <c r="F1023" s="55">
        <v>50</v>
      </c>
      <c r="G1023" s="55" t="s">
        <v>512</v>
      </c>
      <c r="J1023" s="55" t="str">
        <f t="shared" si="62"/>
        <v>COSe95</v>
      </c>
    </row>
    <row r="1024" spans="1:10" hidden="1">
      <c r="A1024" s="79" t="s">
        <v>2151</v>
      </c>
      <c r="B1024" s="84" t="s">
        <v>1891</v>
      </c>
      <c r="C1024" s="79" t="s">
        <v>3484</v>
      </c>
      <c r="D1024" s="80" t="s">
        <v>2566</v>
      </c>
      <c r="E1024" s="2277" t="str">
        <f t="shared" si="64"/>
        <v>CO</v>
      </c>
      <c r="F1024" s="55">
        <v>50</v>
      </c>
      <c r="G1024" s="55" t="s">
        <v>512</v>
      </c>
      <c r="J1024" s="55" t="str">
        <f t="shared" si="62"/>
        <v>COSe120</v>
      </c>
    </row>
    <row r="1025" spans="1:10" hidden="1">
      <c r="A1025" s="79" t="s">
        <v>2152</v>
      </c>
      <c r="B1025" s="84" t="s">
        <v>1361</v>
      </c>
      <c r="C1025" s="79" t="s">
        <v>3485</v>
      </c>
      <c r="D1025" s="80" t="s">
        <v>2566</v>
      </c>
      <c r="E1025" s="2277" t="str">
        <f t="shared" si="64"/>
        <v>CO</v>
      </c>
      <c r="F1025" s="55">
        <v>50</v>
      </c>
      <c r="G1025" s="55" t="s">
        <v>512</v>
      </c>
      <c r="J1025" s="55" t="str">
        <f t="shared" si="62"/>
        <v>COSe150</v>
      </c>
    </row>
    <row r="1026" spans="1:10" hidden="1">
      <c r="A1026" s="79" t="s">
        <v>2153</v>
      </c>
      <c r="B1026" s="84" t="s">
        <v>1892</v>
      </c>
      <c r="C1026" s="79" t="s">
        <v>3486</v>
      </c>
      <c r="D1026" s="80" t="s">
        <v>2566</v>
      </c>
      <c r="E1026" s="2277" t="str">
        <f t="shared" si="64"/>
        <v>CO</v>
      </c>
      <c r="F1026" s="55">
        <v>50</v>
      </c>
      <c r="G1026" s="55" t="s">
        <v>512</v>
      </c>
      <c r="J1026" s="55" t="str">
        <f t="shared" si="62"/>
        <v>COSe185</v>
      </c>
    </row>
    <row r="1027" spans="1:10" hidden="1">
      <c r="A1027" s="79" t="s">
        <v>609</v>
      </c>
      <c r="B1027" s="84" t="s">
        <v>2165</v>
      </c>
      <c r="C1027" s="79" t="s">
        <v>3487</v>
      </c>
      <c r="D1027" s="80" t="s">
        <v>2566</v>
      </c>
      <c r="E1027" s="2277" t="str">
        <f t="shared" si="64"/>
        <v>CO</v>
      </c>
      <c r="F1027" s="55">
        <v>50</v>
      </c>
      <c r="G1027" s="55" t="s">
        <v>512</v>
      </c>
      <c r="J1027" s="55" t="str">
        <f t="shared" si="62"/>
        <v>COSe200</v>
      </c>
    </row>
    <row r="1028" spans="1:10" hidden="1">
      <c r="A1028" s="79" t="s">
        <v>1848</v>
      </c>
      <c r="B1028" s="84" t="s">
        <v>2165</v>
      </c>
      <c r="C1028" s="79" t="s">
        <v>3488</v>
      </c>
      <c r="D1028" s="80" t="s">
        <v>2566</v>
      </c>
      <c r="E1028" s="2277" t="str">
        <f t="shared" si="64"/>
        <v>CO</v>
      </c>
      <c r="F1028" s="55">
        <v>50</v>
      </c>
      <c r="G1028" s="55" t="s">
        <v>512</v>
      </c>
      <c r="J1028" s="55" t="str">
        <f t="shared" si="62"/>
        <v>COSe240</v>
      </c>
    </row>
    <row r="1029" spans="1:10" hidden="1">
      <c r="A1029" s="79" t="s">
        <v>784</v>
      </c>
      <c r="B1029" s="84" t="s">
        <v>2165</v>
      </c>
      <c r="C1029" s="79" t="s">
        <v>3489</v>
      </c>
      <c r="D1029" s="80" t="s">
        <v>2566</v>
      </c>
      <c r="E1029" s="2277" t="str">
        <f t="shared" si="64"/>
        <v>CO</v>
      </c>
      <c r="F1029" s="55">
        <v>50</v>
      </c>
      <c r="G1029" s="55" t="s">
        <v>512</v>
      </c>
      <c r="J1029" s="55" t="str">
        <f t="shared" si="62"/>
        <v>COSe250</v>
      </c>
    </row>
    <row r="1030" spans="1:10" hidden="1">
      <c r="A1030" s="79" t="s">
        <v>250</v>
      </c>
      <c r="B1030" s="84" t="s">
        <v>2165</v>
      </c>
      <c r="C1030" s="79" t="s">
        <v>3490</v>
      </c>
      <c r="D1030" s="80" t="s">
        <v>2566</v>
      </c>
      <c r="E1030" s="2277" t="str">
        <f t="shared" si="64"/>
        <v>CO</v>
      </c>
      <c r="F1030" s="55">
        <v>50</v>
      </c>
      <c r="G1030" s="55" t="s">
        <v>512</v>
      </c>
      <c r="J1030" s="55" t="str">
        <f t="shared" si="62"/>
        <v>COSe300</v>
      </c>
    </row>
    <row r="1031" spans="1:10" hidden="1">
      <c r="A1031" s="79" t="s">
        <v>4444</v>
      </c>
      <c r="B1031" s="84" t="s">
        <v>2165</v>
      </c>
      <c r="C1031" s="79" t="s">
        <v>3491</v>
      </c>
      <c r="D1031" s="80" t="s">
        <v>2566</v>
      </c>
      <c r="E1031" s="2277" t="str">
        <f t="shared" si="64"/>
        <v>CO</v>
      </c>
      <c r="F1031" s="55">
        <v>50</v>
      </c>
      <c r="G1031" s="55" t="s">
        <v>512</v>
      </c>
      <c r="J1031" s="55" t="str">
        <f t="shared" si="62"/>
        <v>COSe400</v>
      </c>
    </row>
    <row r="1032" spans="1:10" hidden="1">
      <c r="A1032" s="79" t="s">
        <v>1871</v>
      </c>
      <c r="B1032" s="84" t="s">
        <v>1300</v>
      </c>
      <c r="C1032" s="1810" t="s">
        <v>3492</v>
      </c>
      <c r="D1032" s="80" t="s">
        <v>2566</v>
      </c>
      <c r="E1032" s="2277" t="str">
        <f t="shared" si="64"/>
        <v>CO</v>
      </c>
      <c r="F1032" s="55">
        <v>50</v>
      </c>
      <c r="G1032" s="55" t="s">
        <v>512</v>
      </c>
      <c r="J1032" s="55" t="str">
        <f t="shared" si="62"/>
        <v>COS2,5</v>
      </c>
    </row>
    <row r="1033" spans="1:10" hidden="1">
      <c r="A1033" s="79" t="s">
        <v>2148</v>
      </c>
      <c r="B1033" s="84" t="s">
        <v>1300</v>
      </c>
      <c r="C1033" s="79" t="s">
        <v>3493</v>
      </c>
      <c r="D1033" s="80" t="s">
        <v>2566</v>
      </c>
      <c r="E1033" s="2277" t="str">
        <f t="shared" si="64"/>
        <v>CO</v>
      </c>
      <c r="F1033" s="55">
        <v>50</v>
      </c>
      <c r="G1033" s="55" t="s">
        <v>512</v>
      </c>
      <c r="J1033" s="55" t="str">
        <f t="shared" si="62"/>
        <v>COS5</v>
      </c>
    </row>
    <row r="1034" spans="1:10" hidden="1">
      <c r="A1034" s="79" t="s">
        <v>1849</v>
      </c>
      <c r="B1034" s="84" t="s">
        <v>1300</v>
      </c>
      <c r="C1034" s="79" t="s">
        <v>3494</v>
      </c>
      <c r="D1034" s="80" t="s">
        <v>2566</v>
      </c>
      <c r="E1034" s="2277" t="str">
        <f t="shared" si="64"/>
        <v>CO</v>
      </c>
      <c r="F1034" s="55">
        <v>50</v>
      </c>
      <c r="G1034" s="55" t="s">
        <v>512</v>
      </c>
      <c r="J1034" s="55" t="str">
        <f t="shared" si="62"/>
        <v>COS11</v>
      </c>
    </row>
    <row r="1035" spans="1:10" hidden="1">
      <c r="A1035" s="79" t="s">
        <v>537</v>
      </c>
      <c r="B1035" s="84" t="s">
        <v>1300</v>
      </c>
      <c r="C1035" s="79" t="s">
        <v>3495</v>
      </c>
      <c r="D1035" s="80" t="s">
        <v>2566</v>
      </c>
      <c r="E1035" s="2277" t="str">
        <f t="shared" si="64"/>
        <v>CO</v>
      </c>
      <c r="F1035" s="55">
        <v>50</v>
      </c>
      <c r="G1035" s="55" t="s">
        <v>512</v>
      </c>
      <c r="J1035" s="55" t="str">
        <f t="shared" ref="J1035:J1098" si="66">A1035</f>
        <v>COS16</v>
      </c>
    </row>
    <row r="1036" spans="1:10" hidden="1">
      <c r="A1036" s="79" t="s">
        <v>683</v>
      </c>
      <c r="B1036" s="84" t="s">
        <v>1300</v>
      </c>
      <c r="C1036" s="79" t="s">
        <v>3496</v>
      </c>
      <c r="D1036" s="80" t="s">
        <v>2566</v>
      </c>
      <c r="E1036" s="2277" t="str">
        <f t="shared" si="64"/>
        <v>CO</v>
      </c>
      <c r="F1036" s="55">
        <v>50</v>
      </c>
      <c r="G1036" s="55" t="s">
        <v>512</v>
      </c>
      <c r="J1036" s="55" t="str">
        <f t="shared" si="66"/>
        <v>COS22</v>
      </c>
    </row>
    <row r="1037" spans="1:10" hidden="1">
      <c r="A1037" s="79" t="s">
        <v>104</v>
      </c>
      <c r="B1037" s="84" t="s">
        <v>1300</v>
      </c>
      <c r="C1037" s="79" t="s">
        <v>3497</v>
      </c>
      <c r="D1037" s="80" t="s">
        <v>2566</v>
      </c>
      <c r="E1037" s="2277" t="str">
        <f t="shared" si="64"/>
        <v>CO</v>
      </c>
      <c r="F1037" s="55">
        <v>50</v>
      </c>
      <c r="G1037" s="55" t="s">
        <v>512</v>
      </c>
      <c r="J1037" s="55" t="str">
        <f t="shared" si="66"/>
        <v>COS25</v>
      </c>
    </row>
    <row r="1038" spans="1:10" hidden="1">
      <c r="A1038" s="79" t="s">
        <v>1539</v>
      </c>
      <c r="B1038" s="84" t="s">
        <v>1302</v>
      </c>
      <c r="C1038" s="79" t="s">
        <v>3498</v>
      </c>
      <c r="D1038" s="80" t="s">
        <v>2566</v>
      </c>
      <c r="E1038" s="2277" t="str">
        <f t="shared" si="64"/>
        <v>CO</v>
      </c>
      <c r="F1038" s="55">
        <v>50</v>
      </c>
      <c r="G1038" s="55" t="s">
        <v>512</v>
      </c>
      <c r="J1038" s="55" t="str">
        <f t="shared" si="66"/>
        <v>COS35</v>
      </c>
    </row>
    <row r="1039" spans="1:10" hidden="1">
      <c r="A1039" s="79" t="s">
        <v>1301</v>
      </c>
      <c r="B1039" s="84" t="s">
        <v>1302</v>
      </c>
      <c r="C1039" s="79" t="s">
        <v>3499</v>
      </c>
      <c r="D1039" s="80" t="s">
        <v>2566</v>
      </c>
      <c r="E1039" s="2277" t="str">
        <f t="shared" si="64"/>
        <v>CO</v>
      </c>
      <c r="F1039" s="55">
        <v>50</v>
      </c>
      <c r="G1039" s="55" t="s">
        <v>512</v>
      </c>
      <c r="J1039" s="55" t="str">
        <f t="shared" si="66"/>
        <v>COS38</v>
      </c>
    </row>
    <row r="1040" spans="1:10" hidden="1">
      <c r="A1040" s="79" t="s">
        <v>1307</v>
      </c>
      <c r="B1040" s="84" t="s">
        <v>1302</v>
      </c>
      <c r="C1040" s="79" t="s">
        <v>3500</v>
      </c>
      <c r="D1040" s="80" t="s">
        <v>2566</v>
      </c>
      <c r="E1040" s="2277" t="str">
        <f t="shared" si="64"/>
        <v>CO</v>
      </c>
      <c r="F1040" s="55">
        <v>50</v>
      </c>
      <c r="G1040" s="55" t="s">
        <v>512</v>
      </c>
      <c r="J1040" s="55" t="str">
        <f t="shared" si="66"/>
        <v>COS50</v>
      </c>
    </row>
    <row r="1041" spans="1:10" hidden="1">
      <c r="A1041" s="79" t="s">
        <v>1308</v>
      </c>
      <c r="B1041" s="84" t="s">
        <v>1304</v>
      </c>
      <c r="C1041" s="79" t="s">
        <v>3501</v>
      </c>
      <c r="D1041" s="80" t="s">
        <v>2566</v>
      </c>
      <c r="E1041" s="2277" t="str">
        <f t="shared" si="64"/>
        <v>CO</v>
      </c>
      <c r="F1041" s="55">
        <v>50</v>
      </c>
      <c r="G1041" s="55" t="s">
        <v>512</v>
      </c>
      <c r="J1041" s="55" t="str">
        <f t="shared" si="66"/>
        <v>COS70</v>
      </c>
    </row>
    <row r="1042" spans="1:10" hidden="1">
      <c r="A1042" s="79" t="s">
        <v>1309</v>
      </c>
      <c r="B1042" s="84" t="s">
        <v>1306</v>
      </c>
      <c r="C1042" s="79" t="s">
        <v>3502</v>
      </c>
      <c r="D1042" s="80" t="s">
        <v>2566</v>
      </c>
      <c r="E1042" s="2277" t="str">
        <f t="shared" si="64"/>
        <v>CO</v>
      </c>
      <c r="F1042" s="55">
        <v>50</v>
      </c>
      <c r="G1042" s="55" t="s">
        <v>512</v>
      </c>
      <c r="J1042" s="55" t="str">
        <f t="shared" si="66"/>
        <v>COS95</v>
      </c>
    </row>
    <row r="1043" spans="1:10" hidden="1">
      <c r="A1043" s="79" t="s">
        <v>1310</v>
      </c>
      <c r="B1043" s="84" t="s">
        <v>1891</v>
      </c>
      <c r="C1043" s="79" t="s">
        <v>3503</v>
      </c>
      <c r="D1043" s="80" t="s">
        <v>2566</v>
      </c>
      <c r="E1043" s="2277" t="str">
        <f t="shared" si="64"/>
        <v>CO</v>
      </c>
      <c r="F1043" s="55">
        <v>50</v>
      </c>
      <c r="G1043" s="55" t="s">
        <v>512</v>
      </c>
      <c r="J1043" s="55" t="str">
        <f t="shared" si="66"/>
        <v>COS120</v>
      </c>
    </row>
    <row r="1044" spans="1:10" hidden="1">
      <c r="A1044" s="79" t="s">
        <v>2163</v>
      </c>
      <c r="B1044" s="84" t="s">
        <v>1361</v>
      </c>
      <c r="C1044" s="79" t="s">
        <v>3504</v>
      </c>
      <c r="D1044" s="80" t="s">
        <v>2566</v>
      </c>
      <c r="E1044" s="2277" t="str">
        <f t="shared" si="64"/>
        <v>CO</v>
      </c>
      <c r="F1044" s="55">
        <v>50</v>
      </c>
      <c r="G1044" s="55" t="s">
        <v>512</v>
      </c>
      <c r="J1044" s="55" t="str">
        <f t="shared" si="66"/>
        <v>COS150</v>
      </c>
    </row>
    <row r="1045" spans="1:10" hidden="1">
      <c r="A1045" s="79" t="s">
        <v>151</v>
      </c>
      <c r="B1045" s="84" t="s">
        <v>1892</v>
      </c>
      <c r="C1045" s="79" t="s">
        <v>3505</v>
      </c>
      <c r="D1045" s="80" t="s">
        <v>2566</v>
      </c>
      <c r="E1045" s="2277" t="str">
        <f t="shared" si="64"/>
        <v>CO</v>
      </c>
      <c r="F1045" s="55">
        <v>50</v>
      </c>
      <c r="G1045" s="55" t="s">
        <v>512</v>
      </c>
      <c r="J1045" s="55" t="str">
        <f t="shared" si="66"/>
        <v>COS185</v>
      </c>
    </row>
    <row r="1046" spans="1:10" hidden="1">
      <c r="A1046" s="79" t="s">
        <v>447</v>
      </c>
      <c r="B1046" s="84" t="s">
        <v>2165</v>
      </c>
      <c r="C1046" s="79" t="s">
        <v>3506</v>
      </c>
      <c r="D1046" s="80" t="s">
        <v>2566</v>
      </c>
      <c r="E1046" s="2277" t="str">
        <f t="shared" si="64"/>
        <v>CO</v>
      </c>
      <c r="F1046" s="55">
        <v>50</v>
      </c>
      <c r="G1046" s="55" t="s">
        <v>512</v>
      </c>
      <c r="J1046" s="55" t="str">
        <f t="shared" si="66"/>
        <v>COS200</v>
      </c>
    </row>
    <row r="1047" spans="1:10" hidden="1">
      <c r="A1047" s="79" t="s">
        <v>2164</v>
      </c>
      <c r="B1047" s="84" t="s">
        <v>2165</v>
      </c>
      <c r="C1047" s="79" t="s">
        <v>3507</v>
      </c>
      <c r="D1047" s="80" t="s">
        <v>2566</v>
      </c>
      <c r="E1047" s="2277" t="str">
        <f t="shared" si="64"/>
        <v>CO</v>
      </c>
      <c r="F1047" s="55">
        <v>50</v>
      </c>
      <c r="G1047" s="55" t="s">
        <v>512</v>
      </c>
      <c r="J1047" s="55" t="str">
        <f t="shared" si="66"/>
        <v>COS240</v>
      </c>
    </row>
    <row r="1048" spans="1:10" hidden="1">
      <c r="A1048" s="79" t="s">
        <v>448</v>
      </c>
      <c r="B1048" s="84" t="s">
        <v>1780</v>
      </c>
      <c r="C1048" s="79" t="s">
        <v>3508</v>
      </c>
      <c r="D1048" s="80" t="s">
        <v>2566</v>
      </c>
      <c r="E1048" s="2277" t="str">
        <f t="shared" si="64"/>
        <v>CO</v>
      </c>
      <c r="F1048" s="55">
        <v>50</v>
      </c>
      <c r="G1048" s="55" t="s">
        <v>512</v>
      </c>
      <c r="J1048" s="55" t="str">
        <f t="shared" si="66"/>
        <v>COS250</v>
      </c>
    </row>
    <row r="1049" spans="1:10" hidden="1">
      <c r="A1049" s="79" t="s">
        <v>449</v>
      </c>
      <c r="B1049" s="84" t="s">
        <v>1780</v>
      </c>
      <c r="C1049" s="79" t="s">
        <v>3509</v>
      </c>
      <c r="D1049" s="80" t="s">
        <v>2566</v>
      </c>
      <c r="E1049" s="2277" t="str">
        <f t="shared" si="64"/>
        <v>CO</v>
      </c>
      <c r="F1049" s="55">
        <v>50</v>
      </c>
      <c r="G1049" s="55" t="s">
        <v>512</v>
      </c>
      <c r="J1049" s="55" t="str">
        <f t="shared" si="66"/>
        <v>COS300</v>
      </c>
    </row>
    <row r="1050" spans="1:10" hidden="1">
      <c r="A1050" s="79" t="s">
        <v>1236</v>
      </c>
      <c r="B1050" s="84"/>
      <c r="C1050" s="1811" t="s">
        <v>3510</v>
      </c>
      <c r="D1050" s="80" t="s">
        <v>2566</v>
      </c>
      <c r="E1050" s="2277" t="str">
        <f t="shared" si="64"/>
        <v>CH</v>
      </c>
      <c r="F1050" s="55">
        <v>50</v>
      </c>
      <c r="G1050" s="55" t="s">
        <v>512</v>
      </c>
      <c r="J1050" s="55" t="str">
        <f t="shared" si="66"/>
        <v>CHCOS11</v>
      </c>
    </row>
    <row r="1051" spans="1:10" hidden="1">
      <c r="A1051" s="79" t="s">
        <v>74</v>
      </c>
      <c r="B1051" s="84"/>
      <c r="C1051" s="1811" t="s">
        <v>3511</v>
      </c>
      <c r="D1051" s="80" t="s">
        <v>2566</v>
      </c>
      <c r="E1051" s="2277" t="str">
        <f t="shared" si="64"/>
        <v>CH</v>
      </c>
      <c r="F1051" s="55">
        <v>50</v>
      </c>
      <c r="G1051" s="55" t="s">
        <v>512</v>
      </c>
      <c r="J1051" s="55" t="str">
        <f t="shared" si="66"/>
        <v>CHCOS16</v>
      </c>
    </row>
    <row r="1052" spans="1:10" hidden="1">
      <c r="A1052" s="79" t="s">
        <v>1922</v>
      </c>
      <c r="B1052" s="84"/>
      <c r="C1052" s="1811" t="s">
        <v>3512</v>
      </c>
      <c r="D1052" s="80" t="s">
        <v>2566</v>
      </c>
      <c r="E1052" s="2277" t="str">
        <f t="shared" si="64"/>
        <v>CH</v>
      </c>
      <c r="F1052" s="55">
        <v>50</v>
      </c>
      <c r="G1052" s="55" t="s">
        <v>512</v>
      </c>
      <c r="J1052" s="55" t="str">
        <f t="shared" si="66"/>
        <v>CHCOS25</v>
      </c>
    </row>
    <row r="1053" spans="1:10" hidden="1">
      <c r="A1053" s="79" t="s">
        <v>418</v>
      </c>
      <c r="B1053" s="84"/>
      <c r="C1053" s="1811" t="s">
        <v>3513</v>
      </c>
      <c r="D1053" s="80" t="s">
        <v>2566</v>
      </c>
      <c r="E1053" s="2277" t="str">
        <f t="shared" si="64"/>
        <v>CH</v>
      </c>
      <c r="F1053" s="55">
        <v>50</v>
      </c>
      <c r="G1053" s="55" t="s">
        <v>512</v>
      </c>
      <c r="J1053" s="55" t="str">
        <f t="shared" si="66"/>
        <v>CHCOS35</v>
      </c>
    </row>
    <row r="1054" spans="1:10" hidden="1">
      <c r="A1054" s="79" t="s">
        <v>2159</v>
      </c>
      <c r="B1054" s="84"/>
      <c r="C1054" s="1811" t="s">
        <v>3514</v>
      </c>
      <c r="D1054" s="80" t="s">
        <v>2566</v>
      </c>
      <c r="E1054" s="2277" t="str">
        <f t="shared" si="64"/>
        <v>CH</v>
      </c>
      <c r="F1054" s="55">
        <v>50</v>
      </c>
      <c r="G1054" s="55" t="s">
        <v>512</v>
      </c>
      <c r="J1054" s="55" t="str">
        <f t="shared" si="66"/>
        <v>CHCOS50</v>
      </c>
    </row>
    <row r="1055" spans="1:10" hidden="1">
      <c r="A1055" s="79" t="s">
        <v>611</v>
      </c>
      <c r="B1055" s="84"/>
      <c r="C1055" s="1811" t="s">
        <v>3515</v>
      </c>
      <c r="D1055" s="80" t="s">
        <v>2566</v>
      </c>
      <c r="E1055" s="2277" t="str">
        <f t="shared" si="64"/>
        <v>CH</v>
      </c>
      <c r="F1055" s="55">
        <v>50</v>
      </c>
      <c r="G1055" s="55" t="s">
        <v>512</v>
      </c>
      <c r="J1055" s="55" t="str">
        <f t="shared" si="66"/>
        <v>CHCOS70</v>
      </c>
    </row>
    <row r="1056" spans="1:10" hidden="1">
      <c r="A1056" s="79" t="s">
        <v>94</v>
      </c>
      <c r="B1056" s="84"/>
      <c r="C1056" s="1811" t="s">
        <v>3516</v>
      </c>
      <c r="D1056" s="80" t="s">
        <v>2566</v>
      </c>
      <c r="E1056" s="2277" t="str">
        <f t="shared" si="64"/>
        <v>CH</v>
      </c>
      <c r="F1056" s="55">
        <v>50</v>
      </c>
      <c r="G1056" s="55" t="s">
        <v>512</v>
      </c>
      <c r="J1056" s="55" t="str">
        <f t="shared" si="66"/>
        <v>CHCOS95</v>
      </c>
    </row>
    <row r="1057" spans="1:10" hidden="1">
      <c r="A1057" s="79" t="s">
        <v>93</v>
      </c>
      <c r="B1057" s="84"/>
      <c r="C1057" s="1811" t="s">
        <v>3517</v>
      </c>
      <c r="D1057" s="80" t="s">
        <v>2566</v>
      </c>
      <c r="E1057" s="2277" t="str">
        <f t="shared" si="64"/>
        <v>CH</v>
      </c>
      <c r="F1057" s="55">
        <v>50</v>
      </c>
      <c r="G1057" s="55" t="s">
        <v>512</v>
      </c>
      <c r="J1057" s="55" t="str">
        <f t="shared" si="66"/>
        <v>CHCOS120</v>
      </c>
    </row>
    <row r="1058" spans="1:10" hidden="1">
      <c r="A1058" s="79" t="s">
        <v>91</v>
      </c>
      <c r="B1058" s="84"/>
      <c r="C1058" s="1811" t="s">
        <v>3518</v>
      </c>
      <c r="D1058" s="80" t="s">
        <v>2566</v>
      </c>
      <c r="E1058" s="2277" t="str">
        <f t="shared" si="64"/>
        <v>CH</v>
      </c>
      <c r="F1058" s="55">
        <v>50</v>
      </c>
      <c r="G1058" s="55" t="s">
        <v>512</v>
      </c>
      <c r="J1058" s="55" t="str">
        <f t="shared" si="66"/>
        <v>CHCOS150</v>
      </c>
    </row>
    <row r="1059" spans="1:10" hidden="1">
      <c r="A1059" s="79" t="s">
        <v>150</v>
      </c>
      <c r="B1059" s="84"/>
      <c r="C1059" s="1811" t="s">
        <v>3519</v>
      </c>
      <c r="D1059" s="80" t="s">
        <v>2566</v>
      </c>
      <c r="E1059" s="2277" t="str">
        <f t="shared" si="64"/>
        <v>CH</v>
      </c>
      <c r="F1059" s="55">
        <v>50</v>
      </c>
      <c r="G1059" s="55" t="s">
        <v>512</v>
      </c>
      <c r="J1059" s="55" t="str">
        <f t="shared" si="66"/>
        <v>CHCOS185</v>
      </c>
    </row>
    <row r="1060" spans="1:10" hidden="1">
      <c r="A1060" s="79" t="s">
        <v>610</v>
      </c>
      <c r="B1060" s="84"/>
      <c r="C1060" s="1811" t="s">
        <v>3520</v>
      </c>
      <c r="D1060" s="80" t="s">
        <v>2566</v>
      </c>
      <c r="E1060" s="2277" t="str">
        <f t="shared" ref="E1060:E1126" si="67">LEFT(A1060,2)</f>
        <v>CH</v>
      </c>
      <c r="F1060" s="55">
        <v>50</v>
      </c>
      <c r="G1060" s="55" t="s">
        <v>512</v>
      </c>
      <c r="J1060" s="55" t="str">
        <f t="shared" si="66"/>
        <v>CHCOS200</v>
      </c>
    </row>
    <row r="1061" spans="1:10" hidden="1">
      <c r="A1061" s="79" t="s">
        <v>90</v>
      </c>
      <c r="B1061" s="84"/>
      <c r="C1061" s="1811" t="s">
        <v>3521</v>
      </c>
      <c r="D1061" s="80" t="s">
        <v>2566</v>
      </c>
      <c r="E1061" s="2277" t="str">
        <f t="shared" si="67"/>
        <v>CH</v>
      </c>
      <c r="F1061" s="55">
        <v>50</v>
      </c>
      <c r="G1061" s="55" t="s">
        <v>512</v>
      </c>
      <c r="J1061" s="55" t="str">
        <f t="shared" si="66"/>
        <v>CHCOS240</v>
      </c>
    </row>
    <row r="1062" spans="1:10" hidden="1">
      <c r="A1062" s="79" t="s">
        <v>1074</v>
      </c>
      <c r="B1062" s="84"/>
      <c r="C1062" s="1811" t="s">
        <v>3522</v>
      </c>
      <c r="D1062" s="80" t="s">
        <v>2566</v>
      </c>
      <c r="E1062" s="2277" t="str">
        <f t="shared" si="67"/>
        <v>CH</v>
      </c>
      <c r="F1062" s="55">
        <v>50</v>
      </c>
      <c r="G1062" s="55" t="s">
        <v>512</v>
      </c>
      <c r="J1062" s="55" t="str">
        <f t="shared" si="66"/>
        <v>CHCOS250</v>
      </c>
    </row>
    <row r="1063" spans="1:10" hidden="1">
      <c r="A1063" s="79" t="s">
        <v>977</v>
      </c>
      <c r="B1063" s="84"/>
      <c r="C1063" s="1811" t="s">
        <v>3523</v>
      </c>
      <c r="D1063" s="80" t="s">
        <v>2566</v>
      </c>
      <c r="E1063" s="2277" t="str">
        <f t="shared" si="67"/>
        <v>CH</v>
      </c>
      <c r="F1063" s="55">
        <v>50</v>
      </c>
      <c r="G1063" s="55" t="s">
        <v>512</v>
      </c>
      <c r="J1063" s="55" t="str">
        <f t="shared" si="66"/>
        <v>CHCOS300</v>
      </c>
    </row>
    <row r="1064" spans="1:10" hidden="1">
      <c r="A1064" s="79" t="s">
        <v>381</v>
      </c>
      <c r="B1064" s="84"/>
      <c r="C1064" s="1811" t="s">
        <v>3524</v>
      </c>
      <c r="D1064" s="80" t="s">
        <v>2448</v>
      </c>
      <c r="E1064" s="2277" t="str">
        <f t="shared" si="67"/>
        <v>CH</v>
      </c>
      <c r="F1064" s="55">
        <v>50</v>
      </c>
      <c r="G1064" s="55" t="s">
        <v>512</v>
      </c>
      <c r="J1064" s="55" t="str">
        <f t="shared" si="66"/>
        <v>CHFCO</v>
      </c>
    </row>
    <row r="1065" spans="1:10" hidden="1">
      <c r="A1065" s="79" t="s">
        <v>379</v>
      </c>
      <c r="B1065" s="84"/>
      <c r="C1065" s="1811" t="s">
        <v>3525</v>
      </c>
      <c r="D1065" s="80" t="s">
        <v>2566</v>
      </c>
      <c r="E1065" s="2277" t="str">
        <f t="shared" si="67"/>
        <v>CH</v>
      </c>
      <c r="F1065" s="55">
        <v>50</v>
      </c>
      <c r="G1065" s="55" t="s">
        <v>512</v>
      </c>
      <c r="J1065" s="55" t="str">
        <f t="shared" si="66"/>
        <v>CHLA</v>
      </c>
    </row>
    <row r="1066" spans="1:10" hidden="1">
      <c r="A1066" s="79" t="s">
        <v>380</v>
      </c>
      <c r="B1066" s="84"/>
      <c r="C1066" s="1811" t="s">
        <v>3526</v>
      </c>
      <c r="D1066" s="80" t="s">
        <v>2566</v>
      </c>
      <c r="E1066" s="2277" t="str">
        <f t="shared" ref="E1066" si="68">LEFT(A1066,2)</f>
        <v>CH</v>
      </c>
      <c r="F1066" s="55">
        <v>50</v>
      </c>
      <c r="G1066" s="55" t="s">
        <v>512</v>
      </c>
      <c r="J1066" s="55" t="str">
        <f t="shared" si="66"/>
        <v>CHMBA</v>
      </c>
    </row>
    <row r="1067" spans="1:10" hidden="1">
      <c r="A1067" s="79" t="s">
        <v>4495</v>
      </c>
      <c r="B1067" s="84"/>
      <c r="C1067" s="1811" t="s">
        <v>4496</v>
      </c>
      <c r="D1067" s="80" t="s">
        <v>2448</v>
      </c>
      <c r="E1067" s="2277" t="str">
        <f t="shared" si="67"/>
        <v>CH</v>
      </c>
      <c r="F1067" s="55">
        <v>50</v>
      </c>
      <c r="G1067" s="55" t="s">
        <v>512</v>
      </c>
      <c r="J1067" s="55" t="str">
        <f t="shared" si="66"/>
        <v>CHQ-H</v>
      </c>
    </row>
    <row r="1068" spans="1:10" hidden="1">
      <c r="A1068" s="79" t="s">
        <v>197</v>
      </c>
      <c r="B1068" s="1809"/>
      <c r="C1068" s="1787" t="s">
        <v>3527</v>
      </c>
      <c r="D1068" s="80" t="s">
        <v>1829</v>
      </c>
      <c r="E1068" s="2277" t="str">
        <f t="shared" si="67"/>
        <v>DK</v>
      </c>
      <c r="F1068" s="55">
        <v>50</v>
      </c>
      <c r="G1068" s="55" t="s">
        <v>512</v>
      </c>
      <c r="J1068" s="55" t="str">
        <f t="shared" si="66"/>
        <v>DK2x11</v>
      </c>
    </row>
    <row r="1069" spans="1:10" hidden="1">
      <c r="A1069" s="79" t="s">
        <v>198</v>
      </c>
      <c r="B1069" s="1809"/>
      <c r="C1069" s="1787" t="s">
        <v>3528</v>
      </c>
      <c r="D1069" s="80" t="s">
        <v>1829</v>
      </c>
      <c r="E1069" s="2277" t="str">
        <f t="shared" si="67"/>
        <v>DV</v>
      </c>
      <c r="F1069" s="55">
        <v>50</v>
      </c>
      <c r="G1069" s="55" t="s">
        <v>512</v>
      </c>
      <c r="J1069" s="55" t="str">
        <f t="shared" si="66"/>
        <v>DVV7x1.5</v>
      </c>
    </row>
    <row r="1070" spans="1:10" hidden="1">
      <c r="A1070" s="79" t="s">
        <v>1688</v>
      </c>
      <c r="B1070" s="1809"/>
      <c r="C1070" s="1787" t="s">
        <v>3529</v>
      </c>
      <c r="D1070" s="80" t="s">
        <v>1829</v>
      </c>
      <c r="E1070" s="2277" t="str">
        <f t="shared" si="67"/>
        <v>Du</v>
      </c>
      <c r="F1070" s="55">
        <v>50</v>
      </c>
      <c r="G1070" s="55" t="s">
        <v>512</v>
      </c>
      <c r="J1070" s="55" t="str">
        <f t="shared" si="66"/>
        <v>Duplex 211</v>
      </c>
    </row>
    <row r="1071" spans="1:10" hidden="1">
      <c r="A1071" s="79" t="s">
        <v>3</v>
      </c>
      <c r="B1071" s="1809"/>
      <c r="C1071" s="1787" t="s">
        <v>3530</v>
      </c>
      <c r="D1071" s="80" t="s">
        <v>1829</v>
      </c>
      <c r="E1071" s="2277" t="str">
        <f t="shared" si="67"/>
        <v>Du</v>
      </c>
      <c r="F1071" s="55">
        <v>50</v>
      </c>
      <c r="G1071" s="55" t="s">
        <v>512</v>
      </c>
      <c r="J1071" s="55" t="str">
        <f t="shared" si="66"/>
        <v>Duplex 216</v>
      </c>
    </row>
    <row r="1072" spans="1:10" hidden="1">
      <c r="A1072" s="79" t="s">
        <v>929</v>
      </c>
      <c r="B1072" s="1809"/>
      <c r="C1072" s="1787" t="s">
        <v>3531</v>
      </c>
      <c r="D1072" s="80" t="s">
        <v>1829</v>
      </c>
      <c r="E1072" s="2277" t="str">
        <f t="shared" si="67"/>
        <v>Du</v>
      </c>
      <c r="F1072" s="55">
        <v>50</v>
      </c>
      <c r="G1072" s="55" t="s">
        <v>512</v>
      </c>
      <c r="J1072" s="55" t="str">
        <f t="shared" si="66"/>
        <v>Duplex 311</v>
      </c>
    </row>
    <row r="1073" spans="1:10" hidden="1">
      <c r="A1073" s="79" t="s">
        <v>930</v>
      </c>
      <c r="B1073" s="1809"/>
      <c r="C1073" s="1787" t="s">
        <v>3532</v>
      </c>
      <c r="D1073" s="80" t="s">
        <v>1829</v>
      </c>
      <c r="E1073" s="2277" t="str">
        <f t="shared" si="67"/>
        <v>Du</v>
      </c>
      <c r="F1073" s="55">
        <v>50</v>
      </c>
      <c r="G1073" s="55" t="s">
        <v>512</v>
      </c>
      <c r="J1073" s="55" t="str">
        <f t="shared" si="66"/>
        <v>Duplex 316</v>
      </c>
    </row>
    <row r="1074" spans="1:10" hidden="1">
      <c r="A1074" s="79" t="s">
        <v>1689</v>
      </c>
      <c r="B1074" s="1809"/>
      <c r="C1074" s="1787" t="s">
        <v>3533</v>
      </c>
      <c r="D1074" s="80" t="s">
        <v>1829</v>
      </c>
      <c r="E1074" s="2277" t="str">
        <f t="shared" si="67"/>
        <v>Du</v>
      </c>
      <c r="F1074" s="55">
        <v>50</v>
      </c>
      <c r="G1074" s="55" t="s">
        <v>512</v>
      </c>
      <c r="J1074" s="55" t="str">
        <f t="shared" si="66"/>
        <v>Duplex 411</v>
      </c>
    </row>
    <row r="1075" spans="1:10" hidden="1">
      <c r="A1075" s="79" t="s">
        <v>4</v>
      </c>
      <c r="B1075" s="1809"/>
      <c r="C1075" s="1787" t="s">
        <v>3534</v>
      </c>
      <c r="D1075" s="80" t="s">
        <v>1829</v>
      </c>
      <c r="E1075" s="2277" t="str">
        <f t="shared" si="67"/>
        <v>Du</v>
      </c>
      <c r="F1075" s="55">
        <v>50</v>
      </c>
      <c r="G1075" s="55" t="s">
        <v>512</v>
      </c>
      <c r="J1075" s="55" t="str">
        <f t="shared" si="66"/>
        <v>Duplex 416</v>
      </c>
    </row>
    <row r="1076" spans="1:10" hidden="1">
      <c r="A1076" s="79" t="s">
        <v>1062</v>
      </c>
      <c r="B1076" s="80" t="s">
        <v>108</v>
      </c>
      <c r="C1076" s="1787" t="s">
        <v>3535</v>
      </c>
      <c r="D1076" s="80" t="s">
        <v>2448</v>
      </c>
      <c r="E1076" s="2277" t="str">
        <f t="shared" si="67"/>
        <v>DE</v>
      </c>
      <c r="F1076" s="55">
        <v>50</v>
      </c>
      <c r="G1076" s="55" t="s">
        <v>512</v>
      </c>
      <c r="J1076" s="55" t="str">
        <f t="shared" si="66"/>
        <v>DENHQ</v>
      </c>
    </row>
    <row r="1077" spans="1:10" hidden="1">
      <c r="A1077" s="79" t="s">
        <v>1515</v>
      </c>
      <c r="B1077" s="1809"/>
      <c r="C1077" s="1787" t="s">
        <v>3536</v>
      </c>
      <c r="D1077" s="80" t="s">
        <v>2541</v>
      </c>
      <c r="E1077" s="2277" t="str">
        <f t="shared" si="67"/>
        <v>D1</v>
      </c>
      <c r="F1077" s="55">
        <v>50</v>
      </c>
      <c r="G1077" s="55" t="s">
        <v>512</v>
      </c>
      <c r="J1077" s="55" t="str">
        <f t="shared" si="66"/>
        <v>D16/10</v>
      </c>
    </row>
    <row r="1078" spans="1:10" hidden="1">
      <c r="A1078" s="79" t="s">
        <v>469</v>
      </c>
      <c r="B1078" s="1781"/>
      <c r="C1078" s="1787" t="s">
        <v>3537</v>
      </c>
      <c r="D1078" s="80" t="s">
        <v>2541</v>
      </c>
      <c r="E1078" s="2277" t="str">
        <f t="shared" si="67"/>
        <v>D2</v>
      </c>
      <c r="F1078" s="55">
        <v>50</v>
      </c>
      <c r="G1078" s="55" t="s">
        <v>512</v>
      </c>
      <c r="J1078" s="55" t="str">
        <f t="shared" si="66"/>
        <v>D20/10</v>
      </c>
    </row>
    <row r="1079" spans="1:10" hidden="1">
      <c r="A1079" s="79" t="s">
        <v>1516</v>
      </c>
      <c r="B1079" s="1809"/>
      <c r="C1079" s="1787" t="s">
        <v>3538</v>
      </c>
      <c r="D1079" s="80" t="s">
        <v>2541</v>
      </c>
      <c r="E1079" s="2277" t="str">
        <f t="shared" si="67"/>
        <v>D3</v>
      </c>
      <c r="F1079" s="55">
        <v>50</v>
      </c>
      <c r="G1079" s="55" t="s">
        <v>512</v>
      </c>
      <c r="J1079" s="55" t="str">
        <f t="shared" si="66"/>
        <v>D30/10</v>
      </c>
    </row>
    <row r="1080" spans="1:10" hidden="1">
      <c r="A1080" s="79" t="s">
        <v>1354</v>
      </c>
      <c r="B1080" s="1809"/>
      <c r="C1080" s="1787" t="s">
        <v>3539</v>
      </c>
      <c r="D1080" s="80" t="s">
        <v>3540</v>
      </c>
      <c r="E1080" s="2277" t="str">
        <f t="shared" si="67"/>
        <v>DR</v>
      </c>
      <c r="F1080" s="55">
        <v>50</v>
      </c>
      <c r="G1080" s="55" t="s">
        <v>512</v>
      </c>
      <c r="J1080" s="55" t="str">
        <f t="shared" si="66"/>
        <v>DRC</v>
      </c>
    </row>
    <row r="1081" spans="1:10" hidden="1">
      <c r="A1081" s="79" t="s">
        <v>1517</v>
      </c>
      <c r="B1081" s="84" t="s">
        <v>1518</v>
      </c>
      <c r="C1081" s="1787" t="s">
        <v>3541</v>
      </c>
      <c r="D1081" s="80" t="s">
        <v>2566</v>
      </c>
      <c r="E1081" s="2277" t="str">
        <f t="shared" si="67"/>
        <v>CD</v>
      </c>
      <c r="F1081" s="55">
        <v>50</v>
      </c>
      <c r="G1081" s="55" t="s">
        <v>512</v>
      </c>
      <c r="J1081" s="55" t="str">
        <f t="shared" si="66"/>
        <v>CDAO15</v>
      </c>
    </row>
    <row r="1082" spans="1:10" hidden="1">
      <c r="A1082" s="79" t="s">
        <v>1519</v>
      </c>
      <c r="B1082" s="84" t="s">
        <v>1518</v>
      </c>
      <c r="C1082" s="1787" t="s">
        <v>3542</v>
      </c>
      <c r="D1082" s="80" t="s">
        <v>2566</v>
      </c>
      <c r="E1082" s="2277" t="str">
        <f t="shared" si="67"/>
        <v>CD</v>
      </c>
      <c r="F1082" s="55">
        <v>50</v>
      </c>
      <c r="G1082" s="55" t="s">
        <v>512</v>
      </c>
      <c r="J1082" s="55" t="str">
        <f t="shared" si="66"/>
        <v>CDAO30</v>
      </c>
    </row>
    <row r="1083" spans="1:10" hidden="1">
      <c r="A1083" s="79" t="s">
        <v>261</v>
      </c>
      <c r="B1083" s="84" t="s">
        <v>1518</v>
      </c>
      <c r="C1083" s="1787" t="s">
        <v>3543</v>
      </c>
      <c r="D1083" s="80" t="s">
        <v>2566</v>
      </c>
      <c r="E1083" s="2277" t="str">
        <f t="shared" si="67"/>
        <v>CD</v>
      </c>
      <c r="F1083" s="55">
        <v>50</v>
      </c>
      <c r="G1083" s="55" t="s">
        <v>512</v>
      </c>
      <c r="J1083" s="55" t="str">
        <f t="shared" si="66"/>
        <v>CDAO60</v>
      </c>
    </row>
    <row r="1084" spans="1:10" hidden="1">
      <c r="A1084" s="79" t="s">
        <v>262</v>
      </c>
      <c r="B1084" s="84" t="s">
        <v>1518</v>
      </c>
      <c r="C1084" s="1787" t="s">
        <v>3544</v>
      </c>
      <c r="D1084" s="80" t="s">
        <v>2566</v>
      </c>
      <c r="E1084" s="2277" t="str">
        <f t="shared" si="67"/>
        <v>CD</v>
      </c>
      <c r="F1084" s="55">
        <v>50</v>
      </c>
      <c r="G1084" s="55" t="s">
        <v>512</v>
      </c>
      <c r="J1084" s="55" t="str">
        <f t="shared" si="66"/>
        <v>CDAO100</v>
      </c>
    </row>
    <row r="1085" spans="1:10" hidden="1">
      <c r="A1085" s="79" t="s">
        <v>714</v>
      </c>
      <c r="B1085" s="84" t="s">
        <v>1518</v>
      </c>
      <c r="C1085" s="1787" t="s">
        <v>3545</v>
      </c>
      <c r="D1085" s="80" t="s">
        <v>2566</v>
      </c>
      <c r="E1085" s="2277" t="str">
        <f t="shared" si="67"/>
        <v>CD</v>
      </c>
      <c r="F1085" s="55">
        <v>50</v>
      </c>
      <c r="G1085" s="55" t="s">
        <v>512</v>
      </c>
      <c r="J1085" s="55" t="str">
        <f t="shared" si="66"/>
        <v>CDAO150</v>
      </c>
    </row>
    <row r="1086" spans="1:10" hidden="1">
      <c r="A1086" s="79" t="s">
        <v>1100</v>
      </c>
      <c r="B1086" s="84" t="s">
        <v>1518</v>
      </c>
      <c r="C1086" s="1787" t="s">
        <v>3546</v>
      </c>
      <c r="D1086" s="80" t="s">
        <v>2566</v>
      </c>
      <c r="E1086" s="2277" t="str">
        <f t="shared" si="67"/>
        <v>CD</v>
      </c>
      <c r="F1086" s="55">
        <v>50</v>
      </c>
      <c r="G1086" s="55" t="s">
        <v>512</v>
      </c>
      <c r="J1086" s="55" t="str">
        <f t="shared" si="66"/>
        <v>CDAO200</v>
      </c>
    </row>
    <row r="1087" spans="1:10" hidden="1">
      <c r="A1087" s="79" t="s">
        <v>297</v>
      </c>
      <c r="B1087" s="84" t="s">
        <v>1518</v>
      </c>
      <c r="C1087" s="1787" t="s">
        <v>3547</v>
      </c>
      <c r="D1087" s="80" t="s">
        <v>2566</v>
      </c>
      <c r="E1087" s="2277" t="str">
        <f t="shared" si="67"/>
        <v>CD</v>
      </c>
      <c r="F1087" s="55">
        <v>50</v>
      </c>
      <c r="G1087" s="55" t="s">
        <v>512</v>
      </c>
      <c r="J1087" s="55" t="str">
        <f t="shared" si="66"/>
        <v>CDAO250</v>
      </c>
    </row>
    <row r="1088" spans="1:10" hidden="1">
      <c r="A1088" s="79" t="s">
        <v>1061</v>
      </c>
      <c r="B1088" s="84" t="s">
        <v>1518</v>
      </c>
      <c r="C1088" s="1787" t="s">
        <v>3548</v>
      </c>
      <c r="D1088" s="80" t="s">
        <v>2566</v>
      </c>
      <c r="E1088" s="2277" t="str">
        <f t="shared" si="67"/>
        <v>CD</v>
      </c>
      <c r="F1088" s="55">
        <v>50</v>
      </c>
      <c r="G1088" s="55" t="s">
        <v>512</v>
      </c>
      <c r="J1088" s="55" t="str">
        <f t="shared" si="66"/>
        <v>CDAO300</v>
      </c>
    </row>
    <row r="1089" spans="1:10" hidden="1">
      <c r="A1089" s="79" t="s">
        <v>1707</v>
      </c>
      <c r="B1089" s="1809"/>
      <c r="C1089" s="1787" t="s">
        <v>3549</v>
      </c>
      <c r="D1089" s="80" t="s">
        <v>1829</v>
      </c>
      <c r="E1089" s="2277" t="str">
        <f t="shared" si="67"/>
        <v>PV</v>
      </c>
      <c r="F1089" s="55">
        <v>50</v>
      </c>
      <c r="G1089" s="55" t="s">
        <v>512</v>
      </c>
      <c r="J1089" s="55" t="str">
        <f t="shared" si="66"/>
        <v>PVC200</v>
      </c>
    </row>
    <row r="1090" spans="1:10" hidden="1">
      <c r="A1090" s="79" t="s">
        <v>1683</v>
      </c>
      <c r="B1090" s="1809"/>
      <c r="C1090" s="1787" t="s">
        <v>3550</v>
      </c>
      <c r="D1090" s="80" t="s">
        <v>1829</v>
      </c>
      <c r="E1090" s="2277" t="str">
        <f t="shared" si="67"/>
        <v>PV</v>
      </c>
      <c r="F1090" s="55">
        <v>50</v>
      </c>
      <c r="G1090" s="55" t="s">
        <v>512</v>
      </c>
      <c r="J1090" s="55" t="str">
        <f t="shared" si="66"/>
        <v>PVC168</v>
      </c>
    </row>
    <row r="1091" spans="1:10" hidden="1">
      <c r="A1091" s="79" t="s">
        <v>1523</v>
      </c>
      <c r="B1091" s="1809"/>
      <c r="C1091" s="1787" t="s">
        <v>3551</v>
      </c>
      <c r="D1091" s="80" t="s">
        <v>1829</v>
      </c>
      <c r="E1091" s="2277" t="str">
        <f t="shared" si="67"/>
        <v>PV</v>
      </c>
      <c r="F1091" s="55">
        <v>50</v>
      </c>
      <c r="G1091" s="55" t="s">
        <v>512</v>
      </c>
      <c r="J1091" s="55" t="str">
        <f t="shared" si="66"/>
        <v>PVC140</v>
      </c>
    </row>
    <row r="1092" spans="1:10" hidden="1">
      <c r="A1092" s="79" t="s">
        <v>1044</v>
      </c>
      <c r="B1092" s="1809"/>
      <c r="C1092" s="1787" t="s">
        <v>3552</v>
      </c>
      <c r="D1092" s="80" t="s">
        <v>1829</v>
      </c>
      <c r="E1092" s="2277" t="str">
        <f t="shared" si="67"/>
        <v>PV</v>
      </c>
      <c r="F1092" s="55">
        <v>50</v>
      </c>
      <c r="G1092" s="55" t="s">
        <v>512</v>
      </c>
      <c r="J1092" s="55" t="str">
        <f t="shared" si="66"/>
        <v>PVC114</v>
      </c>
    </row>
    <row r="1093" spans="1:10" hidden="1">
      <c r="A1093" s="79" t="s">
        <v>282</v>
      </c>
      <c r="B1093" s="1809" t="s">
        <v>1757</v>
      </c>
      <c r="C1093" s="1787" t="s">
        <v>3553</v>
      </c>
      <c r="D1093" s="80" t="s">
        <v>1829</v>
      </c>
      <c r="E1093" s="2277" t="str">
        <f t="shared" si="67"/>
        <v>PV</v>
      </c>
      <c r="F1093" s="55">
        <v>50</v>
      </c>
      <c r="G1093" s="55" t="s">
        <v>512</v>
      </c>
      <c r="J1093" s="55" t="str">
        <f t="shared" si="66"/>
        <v>PVC90</v>
      </c>
    </row>
    <row r="1094" spans="1:10" hidden="1">
      <c r="A1094" s="79" t="s">
        <v>2015</v>
      </c>
      <c r="B1094" s="1809" t="s">
        <v>1783</v>
      </c>
      <c r="C1094" s="1787" t="s">
        <v>3554</v>
      </c>
      <c r="D1094" s="80" t="s">
        <v>1829</v>
      </c>
      <c r="E1094" s="2277" t="str">
        <f t="shared" si="67"/>
        <v>PV</v>
      </c>
      <c r="F1094" s="55">
        <v>50</v>
      </c>
      <c r="G1094" s="55" t="s">
        <v>512</v>
      </c>
      <c r="J1094" s="55" t="str">
        <f t="shared" si="66"/>
        <v>PVC60</v>
      </c>
    </row>
    <row r="1095" spans="1:10" hidden="1">
      <c r="A1095" s="79" t="s">
        <v>897</v>
      </c>
      <c r="B1095" s="1809" t="s">
        <v>1782</v>
      </c>
      <c r="C1095" s="1787" t="s">
        <v>3555</v>
      </c>
      <c r="D1095" s="80" t="s">
        <v>1829</v>
      </c>
      <c r="E1095" s="2277" t="str">
        <f t="shared" si="67"/>
        <v>PV</v>
      </c>
      <c r="F1095" s="55">
        <v>50</v>
      </c>
      <c r="G1095" s="55" t="s">
        <v>512</v>
      </c>
      <c r="J1095" s="55" t="str">
        <f t="shared" si="66"/>
        <v>PVC49</v>
      </c>
    </row>
    <row r="1096" spans="1:10" hidden="1">
      <c r="A1096" s="79" t="s">
        <v>2149</v>
      </c>
      <c r="B1096" s="1809" t="s">
        <v>1782</v>
      </c>
      <c r="C1096" s="1787" t="s">
        <v>3556</v>
      </c>
      <c r="D1096" s="80" t="s">
        <v>1829</v>
      </c>
      <c r="E1096" s="2277" t="str">
        <f t="shared" si="67"/>
        <v>PV</v>
      </c>
      <c r="F1096" s="55">
        <v>50</v>
      </c>
      <c r="G1096" s="55" t="s">
        <v>512</v>
      </c>
      <c r="J1096" s="55" t="str">
        <f t="shared" si="66"/>
        <v>PVC42</v>
      </c>
    </row>
    <row r="1097" spans="1:10" hidden="1">
      <c r="A1097" s="79" t="s">
        <v>576</v>
      </c>
      <c r="B1097" s="1809" t="s">
        <v>1782</v>
      </c>
      <c r="C1097" s="1787" t="s">
        <v>3557</v>
      </c>
      <c r="D1097" s="80" t="s">
        <v>1829</v>
      </c>
      <c r="E1097" s="2277" t="str">
        <f t="shared" si="67"/>
        <v>PV</v>
      </c>
      <c r="F1097" s="55">
        <v>50</v>
      </c>
      <c r="G1097" s="55" t="s">
        <v>512</v>
      </c>
      <c r="J1097" s="55" t="str">
        <f t="shared" si="66"/>
        <v>PVC21</v>
      </c>
    </row>
    <row r="1098" spans="1:10" hidden="1">
      <c r="A1098" s="79" t="s">
        <v>1053</v>
      </c>
      <c r="B1098" s="1809"/>
      <c r="C1098" s="1787" t="s">
        <v>3558</v>
      </c>
      <c r="D1098" s="80" t="s">
        <v>2541</v>
      </c>
      <c r="E1098" s="2277" t="str">
        <f t="shared" si="67"/>
        <v>OD</v>
      </c>
      <c r="F1098" s="55">
        <v>50</v>
      </c>
      <c r="G1098" s="55" t="s">
        <v>512</v>
      </c>
      <c r="J1098" s="55" t="str">
        <f t="shared" si="66"/>
        <v>ODH42</v>
      </c>
    </row>
    <row r="1099" spans="1:10" hidden="1">
      <c r="A1099" s="79" t="s">
        <v>238</v>
      </c>
      <c r="B1099" s="1809" t="s">
        <v>575</v>
      </c>
      <c r="C1099" s="1787" t="s">
        <v>3559</v>
      </c>
      <c r="D1099" s="80" t="s">
        <v>1829</v>
      </c>
      <c r="E1099" s="2277" t="str">
        <f t="shared" si="67"/>
        <v>ON</v>
      </c>
      <c r="F1099" s="55">
        <v>50</v>
      </c>
      <c r="G1099" s="55" t="s">
        <v>512</v>
      </c>
      <c r="J1099" s="55" t="str">
        <f t="shared" ref="J1099:J1162" si="69">A1099</f>
        <v>ONGDH168</v>
      </c>
    </row>
    <row r="1100" spans="1:10" hidden="1">
      <c r="A1100" s="79" t="s">
        <v>2282</v>
      </c>
      <c r="B1100" s="1809" t="s">
        <v>575</v>
      </c>
      <c r="C1100" s="1787" t="s">
        <v>3560</v>
      </c>
      <c r="D1100" s="80" t="s">
        <v>1829</v>
      </c>
      <c r="E1100" s="2277" t="str">
        <f t="shared" si="67"/>
        <v>ON</v>
      </c>
      <c r="F1100" s="55">
        <v>50</v>
      </c>
      <c r="G1100" s="55" t="s">
        <v>512</v>
      </c>
      <c r="J1100" s="55" t="str">
        <f t="shared" si="69"/>
        <v>ONGDH42</v>
      </c>
    </row>
    <row r="1101" spans="1:10" hidden="1">
      <c r="A1101" s="79" t="s">
        <v>1746</v>
      </c>
      <c r="B1101" s="1809" t="s">
        <v>575</v>
      </c>
      <c r="C1101" s="1787" t="s">
        <v>3561</v>
      </c>
      <c r="D1101" s="80" t="s">
        <v>1829</v>
      </c>
      <c r="E1101" s="2277" t="str">
        <f t="shared" si="67"/>
        <v>ON</v>
      </c>
      <c r="F1101" s="55">
        <v>50</v>
      </c>
      <c r="G1101" s="55" t="s">
        <v>512</v>
      </c>
      <c r="J1101" s="55" t="str">
        <f t="shared" si="69"/>
        <v>ONGDH114</v>
      </c>
    </row>
    <row r="1102" spans="1:10" hidden="1">
      <c r="A1102" s="79" t="s">
        <v>577</v>
      </c>
      <c r="B1102" s="84"/>
      <c r="C1102" s="1787" t="s">
        <v>578</v>
      </c>
      <c r="D1102" s="80" t="s">
        <v>2566</v>
      </c>
      <c r="E1102" s="2277" t="str">
        <f t="shared" si="67"/>
        <v>CU</v>
      </c>
      <c r="F1102" s="55">
        <v>50</v>
      </c>
      <c r="G1102" s="55" t="s">
        <v>512</v>
      </c>
      <c r="J1102" s="55" t="str">
        <f t="shared" si="69"/>
        <v>CUT21</v>
      </c>
    </row>
    <row r="1103" spans="1:10" hidden="1">
      <c r="A1103" s="79" t="s">
        <v>245</v>
      </c>
      <c r="B1103" s="84"/>
      <c r="C1103" s="1787" t="s">
        <v>3562</v>
      </c>
      <c r="D1103" s="80" t="s">
        <v>2566</v>
      </c>
      <c r="E1103" s="2277" t="str">
        <f t="shared" si="67"/>
        <v>CU</v>
      </c>
      <c r="F1103" s="55">
        <v>50</v>
      </c>
      <c r="G1103" s="55" t="s">
        <v>512</v>
      </c>
      <c r="J1103" s="55" t="str">
        <f t="shared" si="69"/>
        <v>CUT4245</v>
      </c>
    </row>
    <row r="1104" spans="1:10" hidden="1">
      <c r="A1104" s="79" t="s">
        <v>1621</v>
      </c>
      <c r="B1104" s="84"/>
      <c r="C1104" s="1787" t="s">
        <v>3563</v>
      </c>
      <c r="D1104" s="80" t="s">
        <v>2566</v>
      </c>
      <c r="E1104" s="2277" t="str">
        <f t="shared" si="67"/>
        <v>CU</v>
      </c>
      <c r="F1104" s="55">
        <v>50</v>
      </c>
      <c r="G1104" s="55" t="s">
        <v>512</v>
      </c>
      <c r="J1104" s="55" t="str">
        <f t="shared" si="69"/>
        <v>CUT42</v>
      </c>
    </row>
    <row r="1105" spans="1:10" hidden="1">
      <c r="A1105" s="79" t="s">
        <v>1052</v>
      </c>
      <c r="B1105" s="84"/>
      <c r="C1105" s="1787" t="s">
        <v>3564</v>
      </c>
      <c r="D1105" s="80" t="s">
        <v>2566</v>
      </c>
      <c r="E1105" s="2277" t="str">
        <f t="shared" si="67"/>
        <v>CU</v>
      </c>
      <c r="F1105" s="55">
        <v>50</v>
      </c>
      <c r="G1105" s="55" t="s">
        <v>512</v>
      </c>
      <c r="J1105" s="55" t="str">
        <f t="shared" si="69"/>
        <v>CUT42T</v>
      </c>
    </row>
    <row r="1106" spans="1:10" hidden="1">
      <c r="A1106" s="79" t="s">
        <v>1107</v>
      </c>
      <c r="B1106" s="84"/>
      <c r="C1106" s="1787" t="s">
        <v>3565</v>
      </c>
      <c r="D1106" s="80" t="s">
        <v>2566</v>
      </c>
      <c r="E1106" s="2277" t="str">
        <f t="shared" si="67"/>
        <v>CU</v>
      </c>
      <c r="F1106" s="55">
        <v>50</v>
      </c>
      <c r="G1106" s="55" t="s">
        <v>512</v>
      </c>
      <c r="J1106" s="55" t="str">
        <f t="shared" si="69"/>
        <v>CUT60</v>
      </c>
    </row>
    <row r="1107" spans="1:10" hidden="1">
      <c r="A1107" s="79" t="s">
        <v>942</v>
      </c>
      <c r="B1107" s="84"/>
      <c r="C1107" s="1787" t="s">
        <v>3566</v>
      </c>
      <c r="D1107" s="80" t="s">
        <v>2566</v>
      </c>
      <c r="E1107" s="2277" t="str">
        <f t="shared" si="67"/>
        <v>CU</v>
      </c>
      <c r="F1107" s="55">
        <v>50</v>
      </c>
      <c r="G1107" s="55" t="s">
        <v>512</v>
      </c>
      <c r="J1107" s="55" t="str">
        <f t="shared" si="69"/>
        <v>CUT60135</v>
      </c>
    </row>
    <row r="1108" spans="1:10" hidden="1">
      <c r="A1108" s="79" t="s">
        <v>283</v>
      </c>
      <c r="B1108" s="84"/>
      <c r="C1108" s="1787" t="s">
        <v>3567</v>
      </c>
      <c r="D1108" s="80" t="s">
        <v>2566</v>
      </c>
      <c r="E1108" s="2277" t="str">
        <f t="shared" si="67"/>
        <v>CU</v>
      </c>
      <c r="F1108" s="55">
        <v>50</v>
      </c>
      <c r="G1108" s="55" t="s">
        <v>512</v>
      </c>
      <c r="J1108" s="55" t="str">
        <f t="shared" si="69"/>
        <v>CUT90</v>
      </c>
    </row>
    <row r="1109" spans="1:10" hidden="1">
      <c r="A1109" s="79" t="s">
        <v>1217</v>
      </c>
      <c r="B1109" s="84"/>
      <c r="C1109" s="1787" t="s">
        <v>3568</v>
      </c>
      <c r="D1109" s="80" t="s">
        <v>2566</v>
      </c>
      <c r="E1109" s="2277" t="str">
        <f t="shared" si="67"/>
        <v>CU</v>
      </c>
      <c r="F1109" s="55">
        <v>50</v>
      </c>
      <c r="G1109" s="55" t="s">
        <v>512</v>
      </c>
      <c r="J1109" s="55" t="str">
        <f t="shared" si="69"/>
        <v>CUT90135</v>
      </c>
    </row>
    <row r="1110" spans="1:10" hidden="1">
      <c r="A1110" s="79" t="s">
        <v>70</v>
      </c>
      <c r="B1110" s="84"/>
      <c r="C1110" s="1787" t="s">
        <v>3569</v>
      </c>
      <c r="D1110" s="80" t="s">
        <v>2566</v>
      </c>
      <c r="E1110" s="2277" t="str">
        <f t="shared" si="67"/>
        <v>CU</v>
      </c>
      <c r="F1110" s="55">
        <v>50</v>
      </c>
      <c r="G1110" s="55" t="s">
        <v>512</v>
      </c>
      <c r="J1110" s="55" t="str">
        <f t="shared" si="69"/>
        <v>CUT90T</v>
      </c>
    </row>
    <row r="1111" spans="1:10" hidden="1">
      <c r="A1111" s="79" t="s">
        <v>2125</v>
      </c>
      <c r="B1111" s="84"/>
      <c r="C1111" s="1787" t="s">
        <v>3570</v>
      </c>
      <c r="D1111" s="80" t="s">
        <v>2566</v>
      </c>
      <c r="E1111" s="2277" t="str">
        <f t="shared" ref="E1111" si="70">LEFT(A1111,2)</f>
        <v>CU</v>
      </c>
      <c r="F1111" s="55">
        <v>50</v>
      </c>
      <c r="G1111" s="55" t="s">
        <v>512</v>
      </c>
      <c r="J1111" s="55" t="str">
        <f t="shared" si="69"/>
        <v>CUT114T</v>
      </c>
    </row>
    <row r="1112" spans="1:10" hidden="1">
      <c r="A1112" s="79" t="s">
        <v>4813</v>
      </c>
      <c r="B1112" s="84"/>
      <c r="C1112" s="1787" t="s">
        <v>4814</v>
      </c>
      <c r="D1112" s="80" t="s">
        <v>2566</v>
      </c>
      <c r="E1112" s="2277" t="str">
        <f t="shared" si="67"/>
        <v>CU</v>
      </c>
      <c r="F1112" s="55">
        <v>50</v>
      </c>
      <c r="G1112" s="55" t="s">
        <v>512</v>
      </c>
      <c r="J1112" s="55" t="str">
        <f t="shared" si="69"/>
        <v>CUT114L</v>
      </c>
    </row>
    <row r="1113" spans="1:10" hidden="1">
      <c r="A1113" s="79" t="s">
        <v>1045</v>
      </c>
      <c r="B1113" s="84"/>
      <c r="C1113" s="1787" t="s">
        <v>3571</v>
      </c>
      <c r="D1113" s="80" t="s">
        <v>2566</v>
      </c>
      <c r="E1113" s="2277" t="str">
        <f t="shared" si="67"/>
        <v>CU</v>
      </c>
      <c r="F1113" s="55">
        <v>50</v>
      </c>
      <c r="G1113" s="55" t="s">
        <v>512</v>
      </c>
      <c r="J1113" s="55" t="str">
        <f t="shared" si="69"/>
        <v>CUT114</v>
      </c>
    </row>
    <row r="1114" spans="1:10" hidden="1">
      <c r="A1114" s="79" t="s">
        <v>450</v>
      </c>
      <c r="B1114" s="84"/>
      <c r="C1114" s="1787" t="s">
        <v>3572</v>
      </c>
      <c r="D1114" s="80" t="s">
        <v>2566</v>
      </c>
      <c r="E1114" s="2277" t="str">
        <f t="shared" si="67"/>
        <v>CU</v>
      </c>
      <c r="F1114" s="55">
        <v>50</v>
      </c>
      <c r="G1114" s="55" t="s">
        <v>512</v>
      </c>
      <c r="J1114" s="55" t="str">
        <f t="shared" si="69"/>
        <v>CUT140t</v>
      </c>
    </row>
    <row r="1115" spans="1:10" hidden="1">
      <c r="A1115" s="79" t="s">
        <v>473</v>
      </c>
      <c r="B1115" s="84"/>
      <c r="C1115" s="1787" t="s">
        <v>3573</v>
      </c>
      <c r="D1115" s="80" t="s">
        <v>2566</v>
      </c>
      <c r="E1115" s="2277" t="str">
        <f t="shared" si="67"/>
        <v>CU</v>
      </c>
      <c r="F1115" s="55">
        <v>50</v>
      </c>
      <c r="G1115" s="55" t="s">
        <v>512</v>
      </c>
      <c r="J1115" s="55" t="str">
        <f t="shared" si="69"/>
        <v>CUT140</v>
      </c>
    </row>
    <row r="1116" spans="1:10" hidden="1">
      <c r="A1116" s="79" t="s">
        <v>1276</v>
      </c>
      <c r="B1116" s="84"/>
      <c r="C1116" s="1787" t="s">
        <v>3574</v>
      </c>
      <c r="D1116" s="80" t="s">
        <v>2566</v>
      </c>
      <c r="E1116" s="2277" t="str">
        <f t="shared" si="67"/>
        <v>CU</v>
      </c>
      <c r="F1116" s="55">
        <v>50</v>
      </c>
      <c r="G1116" s="55" t="s">
        <v>512</v>
      </c>
      <c r="J1116" s="55" t="str">
        <f t="shared" si="69"/>
        <v>CUT168</v>
      </c>
    </row>
    <row r="1117" spans="1:10" hidden="1">
      <c r="A1117" s="79" t="s">
        <v>690</v>
      </c>
      <c r="B1117" s="1809"/>
      <c r="C1117" s="1787" t="s">
        <v>4484</v>
      </c>
      <c r="D1117" s="80" t="s">
        <v>2566</v>
      </c>
      <c r="E1117" s="2277" t="str">
        <f t="shared" ref="E1117" si="71">LEFT(A1117,2)</f>
        <v>NP</v>
      </c>
      <c r="F1117" s="55">
        <v>50</v>
      </c>
      <c r="G1117" s="55" t="s">
        <v>512</v>
      </c>
      <c r="J1117" s="55" t="str">
        <f t="shared" si="69"/>
        <v>NPVC114</v>
      </c>
    </row>
    <row r="1118" spans="1:10" hidden="1">
      <c r="A1118" s="79" t="s">
        <v>1412</v>
      </c>
      <c r="B1118" s="1809"/>
      <c r="C1118" s="1787" t="s">
        <v>3575</v>
      </c>
      <c r="D1118" s="80" t="s">
        <v>2566</v>
      </c>
      <c r="E1118" s="2277" t="str">
        <f t="shared" si="67"/>
        <v>NP</v>
      </c>
      <c r="F1118" s="55">
        <v>50</v>
      </c>
      <c r="G1118" s="55" t="s">
        <v>512</v>
      </c>
      <c r="J1118" s="55" t="str">
        <f t="shared" si="69"/>
        <v>NPVC140</v>
      </c>
    </row>
    <row r="1119" spans="1:10" hidden="1">
      <c r="A1119" s="79" t="s">
        <v>4376</v>
      </c>
      <c r="B1119" s="1809"/>
      <c r="C1119" s="1787" t="s">
        <v>4377</v>
      </c>
      <c r="D1119" s="80" t="s">
        <v>2566</v>
      </c>
      <c r="E1119" s="2277" t="str">
        <f t="shared" si="67"/>
        <v>NP</v>
      </c>
      <c r="F1119" s="55">
        <v>50</v>
      </c>
      <c r="G1119" s="55" t="s">
        <v>512</v>
      </c>
      <c r="J1119" s="55" t="str">
        <f t="shared" si="69"/>
        <v>NPVC114-90</v>
      </c>
    </row>
    <row r="1120" spans="1:10" hidden="1">
      <c r="A1120" s="79" t="s">
        <v>727</v>
      </c>
      <c r="B1120" s="1809"/>
      <c r="C1120" s="1787" t="s">
        <v>3576</v>
      </c>
      <c r="D1120" s="80" t="s">
        <v>2566</v>
      </c>
      <c r="E1120" s="2277" t="str">
        <f t="shared" si="67"/>
        <v>NP</v>
      </c>
      <c r="F1120" s="55">
        <v>50</v>
      </c>
      <c r="G1120" s="55" t="s">
        <v>512</v>
      </c>
      <c r="J1120" s="55" t="str">
        <f t="shared" si="69"/>
        <v>NPVC90</v>
      </c>
    </row>
    <row r="1121" spans="1:10" hidden="1">
      <c r="A1121" s="79" t="s">
        <v>1919</v>
      </c>
      <c r="B1121" s="1809"/>
      <c r="C1121" s="1787" t="s">
        <v>3577</v>
      </c>
      <c r="D1121" s="80" t="s">
        <v>2566</v>
      </c>
      <c r="E1121" s="2277" t="str">
        <f t="shared" si="67"/>
        <v>NP</v>
      </c>
      <c r="F1121" s="55">
        <v>50</v>
      </c>
      <c r="G1121" s="55" t="s">
        <v>512</v>
      </c>
      <c r="J1121" s="55" t="str">
        <f t="shared" si="69"/>
        <v>NPVC42</v>
      </c>
    </row>
    <row r="1122" spans="1:10" hidden="1">
      <c r="A1122" s="79" t="s">
        <v>2280</v>
      </c>
      <c r="B1122" s="1809"/>
      <c r="C1122" s="1787" t="s">
        <v>3578</v>
      </c>
      <c r="D1122" s="80" t="s">
        <v>2566</v>
      </c>
      <c r="E1122" s="2277" t="str">
        <f t="shared" si="67"/>
        <v>NP</v>
      </c>
      <c r="F1122" s="55">
        <v>50</v>
      </c>
      <c r="G1122" s="55" t="s">
        <v>512</v>
      </c>
      <c r="J1122" s="55" t="str">
        <f t="shared" si="69"/>
        <v>NPVC21</v>
      </c>
    </row>
    <row r="1123" spans="1:10" hidden="1">
      <c r="A1123" s="79" t="s">
        <v>2281</v>
      </c>
      <c r="B1123" s="1809"/>
      <c r="C1123" s="1787" t="s">
        <v>3579</v>
      </c>
      <c r="D1123" s="80" t="s">
        <v>2566</v>
      </c>
      <c r="E1123" s="2277" t="str">
        <f t="shared" si="67"/>
        <v>NT</v>
      </c>
      <c r="F1123" s="55">
        <v>50</v>
      </c>
      <c r="G1123" s="55" t="s">
        <v>512</v>
      </c>
      <c r="J1123" s="55" t="str">
        <f t="shared" si="69"/>
        <v>NT42</v>
      </c>
    </row>
    <row r="1124" spans="1:10" hidden="1">
      <c r="A1124" s="79" t="s">
        <v>622</v>
      </c>
      <c r="B1124" s="84"/>
      <c r="C1124" s="81" t="s">
        <v>3580</v>
      </c>
      <c r="D1124" s="80" t="s">
        <v>2566</v>
      </c>
      <c r="E1124" s="2277" t="str">
        <f t="shared" si="67"/>
        <v>BA</v>
      </c>
      <c r="F1124" s="55">
        <v>50</v>
      </c>
      <c r="G1124" s="55" t="s">
        <v>512</v>
      </c>
      <c r="J1124" s="55" t="str">
        <f t="shared" si="69"/>
        <v>BAKE6200</v>
      </c>
    </row>
    <row r="1125" spans="1:10" hidden="1">
      <c r="A1125" s="79" t="s">
        <v>882</v>
      </c>
      <c r="B1125" s="1809"/>
      <c r="C1125" s="1787" t="s">
        <v>3581</v>
      </c>
      <c r="D1125" s="80" t="s">
        <v>2566</v>
      </c>
      <c r="E1125" s="2277" t="str">
        <f t="shared" si="67"/>
        <v>BA</v>
      </c>
      <c r="F1125" s="55">
        <v>50</v>
      </c>
      <c r="G1125" s="55" t="s">
        <v>512</v>
      </c>
      <c r="J1125" s="55" t="str">
        <f t="shared" si="69"/>
        <v>BAKE</v>
      </c>
    </row>
    <row r="1126" spans="1:10" hidden="1">
      <c r="A1126" s="79" t="s">
        <v>1920</v>
      </c>
      <c r="B1126" s="1809"/>
      <c r="C1126" s="1787" t="s">
        <v>3582</v>
      </c>
      <c r="D1126" s="80" t="s">
        <v>2566</v>
      </c>
      <c r="E1126" s="2277" t="str">
        <f t="shared" si="67"/>
        <v>BA</v>
      </c>
      <c r="F1126" s="55">
        <v>50</v>
      </c>
      <c r="G1126" s="55" t="s">
        <v>512</v>
      </c>
      <c r="J1126" s="55" t="str">
        <f t="shared" si="69"/>
        <v>BAKEDKDT</v>
      </c>
    </row>
    <row r="1127" spans="1:10" hidden="1">
      <c r="A1127" s="79" t="s">
        <v>59</v>
      </c>
      <c r="B1127" s="1809"/>
      <c r="C1127" s="1787" t="s">
        <v>3583</v>
      </c>
      <c r="D1127" s="80" t="s">
        <v>2566</v>
      </c>
      <c r="E1127" s="2277" t="str">
        <f t="shared" ref="E1127:E1197" si="72">LEFT(A1127,2)</f>
        <v>BA</v>
      </c>
      <c r="F1127" s="55">
        <v>50</v>
      </c>
      <c r="G1127" s="55" t="s">
        <v>512</v>
      </c>
      <c r="J1127" s="55" t="str">
        <f t="shared" si="69"/>
        <v>BAKETu</v>
      </c>
    </row>
    <row r="1128" spans="1:10" hidden="1">
      <c r="A1128" s="79" t="s">
        <v>243</v>
      </c>
      <c r="B1128" s="1809"/>
      <c r="C1128" s="1787" t="s">
        <v>3584</v>
      </c>
      <c r="D1128" s="80" t="s">
        <v>2566</v>
      </c>
      <c r="E1128" s="2277" t="str">
        <f t="shared" si="72"/>
        <v>BA</v>
      </c>
      <c r="F1128" s="55">
        <v>50</v>
      </c>
      <c r="G1128" s="55" t="s">
        <v>512</v>
      </c>
      <c r="J1128" s="55" t="str">
        <f t="shared" si="69"/>
        <v>BANGG</v>
      </c>
    </row>
    <row r="1129" spans="1:10" hidden="1">
      <c r="A1129" s="79" t="s">
        <v>1602</v>
      </c>
      <c r="B1129" s="1809"/>
      <c r="C1129" s="1787" t="s">
        <v>3585</v>
      </c>
      <c r="D1129" s="80" t="s">
        <v>2566</v>
      </c>
      <c r="E1129" s="2277" t="str">
        <f t="shared" si="72"/>
        <v>BA</v>
      </c>
      <c r="F1129" s="55">
        <v>50</v>
      </c>
      <c r="G1129" s="55" t="s">
        <v>512</v>
      </c>
      <c r="J1129" s="55" t="str">
        <f t="shared" si="69"/>
        <v>BANGNHUA</v>
      </c>
    </row>
    <row r="1130" spans="1:10" hidden="1">
      <c r="A1130" s="79" t="s">
        <v>672</v>
      </c>
      <c r="B1130" s="1809"/>
      <c r="C1130" s="1787" t="s">
        <v>3586</v>
      </c>
      <c r="D1130" s="80" t="s">
        <v>3587</v>
      </c>
      <c r="E1130" s="2277" t="str">
        <f t="shared" si="72"/>
        <v>BA</v>
      </c>
      <c r="F1130" s="55">
        <v>50</v>
      </c>
      <c r="G1130" s="55" t="s">
        <v>512</v>
      </c>
      <c r="J1130" s="55" t="str">
        <f t="shared" si="69"/>
        <v>BANGKEO</v>
      </c>
    </row>
    <row r="1131" spans="1:10" hidden="1">
      <c r="A1131" s="79" t="s">
        <v>372</v>
      </c>
      <c r="B1131" s="1809"/>
      <c r="C1131" s="1787" t="s">
        <v>373</v>
      </c>
      <c r="D1131" s="80" t="s">
        <v>2566</v>
      </c>
      <c r="E1131" s="2277" t="str">
        <f t="shared" si="72"/>
        <v>BA</v>
      </c>
      <c r="F1131" s="55">
        <v>50</v>
      </c>
      <c r="G1131" s="55" t="s">
        <v>512</v>
      </c>
      <c r="J1131" s="55" t="str">
        <f t="shared" si="69"/>
        <v>BAKE16-200X200</v>
      </c>
    </row>
    <row r="1132" spans="1:10" hidden="1">
      <c r="A1132" s="79" t="s">
        <v>1181</v>
      </c>
      <c r="B1132" s="1812"/>
      <c r="C1132" s="1787" t="s">
        <v>3588</v>
      </c>
      <c r="D1132" s="80" t="s">
        <v>3589</v>
      </c>
      <c r="E1132" s="2277" t="str">
        <f t="shared" si="72"/>
        <v>KE</v>
      </c>
      <c r="F1132" s="55">
        <v>50</v>
      </c>
      <c r="G1132" s="55" t="s">
        <v>512</v>
      </c>
      <c r="J1132" s="55" t="str">
        <f t="shared" si="69"/>
        <v>KEOBIT</v>
      </c>
    </row>
    <row r="1133" spans="1:10" hidden="1">
      <c r="A1133" s="79" t="s">
        <v>1430</v>
      </c>
      <c r="B1133" s="1778"/>
      <c r="C1133" s="79" t="s">
        <v>3590</v>
      </c>
      <c r="D1133" s="80" t="s">
        <v>2256</v>
      </c>
      <c r="E1133" s="2277" t="str">
        <f t="shared" si="72"/>
        <v>KE</v>
      </c>
      <c r="F1133" s="55">
        <v>50</v>
      </c>
      <c r="G1133" s="55" t="s">
        <v>512</v>
      </c>
      <c r="J1133" s="55" t="str">
        <f t="shared" si="69"/>
        <v>KEM</v>
      </c>
    </row>
    <row r="1134" spans="1:10" hidden="1">
      <c r="A1134" s="79" t="s">
        <v>2043</v>
      </c>
      <c r="B1134" s="84"/>
      <c r="C1134" s="1787" t="s">
        <v>3591</v>
      </c>
      <c r="D1134" s="80" t="s">
        <v>3592</v>
      </c>
      <c r="E1134" s="2277" t="str">
        <f t="shared" si="72"/>
        <v>ke</v>
      </c>
      <c r="F1134" s="55">
        <v>50</v>
      </c>
      <c r="G1134" s="55" t="s">
        <v>512</v>
      </c>
      <c r="J1134" s="55" t="str">
        <f t="shared" si="69"/>
        <v>keodan</v>
      </c>
    </row>
    <row r="1135" spans="1:10" hidden="1">
      <c r="A1135" s="79" t="s">
        <v>728</v>
      </c>
      <c r="B1135" s="84"/>
      <c r="C1135" s="1787" t="s">
        <v>3593</v>
      </c>
      <c r="D1135" s="80" t="s">
        <v>388</v>
      </c>
      <c r="E1135" s="2277" t="str">
        <f t="shared" si="72"/>
        <v>KE</v>
      </c>
      <c r="F1135" s="55">
        <v>50</v>
      </c>
      <c r="G1135" s="55" t="s">
        <v>512</v>
      </c>
      <c r="J1135" s="55" t="str">
        <f t="shared" si="69"/>
        <v>KEO</v>
      </c>
    </row>
    <row r="1136" spans="1:10" hidden="1">
      <c r="A1136" s="79" t="s">
        <v>2128</v>
      </c>
      <c r="B1136" s="1812"/>
      <c r="C1136" s="1787" t="s">
        <v>3594</v>
      </c>
      <c r="D1136" s="80" t="s">
        <v>2566</v>
      </c>
      <c r="E1136" s="2277" t="str">
        <f t="shared" si="72"/>
        <v>KV</v>
      </c>
      <c r="F1136" s="55">
        <v>50</v>
      </c>
      <c r="G1136" s="55" t="s">
        <v>512</v>
      </c>
      <c r="J1136" s="55" t="str">
        <f t="shared" si="69"/>
        <v>KVRT42</v>
      </c>
    </row>
    <row r="1137" spans="1:10" hidden="1">
      <c r="A1137" s="79" t="s">
        <v>933</v>
      </c>
      <c r="B1137" s="1812"/>
      <c r="C1137" s="1787" t="s">
        <v>3595</v>
      </c>
      <c r="D1137" s="80" t="s">
        <v>2566</v>
      </c>
      <c r="E1137" s="2277" t="str">
        <f t="shared" si="72"/>
        <v>KV</v>
      </c>
      <c r="F1137" s="55">
        <v>50</v>
      </c>
      <c r="G1137" s="55" t="s">
        <v>512</v>
      </c>
      <c r="J1137" s="55" t="str">
        <f t="shared" si="69"/>
        <v>KVRT90</v>
      </c>
    </row>
    <row r="1138" spans="1:10" hidden="1">
      <c r="A1138" s="79" t="s">
        <v>1970</v>
      </c>
      <c r="B1138" s="1812"/>
      <c r="C1138" s="1787" t="s">
        <v>3596</v>
      </c>
      <c r="D1138" s="80" t="s">
        <v>2566</v>
      </c>
      <c r="E1138" s="2277" t="str">
        <f t="shared" si="72"/>
        <v>KV</v>
      </c>
      <c r="F1138" s="55">
        <v>50</v>
      </c>
      <c r="G1138" s="55" t="s">
        <v>512</v>
      </c>
      <c r="J1138" s="55" t="str">
        <f t="shared" si="69"/>
        <v>KVRT114</v>
      </c>
    </row>
    <row r="1139" spans="1:10" hidden="1">
      <c r="A1139" s="79" t="s">
        <v>1504</v>
      </c>
      <c r="B1139" s="1812"/>
      <c r="C1139" s="1787" t="s">
        <v>3597</v>
      </c>
      <c r="D1139" s="80" t="s">
        <v>2566</v>
      </c>
      <c r="E1139" s="2277" t="str">
        <f t="shared" si="72"/>
        <v>KV</v>
      </c>
      <c r="F1139" s="55">
        <v>50</v>
      </c>
      <c r="G1139" s="55" t="s">
        <v>512</v>
      </c>
      <c r="J1139" s="55" t="str">
        <f t="shared" si="69"/>
        <v>KVRT140</v>
      </c>
    </row>
    <row r="1140" spans="1:10" hidden="1">
      <c r="A1140" s="79" t="s">
        <v>961</v>
      </c>
      <c r="B1140" s="1812"/>
      <c r="C1140" s="1787" t="s">
        <v>3598</v>
      </c>
      <c r="D1140" s="80" t="s">
        <v>2566</v>
      </c>
      <c r="E1140" s="2277" t="str">
        <f t="shared" si="72"/>
        <v>KV</v>
      </c>
      <c r="F1140" s="55">
        <v>50</v>
      </c>
      <c r="G1140" s="55" t="s">
        <v>512</v>
      </c>
      <c r="J1140" s="55" t="str">
        <f t="shared" si="69"/>
        <v>KVRN42</v>
      </c>
    </row>
    <row r="1141" spans="1:10" hidden="1">
      <c r="A1141" s="79" t="s">
        <v>932</v>
      </c>
      <c r="B1141" s="1812"/>
      <c r="C1141" s="1787" t="s">
        <v>3599</v>
      </c>
      <c r="D1141" s="80" t="s">
        <v>2566</v>
      </c>
      <c r="E1141" s="2277" t="str">
        <f t="shared" si="72"/>
        <v>KV</v>
      </c>
      <c r="F1141" s="55">
        <v>50</v>
      </c>
      <c r="G1141" s="55" t="s">
        <v>512</v>
      </c>
      <c r="J1141" s="55" t="str">
        <f t="shared" si="69"/>
        <v>KVRN90</v>
      </c>
    </row>
    <row r="1142" spans="1:10" hidden="1">
      <c r="A1142" s="79" t="s">
        <v>1971</v>
      </c>
      <c r="B1142" s="1812"/>
      <c r="C1142" s="1787" t="s">
        <v>3600</v>
      </c>
      <c r="D1142" s="80" t="s">
        <v>2566</v>
      </c>
      <c r="E1142" s="2277" t="str">
        <f t="shared" si="72"/>
        <v>KV</v>
      </c>
      <c r="F1142" s="55">
        <v>50</v>
      </c>
      <c r="G1142" s="55" t="s">
        <v>512</v>
      </c>
      <c r="J1142" s="55" t="str">
        <f t="shared" si="69"/>
        <v>KVRN114</v>
      </c>
    </row>
    <row r="1143" spans="1:10" hidden="1">
      <c r="A1143" s="79" t="s">
        <v>1890</v>
      </c>
      <c r="B1143" s="1812"/>
      <c r="C1143" s="1787" t="s">
        <v>3601</v>
      </c>
      <c r="D1143" s="80" t="s">
        <v>2566</v>
      </c>
      <c r="E1143" s="2277" t="str">
        <f t="shared" si="72"/>
        <v>KV</v>
      </c>
      <c r="F1143" s="55">
        <v>50</v>
      </c>
      <c r="G1143" s="55" t="s">
        <v>512</v>
      </c>
      <c r="J1143" s="55" t="str">
        <f t="shared" si="69"/>
        <v>KVRN140</v>
      </c>
    </row>
    <row r="1144" spans="1:10" hidden="1">
      <c r="A1144" s="79" t="s">
        <v>1038</v>
      </c>
      <c r="B1144" s="1813" t="s">
        <v>1460</v>
      </c>
      <c r="C1144" s="1787" t="s">
        <v>4780</v>
      </c>
      <c r="D1144" s="80" t="s">
        <v>2566</v>
      </c>
      <c r="E1144" s="2277" t="str">
        <f t="shared" si="72"/>
        <v>OX</v>
      </c>
      <c r="F1144" s="55">
        <v>50</v>
      </c>
      <c r="G1144" s="55" t="s">
        <v>512</v>
      </c>
      <c r="J1144" s="55" t="str">
        <f t="shared" si="69"/>
        <v>OXC1/0</v>
      </c>
    </row>
    <row r="1145" spans="1:10" hidden="1">
      <c r="A1145" s="79" t="s">
        <v>1039</v>
      </c>
      <c r="B1145" s="1813" t="s">
        <v>1460</v>
      </c>
      <c r="C1145" s="1787" t="s">
        <v>4781</v>
      </c>
      <c r="D1145" s="80" t="s">
        <v>2566</v>
      </c>
      <c r="E1145" s="2277" t="str">
        <f t="shared" si="72"/>
        <v>OX</v>
      </c>
      <c r="F1145" s="55">
        <v>50</v>
      </c>
      <c r="G1145" s="55" t="s">
        <v>512</v>
      </c>
      <c r="J1145" s="55" t="str">
        <f t="shared" si="69"/>
        <v>OXC2/0</v>
      </c>
    </row>
    <row r="1146" spans="1:10" hidden="1">
      <c r="A1146" s="79" t="s">
        <v>2129</v>
      </c>
      <c r="B1146" s="1813" t="s">
        <v>1460</v>
      </c>
      <c r="C1146" s="1787" t="s">
        <v>4782</v>
      </c>
      <c r="D1146" s="80" t="s">
        <v>2566</v>
      </c>
      <c r="E1146" s="2277" t="str">
        <f t="shared" si="72"/>
        <v>OX</v>
      </c>
      <c r="F1146" s="55">
        <v>50</v>
      </c>
      <c r="G1146" s="55" t="s">
        <v>512</v>
      </c>
      <c r="J1146" s="55" t="str">
        <f t="shared" si="69"/>
        <v>OXCth</v>
      </c>
    </row>
    <row r="1147" spans="1:10" hidden="1">
      <c r="A1147" s="79" t="s">
        <v>1475</v>
      </c>
      <c r="B1147" s="1813" t="s">
        <v>1460</v>
      </c>
      <c r="C1147" s="1787" t="s">
        <v>4783</v>
      </c>
      <c r="D1147" s="80" t="s">
        <v>2566</v>
      </c>
      <c r="E1147" s="2277" t="str">
        <f t="shared" si="72"/>
        <v>OX</v>
      </c>
      <c r="F1147" s="55">
        <v>50</v>
      </c>
      <c r="G1147" s="55" t="s">
        <v>512</v>
      </c>
      <c r="J1147" s="55" t="str">
        <f t="shared" si="69"/>
        <v>OXC11</v>
      </c>
    </row>
    <row r="1148" spans="1:10" hidden="1">
      <c r="A1148" s="79" t="s">
        <v>2264</v>
      </c>
      <c r="B1148" s="1813" t="s">
        <v>1460</v>
      </c>
      <c r="C1148" s="1787" t="s">
        <v>4784</v>
      </c>
      <c r="D1148" s="80" t="s">
        <v>2566</v>
      </c>
      <c r="E1148" s="2277" t="str">
        <f t="shared" si="72"/>
        <v>OX</v>
      </c>
      <c r="F1148" s="55">
        <v>50</v>
      </c>
      <c r="G1148" s="55" t="s">
        <v>512</v>
      </c>
      <c r="J1148" s="55" t="str">
        <f t="shared" si="69"/>
        <v>OXC22</v>
      </c>
    </row>
    <row r="1149" spans="1:10" hidden="1">
      <c r="A1149" s="79" t="s">
        <v>1064</v>
      </c>
      <c r="B1149" s="1809" t="s">
        <v>1460</v>
      </c>
      <c r="C1149" s="79" t="s">
        <v>4785</v>
      </c>
      <c r="D1149" s="80" t="s">
        <v>2566</v>
      </c>
      <c r="E1149" s="2277" t="str">
        <f t="shared" si="72"/>
        <v>OX</v>
      </c>
      <c r="F1149" s="55">
        <v>50</v>
      </c>
      <c r="G1149" s="55" t="s">
        <v>512</v>
      </c>
      <c r="J1149" s="55" t="str">
        <f t="shared" si="69"/>
        <v>OXC25</v>
      </c>
    </row>
    <row r="1150" spans="1:10" hidden="1">
      <c r="A1150" s="79" t="s">
        <v>1065</v>
      </c>
      <c r="B1150" s="1813" t="s">
        <v>1460</v>
      </c>
      <c r="C1150" s="1787" t="s">
        <v>4786</v>
      </c>
      <c r="D1150" s="80" t="s">
        <v>2566</v>
      </c>
      <c r="E1150" s="2277" t="str">
        <f t="shared" si="72"/>
        <v>OX</v>
      </c>
      <c r="F1150" s="55">
        <v>50</v>
      </c>
      <c r="G1150" s="55" t="s">
        <v>512</v>
      </c>
      <c r="J1150" s="55" t="str">
        <f t="shared" si="69"/>
        <v>OXC38</v>
      </c>
    </row>
    <row r="1151" spans="1:10" hidden="1">
      <c r="A1151" s="79" t="s">
        <v>1474</v>
      </c>
      <c r="B1151" s="1813" t="s">
        <v>1460</v>
      </c>
      <c r="C1151" s="1787" t="s">
        <v>4787</v>
      </c>
      <c r="D1151" s="80" t="s">
        <v>2566</v>
      </c>
      <c r="E1151" s="2277" t="str">
        <f t="shared" si="72"/>
        <v>OX</v>
      </c>
      <c r="F1151" s="55">
        <v>50</v>
      </c>
      <c r="G1151" s="55" t="s">
        <v>512</v>
      </c>
      <c r="J1151" s="55" t="str">
        <f t="shared" si="69"/>
        <v>OXC50</v>
      </c>
    </row>
    <row r="1152" spans="1:10" hidden="1">
      <c r="A1152" s="79" t="s">
        <v>1625</v>
      </c>
      <c r="B1152" s="1813" t="s">
        <v>1460</v>
      </c>
      <c r="C1152" s="1787" t="s">
        <v>4788</v>
      </c>
      <c r="D1152" s="80" t="s">
        <v>2566</v>
      </c>
      <c r="E1152" s="2277" t="str">
        <f t="shared" si="72"/>
        <v>OX</v>
      </c>
      <c r="F1152" s="55">
        <v>50</v>
      </c>
      <c r="G1152" s="55" t="s">
        <v>512</v>
      </c>
      <c r="J1152" s="55" t="str">
        <f t="shared" si="69"/>
        <v>OXC70</v>
      </c>
    </row>
    <row r="1153" spans="1:10" hidden="1">
      <c r="A1153" s="79" t="s">
        <v>689</v>
      </c>
      <c r="B1153" s="1813" t="s">
        <v>1460</v>
      </c>
      <c r="C1153" s="1787" t="s">
        <v>4789</v>
      </c>
      <c r="D1153" s="80" t="s">
        <v>2566</v>
      </c>
      <c r="E1153" s="2277" t="str">
        <f t="shared" si="72"/>
        <v>OX</v>
      </c>
      <c r="F1153" s="55">
        <v>50</v>
      </c>
      <c r="G1153" s="55" t="s">
        <v>512</v>
      </c>
      <c r="J1153" s="55" t="str">
        <f t="shared" si="69"/>
        <v>OXC95</v>
      </c>
    </row>
    <row r="1154" spans="1:10" hidden="1">
      <c r="A1154" s="79" t="s">
        <v>625</v>
      </c>
      <c r="B1154" s="1813" t="s">
        <v>1460</v>
      </c>
      <c r="C1154" s="1787" t="s">
        <v>4790</v>
      </c>
      <c r="D1154" s="80" t="s">
        <v>2566</v>
      </c>
      <c r="E1154" s="2277" t="str">
        <f t="shared" si="72"/>
        <v>OX</v>
      </c>
      <c r="F1154" s="55">
        <v>50</v>
      </c>
      <c r="G1154" s="55" t="s">
        <v>512</v>
      </c>
      <c r="J1154" s="55" t="str">
        <f t="shared" si="69"/>
        <v>OXC120</v>
      </c>
    </row>
    <row r="1155" spans="1:10" hidden="1">
      <c r="A1155" s="79" t="s">
        <v>1098</v>
      </c>
      <c r="B1155" s="1809" t="s">
        <v>1460</v>
      </c>
      <c r="C1155" s="79" t="s">
        <v>4791</v>
      </c>
      <c r="D1155" s="80" t="s">
        <v>2566</v>
      </c>
      <c r="E1155" s="2277" t="str">
        <f t="shared" si="72"/>
        <v>OX</v>
      </c>
      <c r="F1155" s="55">
        <v>50</v>
      </c>
      <c r="G1155" s="55" t="s">
        <v>512</v>
      </c>
      <c r="J1155" s="55" t="str">
        <f t="shared" si="69"/>
        <v>OXC150</v>
      </c>
    </row>
    <row r="1156" spans="1:10" hidden="1">
      <c r="A1156" s="79" t="s">
        <v>2116</v>
      </c>
      <c r="B1156" s="1809" t="s">
        <v>1460</v>
      </c>
      <c r="C1156" s="79" t="s">
        <v>4792</v>
      </c>
      <c r="D1156" s="80" t="s">
        <v>2566</v>
      </c>
      <c r="E1156" s="2277" t="str">
        <f t="shared" si="72"/>
        <v>OX</v>
      </c>
      <c r="F1156" s="55">
        <v>50</v>
      </c>
      <c r="G1156" s="55" t="s">
        <v>512</v>
      </c>
      <c r="J1156" s="55" t="str">
        <f t="shared" si="69"/>
        <v>OXC185</v>
      </c>
    </row>
    <row r="1157" spans="1:10" hidden="1">
      <c r="A1157" s="79" t="s">
        <v>487</v>
      </c>
      <c r="B1157" s="1809" t="s">
        <v>1460</v>
      </c>
      <c r="C1157" s="79" t="s">
        <v>4793</v>
      </c>
      <c r="D1157" s="80" t="s">
        <v>2566</v>
      </c>
      <c r="E1157" s="2277" t="str">
        <f t="shared" si="72"/>
        <v>OX</v>
      </c>
      <c r="F1157" s="55">
        <v>50</v>
      </c>
      <c r="G1157" s="55" t="s">
        <v>512</v>
      </c>
      <c r="J1157" s="55" t="str">
        <f t="shared" si="69"/>
        <v>OXC240</v>
      </c>
    </row>
    <row r="1158" spans="1:10" hidden="1">
      <c r="A1158" s="79" t="s">
        <v>2085</v>
      </c>
      <c r="B1158" s="84"/>
      <c r="C1158" s="1787" t="s">
        <v>3603</v>
      </c>
      <c r="D1158" s="80" t="s">
        <v>2566</v>
      </c>
      <c r="E1158" s="2277" t="str">
        <f t="shared" si="72"/>
        <v>KH</v>
      </c>
      <c r="F1158" s="55">
        <v>50</v>
      </c>
      <c r="G1158" s="55" t="s">
        <v>512</v>
      </c>
      <c r="J1158" s="55" t="str">
        <f t="shared" si="69"/>
        <v>KHOA</v>
      </c>
    </row>
    <row r="1159" spans="1:10" hidden="1">
      <c r="A1159" s="79" t="s">
        <v>438</v>
      </c>
      <c r="B1159" s="80"/>
      <c r="C1159" s="1786" t="s">
        <v>3604</v>
      </c>
      <c r="D1159" s="80" t="s">
        <v>858</v>
      </c>
      <c r="E1159" s="2277" t="str">
        <f t="shared" si="72"/>
        <v>ox</v>
      </c>
      <c r="F1159" s="55">
        <v>50</v>
      </c>
      <c r="G1159" s="55" t="s">
        <v>512</v>
      </c>
      <c r="J1159" s="55" t="str">
        <f t="shared" si="69"/>
        <v>oxy</v>
      </c>
    </row>
    <row r="1160" spans="1:10" hidden="1">
      <c r="A1160" s="79" t="s">
        <v>872</v>
      </c>
      <c r="B1160" s="80" t="s">
        <v>215</v>
      </c>
      <c r="C1160" s="81" t="s">
        <v>3605</v>
      </c>
      <c r="D1160" s="80" t="s">
        <v>3606</v>
      </c>
      <c r="E1160" s="2277" t="str">
        <f t="shared" si="72"/>
        <v>LC</v>
      </c>
      <c r="F1160" s="55">
        <v>50</v>
      </c>
      <c r="J1160" s="55" t="str">
        <f t="shared" si="69"/>
        <v>LCbh9</v>
      </c>
    </row>
    <row r="1161" spans="1:10" hidden="1">
      <c r="A1161" s="79" t="s">
        <v>1644</v>
      </c>
      <c r="B1161" s="80" t="s">
        <v>2100</v>
      </c>
      <c r="C1161" s="81" t="s">
        <v>3607</v>
      </c>
      <c r="D1161" s="80" t="s">
        <v>3606</v>
      </c>
      <c r="E1161" s="2277" t="str">
        <f t="shared" si="72"/>
        <v>LB</v>
      </c>
      <c r="F1161" s="55">
        <v>50</v>
      </c>
      <c r="J1161" s="55" t="str">
        <f t="shared" si="69"/>
        <v>LBbh</v>
      </c>
    </row>
    <row r="1162" spans="1:10" hidden="1">
      <c r="A1162" s="79" t="s">
        <v>403</v>
      </c>
      <c r="B1162" s="80"/>
      <c r="C1162" s="81" t="s">
        <v>3608</v>
      </c>
      <c r="D1162" s="80" t="s">
        <v>3391</v>
      </c>
      <c r="E1162" s="2277" t="str">
        <f t="shared" si="72"/>
        <v>LT</v>
      </c>
      <c r="F1162" s="55">
        <v>50</v>
      </c>
      <c r="J1162" s="55" t="str">
        <f t="shared" si="69"/>
        <v>LTC</v>
      </c>
    </row>
    <row r="1163" spans="1:10" hidden="1">
      <c r="A1163" s="79" t="s">
        <v>1645</v>
      </c>
      <c r="B1163" s="1809" t="s">
        <v>1149</v>
      </c>
      <c r="C1163" s="81" t="s">
        <v>3609</v>
      </c>
      <c r="D1163" s="80" t="s">
        <v>1966</v>
      </c>
      <c r="E1163" s="2277" t="str">
        <f t="shared" si="72"/>
        <v>So</v>
      </c>
      <c r="F1163" s="55">
        <v>50</v>
      </c>
      <c r="J1163" s="55" t="str">
        <f t="shared" ref="J1163:J1226" si="73">A1163</f>
        <v>SonCBH</v>
      </c>
    </row>
    <row r="1164" spans="1:10" hidden="1">
      <c r="A1164" s="79" t="s">
        <v>311</v>
      </c>
      <c r="B1164" s="1809" t="s">
        <v>1149</v>
      </c>
      <c r="C1164" s="81" t="s">
        <v>3610</v>
      </c>
      <c r="D1164" s="80" t="s">
        <v>1966</v>
      </c>
      <c r="E1164" s="2277" t="str">
        <f t="shared" si="72"/>
        <v>So</v>
      </c>
      <c r="F1164" s="55">
        <v>50</v>
      </c>
      <c r="J1164" s="55" t="str">
        <f t="shared" si="73"/>
        <v>SonBBH</v>
      </c>
    </row>
    <row r="1165" spans="1:10" hidden="1">
      <c r="A1165" s="79" t="s">
        <v>1646</v>
      </c>
      <c r="B1165" s="1808" t="s">
        <v>1150</v>
      </c>
      <c r="C1165" s="81" t="s">
        <v>3611</v>
      </c>
      <c r="D1165" s="80" t="s">
        <v>3606</v>
      </c>
      <c r="E1165" s="2277" t="str">
        <f t="shared" si="72"/>
        <v>VC</v>
      </c>
      <c r="F1165" s="55">
        <v>2000</v>
      </c>
      <c r="J1165" s="55" t="str">
        <f t="shared" si="73"/>
        <v>VCT</v>
      </c>
    </row>
    <row r="1166" spans="1:10" hidden="1">
      <c r="A1166" s="79" t="s">
        <v>1138</v>
      </c>
      <c r="B1166" s="1808" t="s">
        <v>694</v>
      </c>
      <c r="C1166" s="81" t="s">
        <v>4490</v>
      </c>
      <c r="D1166" s="80" t="s">
        <v>2566</v>
      </c>
      <c r="E1166" s="2277" t="str">
        <f t="shared" si="72"/>
        <v>U1</v>
      </c>
      <c r="F1166" s="55">
        <v>50</v>
      </c>
      <c r="G1166" s="55" t="s">
        <v>512</v>
      </c>
      <c r="J1166" s="55" t="str">
        <f t="shared" si="73"/>
        <v>U16-280</v>
      </c>
    </row>
    <row r="1167" spans="1:10" hidden="1">
      <c r="A1167" s="79" t="s">
        <v>1413</v>
      </c>
      <c r="B1167" s="1808" t="s">
        <v>694</v>
      </c>
      <c r="C1167" s="81" t="s">
        <v>4491</v>
      </c>
      <c r="D1167" s="80" t="s">
        <v>2566</v>
      </c>
      <c r="E1167" s="2277" t="str">
        <f t="shared" si="72"/>
        <v>U2</v>
      </c>
      <c r="F1167" s="55">
        <v>50</v>
      </c>
      <c r="G1167" s="55" t="s">
        <v>512</v>
      </c>
      <c r="J1167" s="55" t="str">
        <f t="shared" si="73"/>
        <v>U20-280</v>
      </c>
    </row>
    <row r="1168" spans="1:10" hidden="1">
      <c r="A1168" s="79" t="s">
        <v>1140</v>
      </c>
      <c r="B1168" s="1808" t="s">
        <v>693</v>
      </c>
      <c r="C1168" s="81" t="s">
        <v>3612</v>
      </c>
      <c r="D1168" s="80" t="s">
        <v>2566</v>
      </c>
      <c r="E1168" s="2277" t="str">
        <f t="shared" si="72"/>
        <v>U1</v>
      </c>
      <c r="F1168" s="55">
        <v>50</v>
      </c>
      <c r="G1168" s="55" t="s">
        <v>512</v>
      </c>
      <c r="J1168" s="55" t="str">
        <f t="shared" si="73"/>
        <v>U1008</v>
      </c>
    </row>
    <row r="1169" spans="1:10" hidden="1">
      <c r="A1169" s="79" t="s">
        <v>1431</v>
      </c>
      <c r="B1169" s="1808" t="s">
        <v>2158</v>
      </c>
      <c r="C1169" s="81" t="s">
        <v>3613</v>
      </c>
      <c r="D1169" s="80" t="s">
        <v>2256</v>
      </c>
      <c r="E1169" s="2277" t="str">
        <f t="shared" si="72"/>
        <v>U8</v>
      </c>
      <c r="F1169" s="55">
        <v>50</v>
      </c>
      <c r="G1169" s="55" t="s">
        <v>512</v>
      </c>
      <c r="J1169" s="55" t="str">
        <f t="shared" si="73"/>
        <v>U8034</v>
      </c>
    </row>
    <row r="1170" spans="1:10" hidden="1">
      <c r="A1170" s="79" t="s">
        <v>1139</v>
      </c>
      <c r="B1170" s="1808" t="s">
        <v>693</v>
      </c>
      <c r="C1170" s="81" t="s">
        <v>3614</v>
      </c>
      <c r="D1170" s="80" t="s">
        <v>2566</v>
      </c>
      <c r="E1170" s="2277" t="str">
        <f t="shared" si="72"/>
        <v>U1</v>
      </c>
      <c r="F1170" s="55">
        <v>50</v>
      </c>
      <c r="G1170" s="55" t="s">
        <v>512</v>
      </c>
      <c r="J1170" s="55" t="str">
        <f t="shared" si="73"/>
        <v>U1004</v>
      </c>
    </row>
    <row r="1171" spans="1:10" hidden="1">
      <c r="A1171" s="2275" t="str">
        <f>"U100-"&amp;H1171</f>
        <v>U100-500</v>
      </c>
      <c r="B1171" s="2278"/>
      <c r="C1171" s="2279" t="str">
        <f>"Đà U100x46x4.5x"&amp;H1171</f>
        <v>Đà U100x46x4.5x500</v>
      </c>
      <c r="D1171" s="80" t="s">
        <v>2566</v>
      </c>
      <c r="E1171" s="2277" t="str">
        <f t="shared" ref="E1171:E1176" si="74">LEFT(A1171,2)</f>
        <v>U1</v>
      </c>
      <c r="F1171" s="55">
        <v>50</v>
      </c>
      <c r="G1171" s="55" t="s">
        <v>512</v>
      </c>
      <c r="H1171" s="55">
        <v>500</v>
      </c>
      <c r="J1171" s="55" t="str">
        <f t="shared" si="73"/>
        <v>U100-500</v>
      </c>
    </row>
    <row r="1172" spans="1:10" hidden="1">
      <c r="A1172" s="2275" t="str">
        <f>"U100-"&amp;H1172</f>
        <v>U100-700</v>
      </c>
      <c r="B1172" s="2278"/>
      <c r="C1172" s="2279" t="str">
        <f>"Đà U100x46x4.5x"&amp;H1172</f>
        <v>Đà U100x46x4.5x700</v>
      </c>
      <c r="D1172" s="80" t="s">
        <v>2566</v>
      </c>
      <c r="E1172" s="2277" t="str">
        <f t="shared" si="74"/>
        <v>U1</v>
      </c>
      <c r="F1172" s="55">
        <v>50</v>
      </c>
      <c r="G1172" s="55" t="s">
        <v>512</v>
      </c>
      <c r="H1172" s="55">
        <v>700</v>
      </c>
      <c r="J1172" s="55" t="str">
        <f t="shared" si="73"/>
        <v>U100-700</v>
      </c>
    </row>
    <row r="1173" spans="1:10" hidden="1">
      <c r="A1173" s="2275" t="str">
        <f t="shared" ref="A1173:A1176" si="75">"U160-"&amp;H1173</f>
        <v>U160-740</v>
      </c>
      <c r="B1173" s="2278"/>
      <c r="C1173" s="2279" t="str">
        <f t="shared" ref="C1173:C1176" si="76">"Đà U100x68x5x"&amp;H1173</f>
        <v>Đà U100x68x5x740</v>
      </c>
      <c r="D1173" s="80" t="s">
        <v>2566</v>
      </c>
      <c r="E1173" s="2277" t="str">
        <f t="shared" si="74"/>
        <v>U1</v>
      </c>
      <c r="F1173" s="55">
        <v>50</v>
      </c>
      <c r="G1173" s="55" t="s">
        <v>512</v>
      </c>
      <c r="H1173" s="55">
        <v>740</v>
      </c>
      <c r="J1173" s="55" t="str">
        <f t="shared" si="73"/>
        <v>U160-740</v>
      </c>
    </row>
    <row r="1174" spans="1:10" hidden="1">
      <c r="A1174" s="2275" t="str">
        <f t="shared" si="75"/>
        <v>U160-1100</v>
      </c>
      <c r="B1174" s="2278"/>
      <c r="C1174" s="2279" t="str">
        <f t="shared" si="76"/>
        <v>Đà U100x68x5x1100</v>
      </c>
      <c r="D1174" s="80" t="s">
        <v>2566</v>
      </c>
      <c r="E1174" s="2277" t="str">
        <f t="shared" si="74"/>
        <v>U1</v>
      </c>
      <c r="F1174" s="55">
        <v>50</v>
      </c>
      <c r="G1174" s="55" t="s">
        <v>512</v>
      </c>
      <c r="H1174" s="55">
        <v>1100</v>
      </c>
      <c r="J1174" s="55" t="str">
        <f t="shared" si="73"/>
        <v>U160-1100</v>
      </c>
    </row>
    <row r="1175" spans="1:10" hidden="1">
      <c r="A1175" s="2275" t="str">
        <f t="shared" si="75"/>
        <v>U160-1449</v>
      </c>
      <c r="B1175" s="2278"/>
      <c r="C1175" s="2279" t="str">
        <f t="shared" si="76"/>
        <v>Đà U100x68x5x1449</v>
      </c>
      <c r="D1175" s="80" t="s">
        <v>2566</v>
      </c>
      <c r="E1175" s="2277" t="str">
        <f t="shared" si="74"/>
        <v>U1</v>
      </c>
      <c r="F1175" s="55">
        <v>50</v>
      </c>
      <c r="G1175" s="55" t="s">
        <v>512</v>
      </c>
      <c r="H1175" s="55">
        <v>1449</v>
      </c>
      <c r="J1175" s="55" t="str">
        <f t="shared" si="73"/>
        <v>U160-1449</v>
      </c>
    </row>
    <row r="1176" spans="1:10" hidden="1">
      <c r="A1176" s="2275" t="str">
        <f t="shared" si="75"/>
        <v>U160-1700</v>
      </c>
      <c r="B1176" s="2278"/>
      <c r="C1176" s="2279" t="str">
        <f t="shared" si="76"/>
        <v>Đà U100x68x5x1700</v>
      </c>
      <c r="D1176" s="80" t="s">
        <v>2566</v>
      </c>
      <c r="E1176" s="2277" t="str">
        <f t="shared" si="74"/>
        <v>U1</v>
      </c>
      <c r="F1176" s="55">
        <v>50</v>
      </c>
      <c r="G1176" s="55" t="s">
        <v>512</v>
      </c>
      <c r="H1176" s="55">
        <v>1700</v>
      </c>
      <c r="J1176" s="55" t="str">
        <f t="shared" si="73"/>
        <v>U160-1700</v>
      </c>
    </row>
    <row r="1177" spans="1:10" hidden="1">
      <c r="A1177" s="2275" t="str">
        <f>"U160-"&amp;H1177</f>
        <v>U160-2100</v>
      </c>
      <c r="B1177" s="2278"/>
      <c r="C1177" s="2279" t="str">
        <f>"Đà U100x68x5x"&amp;H1177</f>
        <v>Đà U100x68x5x2100</v>
      </c>
      <c r="D1177" s="80" t="s">
        <v>2566</v>
      </c>
      <c r="E1177" s="2277" t="str">
        <f t="shared" ref="E1177" si="77">LEFT(A1177,2)</f>
        <v>U1</v>
      </c>
      <c r="F1177" s="55">
        <v>50</v>
      </c>
      <c r="G1177" s="55" t="s">
        <v>512</v>
      </c>
      <c r="H1177" s="55">
        <v>2100</v>
      </c>
      <c r="J1177" s="55" t="str">
        <f t="shared" si="73"/>
        <v>U160-2100</v>
      </c>
    </row>
    <row r="1178" spans="1:10" hidden="1">
      <c r="A1178" s="79" t="s">
        <v>1005</v>
      </c>
      <c r="B1178" s="1808" t="s">
        <v>693</v>
      </c>
      <c r="C1178" s="81" t="s">
        <v>3615</v>
      </c>
      <c r="D1178" s="80" t="s">
        <v>2394</v>
      </c>
      <c r="E1178" s="2277" t="str">
        <f t="shared" si="72"/>
        <v>XA</v>
      </c>
      <c r="F1178" s="55">
        <v>50</v>
      </c>
      <c r="G1178" s="55" t="s">
        <v>512</v>
      </c>
      <c r="J1178" s="55" t="str">
        <f t="shared" si="73"/>
        <v>XATUTI</v>
      </c>
    </row>
    <row r="1179" spans="1:10" hidden="1">
      <c r="A1179" s="79" t="s">
        <v>199</v>
      </c>
      <c r="B1179" s="80"/>
      <c r="C1179" s="81" t="s">
        <v>3616</v>
      </c>
      <c r="D1179" s="80" t="s">
        <v>2394</v>
      </c>
      <c r="E1179" s="2277" t="str">
        <f t="shared" si="72"/>
        <v>AK</v>
      </c>
      <c r="F1179" s="55">
        <v>50</v>
      </c>
      <c r="G1179" s="55" t="s">
        <v>512</v>
      </c>
      <c r="J1179" s="55" t="str">
        <f t="shared" si="73"/>
        <v>AK1</v>
      </c>
    </row>
    <row r="1180" spans="1:10" hidden="1">
      <c r="A1180" s="79" t="s">
        <v>200</v>
      </c>
      <c r="B1180" s="80"/>
      <c r="C1180" s="81" t="s">
        <v>3617</v>
      </c>
      <c r="D1180" s="80" t="s">
        <v>2394</v>
      </c>
      <c r="E1180" s="2277" t="str">
        <f t="shared" si="72"/>
        <v>VK</v>
      </c>
      <c r="F1180" s="55">
        <v>50</v>
      </c>
      <c r="G1180" s="55" t="s">
        <v>512</v>
      </c>
      <c r="J1180" s="55" t="str">
        <f t="shared" si="73"/>
        <v>VK1</v>
      </c>
    </row>
    <row r="1181" spans="1:10" hidden="1">
      <c r="A1181" s="79" t="s">
        <v>2098</v>
      </c>
      <c r="B1181" s="80"/>
      <c r="C1181" s="81" t="s">
        <v>3618</v>
      </c>
      <c r="D1181" s="80" t="s">
        <v>2394</v>
      </c>
      <c r="E1181" s="2277" t="str">
        <f t="shared" si="72"/>
        <v>AV</v>
      </c>
      <c r="F1181" s="55">
        <v>50</v>
      </c>
      <c r="G1181" s="55" t="s">
        <v>512</v>
      </c>
      <c r="J1181" s="55" t="str">
        <f t="shared" si="73"/>
        <v>AVK1</v>
      </c>
    </row>
    <row r="1182" spans="1:10" hidden="1">
      <c r="A1182" s="79" t="s">
        <v>2189</v>
      </c>
      <c r="B1182" s="80"/>
      <c r="C1182" s="81" t="s">
        <v>3619</v>
      </c>
      <c r="D1182" s="80" t="s">
        <v>2394</v>
      </c>
      <c r="E1182" s="2277" t="str">
        <f t="shared" si="72"/>
        <v>AV</v>
      </c>
      <c r="F1182" s="55">
        <v>50</v>
      </c>
      <c r="G1182" s="55" t="s">
        <v>512</v>
      </c>
      <c r="J1182" s="55" t="str">
        <f t="shared" si="73"/>
        <v>AVK3</v>
      </c>
    </row>
    <row r="1183" spans="1:10" hidden="1">
      <c r="A1183" s="79" t="s">
        <v>1569</v>
      </c>
      <c r="B1183" s="80"/>
      <c r="C1183" s="1786" t="s">
        <v>3620</v>
      </c>
      <c r="D1183" s="80" t="s">
        <v>858</v>
      </c>
      <c r="E1183" s="2277" t="str">
        <f t="shared" si="72"/>
        <v>ax</v>
      </c>
      <c r="F1183" s="55">
        <v>50</v>
      </c>
      <c r="G1183" s="55" t="s">
        <v>512</v>
      </c>
      <c r="J1183" s="55" t="str">
        <f t="shared" si="73"/>
        <v>axetylen</v>
      </c>
    </row>
    <row r="1184" spans="1:10" hidden="1">
      <c r="A1184" s="1814" t="s">
        <v>901</v>
      </c>
      <c r="B1184" s="1809"/>
      <c r="C1184" s="79" t="s">
        <v>3621</v>
      </c>
      <c r="D1184" s="80" t="s">
        <v>2566</v>
      </c>
      <c r="E1184" s="2277" t="str">
        <f t="shared" si="72"/>
        <v>GI</v>
      </c>
      <c r="F1184" s="55">
        <v>50</v>
      </c>
      <c r="G1184" s="55" t="s">
        <v>512</v>
      </c>
      <c r="J1184" s="55" t="str">
        <f t="shared" si="73"/>
        <v>GIP11-11</v>
      </c>
    </row>
    <row r="1185" spans="1:10" hidden="1">
      <c r="A1185" s="1814" t="s">
        <v>2222</v>
      </c>
      <c r="B1185" s="1809"/>
      <c r="C1185" s="79" t="s">
        <v>3622</v>
      </c>
      <c r="D1185" s="80" t="s">
        <v>2566</v>
      </c>
      <c r="E1185" s="2277" t="str">
        <f t="shared" si="72"/>
        <v>GI</v>
      </c>
      <c r="F1185" s="55">
        <v>50</v>
      </c>
      <c r="G1185" s="55" t="s">
        <v>512</v>
      </c>
      <c r="J1185" s="55" t="str">
        <f t="shared" si="73"/>
        <v>GIP22-11</v>
      </c>
    </row>
    <row r="1186" spans="1:10" hidden="1">
      <c r="A1186" s="1814" t="s">
        <v>2221</v>
      </c>
      <c r="B1186" s="1809"/>
      <c r="C1186" s="79" t="s">
        <v>3623</v>
      </c>
      <c r="D1186" s="80" t="s">
        <v>2566</v>
      </c>
      <c r="E1186" s="2277" t="str">
        <f t="shared" si="72"/>
        <v>GI</v>
      </c>
      <c r="F1186" s="55">
        <v>50</v>
      </c>
      <c r="G1186" s="55" t="s">
        <v>512</v>
      </c>
      <c r="J1186" s="55" t="str">
        <f t="shared" si="73"/>
        <v>GIP22-22</v>
      </c>
    </row>
    <row r="1187" spans="1:10" hidden="1">
      <c r="A1187" s="1814" t="s">
        <v>1068</v>
      </c>
      <c r="B1187" s="1809"/>
      <c r="C1187" s="79" t="s">
        <v>3624</v>
      </c>
      <c r="D1187" s="80" t="s">
        <v>2566</v>
      </c>
      <c r="E1187" s="2277" t="str">
        <f t="shared" si="72"/>
        <v>GI</v>
      </c>
      <c r="F1187" s="55">
        <v>50</v>
      </c>
      <c r="G1187" s="55" t="s">
        <v>512</v>
      </c>
      <c r="J1187" s="55" t="str">
        <f t="shared" si="73"/>
        <v>GIP35-35</v>
      </c>
    </row>
    <row r="1188" spans="1:10" hidden="1">
      <c r="A1188" s="1814" t="s">
        <v>1444</v>
      </c>
      <c r="B1188" s="1809"/>
      <c r="C1188" s="79" t="s">
        <v>3625</v>
      </c>
      <c r="D1188" s="80" t="s">
        <v>2566</v>
      </c>
      <c r="E1188" s="2277" t="str">
        <f t="shared" si="72"/>
        <v>GI</v>
      </c>
      <c r="F1188" s="55">
        <v>50</v>
      </c>
      <c r="G1188" s="55" t="s">
        <v>512</v>
      </c>
      <c r="J1188" s="55" t="str">
        <f t="shared" si="73"/>
        <v>GIP50-25</v>
      </c>
    </row>
    <row r="1189" spans="1:10" hidden="1">
      <c r="A1189" s="1814" t="s">
        <v>2220</v>
      </c>
      <c r="B1189" s="1809"/>
      <c r="C1189" s="79" t="s">
        <v>3626</v>
      </c>
      <c r="D1189" s="80" t="s">
        <v>2566</v>
      </c>
      <c r="E1189" s="2277" t="str">
        <f t="shared" si="72"/>
        <v>GI</v>
      </c>
      <c r="F1189" s="55">
        <v>50</v>
      </c>
      <c r="G1189" s="55" t="s">
        <v>512</v>
      </c>
      <c r="J1189" s="55" t="str">
        <f t="shared" si="73"/>
        <v>GIP50-35</v>
      </c>
    </row>
    <row r="1190" spans="1:10" hidden="1">
      <c r="A1190" s="1814" t="s">
        <v>2209</v>
      </c>
      <c r="B1190" s="1809"/>
      <c r="C1190" s="79" t="s">
        <v>2395</v>
      </c>
      <c r="D1190" s="80" t="s">
        <v>2566</v>
      </c>
      <c r="E1190" s="2277" t="str">
        <f t="shared" si="72"/>
        <v>GI</v>
      </c>
      <c r="F1190" s="55">
        <v>50</v>
      </c>
      <c r="G1190" s="55" t="s">
        <v>512</v>
      </c>
      <c r="J1190" s="55" t="str">
        <f t="shared" si="73"/>
        <v>GIP70-35</v>
      </c>
    </row>
    <row r="1191" spans="1:10" hidden="1">
      <c r="A1191" s="1814" t="s">
        <v>4350</v>
      </c>
      <c r="B1191" s="1809"/>
      <c r="C1191" s="79" t="s">
        <v>4962</v>
      </c>
      <c r="D1191" s="80" t="s">
        <v>2566</v>
      </c>
      <c r="E1191" s="2277" t="str">
        <f t="shared" si="72"/>
        <v>GI</v>
      </c>
      <c r="F1191" s="55">
        <v>50</v>
      </c>
      <c r="G1191" s="55" t="s">
        <v>512</v>
      </c>
      <c r="J1191" s="55" t="str">
        <f t="shared" si="73"/>
        <v>GIP95-25</v>
      </c>
    </row>
    <row r="1192" spans="1:10" hidden="1">
      <c r="A1192" s="1814" t="s">
        <v>863</v>
      </c>
      <c r="B1192" s="1809"/>
      <c r="C1192" s="79" t="s">
        <v>3627</v>
      </c>
      <c r="D1192" s="80" t="s">
        <v>2566</v>
      </c>
      <c r="E1192" s="2277" t="str">
        <f t="shared" si="72"/>
        <v>GI</v>
      </c>
      <c r="F1192" s="55">
        <v>50</v>
      </c>
      <c r="G1192" s="55" t="s">
        <v>512</v>
      </c>
      <c r="J1192" s="55" t="str">
        <f t="shared" si="73"/>
        <v>GIP95-35</v>
      </c>
    </row>
    <row r="1193" spans="1:10" hidden="1">
      <c r="A1193" s="1814" t="s">
        <v>864</v>
      </c>
      <c r="B1193" s="1809"/>
      <c r="C1193" s="79" t="s">
        <v>3628</v>
      </c>
      <c r="D1193" s="80" t="s">
        <v>2566</v>
      </c>
      <c r="E1193" s="2277" t="str">
        <f t="shared" si="72"/>
        <v>GI</v>
      </c>
      <c r="F1193" s="55">
        <v>50</v>
      </c>
      <c r="G1193" s="55" t="s">
        <v>512</v>
      </c>
      <c r="J1193" s="55" t="str">
        <f t="shared" si="73"/>
        <v>GIP120-35</v>
      </c>
    </row>
    <row r="1194" spans="1:10" hidden="1">
      <c r="A1194" s="1814" t="s">
        <v>2029</v>
      </c>
      <c r="B1194" s="1809"/>
      <c r="C1194" s="79" t="s">
        <v>3629</v>
      </c>
      <c r="D1194" s="80" t="s">
        <v>2566</v>
      </c>
      <c r="E1194" s="2277" t="str">
        <f t="shared" si="72"/>
        <v>GI</v>
      </c>
      <c r="F1194" s="55">
        <v>50</v>
      </c>
      <c r="G1194" s="55" t="s">
        <v>512</v>
      </c>
      <c r="J1194" s="55" t="str">
        <f t="shared" si="73"/>
        <v>GIP50-50</v>
      </c>
    </row>
    <row r="1195" spans="1:10" hidden="1">
      <c r="A1195" s="1815" t="s">
        <v>2037</v>
      </c>
      <c r="B1195" s="1809"/>
      <c r="C1195" s="79" t="s">
        <v>3630</v>
      </c>
      <c r="D1195" s="80" t="s">
        <v>2566</v>
      </c>
      <c r="E1195" s="2277" t="str">
        <f t="shared" si="72"/>
        <v>GI</v>
      </c>
      <c r="F1195" s="55">
        <v>50</v>
      </c>
      <c r="G1195" s="55" t="s">
        <v>512</v>
      </c>
      <c r="J1195" s="55" t="str">
        <f t="shared" si="73"/>
        <v>GIP70-50</v>
      </c>
    </row>
    <row r="1196" spans="1:10" hidden="1">
      <c r="A1196" s="1815" t="s">
        <v>1156</v>
      </c>
      <c r="B1196" s="1809"/>
      <c r="C1196" s="79" t="s">
        <v>3631</v>
      </c>
      <c r="D1196" s="80" t="s">
        <v>2566</v>
      </c>
      <c r="E1196" s="2277" t="str">
        <f t="shared" si="72"/>
        <v>GI</v>
      </c>
      <c r="F1196" s="55">
        <v>50</v>
      </c>
      <c r="G1196" s="55" t="s">
        <v>512</v>
      </c>
      <c r="J1196" s="55" t="str">
        <f t="shared" si="73"/>
        <v>GIP95-50</v>
      </c>
    </row>
    <row r="1197" spans="1:10" hidden="1">
      <c r="A1197" s="1815" t="s">
        <v>1157</v>
      </c>
      <c r="B1197" s="1809"/>
      <c r="C1197" s="79" t="s">
        <v>3632</v>
      </c>
      <c r="D1197" s="80" t="s">
        <v>2566</v>
      </c>
      <c r="E1197" s="2277" t="str">
        <f t="shared" si="72"/>
        <v>GI</v>
      </c>
      <c r="F1197" s="55">
        <v>50</v>
      </c>
      <c r="G1197" s="55" t="s">
        <v>512</v>
      </c>
      <c r="J1197" s="55" t="str">
        <f t="shared" si="73"/>
        <v>GIP120-50</v>
      </c>
    </row>
    <row r="1198" spans="1:10" hidden="1">
      <c r="A1198" s="1815" t="s">
        <v>1352</v>
      </c>
      <c r="B1198" s="1809"/>
      <c r="C1198" s="79" t="s">
        <v>3633</v>
      </c>
      <c r="D1198" s="80" t="s">
        <v>2566</v>
      </c>
      <c r="E1198" s="2277" t="str">
        <f t="shared" ref="E1198:E1259" si="78">LEFT(A1198,2)</f>
        <v>GI</v>
      </c>
      <c r="F1198" s="55">
        <v>50</v>
      </c>
      <c r="G1198" s="55" t="s">
        <v>512</v>
      </c>
      <c r="J1198" s="55" t="str">
        <f t="shared" si="73"/>
        <v>GIP150-50</v>
      </c>
    </row>
    <row r="1199" spans="1:10" hidden="1">
      <c r="A1199" s="1814" t="s">
        <v>1111</v>
      </c>
      <c r="B1199" s="1809"/>
      <c r="C1199" s="79" t="s">
        <v>3634</v>
      </c>
      <c r="D1199" s="80" t="s">
        <v>2566</v>
      </c>
      <c r="E1199" s="2277" t="str">
        <f t="shared" si="78"/>
        <v>GI</v>
      </c>
      <c r="F1199" s="55">
        <v>50</v>
      </c>
      <c r="G1199" s="55" t="s">
        <v>512</v>
      </c>
      <c r="J1199" s="55" t="str">
        <f t="shared" si="73"/>
        <v>GIP70-70</v>
      </c>
    </row>
    <row r="1200" spans="1:10" hidden="1">
      <c r="A1200" s="1815" t="s">
        <v>2038</v>
      </c>
      <c r="B1200" s="1809"/>
      <c r="C1200" s="79" t="s">
        <v>3635</v>
      </c>
      <c r="D1200" s="80" t="s">
        <v>2566</v>
      </c>
      <c r="E1200" s="2277" t="str">
        <f t="shared" si="78"/>
        <v>GI</v>
      </c>
      <c r="F1200" s="55">
        <v>50</v>
      </c>
      <c r="G1200" s="55" t="s">
        <v>512</v>
      </c>
      <c r="J1200" s="55" t="str">
        <f t="shared" si="73"/>
        <v>GIP95-70</v>
      </c>
    </row>
    <row r="1201" spans="1:10" hidden="1">
      <c r="A1201" s="1814" t="s">
        <v>474</v>
      </c>
      <c r="B1201" s="1809"/>
      <c r="C1201" s="79" t="s">
        <v>3636</v>
      </c>
      <c r="D1201" s="80" t="s">
        <v>2566</v>
      </c>
      <c r="E1201" s="2277" t="str">
        <f t="shared" si="78"/>
        <v>GI</v>
      </c>
      <c r="F1201" s="55">
        <v>50</v>
      </c>
      <c r="G1201" s="55" t="s">
        <v>512</v>
      </c>
      <c r="J1201" s="55" t="str">
        <f t="shared" si="73"/>
        <v>GIP120-70</v>
      </c>
    </row>
    <row r="1202" spans="1:10" hidden="1">
      <c r="A1202" s="1814" t="s">
        <v>1350</v>
      </c>
      <c r="B1202" s="1809"/>
      <c r="C1202" s="79" t="s">
        <v>3637</v>
      </c>
      <c r="D1202" s="80" t="s">
        <v>2566</v>
      </c>
      <c r="E1202" s="2277" t="str">
        <f t="shared" si="78"/>
        <v>GI</v>
      </c>
      <c r="F1202" s="55">
        <v>50</v>
      </c>
      <c r="G1202" s="55" t="s">
        <v>512</v>
      </c>
      <c r="J1202" s="55" t="str">
        <f t="shared" si="73"/>
        <v>GIP150-70</v>
      </c>
    </row>
    <row r="1203" spans="1:10" hidden="1">
      <c r="A1203" s="1814" t="s">
        <v>1110</v>
      </c>
      <c r="B1203" s="1809"/>
      <c r="C1203" s="79" t="s">
        <v>3638</v>
      </c>
      <c r="D1203" s="80" t="s">
        <v>2566</v>
      </c>
      <c r="E1203" s="2277" t="str">
        <f t="shared" si="78"/>
        <v>GI</v>
      </c>
      <c r="F1203" s="55">
        <v>50</v>
      </c>
      <c r="G1203" s="55" t="s">
        <v>512</v>
      </c>
      <c r="J1203" s="55" t="str">
        <f t="shared" si="73"/>
        <v>GIP95-95</v>
      </c>
    </row>
    <row r="1204" spans="1:10" ht="14.25" hidden="1" customHeight="1">
      <c r="A1204" s="1815" t="s">
        <v>1155</v>
      </c>
      <c r="B1204" s="1809"/>
      <c r="C1204" s="79" t="s">
        <v>3639</v>
      </c>
      <c r="D1204" s="80" t="s">
        <v>2566</v>
      </c>
      <c r="E1204" s="2277" t="str">
        <f t="shared" si="78"/>
        <v>GI</v>
      </c>
      <c r="F1204" s="55">
        <v>50</v>
      </c>
      <c r="G1204" s="55" t="s">
        <v>512</v>
      </c>
      <c r="J1204" s="55" t="str">
        <f t="shared" si="73"/>
        <v>GIP95-120</v>
      </c>
    </row>
    <row r="1205" spans="1:10" ht="14.25" hidden="1" customHeight="1">
      <c r="A1205" s="1815" t="s">
        <v>1349</v>
      </c>
      <c r="B1205" s="1809"/>
      <c r="C1205" s="79" t="s">
        <v>3640</v>
      </c>
      <c r="D1205" s="80" t="s">
        <v>2566</v>
      </c>
      <c r="E1205" s="2277" t="str">
        <f t="shared" si="78"/>
        <v>GI</v>
      </c>
      <c r="F1205" s="55">
        <v>50</v>
      </c>
      <c r="G1205" s="55" t="s">
        <v>512</v>
      </c>
      <c r="J1205" s="55" t="str">
        <f t="shared" si="73"/>
        <v>GIP95-150</v>
      </c>
    </row>
    <row r="1206" spans="1:10" hidden="1">
      <c r="A1206" s="1783" t="s">
        <v>925</v>
      </c>
      <c r="B1206" s="84" t="s">
        <v>581</v>
      </c>
      <c r="C1206" s="79" t="s">
        <v>3641</v>
      </c>
      <c r="D1206" s="80" t="s">
        <v>2044</v>
      </c>
      <c r="E1206" s="2277" t="str">
        <f t="shared" si="78"/>
        <v>KQ</v>
      </c>
      <c r="F1206" s="55">
        <v>50</v>
      </c>
      <c r="J1206" s="55" t="str">
        <f t="shared" si="73"/>
        <v>KQDUPLEX35</v>
      </c>
    </row>
    <row r="1207" spans="1:10" hidden="1">
      <c r="A1207" s="1783" t="s">
        <v>1115</v>
      </c>
      <c r="B1207" s="84" t="s">
        <v>775</v>
      </c>
      <c r="C1207" s="79" t="s">
        <v>3642</v>
      </c>
      <c r="D1207" s="80" t="s">
        <v>2044</v>
      </c>
      <c r="E1207" s="2277" t="str">
        <f t="shared" si="78"/>
        <v>KQ</v>
      </c>
      <c r="F1207" s="55">
        <v>50</v>
      </c>
      <c r="J1207" s="55" t="str">
        <f t="shared" si="73"/>
        <v>KQDUPLEX22</v>
      </c>
    </row>
    <row r="1208" spans="1:10" hidden="1">
      <c r="A1208" s="1783" t="s">
        <v>2070</v>
      </c>
      <c r="B1208" s="84" t="s">
        <v>777</v>
      </c>
      <c r="C1208" s="79" t="s">
        <v>3643</v>
      </c>
      <c r="D1208" s="80" t="s">
        <v>2044</v>
      </c>
      <c r="E1208" s="2277" t="str">
        <f t="shared" si="78"/>
        <v>KQ</v>
      </c>
      <c r="F1208" s="55">
        <v>50</v>
      </c>
      <c r="J1208" s="55" t="str">
        <f t="shared" si="73"/>
        <v>KQDUPLEX16</v>
      </c>
    </row>
    <row r="1209" spans="1:10" hidden="1">
      <c r="A1209" s="1783" t="s">
        <v>776</v>
      </c>
      <c r="B1209" s="84" t="s">
        <v>777</v>
      </c>
      <c r="C1209" s="79" t="s">
        <v>3644</v>
      </c>
      <c r="D1209" s="80" t="s">
        <v>2044</v>
      </c>
      <c r="E1209" s="2277" t="str">
        <f t="shared" si="78"/>
        <v>KQ</v>
      </c>
      <c r="F1209" s="55">
        <v>50</v>
      </c>
      <c r="J1209" s="55" t="str">
        <f t="shared" si="73"/>
        <v>KQDUPLEX14</v>
      </c>
    </row>
    <row r="1210" spans="1:10" hidden="1">
      <c r="A1210" s="1783" t="s">
        <v>778</v>
      </c>
      <c r="B1210" s="84" t="s">
        <v>777</v>
      </c>
      <c r="C1210" s="79" t="s">
        <v>3645</v>
      </c>
      <c r="D1210" s="80" t="s">
        <v>2044</v>
      </c>
      <c r="E1210" s="2277" t="str">
        <f t="shared" si="78"/>
        <v>KQ</v>
      </c>
      <c r="F1210" s="55">
        <v>50</v>
      </c>
      <c r="J1210" s="55" t="str">
        <f t="shared" si="73"/>
        <v>KQDUPLEX11</v>
      </c>
    </row>
    <row r="1211" spans="1:10" hidden="1">
      <c r="A1211" s="1783" t="s">
        <v>737</v>
      </c>
      <c r="B1211" s="84" t="s">
        <v>777</v>
      </c>
      <c r="C1211" s="79" t="s">
        <v>3646</v>
      </c>
      <c r="D1211" s="80" t="s">
        <v>2044</v>
      </c>
      <c r="E1211" s="2277" t="str">
        <f t="shared" si="78"/>
        <v>KT</v>
      </c>
      <c r="F1211" s="55">
        <v>50</v>
      </c>
      <c r="J1211" s="55" t="str">
        <f t="shared" si="73"/>
        <v>KTriplex16</v>
      </c>
    </row>
    <row r="1212" spans="1:10" hidden="1">
      <c r="A1212" s="1783" t="s">
        <v>779</v>
      </c>
      <c r="B1212" s="84" t="s">
        <v>777</v>
      </c>
      <c r="C1212" s="79" t="s">
        <v>3647</v>
      </c>
      <c r="D1212" s="80" t="s">
        <v>2044</v>
      </c>
      <c r="E1212" s="2277" t="str">
        <f t="shared" si="78"/>
        <v>KD</v>
      </c>
      <c r="F1212" s="55">
        <v>50</v>
      </c>
      <c r="J1212" s="55" t="str">
        <f t="shared" si="73"/>
        <v>KDUPLEX11</v>
      </c>
    </row>
    <row r="1213" spans="1:10" hidden="1">
      <c r="A1213" s="79" t="s">
        <v>467</v>
      </c>
      <c r="B1213" s="1809"/>
      <c r="C1213" s="81" t="s">
        <v>3648</v>
      </c>
      <c r="D1213" s="80" t="s">
        <v>2566</v>
      </c>
      <c r="E1213" s="2277" t="str">
        <f t="shared" si="78"/>
        <v>Di</v>
      </c>
      <c r="F1213" s="55">
        <v>50</v>
      </c>
      <c r="G1213" s="55" t="s">
        <v>512</v>
      </c>
      <c r="J1213" s="55" t="str">
        <f t="shared" si="73"/>
        <v>Diabaohieu</v>
      </c>
    </row>
    <row r="1214" spans="1:10" hidden="1">
      <c r="A1214" s="79" t="s">
        <v>1425</v>
      </c>
      <c r="B1214" s="1809"/>
      <c r="C1214" s="81" t="s">
        <v>3649</v>
      </c>
      <c r="D1214" s="80" t="s">
        <v>2566</v>
      </c>
      <c r="E1214" s="2277" t="str">
        <f t="shared" si="78"/>
        <v>De</v>
      </c>
      <c r="F1214" s="55">
        <v>50</v>
      </c>
      <c r="G1214" s="55" t="s">
        <v>512</v>
      </c>
      <c r="J1214" s="55" t="str">
        <f t="shared" si="73"/>
        <v>Denbao</v>
      </c>
    </row>
    <row r="1215" spans="1:10" hidden="1">
      <c r="A1215" s="1797" t="s">
        <v>3650</v>
      </c>
      <c r="E1215" s="2277" t="str">
        <f t="shared" si="78"/>
        <v>Đơ</v>
      </c>
      <c r="F1215" s="55">
        <v>50</v>
      </c>
      <c r="G1215" s="55" t="s">
        <v>512</v>
      </c>
      <c r="J1215" s="55" t="str">
        <f t="shared" si="73"/>
        <v>Đơn giá chiếu sáng</v>
      </c>
    </row>
    <row r="1216" spans="1:10" hidden="1">
      <c r="A1216" s="79" t="s">
        <v>2066</v>
      </c>
      <c r="B1216" s="1778" t="s">
        <v>1806</v>
      </c>
      <c r="C1216" s="79" t="s">
        <v>2613</v>
      </c>
      <c r="D1216" s="80" t="s">
        <v>2566</v>
      </c>
      <c r="E1216" s="2277" t="str">
        <f t="shared" si="78"/>
        <v>TU</v>
      </c>
      <c r="F1216" s="55">
        <v>50</v>
      </c>
      <c r="G1216" s="55" t="s">
        <v>512</v>
      </c>
      <c r="J1216" s="55" t="str">
        <f t="shared" si="73"/>
        <v>TUDKCS</v>
      </c>
    </row>
    <row r="1217" spans="1:10" hidden="1">
      <c r="A1217" s="79" t="s">
        <v>441</v>
      </c>
      <c r="B1217" s="84"/>
      <c r="C1217" s="81" t="s">
        <v>3651</v>
      </c>
      <c r="D1217" s="80" t="s">
        <v>2842</v>
      </c>
      <c r="E1217" s="2277" t="str">
        <f t="shared" si="78"/>
        <v>TR</v>
      </c>
      <c r="F1217" s="55">
        <v>2</v>
      </c>
      <c r="G1217" s="55" t="s">
        <v>512</v>
      </c>
      <c r="J1217" s="55" t="str">
        <f t="shared" si="73"/>
        <v>TRTHEP6</v>
      </c>
    </row>
    <row r="1218" spans="1:10" hidden="1">
      <c r="A1218" s="79" t="s">
        <v>387</v>
      </c>
      <c r="B1218" s="84"/>
      <c r="C1218" s="81" t="s">
        <v>3652</v>
      </c>
      <c r="D1218" s="80" t="s">
        <v>2842</v>
      </c>
      <c r="E1218" s="2277" t="str">
        <f t="shared" si="78"/>
        <v>TR</v>
      </c>
      <c r="F1218" s="55">
        <v>2</v>
      </c>
      <c r="G1218" s="55" t="s">
        <v>512</v>
      </c>
      <c r="J1218" s="55" t="str">
        <f t="shared" si="73"/>
        <v>TRTHEP7</v>
      </c>
    </row>
    <row r="1219" spans="1:10" hidden="1">
      <c r="A1219" s="79" t="s">
        <v>1366</v>
      </c>
      <c r="B1219" s="84" t="s">
        <v>220</v>
      </c>
      <c r="C1219" s="81" t="s">
        <v>3653</v>
      </c>
      <c r="D1219" s="80" t="s">
        <v>2566</v>
      </c>
      <c r="E1219" s="2277" t="str">
        <f t="shared" si="78"/>
        <v>D1</v>
      </c>
      <c r="F1219" s="55">
        <v>50</v>
      </c>
      <c r="G1219" s="55" t="s">
        <v>512</v>
      </c>
      <c r="J1219" s="55" t="str">
        <f t="shared" si="73"/>
        <v>D12 CS</v>
      </c>
    </row>
    <row r="1220" spans="1:10" ht="32.25" hidden="1" customHeight="1">
      <c r="A1220" s="79" t="s">
        <v>1251</v>
      </c>
      <c r="B1220" s="84"/>
      <c r="C1220" s="81" t="s">
        <v>3654</v>
      </c>
      <c r="D1220" s="80" t="s">
        <v>3655</v>
      </c>
      <c r="E1220" s="2277" t="str">
        <f t="shared" si="78"/>
        <v>CD</v>
      </c>
      <c r="F1220" s="55">
        <v>50</v>
      </c>
      <c r="G1220" s="55" t="s">
        <v>512</v>
      </c>
      <c r="J1220" s="55" t="str">
        <f t="shared" si="73"/>
        <v>CDDON</v>
      </c>
    </row>
    <row r="1221" spans="1:10" ht="32.25" hidden="1" customHeight="1">
      <c r="A1221" s="79" t="s">
        <v>1250</v>
      </c>
      <c r="B1221" s="84"/>
      <c r="C1221" s="81" t="s">
        <v>3656</v>
      </c>
      <c r="D1221" s="80" t="s">
        <v>3655</v>
      </c>
      <c r="E1221" s="2277" t="str">
        <f t="shared" si="78"/>
        <v>CD</v>
      </c>
      <c r="F1221" s="55">
        <v>50</v>
      </c>
      <c r="G1221" s="55" t="s">
        <v>512</v>
      </c>
      <c r="J1221" s="55" t="str">
        <f t="shared" si="73"/>
        <v>CDDOI</v>
      </c>
    </row>
    <row r="1222" spans="1:10" ht="32.25" hidden="1" customHeight="1">
      <c r="A1222" s="79" t="s">
        <v>2143</v>
      </c>
      <c r="B1222" s="84"/>
      <c r="C1222" s="81" t="s">
        <v>3657</v>
      </c>
      <c r="D1222" s="80" t="s">
        <v>3655</v>
      </c>
      <c r="E1222" s="2277" t="str">
        <f t="shared" si="78"/>
        <v>CD</v>
      </c>
      <c r="F1222" s="55">
        <v>50</v>
      </c>
      <c r="G1222" s="55" t="s">
        <v>512</v>
      </c>
      <c r="J1222" s="55" t="str">
        <f t="shared" si="73"/>
        <v>CD-Sonadezi</v>
      </c>
    </row>
    <row r="1223" spans="1:10" ht="30.75" hidden="1" customHeight="1">
      <c r="A1223" s="79" t="s">
        <v>841</v>
      </c>
      <c r="B1223" s="84"/>
      <c r="C1223" s="81" t="s">
        <v>3658</v>
      </c>
      <c r="D1223" s="80" t="s">
        <v>3655</v>
      </c>
      <c r="E1223" s="2277" t="str">
        <f t="shared" si="78"/>
        <v>CD</v>
      </c>
      <c r="F1223" s="55">
        <v>50</v>
      </c>
      <c r="G1223" s="55" t="s">
        <v>512</v>
      </c>
      <c r="J1223" s="55" t="str">
        <f t="shared" si="73"/>
        <v>CDDON+C</v>
      </c>
    </row>
    <row r="1224" spans="1:10" ht="32.25" hidden="1" customHeight="1">
      <c r="A1224" s="79" t="s">
        <v>842</v>
      </c>
      <c r="B1224" s="84"/>
      <c r="C1224" s="81" t="s">
        <v>3659</v>
      </c>
      <c r="D1224" s="80" t="s">
        <v>3655</v>
      </c>
      <c r="E1224" s="2277" t="str">
        <f t="shared" si="78"/>
        <v>CD</v>
      </c>
      <c r="F1224" s="55">
        <v>50</v>
      </c>
      <c r="G1224" s="55" t="s">
        <v>512</v>
      </c>
      <c r="J1224" s="55" t="str">
        <f t="shared" si="73"/>
        <v>CDDOI+C</v>
      </c>
    </row>
    <row r="1225" spans="1:10" hidden="1">
      <c r="A1225" s="79" t="s">
        <v>1172</v>
      </c>
      <c r="B1225" s="84"/>
      <c r="C1225" s="81" t="s">
        <v>3660</v>
      </c>
      <c r="D1225" s="80" t="s">
        <v>3655</v>
      </c>
      <c r="E1225" s="2277" t="str">
        <f t="shared" si="78"/>
        <v>CD</v>
      </c>
      <c r="F1225" s="55">
        <v>50</v>
      </c>
      <c r="G1225" s="55" t="s">
        <v>512</v>
      </c>
      <c r="J1225" s="55" t="str">
        <f t="shared" si="73"/>
        <v>CDBA</v>
      </c>
    </row>
    <row r="1226" spans="1:10" hidden="1">
      <c r="A1226" s="79" t="s">
        <v>320</v>
      </c>
      <c r="B1226" s="1809"/>
      <c r="C1226" s="81" t="s">
        <v>3661</v>
      </c>
      <c r="D1226" s="80" t="s">
        <v>2448</v>
      </c>
      <c r="E1226" s="2277" t="str">
        <f t="shared" si="78"/>
        <v>DE</v>
      </c>
      <c r="F1226" s="55">
        <v>50</v>
      </c>
      <c r="G1226" s="55" t="s">
        <v>512</v>
      </c>
      <c r="J1226" s="55" t="str">
        <f t="shared" si="73"/>
        <v>DEN</v>
      </c>
    </row>
    <row r="1227" spans="1:10" hidden="1">
      <c r="A1227" s="79" t="s">
        <v>1367</v>
      </c>
      <c r="B1227" s="1809"/>
      <c r="C1227" s="81" t="s">
        <v>3662</v>
      </c>
      <c r="D1227" s="80" t="s">
        <v>2448</v>
      </c>
      <c r="E1227" s="2277" t="str">
        <f t="shared" si="78"/>
        <v>DE</v>
      </c>
      <c r="F1227" s="55">
        <v>50</v>
      </c>
      <c r="G1227" s="55" t="s">
        <v>512</v>
      </c>
      <c r="J1227" s="55" t="str">
        <f t="shared" ref="J1227:J1290" si="79">A1227</f>
        <v>DEN-sonadezi</v>
      </c>
    </row>
    <row r="1228" spans="1:10" hidden="1">
      <c r="A1228" s="79" t="s">
        <v>971</v>
      </c>
      <c r="B1228" s="84"/>
      <c r="C1228" s="81" t="s">
        <v>3663</v>
      </c>
      <c r="D1228" s="80" t="s">
        <v>2566</v>
      </c>
      <c r="E1228" s="2277" t="str">
        <f t="shared" si="78"/>
        <v>CH</v>
      </c>
      <c r="F1228" s="55">
        <v>50</v>
      </c>
      <c r="G1228" s="55" t="s">
        <v>512</v>
      </c>
      <c r="J1228" s="55" t="str">
        <f t="shared" si="79"/>
        <v>CHI5</v>
      </c>
    </row>
    <row r="1229" spans="1:10" hidden="1">
      <c r="A1229" s="79" t="s">
        <v>475</v>
      </c>
      <c r="B1229" s="1809"/>
      <c r="C1229" s="81" t="s">
        <v>3664</v>
      </c>
      <c r="D1229" s="80" t="s">
        <v>2566</v>
      </c>
      <c r="E1229" s="2277" t="str">
        <f t="shared" si="78"/>
        <v>DO</v>
      </c>
      <c r="F1229" s="55">
        <v>50</v>
      </c>
      <c r="G1229" s="55" t="s">
        <v>512</v>
      </c>
      <c r="J1229" s="55" t="str">
        <f t="shared" si="79"/>
        <v>DOMINO</v>
      </c>
    </row>
    <row r="1230" spans="1:10" hidden="1">
      <c r="A1230" s="1816"/>
      <c r="B1230" s="1817"/>
      <c r="C1230" s="1816"/>
      <c r="D1230" s="1818"/>
      <c r="E1230" s="2277" t="str">
        <f t="shared" si="78"/>
        <v/>
      </c>
      <c r="F1230" s="55">
        <v>50</v>
      </c>
      <c r="J1230" s="55">
        <f t="shared" si="79"/>
        <v>0</v>
      </c>
    </row>
    <row r="1231" spans="1:10" hidden="1">
      <c r="A1231" s="1819" t="s">
        <v>1850</v>
      </c>
      <c r="B1231" s="1820" t="s">
        <v>290</v>
      </c>
      <c r="C1231" s="1819" t="s">
        <v>3665</v>
      </c>
      <c r="D1231" s="1821" t="s">
        <v>2566</v>
      </c>
      <c r="E1231" s="2277" t="str">
        <f t="shared" si="78"/>
        <v>LC</v>
      </c>
      <c r="F1231" s="55">
        <v>2000</v>
      </c>
      <c r="J1231" s="55" t="str">
        <f t="shared" si="79"/>
        <v>LCAN+C</v>
      </c>
    </row>
    <row r="1232" spans="1:10" hidden="1">
      <c r="A1232" s="79" t="s">
        <v>514</v>
      </c>
      <c r="B1232" s="1778" t="s">
        <v>291</v>
      </c>
      <c r="C1232" s="79" t="s">
        <v>3666</v>
      </c>
      <c r="D1232" s="80" t="s">
        <v>3655</v>
      </c>
      <c r="E1232" s="2277" t="str">
        <f t="shared" si="78"/>
        <v>LC</v>
      </c>
      <c r="F1232" s="55">
        <v>2000</v>
      </c>
      <c r="J1232" s="55" t="str">
        <f t="shared" si="79"/>
        <v>LCAN2,8</v>
      </c>
    </row>
    <row r="1233" spans="1:10" hidden="1">
      <c r="A1233" s="79" t="s">
        <v>121</v>
      </c>
      <c r="B1233" s="1778" t="s">
        <v>122</v>
      </c>
      <c r="C1233" s="79" t="s">
        <v>3667</v>
      </c>
      <c r="D1233" s="80" t="s">
        <v>3655</v>
      </c>
      <c r="E1233" s="2277" t="str">
        <f t="shared" si="78"/>
        <v>LC</v>
      </c>
      <c r="F1233" s="55">
        <v>2000</v>
      </c>
      <c r="J1233" s="55" t="str">
        <f t="shared" si="79"/>
        <v>LCAN3,2</v>
      </c>
    </row>
    <row r="1234" spans="1:10" hidden="1">
      <c r="A1234" s="79" t="s">
        <v>1807</v>
      </c>
      <c r="B1234" s="1778" t="s">
        <v>1809</v>
      </c>
      <c r="C1234" s="79" t="s">
        <v>3668</v>
      </c>
      <c r="D1234" s="80" t="s">
        <v>2541</v>
      </c>
      <c r="E1234" s="2277" t="str">
        <f t="shared" si="78"/>
        <v>LT</v>
      </c>
      <c r="F1234" s="55">
        <v>2000</v>
      </c>
      <c r="J1234" s="55" t="str">
        <f t="shared" si="79"/>
        <v>LTD-DEN</v>
      </c>
    </row>
    <row r="1235" spans="1:10" hidden="1">
      <c r="A1235" s="79" t="s">
        <v>1174</v>
      </c>
      <c r="B1235" s="1778" t="s">
        <v>292</v>
      </c>
      <c r="C1235" s="79" t="s">
        <v>3669</v>
      </c>
      <c r="D1235" s="80" t="s">
        <v>2448</v>
      </c>
      <c r="E1235" s="2277" t="str">
        <f t="shared" si="78"/>
        <v>LD</v>
      </c>
      <c r="F1235" s="55">
        <v>2000</v>
      </c>
      <c r="J1235" s="55" t="str">
        <f t="shared" si="79"/>
        <v>LDEN</v>
      </c>
    </row>
    <row r="1236" spans="1:10" hidden="1">
      <c r="A1236" s="79" t="s">
        <v>494</v>
      </c>
      <c r="B1236" s="1778" t="s">
        <v>1368</v>
      </c>
      <c r="C1236" s="81" t="s">
        <v>3670</v>
      </c>
      <c r="D1236" s="80" t="s">
        <v>2842</v>
      </c>
      <c r="E1236" s="2277" t="str">
        <f t="shared" si="78"/>
        <v>LT</v>
      </c>
      <c r="F1236" s="55">
        <v>2000</v>
      </c>
      <c r="J1236" s="55" t="str">
        <f t="shared" si="79"/>
        <v>LTRUDEN</v>
      </c>
    </row>
    <row r="1237" spans="1:10" hidden="1">
      <c r="A1237" s="79" t="s">
        <v>1369</v>
      </c>
      <c r="B1237" s="1778" t="s">
        <v>791</v>
      </c>
      <c r="C1237" s="81" t="s">
        <v>3671</v>
      </c>
      <c r="D1237" s="80" t="s">
        <v>2842</v>
      </c>
      <c r="E1237" s="2277" t="str">
        <f t="shared" si="78"/>
        <v>LB</v>
      </c>
      <c r="F1237" s="55">
        <v>2000</v>
      </c>
      <c r="J1237" s="55" t="str">
        <f t="shared" si="79"/>
        <v>LBTLT</v>
      </c>
    </row>
    <row r="1238" spans="1:10" hidden="1">
      <c r="A1238" s="79" t="s">
        <v>1690</v>
      </c>
      <c r="B1238" s="1778" t="s">
        <v>493</v>
      </c>
      <c r="C1238" s="81" t="s">
        <v>3672</v>
      </c>
      <c r="D1238" s="80" t="s">
        <v>2541</v>
      </c>
      <c r="E1238" s="2277" t="str">
        <f t="shared" si="78"/>
        <v>LU</v>
      </c>
      <c r="F1238" s="55">
        <v>2000</v>
      </c>
      <c r="J1238" s="55" t="str">
        <f t="shared" si="79"/>
        <v>LUONDAY</v>
      </c>
    </row>
    <row r="1239" spans="1:10" hidden="1">
      <c r="A1239" s="79" t="s">
        <v>592</v>
      </c>
      <c r="B1239" s="1778" t="s">
        <v>593</v>
      </c>
      <c r="C1239" s="81" t="s">
        <v>3673</v>
      </c>
      <c r="D1239" s="80" t="s">
        <v>2541</v>
      </c>
      <c r="E1239" s="2277" t="str">
        <f t="shared" si="78"/>
        <v>KC</v>
      </c>
      <c r="F1239" s="55">
        <v>2000</v>
      </c>
      <c r="J1239" s="55" t="str">
        <f t="shared" si="79"/>
        <v>KCAPDEN</v>
      </c>
    </row>
    <row r="1240" spans="1:10" hidden="1">
      <c r="A1240" s="79" t="s">
        <v>594</v>
      </c>
      <c r="B1240" s="1778" t="s">
        <v>595</v>
      </c>
      <c r="C1240" s="81" t="s">
        <v>3674</v>
      </c>
      <c r="D1240" s="80" t="s">
        <v>2541</v>
      </c>
      <c r="E1240" s="2277" t="str">
        <f t="shared" si="78"/>
        <v>KC</v>
      </c>
      <c r="F1240" s="55">
        <v>2000</v>
      </c>
      <c r="J1240" s="55" t="str">
        <f t="shared" si="79"/>
        <v>KCAPDEN25</v>
      </c>
    </row>
    <row r="1241" spans="1:10" hidden="1">
      <c r="A1241" s="79" t="s">
        <v>293</v>
      </c>
      <c r="B1241" s="1778" t="s">
        <v>492</v>
      </c>
      <c r="C1241" s="81" t="s">
        <v>3675</v>
      </c>
      <c r="D1241" s="80" t="s">
        <v>2541</v>
      </c>
      <c r="E1241" s="2277" t="str">
        <f t="shared" si="78"/>
        <v>LC</v>
      </c>
      <c r="F1241" s="55">
        <v>2000</v>
      </c>
      <c r="J1241" s="55" t="str">
        <f t="shared" si="79"/>
        <v>LCAPDEN</v>
      </c>
    </row>
    <row r="1242" spans="1:10" hidden="1">
      <c r="A1242" s="79" t="s">
        <v>596</v>
      </c>
      <c r="B1242" s="1778" t="s">
        <v>597</v>
      </c>
      <c r="C1242" s="81" t="s">
        <v>3676</v>
      </c>
      <c r="D1242" s="80" t="s">
        <v>2448</v>
      </c>
      <c r="E1242" s="2277" t="str">
        <f t="shared" si="78"/>
        <v>LD</v>
      </c>
      <c r="F1242" s="55">
        <v>2000</v>
      </c>
      <c r="J1242" s="55" t="str">
        <f t="shared" si="79"/>
        <v>LDAUCAPCS</v>
      </c>
    </row>
    <row r="1243" spans="1:10" hidden="1">
      <c r="A1243" s="79" t="s">
        <v>1123</v>
      </c>
      <c r="B1243" s="1778" t="s">
        <v>1124</v>
      </c>
      <c r="C1243" s="81" t="s">
        <v>3677</v>
      </c>
      <c r="D1243" s="80" t="s">
        <v>2566</v>
      </c>
      <c r="E1243" s="2277" t="str">
        <f t="shared" si="78"/>
        <v>Lc</v>
      </c>
      <c r="F1243" s="55">
        <v>2000</v>
      </c>
      <c r="J1243" s="55" t="str">
        <f t="shared" si="79"/>
        <v>Lcauchi</v>
      </c>
    </row>
    <row r="1244" spans="1:10" hidden="1">
      <c r="A1244" s="79" t="s">
        <v>1280</v>
      </c>
      <c r="B1244" s="1778" t="s">
        <v>2110</v>
      </c>
      <c r="C1244" s="81" t="s">
        <v>3678</v>
      </c>
      <c r="D1244" s="80" t="s">
        <v>2541</v>
      </c>
      <c r="E1244" s="2277" t="str">
        <f t="shared" si="78"/>
        <v>LP</v>
      </c>
      <c r="F1244" s="55">
        <v>2000</v>
      </c>
      <c r="J1244" s="55" t="str">
        <f t="shared" si="79"/>
        <v>LPVC60CL CS</v>
      </c>
    </row>
    <row r="1245" spans="1:10" hidden="1">
      <c r="A1245" s="79" t="s">
        <v>1281</v>
      </c>
      <c r="B1245" s="1778" t="s">
        <v>2111</v>
      </c>
      <c r="C1245" s="81" t="s">
        <v>3679</v>
      </c>
      <c r="D1245" s="80" t="s">
        <v>2541</v>
      </c>
      <c r="E1245" s="2277" t="str">
        <f t="shared" si="78"/>
        <v>LP</v>
      </c>
      <c r="F1245" s="55">
        <v>2000</v>
      </c>
      <c r="J1245" s="55" t="str">
        <f t="shared" si="79"/>
        <v>LPVC90CL CS</v>
      </c>
    </row>
    <row r="1246" spans="1:10" hidden="1">
      <c r="A1246" s="79" t="s">
        <v>1282</v>
      </c>
      <c r="B1246" s="1778" t="s">
        <v>1283</v>
      </c>
      <c r="C1246" s="81" t="s">
        <v>3680</v>
      </c>
      <c r="D1246" s="80" t="s">
        <v>2541</v>
      </c>
      <c r="E1246" s="2277" t="str">
        <f t="shared" si="78"/>
        <v>LS</v>
      </c>
      <c r="F1246" s="55">
        <v>2000</v>
      </c>
      <c r="J1246" s="55" t="str">
        <f t="shared" si="79"/>
        <v>LSTK120d CS</v>
      </c>
    </row>
    <row r="1247" spans="1:10" hidden="1">
      <c r="A1247" s="79" t="s">
        <v>2131</v>
      </c>
      <c r="B1247" s="1778" t="s">
        <v>85</v>
      </c>
      <c r="C1247" s="81" t="s">
        <v>3681</v>
      </c>
      <c r="D1247" s="80" t="s">
        <v>3027</v>
      </c>
      <c r="E1247" s="2277" t="str">
        <f t="shared" si="78"/>
        <v>LG</v>
      </c>
      <c r="F1247" s="55">
        <v>2000</v>
      </c>
      <c r="J1247" s="55" t="str">
        <f t="shared" si="79"/>
        <v>LGACH CS</v>
      </c>
    </row>
    <row r="1248" spans="1:10" hidden="1">
      <c r="A1248" s="79" t="s">
        <v>1559</v>
      </c>
      <c r="B1248" s="1778" t="s">
        <v>2203</v>
      </c>
      <c r="C1248" s="81" t="s">
        <v>3682</v>
      </c>
      <c r="D1248" s="80" t="s">
        <v>858</v>
      </c>
      <c r="E1248" s="2277" t="str">
        <f t="shared" si="78"/>
        <v>DM</v>
      </c>
      <c r="F1248" s="55">
        <v>2000</v>
      </c>
      <c r="J1248" s="55" t="str">
        <f t="shared" si="79"/>
        <v>DMCS</v>
      </c>
    </row>
    <row r="1249" spans="1:10" hidden="1">
      <c r="A1249" s="79" t="s">
        <v>2204</v>
      </c>
      <c r="B1249" s="1778" t="s">
        <v>2205</v>
      </c>
      <c r="C1249" s="81" t="s">
        <v>3683</v>
      </c>
      <c r="D1249" s="80" t="s">
        <v>858</v>
      </c>
      <c r="E1249" s="2277" t="str">
        <f t="shared" si="78"/>
        <v>DD</v>
      </c>
      <c r="F1249" s="55">
        <v>2000</v>
      </c>
      <c r="J1249" s="55" t="str">
        <f t="shared" si="79"/>
        <v>DDMCS3</v>
      </c>
    </row>
    <row r="1250" spans="1:10" hidden="1">
      <c r="A1250" s="79" t="s">
        <v>2206</v>
      </c>
      <c r="B1250" s="1778" t="s">
        <v>2207</v>
      </c>
      <c r="C1250" s="81" t="s">
        <v>3684</v>
      </c>
      <c r="D1250" s="80" t="s">
        <v>858</v>
      </c>
      <c r="E1250" s="2277" t="str">
        <f t="shared" si="78"/>
        <v>DC</v>
      </c>
      <c r="F1250" s="55">
        <v>2000</v>
      </c>
      <c r="J1250" s="55" t="str">
        <f t="shared" si="79"/>
        <v>DCatMCS</v>
      </c>
    </row>
    <row r="1251" spans="1:10" hidden="1">
      <c r="A1251" s="79" t="s">
        <v>559</v>
      </c>
      <c r="B1251" s="1778" t="s">
        <v>1560</v>
      </c>
      <c r="C1251" s="81" t="s">
        <v>3685</v>
      </c>
      <c r="D1251" s="80" t="s">
        <v>858</v>
      </c>
      <c r="E1251" s="2277" t="str">
        <f t="shared" si="78"/>
        <v>DM</v>
      </c>
      <c r="F1251" s="55">
        <v>2000</v>
      </c>
      <c r="J1251" s="55" t="str">
        <f t="shared" si="79"/>
        <v>DMongCS</v>
      </c>
    </row>
    <row r="1252" spans="1:10" hidden="1">
      <c r="A1252" s="79" t="s">
        <v>1558</v>
      </c>
      <c r="B1252" s="1778" t="s">
        <v>1561</v>
      </c>
      <c r="C1252" s="81" t="s">
        <v>3686</v>
      </c>
      <c r="D1252" s="80" t="s">
        <v>858</v>
      </c>
      <c r="E1252" s="2277" t="str">
        <f t="shared" si="78"/>
        <v>DM</v>
      </c>
      <c r="F1252" s="55">
        <v>2000</v>
      </c>
      <c r="J1252" s="55" t="str">
        <f t="shared" si="79"/>
        <v>DMongCS1</v>
      </c>
    </row>
    <row r="1253" spans="1:10" hidden="1">
      <c r="A1253" s="79" t="s">
        <v>1811</v>
      </c>
      <c r="B1253" s="1778" t="s">
        <v>974</v>
      </c>
      <c r="C1253" s="81" t="s">
        <v>3687</v>
      </c>
      <c r="D1253" s="80" t="s">
        <v>858</v>
      </c>
      <c r="E1253" s="2277" t="str">
        <f t="shared" si="78"/>
        <v>DD</v>
      </c>
      <c r="F1253" s="55">
        <v>2000</v>
      </c>
      <c r="J1253" s="55" t="str">
        <f t="shared" si="79"/>
        <v>DDMongCS3</v>
      </c>
    </row>
    <row r="1254" spans="1:10" hidden="1">
      <c r="A1254" s="79" t="s">
        <v>1812</v>
      </c>
      <c r="B1254" s="1778" t="s">
        <v>975</v>
      </c>
      <c r="C1254" s="81" t="s">
        <v>3688</v>
      </c>
      <c r="D1254" s="80" t="s">
        <v>858</v>
      </c>
      <c r="E1254" s="2277" t="str">
        <f t="shared" si="78"/>
        <v>DC</v>
      </c>
      <c r="F1254" s="55">
        <v>2000</v>
      </c>
      <c r="J1254" s="55" t="str">
        <f t="shared" si="79"/>
        <v>DCatMongCS</v>
      </c>
    </row>
    <row r="1255" spans="1:10" hidden="1">
      <c r="A1255" s="79" t="s">
        <v>1810</v>
      </c>
      <c r="B1255" s="1778" t="s">
        <v>1808</v>
      </c>
      <c r="C1255" s="81" t="s">
        <v>3689</v>
      </c>
      <c r="D1255" s="80" t="s">
        <v>2286</v>
      </c>
      <c r="E1255" s="2277" t="str">
        <f t="shared" si="78"/>
        <v>Do</v>
      </c>
      <c r="F1255" s="55">
        <v>2000</v>
      </c>
      <c r="J1255" s="55" t="str">
        <f t="shared" si="79"/>
        <v>DongCTD</v>
      </c>
    </row>
    <row r="1256" spans="1:10" hidden="1">
      <c r="A1256" s="79" t="s">
        <v>1958</v>
      </c>
      <c r="B1256" s="1778" t="s">
        <v>1959</v>
      </c>
      <c r="C1256" s="81" t="s">
        <v>3690</v>
      </c>
      <c r="D1256" s="80" t="s">
        <v>858</v>
      </c>
      <c r="E1256" s="2277" t="str">
        <f t="shared" si="78"/>
        <v>DB</v>
      </c>
      <c r="F1256" s="55">
        <v>2000</v>
      </c>
      <c r="J1256" s="55" t="str">
        <f t="shared" si="79"/>
        <v>DBTM150CS</v>
      </c>
    </row>
    <row r="1257" spans="1:10" hidden="1">
      <c r="A1257" s="79" t="s">
        <v>1578</v>
      </c>
      <c r="B1257" s="1778" t="s">
        <v>265</v>
      </c>
      <c r="C1257" s="81" t="s">
        <v>3691</v>
      </c>
      <c r="D1257" s="80" t="s">
        <v>858</v>
      </c>
      <c r="E1257" s="2277" t="str">
        <f t="shared" si="78"/>
        <v>DB</v>
      </c>
      <c r="F1257" s="55">
        <v>2000</v>
      </c>
      <c r="J1257" s="55" t="str">
        <f t="shared" si="79"/>
        <v>DBT20012CS</v>
      </c>
    </row>
    <row r="1258" spans="1:10" ht="15.75" hidden="1">
      <c r="A1258" s="1822" t="s">
        <v>4168</v>
      </c>
      <c r="B1258" s="1778" t="s">
        <v>1760</v>
      </c>
      <c r="C1258" s="1823" t="s">
        <v>4976</v>
      </c>
      <c r="D1258" s="1824" t="s">
        <v>4169</v>
      </c>
      <c r="E1258" s="2277" t="str">
        <f t="shared" si="78"/>
        <v>Ho</v>
      </c>
      <c r="F1258" s="55">
        <v>50</v>
      </c>
      <c r="G1258" s="55" t="s">
        <v>512</v>
      </c>
      <c r="J1258" s="55" t="str">
        <f t="shared" si="79"/>
        <v>HopCBpd</v>
      </c>
    </row>
    <row r="1259" spans="1:10" ht="15.75" hidden="1">
      <c r="A1259" s="1822" t="s">
        <v>4378</v>
      </c>
      <c r="B1259" s="1778"/>
      <c r="C1259" s="1823" t="s">
        <v>4379</v>
      </c>
      <c r="D1259" s="1825" t="s">
        <v>2566</v>
      </c>
      <c r="E1259" s="2277" t="str">
        <f t="shared" si="78"/>
        <v>CC</v>
      </c>
      <c r="F1259" s="55">
        <v>50</v>
      </c>
      <c r="G1259" s="55" t="s">
        <v>512</v>
      </c>
      <c r="J1259" s="55" t="str">
        <f t="shared" si="79"/>
        <v>CCĐMBA</v>
      </c>
    </row>
    <row r="1260" spans="1:10" ht="15.75" hidden="1">
      <c r="A1260" s="1822" t="s">
        <v>4372</v>
      </c>
      <c r="B1260" s="1778"/>
      <c r="C1260" s="1823" t="s">
        <v>4371</v>
      </c>
      <c r="D1260" s="1825" t="s">
        <v>2448</v>
      </c>
      <c r="E1260" s="2277" t="str">
        <f t="shared" ref="E1260:E1277" si="80">LEFT(A1260,2)</f>
        <v>CC</v>
      </c>
      <c r="F1260" s="55">
        <v>50</v>
      </c>
      <c r="G1260" s="55" t="s">
        <v>512</v>
      </c>
      <c r="J1260" s="55" t="str">
        <f t="shared" si="79"/>
        <v>CCĐfco</v>
      </c>
    </row>
    <row r="1261" spans="1:10" ht="15.75" hidden="1">
      <c r="A1261" s="1822" t="s">
        <v>4380</v>
      </c>
      <c r="B1261" s="1778"/>
      <c r="C1261" s="1823" t="s">
        <v>4381</v>
      </c>
      <c r="D1261" s="1825" t="s">
        <v>2566</v>
      </c>
      <c r="E1261" s="2277" t="str">
        <f t="shared" si="80"/>
        <v>CC</v>
      </c>
      <c r="F1261" s="55">
        <v>50</v>
      </c>
      <c r="G1261" s="55" t="s">
        <v>512</v>
      </c>
      <c r="J1261" s="55" t="str">
        <f t="shared" si="79"/>
        <v>CCĐLA</v>
      </c>
    </row>
    <row r="1262" spans="1:10" ht="15.75" hidden="1">
      <c r="A1262" s="1822" t="s">
        <v>4572</v>
      </c>
      <c r="B1262" s="1778"/>
      <c r="C1262" s="1823" t="s">
        <v>4573</v>
      </c>
      <c r="D1262" s="1825" t="s">
        <v>2566</v>
      </c>
      <c r="E1262" s="2277" t="str">
        <f t="shared" ref="E1262" si="81">LEFT(A1262,2)</f>
        <v>CC</v>
      </c>
      <c r="F1262" s="55">
        <v>50</v>
      </c>
      <c r="G1262" s="55" t="s">
        <v>512</v>
      </c>
      <c r="J1262" s="55" t="str">
        <f t="shared" si="79"/>
        <v>CCDQU</v>
      </c>
    </row>
    <row r="1263" spans="1:10" ht="15.75" hidden="1">
      <c r="A1263" s="1822" t="s">
        <v>4319</v>
      </c>
      <c r="B1263" s="1778"/>
      <c r="C1263" s="1823" t="s">
        <v>4974</v>
      </c>
      <c r="D1263" s="1825" t="s">
        <v>2448</v>
      </c>
      <c r="E1263" s="2277" t="str">
        <f t="shared" si="80"/>
        <v>TD</v>
      </c>
      <c r="F1263" s="55">
        <v>50</v>
      </c>
      <c r="G1263" s="55" t="s">
        <v>512</v>
      </c>
      <c r="J1263" s="55" t="str">
        <f t="shared" si="79"/>
        <v>TDLLCD</v>
      </c>
    </row>
    <row r="1264" spans="1:10" ht="15.75" hidden="1">
      <c r="A1264" s="1822" t="s">
        <v>356</v>
      </c>
      <c r="B1264" s="84" t="s">
        <v>1135</v>
      </c>
      <c r="C1264" s="1786" t="s">
        <v>4367</v>
      </c>
      <c r="D1264" s="1825" t="s">
        <v>2451</v>
      </c>
      <c r="E1264" s="2277" t="str">
        <f t="shared" si="80"/>
        <v>PK</v>
      </c>
      <c r="F1264" s="55">
        <v>2000</v>
      </c>
      <c r="J1264" s="55" t="str">
        <f t="shared" si="79"/>
        <v>PK</v>
      </c>
    </row>
    <row r="1265" spans="1:10" ht="15.75" hidden="1">
      <c r="A1265" s="1822" t="s">
        <v>357</v>
      </c>
      <c r="B1265" s="84" t="s">
        <v>1199</v>
      </c>
      <c r="C1265" s="1786" t="s">
        <v>2602</v>
      </c>
      <c r="D1265" s="1825" t="s">
        <v>2451</v>
      </c>
      <c r="E1265" s="2277" t="str">
        <f t="shared" si="80"/>
        <v>DA</v>
      </c>
      <c r="F1265" s="55">
        <v>2000</v>
      </c>
      <c r="J1265" s="55" t="str">
        <f t="shared" si="79"/>
        <v>DAY</v>
      </c>
    </row>
    <row r="1266" spans="1:10" ht="15.75" hidden="1">
      <c r="A1266" s="1822" t="s">
        <v>606</v>
      </c>
      <c r="B1266" s="84" t="s">
        <v>1697</v>
      </c>
      <c r="C1266" s="1786" t="s">
        <v>4368</v>
      </c>
      <c r="D1266" s="1825" t="s">
        <v>2451</v>
      </c>
      <c r="E1266" s="2277" t="str">
        <f t="shared" si="80"/>
        <v>DC</v>
      </c>
      <c r="F1266" s="55">
        <v>2000</v>
      </c>
      <c r="J1266" s="55" t="str">
        <f t="shared" si="79"/>
        <v>DCTC</v>
      </c>
    </row>
    <row r="1267" spans="1:10" ht="15.75" hidden="1">
      <c r="A1267" s="1822" t="s">
        <v>17</v>
      </c>
      <c r="B1267" s="84" t="s">
        <v>1211</v>
      </c>
      <c r="C1267" s="1786" t="s">
        <v>2590</v>
      </c>
      <c r="D1267" s="1825" t="s">
        <v>2451</v>
      </c>
      <c r="E1267" s="2277" t="str">
        <f t="shared" si="80"/>
        <v>TH</v>
      </c>
      <c r="F1267" s="55">
        <v>2000</v>
      </c>
      <c r="J1267" s="55" t="str">
        <f t="shared" si="79"/>
        <v>THEP</v>
      </c>
    </row>
    <row r="1268" spans="1:10" ht="15.75" hidden="1">
      <c r="A1268" s="1822" t="s">
        <v>18</v>
      </c>
      <c r="B1268" s="84" t="s">
        <v>496</v>
      </c>
      <c r="C1268" s="1786" t="s">
        <v>2591</v>
      </c>
      <c r="D1268" s="1825" t="s">
        <v>2451</v>
      </c>
      <c r="E1268" s="2277" t="str">
        <f t="shared" si="80"/>
        <v>XI</v>
      </c>
      <c r="F1268" s="55">
        <v>2000</v>
      </c>
      <c r="J1268" s="55" t="str">
        <f t="shared" si="79"/>
        <v>XIMANG</v>
      </c>
    </row>
    <row r="1269" spans="1:10" ht="15.75" hidden="1">
      <c r="A1269" s="1822" t="s">
        <v>4445</v>
      </c>
      <c r="B1269" s="84" t="s">
        <v>1119</v>
      </c>
      <c r="C1269" s="1786" t="s">
        <v>2592</v>
      </c>
      <c r="D1269" s="1825" t="s">
        <v>858</v>
      </c>
      <c r="E1269" s="2277" t="str">
        <f t="shared" si="80"/>
        <v>vc</v>
      </c>
      <c r="F1269" s="55">
        <v>2000</v>
      </c>
      <c r="J1269" s="55" t="str">
        <f t="shared" si="79"/>
        <v>vcCAT</v>
      </c>
    </row>
    <row r="1270" spans="1:10" ht="15.75" hidden="1">
      <c r="A1270" s="1822" t="s">
        <v>20</v>
      </c>
      <c r="B1270" s="84" t="s">
        <v>810</v>
      </c>
      <c r="C1270" s="1786" t="s">
        <v>2593</v>
      </c>
      <c r="D1270" s="1825" t="s">
        <v>858</v>
      </c>
      <c r="E1270" s="2277" t="str">
        <f t="shared" si="80"/>
        <v>DA</v>
      </c>
      <c r="F1270" s="55">
        <v>2000</v>
      </c>
      <c r="J1270" s="55" t="str">
        <f t="shared" si="79"/>
        <v>DADAM</v>
      </c>
    </row>
    <row r="1271" spans="1:10" ht="15.75" hidden="1">
      <c r="A1271" s="1822" t="s">
        <v>4443</v>
      </c>
      <c r="B1271" s="84" t="s">
        <v>556</v>
      </c>
      <c r="C1271" s="1786" t="s">
        <v>2594</v>
      </c>
      <c r="D1271" s="1825" t="s">
        <v>2451</v>
      </c>
      <c r="E1271" s="2277" t="str">
        <f t="shared" si="80"/>
        <v>DA</v>
      </c>
      <c r="F1271" s="55">
        <v>2000</v>
      </c>
      <c r="J1271" s="55" t="str">
        <f t="shared" si="79"/>
        <v>DA</v>
      </c>
    </row>
    <row r="1272" spans="1:10" ht="15.75" hidden="1">
      <c r="A1272" s="1822" t="s">
        <v>1909</v>
      </c>
      <c r="B1272" s="84" t="s">
        <v>1211</v>
      </c>
      <c r="C1272" s="1786" t="s">
        <v>2595</v>
      </c>
      <c r="D1272" s="1825" t="s">
        <v>2451</v>
      </c>
      <c r="E1272" s="2277" t="str">
        <f t="shared" si="80"/>
        <v>TD</v>
      </c>
      <c r="F1272" s="55">
        <v>2000</v>
      </c>
      <c r="J1272" s="55" t="str">
        <f t="shared" si="79"/>
        <v>TD</v>
      </c>
    </row>
    <row r="1273" spans="1:10" ht="15.75" hidden="1">
      <c r="A1273" s="1822" t="s">
        <v>605</v>
      </c>
      <c r="B1273" s="84" t="s">
        <v>556</v>
      </c>
      <c r="C1273" s="1786" t="s">
        <v>2596</v>
      </c>
      <c r="D1273" s="1825" t="s">
        <v>2451</v>
      </c>
      <c r="E1273" s="2277" t="str">
        <f t="shared" si="80"/>
        <v>DN</v>
      </c>
      <c r="F1273" s="55">
        <v>2000</v>
      </c>
      <c r="J1273" s="55" t="str">
        <f t="shared" si="79"/>
        <v>DN</v>
      </c>
    </row>
    <row r="1274" spans="1:10" ht="15.75" hidden="1">
      <c r="A1274" s="1822" t="s">
        <v>4446</v>
      </c>
      <c r="B1274" s="84" t="s">
        <v>1135</v>
      </c>
      <c r="C1274" s="1786" t="s">
        <v>2597</v>
      </c>
      <c r="D1274" s="1825" t="s">
        <v>2451</v>
      </c>
      <c r="E1274" s="2277" t="str">
        <f t="shared" si="80"/>
        <v>vc</v>
      </c>
      <c r="F1274" s="55">
        <v>2000</v>
      </c>
      <c r="J1274" s="55" t="str">
        <f t="shared" si="79"/>
        <v>vcNX</v>
      </c>
    </row>
    <row r="1275" spans="1:10" ht="15.75" hidden="1">
      <c r="A1275" s="1822" t="s">
        <v>1201</v>
      </c>
      <c r="B1275" s="84" t="s">
        <v>2244</v>
      </c>
      <c r="C1275" s="1786" t="s">
        <v>2598</v>
      </c>
      <c r="D1275" s="1825" t="s">
        <v>2451</v>
      </c>
      <c r="E1275" s="2277" t="str">
        <f t="shared" si="80"/>
        <v>CO</v>
      </c>
      <c r="F1275" s="55">
        <v>2000</v>
      </c>
      <c r="J1275" s="55" t="str">
        <f t="shared" si="79"/>
        <v>COT</v>
      </c>
    </row>
    <row r="1276" spans="1:10" ht="15.75" hidden="1">
      <c r="A1276" s="1822" t="s">
        <v>2003</v>
      </c>
      <c r="B1276" s="84" t="s">
        <v>1612</v>
      </c>
      <c r="C1276" s="1786" t="s">
        <v>2452</v>
      </c>
      <c r="D1276" s="1825" t="s">
        <v>2451</v>
      </c>
      <c r="E1276" s="2277" t="str">
        <f t="shared" si="80"/>
        <v>XA</v>
      </c>
      <c r="F1276" s="55">
        <v>2000</v>
      </c>
      <c r="J1276" s="55" t="str">
        <f t="shared" si="79"/>
        <v>XA</v>
      </c>
    </row>
    <row r="1277" spans="1:10" ht="15.75" hidden="1">
      <c r="A1277" s="1822" t="s">
        <v>634</v>
      </c>
      <c r="B1277" s="84" t="s">
        <v>718</v>
      </c>
      <c r="C1277" s="1786" t="s">
        <v>2600</v>
      </c>
      <c r="D1277" s="1825" t="s">
        <v>2601</v>
      </c>
      <c r="E1277" s="2277" t="str">
        <f t="shared" si="80"/>
        <v>ct</v>
      </c>
      <c r="F1277" s="55">
        <v>2000</v>
      </c>
      <c r="J1277" s="55" t="str">
        <f t="shared" si="79"/>
        <v>ctram</v>
      </c>
    </row>
    <row r="1278" spans="1:10" hidden="1">
      <c r="J1278" s="55">
        <f t="shared" si="79"/>
        <v>0</v>
      </c>
    </row>
    <row r="1279" spans="1:10" hidden="1">
      <c r="J1279" s="55">
        <f t="shared" si="79"/>
        <v>0</v>
      </c>
    </row>
    <row r="1280" spans="1:10" hidden="1">
      <c r="A1280" s="1797" t="s">
        <v>87</v>
      </c>
      <c r="C1280" s="1797" t="s">
        <v>2335</v>
      </c>
      <c r="D1280" s="55" t="s">
        <v>2336</v>
      </c>
      <c r="F1280" s="55">
        <v>2000</v>
      </c>
      <c r="J1280" s="55" t="str">
        <f t="shared" si="79"/>
        <v>M7</v>
      </c>
    </row>
    <row r="1281" spans="1:10" hidden="1">
      <c r="A1281" s="1797" t="s">
        <v>102</v>
      </c>
      <c r="C1281" s="1797" t="s">
        <v>2337</v>
      </c>
      <c r="D1281" s="55" t="s">
        <v>2336</v>
      </c>
      <c r="F1281" s="55">
        <v>2000</v>
      </c>
      <c r="J1281" s="55" t="str">
        <f t="shared" si="79"/>
        <v>M7a</v>
      </c>
    </row>
    <row r="1282" spans="1:10" hidden="1">
      <c r="A1282" s="1797" t="s">
        <v>764</v>
      </c>
      <c r="C1282" s="1797" t="s">
        <v>2338</v>
      </c>
      <c r="D1282" s="55" t="s">
        <v>2336</v>
      </c>
      <c r="F1282" s="55">
        <v>2000</v>
      </c>
      <c r="J1282" s="55" t="str">
        <f t="shared" si="79"/>
        <v>M7b</v>
      </c>
    </row>
    <row r="1283" spans="1:10" hidden="1">
      <c r="A1283" s="1797" t="s">
        <v>763</v>
      </c>
      <c r="C1283" s="1797" t="s">
        <v>2339</v>
      </c>
      <c r="D1283" s="55" t="s">
        <v>2336</v>
      </c>
      <c r="F1283" s="55">
        <v>2000</v>
      </c>
      <c r="J1283" s="55" t="str">
        <f t="shared" si="79"/>
        <v>M7aa</v>
      </c>
    </row>
    <row r="1284" spans="1:10" hidden="1">
      <c r="A1284" s="1797" t="s">
        <v>443</v>
      </c>
      <c r="C1284" s="1797" t="s">
        <v>2340</v>
      </c>
      <c r="D1284" s="55" t="s">
        <v>2336</v>
      </c>
      <c r="F1284" s="55">
        <v>2000</v>
      </c>
      <c r="J1284" s="55" t="str">
        <f t="shared" si="79"/>
        <v>M7ba</v>
      </c>
    </row>
    <row r="1285" spans="1:10" hidden="1">
      <c r="A1285" s="1797" t="s">
        <v>444</v>
      </c>
      <c r="C1285" s="1797" t="s">
        <v>2341</v>
      </c>
      <c r="D1285" s="55" t="s">
        <v>2336</v>
      </c>
      <c r="F1285" s="55">
        <v>2000</v>
      </c>
      <c r="J1285" s="55" t="str">
        <f t="shared" si="79"/>
        <v>M7-2a</v>
      </c>
    </row>
    <row r="1286" spans="1:10" hidden="1">
      <c r="A1286" s="1797" t="s">
        <v>960</v>
      </c>
      <c r="C1286" s="1797" t="s">
        <v>2342</v>
      </c>
      <c r="D1286" s="55" t="s">
        <v>2336</v>
      </c>
      <c r="F1286" s="55">
        <v>2000</v>
      </c>
      <c r="J1286" s="55" t="str">
        <f t="shared" si="79"/>
        <v>M8</v>
      </c>
    </row>
    <row r="1287" spans="1:10" hidden="1">
      <c r="A1287" s="1797" t="s">
        <v>2184</v>
      </c>
      <c r="C1287" s="1797" t="s">
        <v>2343</v>
      </c>
      <c r="D1287" s="55" t="s">
        <v>2336</v>
      </c>
      <c r="F1287" s="55">
        <v>2000</v>
      </c>
      <c r="J1287" s="55" t="str">
        <f t="shared" si="79"/>
        <v>M8a</v>
      </c>
    </row>
    <row r="1288" spans="1:10" hidden="1">
      <c r="A1288" s="1797" t="s">
        <v>2323</v>
      </c>
      <c r="C1288" s="1797" t="s">
        <v>2344</v>
      </c>
      <c r="D1288" s="55" t="s">
        <v>2336</v>
      </c>
      <c r="F1288" s="55">
        <v>2000</v>
      </c>
      <c r="J1288" s="55" t="str">
        <f t="shared" si="79"/>
        <v>M8BT Đơn</v>
      </c>
    </row>
    <row r="1289" spans="1:10" hidden="1">
      <c r="A1289" s="1797" t="s">
        <v>4157</v>
      </c>
      <c r="C1289" s="1797" t="s">
        <v>4318</v>
      </c>
      <c r="D1289" s="55" t="s">
        <v>2336</v>
      </c>
      <c r="F1289" s="55">
        <v>2000</v>
      </c>
      <c r="J1289" s="55" t="str">
        <f t="shared" si="79"/>
        <v>M7BT Đôi</v>
      </c>
    </row>
    <row r="1290" spans="1:10" hidden="1">
      <c r="A1290" s="1797" t="s">
        <v>234</v>
      </c>
      <c r="C1290" s="1797" t="s">
        <v>2345</v>
      </c>
      <c r="D1290" s="55" t="s">
        <v>2336</v>
      </c>
      <c r="F1290" s="55">
        <v>2000</v>
      </c>
      <c r="J1290" s="55" t="str">
        <f t="shared" si="79"/>
        <v>M8b</v>
      </c>
    </row>
    <row r="1291" spans="1:10" hidden="1">
      <c r="A1291" s="1797" t="s">
        <v>2185</v>
      </c>
      <c r="C1291" s="1797" t="s">
        <v>2346</v>
      </c>
      <c r="D1291" s="55" t="s">
        <v>2336</v>
      </c>
      <c r="F1291" s="55">
        <v>2000</v>
      </c>
      <c r="J1291" s="55" t="str">
        <f t="shared" ref="J1291:J1354" si="82">A1291</f>
        <v>M8aa</v>
      </c>
    </row>
    <row r="1292" spans="1:10" hidden="1">
      <c r="A1292" s="1797" t="s">
        <v>934</v>
      </c>
      <c r="C1292" s="1797" t="s">
        <v>2347</v>
      </c>
      <c r="D1292" s="55" t="s">
        <v>2336</v>
      </c>
      <c r="F1292" s="55">
        <v>2000</v>
      </c>
      <c r="J1292" s="55" t="str">
        <f t="shared" si="82"/>
        <v>M8ba</v>
      </c>
    </row>
    <row r="1293" spans="1:10" hidden="1">
      <c r="A1293" s="1797" t="s">
        <v>935</v>
      </c>
      <c r="C1293" s="1797" t="s">
        <v>2348</v>
      </c>
      <c r="D1293" s="55" t="s">
        <v>2336</v>
      </c>
      <c r="F1293" s="55">
        <v>2000</v>
      </c>
      <c r="J1293" s="55" t="str">
        <f t="shared" si="82"/>
        <v>M8bb</v>
      </c>
    </row>
    <row r="1294" spans="1:10" hidden="1">
      <c r="A1294" s="1797" t="s">
        <v>2186</v>
      </c>
      <c r="C1294" s="1797" t="s">
        <v>2349</v>
      </c>
      <c r="D1294" s="55" t="s">
        <v>2336</v>
      </c>
      <c r="F1294" s="55">
        <v>2000</v>
      </c>
      <c r="J1294" s="55" t="str">
        <f t="shared" si="82"/>
        <v>M8-2a</v>
      </c>
    </row>
    <row r="1295" spans="1:10" hidden="1">
      <c r="A1295" s="1797" t="s">
        <v>12</v>
      </c>
      <c r="C1295" s="1797" t="s">
        <v>2350</v>
      </c>
      <c r="D1295" s="55" t="s">
        <v>2336</v>
      </c>
      <c r="F1295" s="55">
        <v>2000</v>
      </c>
      <c r="J1295" s="55" t="str">
        <f t="shared" si="82"/>
        <v>M10</v>
      </c>
    </row>
    <row r="1296" spans="1:10" hidden="1">
      <c r="A1296" s="1797" t="s">
        <v>697</v>
      </c>
      <c r="C1296" s="1797" t="s">
        <v>2351</v>
      </c>
      <c r="D1296" s="55" t="s">
        <v>2336</v>
      </c>
      <c r="F1296" s="55">
        <v>2000</v>
      </c>
      <c r="J1296" s="55" t="str">
        <f t="shared" si="82"/>
        <v>M10a</v>
      </c>
    </row>
    <row r="1297" spans="1:10" hidden="1">
      <c r="A1297" s="1797" t="s">
        <v>996</v>
      </c>
      <c r="C1297" s="1797" t="s">
        <v>2352</v>
      </c>
      <c r="D1297" s="55" t="s">
        <v>2336</v>
      </c>
      <c r="F1297" s="55">
        <v>2000</v>
      </c>
      <c r="J1297" s="55" t="str">
        <f t="shared" si="82"/>
        <v>M10b</v>
      </c>
    </row>
    <row r="1298" spans="1:10" hidden="1">
      <c r="A1298" s="1797" t="s">
        <v>2311</v>
      </c>
      <c r="C1298" s="1797" t="s">
        <v>2353</v>
      </c>
      <c r="D1298" s="55" t="s">
        <v>2336</v>
      </c>
      <c r="F1298" s="55">
        <v>2000</v>
      </c>
      <c r="J1298" s="55" t="str">
        <f t="shared" si="82"/>
        <v>M10BT ĐƠN</v>
      </c>
    </row>
    <row r="1299" spans="1:10" hidden="1">
      <c r="A1299" s="1797" t="s">
        <v>100</v>
      </c>
      <c r="C1299" s="1797" t="s">
        <v>2354</v>
      </c>
      <c r="D1299" s="55" t="s">
        <v>2336</v>
      </c>
      <c r="F1299" s="55">
        <v>2000</v>
      </c>
      <c r="J1299" s="55" t="str">
        <f t="shared" si="82"/>
        <v>M10aa</v>
      </c>
    </row>
    <row r="1300" spans="1:10" hidden="1">
      <c r="A1300" s="1797" t="s">
        <v>835</v>
      </c>
      <c r="C1300" s="1797" t="s">
        <v>2355</v>
      </c>
      <c r="D1300" s="55" t="s">
        <v>2336</v>
      </c>
      <c r="F1300" s="55">
        <v>2000</v>
      </c>
      <c r="J1300" s="55" t="str">
        <f t="shared" si="82"/>
        <v>M10ba</v>
      </c>
    </row>
    <row r="1301" spans="1:10" hidden="1">
      <c r="A1301" s="1797" t="s">
        <v>836</v>
      </c>
      <c r="C1301" s="1797" t="s">
        <v>2356</v>
      </c>
      <c r="D1301" s="55" t="s">
        <v>2336</v>
      </c>
      <c r="F1301" s="55">
        <v>2000</v>
      </c>
      <c r="J1301" s="55" t="str">
        <f t="shared" si="82"/>
        <v>M10bb</v>
      </c>
    </row>
    <row r="1302" spans="1:10" hidden="1">
      <c r="A1302" s="1797" t="s">
        <v>286</v>
      </c>
      <c r="C1302" s="1797" t="s">
        <v>2357</v>
      </c>
      <c r="D1302" s="55" t="s">
        <v>2336</v>
      </c>
      <c r="F1302" s="55">
        <v>2000</v>
      </c>
      <c r="J1302" s="55" t="str">
        <f t="shared" si="82"/>
        <v>M10-2bn</v>
      </c>
    </row>
    <row r="1303" spans="1:10" hidden="1">
      <c r="A1303" s="1797" t="s">
        <v>834</v>
      </c>
      <c r="C1303" s="1797" t="s">
        <v>2358</v>
      </c>
      <c r="D1303" s="55" t="s">
        <v>2336</v>
      </c>
      <c r="F1303" s="55">
        <v>2000</v>
      </c>
      <c r="J1303" s="55" t="str">
        <f t="shared" si="82"/>
        <v>M10-2a</v>
      </c>
    </row>
    <row r="1304" spans="1:10" hidden="1">
      <c r="A1304" s="1797" t="s">
        <v>762</v>
      </c>
      <c r="C1304" s="1797" t="s">
        <v>2359</v>
      </c>
      <c r="D1304" s="55" t="s">
        <v>2336</v>
      </c>
      <c r="F1304" s="55">
        <v>2000</v>
      </c>
      <c r="J1304" s="55" t="str">
        <f t="shared" si="82"/>
        <v>M10-2b</v>
      </c>
    </row>
    <row r="1305" spans="1:10" hidden="1">
      <c r="A1305" s="1797" t="s">
        <v>219</v>
      </c>
      <c r="C1305" s="1797" t="s">
        <v>2360</v>
      </c>
      <c r="D1305" s="55" t="s">
        <v>2336</v>
      </c>
      <c r="F1305" s="55">
        <v>2000</v>
      </c>
      <c r="J1305" s="55" t="str">
        <f t="shared" si="82"/>
        <v>M12</v>
      </c>
    </row>
    <row r="1306" spans="1:10" hidden="1">
      <c r="A1306" s="1797" t="s">
        <v>303</v>
      </c>
      <c r="C1306" s="1797" t="s">
        <v>2361</v>
      </c>
      <c r="D1306" s="55" t="s">
        <v>2336</v>
      </c>
      <c r="F1306" s="55">
        <v>2000</v>
      </c>
      <c r="J1306" s="55" t="str">
        <f t="shared" si="82"/>
        <v>M12a</v>
      </c>
    </row>
    <row r="1307" spans="1:10" hidden="1">
      <c r="A1307" s="1797" t="s">
        <v>2271</v>
      </c>
      <c r="C1307" s="1797" t="s">
        <v>2362</v>
      </c>
      <c r="D1307" s="55" t="s">
        <v>2336</v>
      </c>
      <c r="F1307" s="55">
        <v>2000</v>
      </c>
      <c r="J1307" s="55" t="str">
        <f t="shared" si="82"/>
        <v>M12b</v>
      </c>
    </row>
    <row r="1308" spans="1:10" hidden="1">
      <c r="A1308" s="1797" t="s">
        <v>304</v>
      </c>
      <c r="C1308" s="1797" t="s">
        <v>2363</v>
      </c>
      <c r="D1308" s="55" t="s">
        <v>2336</v>
      </c>
      <c r="F1308" s="55">
        <v>2000</v>
      </c>
      <c r="J1308" s="55" t="str">
        <f t="shared" si="82"/>
        <v>M12aa</v>
      </c>
    </row>
    <row r="1309" spans="1:10" hidden="1">
      <c r="A1309" s="1797" t="s">
        <v>638</v>
      </c>
      <c r="C1309" s="1797" t="s">
        <v>2364</v>
      </c>
      <c r="D1309" s="55" t="s">
        <v>2336</v>
      </c>
      <c r="F1309" s="55">
        <v>2000</v>
      </c>
      <c r="J1309" s="55" t="str">
        <f t="shared" si="82"/>
        <v>M12ba</v>
      </c>
    </row>
    <row r="1310" spans="1:10" hidden="1">
      <c r="A1310" s="1797" t="s">
        <v>647</v>
      </c>
      <c r="C1310" s="1797" t="s">
        <v>2365</v>
      </c>
      <c r="D1310" s="55" t="s">
        <v>2336</v>
      </c>
      <c r="F1310" s="55">
        <v>2000</v>
      </c>
      <c r="J1310" s="55" t="str">
        <f t="shared" si="82"/>
        <v>M12bb</v>
      </c>
    </row>
    <row r="1311" spans="1:10" hidden="1">
      <c r="A1311" s="1797" t="s">
        <v>511</v>
      </c>
      <c r="C1311" s="1797" t="s">
        <v>2366</v>
      </c>
      <c r="D1311" s="55" t="s">
        <v>2336</v>
      </c>
      <c r="F1311" s="55">
        <v>2000</v>
      </c>
      <c r="J1311" s="55" t="str">
        <f t="shared" si="82"/>
        <v>M12-2bn</v>
      </c>
    </row>
    <row r="1312" spans="1:10" hidden="1">
      <c r="A1312" s="1797" t="s">
        <v>646</v>
      </c>
      <c r="C1312" s="1797" t="s">
        <v>2367</v>
      </c>
      <c r="D1312" s="55" t="s">
        <v>2336</v>
      </c>
      <c r="F1312" s="55">
        <v>2000</v>
      </c>
      <c r="J1312" s="55" t="str">
        <f t="shared" si="82"/>
        <v>M12-2a</v>
      </c>
    </row>
    <row r="1313" spans="1:10" hidden="1">
      <c r="A1313" s="1797" t="s">
        <v>1907</v>
      </c>
      <c r="C1313" s="1797" t="s">
        <v>2368</v>
      </c>
      <c r="D1313" s="55" t="s">
        <v>2336</v>
      </c>
      <c r="F1313" s="55">
        <v>2000</v>
      </c>
      <c r="J1313" s="55" t="str">
        <f t="shared" si="82"/>
        <v>M12-2b</v>
      </c>
    </row>
    <row r="1314" spans="1:10" hidden="1">
      <c r="A1314" s="1797" t="s">
        <v>2188</v>
      </c>
      <c r="C1314" s="1797" t="s">
        <v>2369</v>
      </c>
      <c r="D1314" s="55" t="s">
        <v>2336</v>
      </c>
      <c r="F1314" s="55">
        <v>2000</v>
      </c>
      <c r="J1314" s="55" t="str">
        <f t="shared" si="82"/>
        <v>M12b-aa(hh)</v>
      </c>
    </row>
    <row r="1315" spans="1:10" hidden="1">
      <c r="A1315" s="1797" t="s">
        <v>500</v>
      </c>
      <c r="C1315" s="1797" t="s">
        <v>2370</v>
      </c>
      <c r="D1315" s="55" t="s">
        <v>2336</v>
      </c>
      <c r="F1315" s="55">
        <v>2000</v>
      </c>
      <c r="J1315" s="55" t="str">
        <f t="shared" si="82"/>
        <v>M12b-2a(hh)</v>
      </c>
    </row>
    <row r="1316" spans="1:10" hidden="1">
      <c r="A1316" s="1797" t="s">
        <v>2312</v>
      </c>
      <c r="C1316" s="1797" t="s">
        <v>2371</v>
      </c>
      <c r="D1316" s="55" t="s">
        <v>2336</v>
      </c>
      <c r="F1316" s="55">
        <v>2000</v>
      </c>
      <c r="J1316" s="55" t="str">
        <f t="shared" si="82"/>
        <v>M12 PĐ</v>
      </c>
    </row>
    <row r="1317" spans="1:10" hidden="1">
      <c r="A1317" s="1797" t="s">
        <v>2313</v>
      </c>
      <c r="C1317" s="1797" t="s">
        <v>2372</v>
      </c>
      <c r="D1317" s="55" t="s">
        <v>2336</v>
      </c>
      <c r="F1317" s="55">
        <v>2000</v>
      </c>
      <c r="J1317" s="55" t="str">
        <f t="shared" si="82"/>
        <v>M12BT ĐƠN</v>
      </c>
    </row>
    <row r="1318" spans="1:10" hidden="1">
      <c r="A1318" s="1797" t="s">
        <v>2314</v>
      </c>
      <c r="C1318" s="1797" t="s">
        <v>2373</v>
      </c>
      <c r="D1318" s="55" t="s">
        <v>2336</v>
      </c>
      <c r="F1318" s="55">
        <v>2000</v>
      </c>
      <c r="J1318" s="55" t="str">
        <f t="shared" si="82"/>
        <v>M12BT ĐÔI</v>
      </c>
    </row>
    <row r="1319" spans="1:10" hidden="1">
      <c r="A1319" s="1797" t="s">
        <v>746</v>
      </c>
      <c r="C1319" s="1797" t="s">
        <v>2374</v>
      </c>
      <c r="D1319" s="55" t="s">
        <v>2336</v>
      </c>
      <c r="F1319" s="55">
        <v>2000</v>
      </c>
      <c r="J1319" s="55" t="str">
        <f t="shared" si="82"/>
        <v>M12 CN</v>
      </c>
    </row>
    <row r="1320" spans="1:10" hidden="1">
      <c r="A1320" s="1797" t="s">
        <v>2272</v>
      </c>
      <c r="C1320" s="1797" t="s">
        <v>2376</v>
      </c>
      <c r="D1320" s="55" t="s">
        <v>2336</v>
      </c>
      <c r="F1320" s="55">
        <v>2000</v>
      </c>
      <c r="J1320" s="55" t="str">
        <f t="shared" si="82"/>
        <v>M12BT P500</v>
      </c>
    </row>
    <row r="1321" spans="1:10" hidden="1">
      <c r="A1321" s="1797" t="s">
        <v>782</v>
      </c>
      <c r="C1321" s="1797" t="s">
        <v>2377</v>
      </c>
      <c r="D1321" s="55" t="s">
        <v>2336</v>
      </c>
      <c r="F1321" s="55">
        <v>2000</v>
      </c>
      <c r="J1321" s="55" t="str">
        <f t="shared" si="82"/>
        <v>M14</v>
      </c>
    </row>
    <row r="1322" spans="1:10" hidden="1">
      <c r="A1322" s="1797" t="s">
        <v>648</v>
      </c>
      <c r="C1322" s="1797" t="s">
        <v>2378</v>
      </c>
      <c r="D1322" s="55" t="s">
        <v>2336</v>
      </c>
      <c r="F1322" s="55">
        <v>2000</v>
      </c>
      <c r="J1322" s="55" t="str">
        <f t="shared" si="82"/>
        <v>M14a</v>
      </c>
    </row>
    <row r="1323" spans="1:10" hidden="1">
      <c r="A1323" s="1797" t="s">
        <v>752</v>
      </c>
      <c r="C1323" s="1797" t="s">
        <v>2379</v>
      </c>
      <c r="D1323" s="55" t="s">
        <v>2336</v>
      </c>
      <c r="F1323" s="55">
        <v>2000</v>
      </c>
      <c r="J1323" s="55" t="str">
        <f t="shared" si="82"/>
        <v>M14b</v>
      </c>
    </row>
    <row r="1324" spans="1:10" hidden="1">
      <c r="A1324" s="1797" t="s">
        <v>2315</v>
      </c>
      <c r="C1324" s="1797" t="s">
        <v>2380</v>
      </c>
      <c r="D1324" s="55" t="s">
        <v>2336</v>
      </c>
      <c r="F1324" s="55">
        <v>2000</v>
      </c>
      <c r="J1324" s="55" t="str">
        <f t="shared" si="82"/>
        <v>M14BT ĐƠN</v>
      </c>
    </row>
    <row r="1325" spans="1:10" hidden="1">
      <c r="A1325" s="1797" t="s">
        <v>649</v>
      </c>
      <c r="C1325" s="1797" t="s">
        <v>2381</v>
      </c>
      <c r="D1325" s="55" t="s">
        <v>2336</v>
      </c>
      <c r="F1325" s="55">
        <v>2000</v>
      </c>
      <c r="J1325" s="55" t="str">
        <f t="shared" si="82"/>
        <v>M14aa</v>
      </c>
    </row>
    <row r="1326" spans="1:10" hidden="1">
      <c r="A1326" s="1797" t="s">
        <v>483</v>
      </c>
      <c r="C1326" s="1797" t="s">
        <v>2382</v>
      </c>
      <c r="D1326" s="55" t="s">
        <v>2336</v>
      </c>
      <c r="F1326" s="55">
        <v>2000</v>
      </c>
      <c r="J1326" s="55" t="str">
        <f t="shared" si="82"/>
        <v>M14ba</v>
      </c>
    </row>
    <row r="1327" spans="1:10" hidden="1">
      <c r="A1327" s="1797" t="s">
        <v>484</v>
      </c>
      <c r="C1327" s="1797" t="s">
        <v>2383</v>
      </c>
      <c r="D1327" s="55" t="s">
        <v>2336</v>
      </c>
      <c r="F1327" s="55">
        <v>2000</v>
      </c>
      <c r="J1327" s="55" t="str">
        <f t="shared" si="82"/>
        <v>M14bb</v>
      </c>
    </row>
    <row r="1328" spans="1:10" hidden="1">
      <c r="A1328" s="1797" t="s">
        <v>285</v>
      </c>
      <c r="C1328" s="1797" t="s">
        <v>2384</v>
      </c>
      <c r="D1328" s="55" t="s">
        <v>2336</v>
      </c>
      <c r="F1328" s="55">
        <v>2000</v>
      </c>
      <c r="J1328" s="55" t="str">
        <f t="shared" si="82"/>
        <v>M14-2bn</v>
      </c>
    </row>
    <row r="1329" spans="1:10" hidden="1">
      <c r="A1329" s="1797" t="s">
        <v>650</v>
      </c>
      <c r="C1329" s="1797" t="s">
        <v>2385</v>
      </c>
      <c r="D1329" s="55" t="s">
        <v>2336</v>
      </c>
      <c r="F1329" s="55">
        <v>2000</v>
      </c>
      <c r="J1329" s="55" t="str">
        <f t="shared" si="82"/>
        <v>M14-2a</v>
      </c>
    </row>
    <row r="1330" spans="1:10" hidden="1">
      <c r="A1330" s="1797" t="s">
        <v>1647</v>
      </c>
      <c r="C1330" s="1797" t="s">
        <v>2386</v>
      </c>
      <c r="D1330" s="55" t="s">
        <v>2336</v>
      </c>
      <c r="F1330" s="55">
        <v>2000</v>
      </c>
      <c r="J1330" s="55" t="str">
        <f t="shared" si="82"/>
        <v>M14-2b</v>
      </c>
    </row>
    <row r="1331" spans="1:10" hidden="1">
      <c r="A1331" s="1797" t="s">
        <v>989</v>
      </c>
      <c r="C1331" s="1797" t="s">
        <v>2387</v>
      </c>
      <c r="D1331" s="55" t="s">
        <v>2336</v>
      </c>
      <c r="F1331" s="55">
        <v>2000</v>
      </c>
      <c r="J1331" s="55" t="str">
        <f t="shared" si="82"/>
        <v>M14-4b</v>
      </c>
    </row>
    <row r="1332" spans="1:10" hidden="1">
      <c r="A1332" s="1797" t="s">
        <v>312</v>
      </c>
      <c r="C1332" s="1797" t="s">
        <v>2388</v>
      </c>
      <c r="D1332" s="55" t="s">
        <v>2336</v>
      </c>
      <c r="F1332" s="55">
        <v>2000</v>
      </c>
      <c r="J1332" s="55" t="str">
        <f t="shared" si="82"/>
        <v>BTCL-14-500</v>
      </c>
    </row>
    <row r="1333" spans="1:10" hidden="1">
      <c r="A1333" s="1797" t="s">
        <v>893</v>
      </c>
      <c r="C1333" s="1797" t="s">
        <v>2389</v>
      </c>
      <c r="D1333" s="55" t="s">
        <v>2336</v>
      </c>
      <c r="F1333" s="55">
        <v>2000</v>
      </c>
      <c r="J1333" s="55" t="str">
        <f t="shared" si="82"/>
        <v>M20-4b</v>
      </c>
    </row>
    <row r="1334" spans="1:10" hidden="1">
      <c r="A1334" s="1797" t="s">
        <v>513</v>
      </c>
      <c r="C1334" s="1797" t="s">
        <v>2390</v>
      </c>
      <c r="D1334" s="55" t="s">
        <v>2391</v>
      </c>
      <c r="F1334" s="55">
        <v>2000</v>
      </c>
      <c r="J1334" s="55" t="str">
        <f t="shared" si="82"/>
        <v>MTUPP</v>
      </c>
    </row>
    <row r="1335" spans="1:10" hidden="1">
      <c r="A1335" s="1797" t="s">
        <v>549</v>
      </c>
      <c r="C1335" s="1797" t="s">
        <v>2392</v>
      </c>
      <c r="D1335" s="55" t="s">
        <v>2391</v>
      </c>
      <c r="F1335" s="55">
        <v>2000</v>
      </c>
      <c r="J1335" s="55" t="str">
        <f t="shared" si="82"/>
        <v>MTUCS</v>
      </c>
    </row>
    <row r="1336" spans="1:10" hidden="1">
      <c r="A1336" s="1797" t="s">
        <v>1567</v>
      </c>
      <c r="C1336" s="1797" t="s">
        <v>2393</v>
      </c>
      <c r="D1336" s="55" t="s">
        <v>2394</v>
      </c>
      <c r="F1336" s="55">
        <v>2000</v>
      </c>
      <c r="J1336" s="55" t="str">
        <f t="shared" si="82"/>
        <v>TD75</v>
      </c>
    </row>
    <row r="1337" spans="1:10" hidden="1">
      <c r="A1337" s="1797" t="s">
        <v>1568</v>
      </c>
      <c r="C1337" s="1797" t="s">
        <v>2396</v>
      </c>
      <c r="D1337" s="55" t="s">
        <v>2394</v>
      </c>
      <c r="F1337" s="55">
        <v>2000</v>
      </c>
      <c r="J1337" s="55" t="str">
        <f t="shared" si="82"/>
        <v>TD85</v>
      </c>
    </row>
    <row r="1338" spans="1:10" hidden="1">
      <c r="A1338" s="1797" t="s">
        <v>5</v>
      </c>
      <c r="C1338" s="1797" t="s">
        <v>4322</v>
      </c>
      <c r="D1338" s="55" t="s">
        <v>2394</v>
      </c>
      <c r="F1338" s="55">
        <v>2000</v>
      </c>
      <c r="J1338" s="55" t="str">
        <f t="shared" si="82"/>
        <v>TD85ABC</v>
      </c>
    </row>
    <row r="1339" spans="1:10" hidden="1">
      <c r="A1339" s="1797" t="s">
        <v>515</v>
      </c>
      <c r="C1339" s="1797" t="s">
        <v>2398</v>
      </c>
      <c r="D1339" s="55" t="s">
        <v>2394</v>
      </c>
      <c r="F1339" s="55">
        <v>2000</v>
      </c>
      <c r="J1339" s="55" t="str">
        <f t="shared" si="82"/>
        <v>TDTUPP</v>
      </c>
    </row>
    <row r="1340" spans="1:10" hidden="1">
      <c r="A1340" s="1797" t="s">
        <v>2150</v>
      </c>
      <c r="C1340" s="1797" t="s">
        <v>2399</v>
      </c>
      <c r="D1340" s="55" t="s">
        <v>2394</v>
      </c>
      <c r="F1340" s="55">
        <v>2000</v>
      </c>
      <c r="J1340" s="55" t="str">
        <f t="shared" si="82"/>
        <v>TDTT105</v>
      </c>
    </row>
    <row r="1341" spans="1:10" hidden="1">
      <c r="A1341" s="1797" t="s">
        <v>1642</v>
      </c>
      <c r="C1341" s="1797" t="s">
        <v>2400</v>
      </c>
      <c r="D1341" s="55" t="s">
        <v>2394</v>
      </c>
      <c r="F1341" s="55">
        <v>2000</v>
      </c>
      <c r="J1341" s="55" t="str">
        <f t="shared" si="82"/>
        <v>TDTT12</v>
      </c>
    </row>
    <row r="1342" spans="1:10" hidden="1">
      <c r="A1342" s="1797" t="s">
        <v>2243</v>
      </c>
      <c r="C1342" s="1797" t="s">
        <v>2401</v>
      </c>
      <c r="D1342" s="55" t="s">
        <v>2394</v>
      </c>
      <c r="F1342" s="55">
        <v>2000</v>
      </c>
      <c r="J1342" s="55" t="str">
        <f t="shared" si="82"/>
        <v>TDLL12</v>
      </c>
    </row>
    <row r="1343" spans="1:10" hidden="1">
      <c r="A1343" s="1797" t="s">
        <v>2056</v>
      </c>
      <c r="C1343" s="1797" t="s">
        <v>2402</v>
      </c>
      <c r="D1343" s="55" t="s">
        <v>2394</v>
      </c>
      <c r="F1343" s="55">
        <v>2000</v>
      </c>
      <c r="J1343" s="55" t="str">
        <f t="shared" si="82"/>
        <v>TDDD12</v>
      </c>
    </row>
    <row r="1344" spans="1:10" hidden="1">
      <c r="A1344" s="1797" t="s">
        <v>1643</v>
      </c>
      <c r="C1344" s="1797" t="s">
        <v>2403</v>
      </c>
      <c r="D1344" s="55" t="s">
        <v>2394</v>
      </c>
      <c r="F1344" s="55">
        <v>2000</v>
      </c>
      <c r="J1344" s="55" t="str">
        <f t="shared" si="82"/>
        <v>TDTT14</v>
      </c>
    </row>
    <row r="1345" spans="1:10" hidden="1">
      <c r="A1345" s="1797" t="s">
        <v>1990</v>
      </c>
      <c r="C1345" s="1797" t="s">
        <v>2404</v>
      </c>
      <c r="D1345" s="55" t="s">
        <v>2394</v>
      </c>
      <c r="F1345" s="55">
        <v>2000</v>
      </c>
      <c r="J1345" s="55" t="str">
        <f t="shared" si="82"/>
        <v>TDTT20</v>
      </c>
    </row>
    <row r="1346" spans="1:10" hidden="1">
      <c r="A1346" s="1797" t="s">
        <v>547</v>
      </c>
      <c r="C1346" s="1797" t="s">
        <v>2405</v>
      </c>
      <c r="D1346" s="55" t="s">
        <v>2394</v>
      </c>
      <c r="F1346" s="55">
        <v>2000</v>
      </c>
      <c r="J1346" s="55" t="str">
        <f t="shared" si="82"/>
        <v>TDMT</v>
      </c>
    </row>
    <row r="1347" spans="1:10" hidden="1">
      <c r="A1347" s="1797" t="s">
        <v>1056</v>
      </c>
      <c r="C1347" s="1797" t="s">
        <v>2406</v>
      </c>
      <c r="D1347" s="55" t="s">
        <v>2394</v>
      </c>
      <c r="F1347" s="55">
        <v>2000</v>
      </c>
      <c r="J1347" s="55" t="str">
        <f t="shared" si="82"/>
        <v>TDDD</v>
      </c>
    </row>
    <row r="1348" spans="1:10" hidden="1">
      <c r="A1348" s="1797" t="s">
        <v>956</v>
      </c>
      <c r="C1348" s="1797" t="s">
        <v>2407</v>
      </c>
      <c r="D1348" s="55" t="s">
        <v>2285</v>
      </c>
      <c r="F1348" s="55">
        <v>2000</v>
      </c>
      <c r="J1348" s="55" t="str">
        <f t="shared" si="82"/>
        <v>TRUTHEP</v>
      </c>
    </row>
    <row r="1349" spans="1:10" hidden="1">
      <c r="A1349" s="1797" t="s">
        <v>233</v>
      </c>
      <c r="C1349" s="1797" t="s">
        <v>2408</v>
      </c>
      <c r="D1349" s="55" t="s">
        <v>2285</v>
      </c>
      <c r="F1349" s="55">
        <v>2000</v>
      </c>
      <c r="J1349" s="55" t="str">
        <f t="shared" si="82"/>
        <v>BTLT 7.5</v>
      </c>
    </row>
    <row r="1350" spans="1:10" hidden="1">
      <c r="A1350" s="1797" t="s">
        <v>232</v>
      </c>
      <c r="C1350" s="1797" t="s">
        <v>4587</v>
      </c>
      <c r="D1350" s="55" t="s">
        <v>2285</v>
      </c>
      <c r="F1350" s="55">
        <v>2000</v>
      </c>
      <c r="J1350" s="55" t="str">
        <f t="shared" si="82"/>
        <v>BTLT 8.5</v>
      </c>
    </row>
    <row r="1351" spans="1:10" hidden="1">
      <c r="A1351" s="1797" t="s">
        <v>4588</v>
      </c>
      <c r="C1351" s="1797" t="s">
        <v>2409</v>
      </c>
      <c r="D1351" s="55" t="s">
        <v>2285</v>
      </c>
      <c r="F1351" s="55">
        <v>2000</v>
      </c>
      <c r="J1351" s="55" t="str">
        <f t="shared" si="82"/>
        <v xml:space="preserve">BTLT 8.4 </v>
      </c>
    </row>
    <row r="1352" spans="1:10" hidden="1">
      <c r="A1352" s="1797" t="s">
        <v>185</v>
      </c>
      <c r="C1352" s="1797" t="s">
        <v>2410</v>
      </c>
      <c r="D1352" s="55" t="s">
        <v>2285</v>
      </c>
      <c r="F1352" s="55">
        <v>2000</v>
      </c>
      <c r="J1352" s="55" t="str">
        <f t="shared" si="82"/>
        <v>BTLT 8.4TD</v>
      </c>
    </row>
    <row r="1353" spans="1:10" hidden="1">
      <c r="A1353" s="1797" t="s">
        <v>1635</v>
      </c>
      <c r="C1353" s="1797" t="s">
        <v>2411</v>
      </c>
      <c r="D1353" s="55" t="s">
        <v>2285</v>
      </c>
      <c r="F1353" s="55">
        <v>2000</v>
      </c>
      <c r="J1353" s="55" t="str">
        <f t="shared" si="82"/>
        <v>N-BTLT 8.4</v>
      </c>
    </row>
    <row r="1354" spans="1:10" hidden="1">
      <c r="A1354" s="1797" t="s">
        <v>510</v>
      </c>
      <c r="C1354" s="1797" t="s">
        <v>2414</v>
      </c>
      <c r="D1354" s="55" t="s">
        <v>2285</v>
      </c>
      <c r="F1354" s="55">
        <v>2000</v>
      </c>
      <c r="J1354" s="55" t="str">
        <f t="shared" si="82"/>
        <v>N-T-BTLT 8.4</v>
      </c>
    </row>
    <row r="1355" spans="1:10" hidden="1">
      <c r="A1355" s="1797" t="s">
        <v>300</v>
      </c>
      <c r="C1355" s="1797" t="s">
        <v>2415</v>
      </c>
      <c r="D1355" s="55" t="s">
        <v>2285</v>
      </c>
      <c r="F1355" s="55">
        <v>2000</v>
      </c>
      <c r="J1355" s="55" t="str">
        <f t="shared" ref="J1355:J1418" si="83">A1355</f>
        <v>BTLT 10.5</v>
      </c>
    </row>
    <row r="1356" spans="1:10" hidden="1">
      <c r="A1356" s="1797" t="s">
        <v>370</v>
      </c>
      <c r="C1356" s="1797" t="s">
        <v>2416</v>
      </c>
      <c r="D1356" s="55" t="s">
        <v>2285</v>
      </c>
      <c r="F1356" s="55">
        <v>2000</v>
      </c>
      <c r="J1356" s="55" t="str">
        <f t="shared" si="83"/>
        <v>N-BTLT 10.5</v>
      </c>
    </row>
    <row r="1357" spans="1:10" hidden="1">
      <c r="A1357" s="1797" t="s">
        <v>1188</v>
      </c>
      <c r="C1357" s="1797" t="s">
        <v>2418</v>
      </c>
      <c r="D1357" s="55" t="s">
        <v>2285</v>
      </c>
      <c r="F1357" s="55">
        <v>2000</v>
      </c>
      <c r="J1357" s="55" t="str">
        <f t="shared" si="83"/>
        <v>BTLT 12 TC</v>
      </c>
    </row>
    <row r="1358" spans="1:10" hidden="1">
      <c r="A1358" s="1797" t="s">
        <v>301</v>
      </c>
      <c r="C1358" s="1797" t="s">
        <v>2419</v>
      </c>
      <c r="D1358" s="55" t="s">
        <v>2285</v>
      </c>
      <c r="F1358" s="55">
        <v>2000</v>
      </c>
      <c r="J1358" s="55" t="str">
        <f t="shared" si="83"/>
        <v>BTLT 12</v>
      </c>
    </row>
    <row r="1359" spans="1:10" hidden="1">
      <c r="A1359" s="1797" t="s">
        <v>2316</v>
      </c>
      <c r="C1359" s="1797" t="s">
        <v>2420</v>
      </c>
      <c r="D1359" s="55" t="s">
        <v>2285</v>
      </c>
      <c r="F1359" s="55">
        <v>2000</v>
      </c>
      <c r="J1359" s="55" t="str">
        <f t="shared" si="83"/>
        <v>BTLT 12 TĐ</v>
      </c>
    </row>
    <row r="1360" spans="1:10" hidden="1">
      <c r="A1360" s="1797" t="s">
        <v>302</v>
      </c>
      <c r="C1360" s="1797" t="s">
        <v>2422</v>
      </c>
      <c r="D1360" s="55" t="s">
        <v>2285</v>
      </c>
      <c r="F1360" s="55">
        <v>2000</v>
      </c>
      <c r="J1360" s="55" t="str">
        <f t="shared" si="83"/>
        <v>BTLT 14</v>
      </c>
    </row>
    <row r="1361" spans="1:10" hidden="1">
      <c r="A1361" s="1797" t="s">
        <v>761</v>
      </c>
      <c r="C1361" s="1797" t="s">
        <v>2423</v>
      </c>
      <c r="D1361" s="55" t="s">
        <v>2285</v>
      </c>
      <c r="F1361" s="55">
        <v>2000</v>
      </c>
      <c r="J1361" s="55" t="str">
        <f t="shared" si="83"/>
        <v>BTLT 20</v>
      </c>
    </row>
    <row r="1362" spans="1:10" hidden="1">
      <c r="A1362" s="1797" t="s">
        <v>361</v>
      </c>
      <c r="C1362" s="1797" t="s">
        <v>2462</v>
      </c>
      <c r="D1362" s="55" t="s">
        <v>2394</v>
      </c>
      <c r="F1362" s="55">
        <v>2000</v>
      </c>
      <c r="G1362" s="55" t="s">
        <v>512</v>
      </c>
      <c r="J1362" s="55" t="str">
        <f t="shared" si="83"/>
        <v>X-24COMPOSITE</v>
      </c>
    </row>
    <row r="1363" spans="1:10" hidden="1">
      <c r="A1363" s="1797" t="s">
        <v>2317</v>
      </c>
      <c r="C1363" s="1797" t="s">
        <v>2424</v>
      </c>
      <c r="D1363" s="55" t="s">
        <v>2394</v>
      </c>
      <c r="F1363" s="55">
        <v>2000</v>
      </c>
      <c r="J1363" s="55" t="str">
        <f t="shared" si="83"/>
        <v>X-1,66Đ</v>
      </c>
    </row>
    <row r="1364" spans="1:10" hidden="1">
      <c r="A1364" s="1797" t="s">
        <v>1296</v>
      </c>
      <c r="C1364" s="1797" t="s">
        <v>2425</v>
      </c>
      <c r="D1364" s="55" t="s">
        <v>2394</v>
      </c>
      <c r="F1364" s="55">
        <v>2000</v>
      </c>
      <c r="J1364" s="55" t="str">
        <f t="shared" si="83"/>
        <v>X-1,66K</v>
      </c>
    </row>
    <row r="1365" spans="1:10" hidden="1">
      <c r="A1365" s="1797" t="s">
        <v>2303</v>
      </c>
      <c r="C1365" s="1797" t="s">
        <v>4356</v>
      </c>
      <c r="D1365" s="55" t="s">
        <v>2394</v>
      </c>
      <c r="F1365" s="55">
        <v>2000</v>
      </c>
      <c r="J1365" s="55" t="str">
        <f t="shared" si="83"/>
        <v>X-22K-Đ</v>
      </c>
    </row>
    <row r="1366" spans="1:10" hidden="1">
      <c r="A1366" s="1797" t="s">
        <v>2299</v>
      </c>
      <c r="C1366" s="1797" t="s">
        <v>2426</v>
      </c>
      <c r="D1366" s="55" t="s">
        <v>2394</v>
      </c>
      <c r="F1366" s="55">
        <v>2000</v>
      </c>
      <c r="J1366" s="55" t="str">
        <f t="shared" si="83"/>
        <v>X-20Đ</v>
      </c>
    </row>
    <row r="1367" spans="1:10" hidden="1">
      <c r="A1367" s="1797" t="s">
        <v>911</v>
      </c>
      <c r="C1367" s="1797" t="s">
        <v>2427</v>
      </c>
      <c r="D1367" s="55" t="s">
        <v>2394</v>
      </c>
      <c r="F1367" s="55">
        <v>2000</v>
      </c>
      <c r="J1367" s="55" t="str">
        <f t="shared" si="83"/>
        <v>X-20K</v>
      </c>
    </row>
    <row r="1368" spans="1:10" hidden="1">
      <c r="A1368" s="1797" t="s">
        <v>2302</v>
      </c>
      <c r="C1368" s="1797" t="s">
        <v>2428</v>
      </c>
      <c r="D1368" s="55" t="s">
        <v>2394</v>
      </c>
      <c r="F1368" s="55">
        <v>2000</v>
      </c>
      <c r="J1368" s="55" t="str">
        <f t="shared" si="83"/>
        <v>X-22Đ</v>
      </c>
    </row>
    <row r="1369" spans="1:10" hidden="1">
      <c r="A1369" s="1797" t="s">
        <v>2318</v>
      </c>
      <c r="C1369" s="1797" t="s">
        <v>2430</v>
      </c>
      <c r="D1369" s="55" t="s">
        <v>2394</v>
      </c>
      <c r="F1369" s="55">
        <v>2000</v>
      </c>
      <c r="J1369" s="55" t="str">
        <f t="shared" si="83"/>
        <v>X-22Đ - C920</v>
      </c>
    </row>
    <row r="1370" spans="1:10" hidden="1">
      <c r="A1370" s="1797" t="s">
        <v>1084</v>
      </c>
      <c r="C1370" s="1797" t="s">
        <v>2431</v>
      </c>
      <c r="D1370" s="55" t="s">
        <v>2394</v>
      </c>
      <c r="F1370" s="55">
        <v>2000</v>
      </c>
      <c r="J1370" s="55" t="str">
        <f t="shared" si="83"/>
        <v>TL X-21K</v>
      </c>
    </row>
    <row r="1371" spans="1:10" hidden="1">
      <c r="A1371" s="1797" t="s">
        <v>533</v>
      </c>
      <c r="C1371" s="1797" t="s">
        <v>2432</v>
      </c>
      <c r="D1371" s="55" t="s">
        <v>2394</v>
      </c>
      <c r="F1371" s="55">
        <v>2000</v>
      </c>
      <c r="J1371" s="55" t="str">
        <f t="shared" si="83"/>
        <v>X-22K-K</v>
      </c>
    </row>
    <row r="1372" spans="1:10" hidden="1">
      <c r="A1372" s="1797" t="s">
        <v>1114</v>
      </c>
      <c r="C1372" s="1797" t="s">
        <v>2433</v>
      </c>
      <c r="D1372" s="55" t="s">
        <v>2394</v>
      </c>
      <c r="F1372" s="55">
        <v>2000</v>
      </c>
      <c r="J1372" s="55" t="str">
        <f t="shared" si="83"/>
        <v>X-22K - C920</v>
      </c>
    </row>
    <row r="1373" spans="1:10" hidden="1">
      <c r="A1373" s="1797" t="s">
        <v>2304</v>
      </c>
      <c r="C1373" s="1797" t="s">
        <v>2434</v>
      </c>
      <c r="D1373" s="55" t="s">
        <v>2394</v>
      </c>
      <c r="F1373" s="55">
        <v>2000</v>
      </c>
      <c r="J1373" s="55" t="str">
        <f t="shared" si="83"/>
        <v>X-24Đ</v>
      </c>
    </row>
    <row r="1374" spans="1:10" hidden="1">
      <c r="A1374" s="1797" t="s">
        <v>912</v>
      </c>
      <c r="C1374" s="1797" t="s">
        <v>2435</v>
      </c>
      <c r="D1374" s="55" t="s">
        <v>2394</v>
      </c>
      <c r="F1374" s="55">
        <v>2000</v>
      </c>
      <c r="J1374" s="55" t="str">
        <f t="shared" si="83"/>
        <v>X-24K</v>
      </c>
    </row>
    <row r="1375" spans="1:10" hidden="1">
      <c r="A1375" s="1797" t="s">
        <v>715</v>
      </c>
      <c r="C1375" s="1797" t="s">
        <v>2436</v>
      </c>
      <c r="D1375" s="55" t="s">
        <v>2394</v>
      </c>
      <c r="F1375" s="55">
        <v>2000</v>
      </c>
      <c r="J1375" s="55" t="str">
        <f t="shared" si="83"/>
        <v>TL X-26K</v>
      </c>
    </row>
    <row r="1376" spans="1:10" hidden="1">
      <c r="A1376" s="1797" t="s">
        <v>2305</v>
      </c>
      <c r="C1376" s="1797" t="s">
        <v>2437</v>
      </c>
      <c r="D1376" s="55" t="s">
        <v>2394</v>
      </c>
      <c r="F1376" s="55">
        <v>2000</v>
      </c>
      <c r="J1376" s="55" t="str">
        <f t="shared" si="83"/>
        <v>X-8ĐL</v>
      </c>
    </row>
    <row r="1377" spans="1:10" hidden="1">
      <c r="A1377" s="1797" t="s">
        <v>344</v>
      </c>
      <c r="C1377" s="1797" t="s">
        <v>2438</v>
      </c>
      <c r="D1377" s="55" t="s">
        <v>2394</v>
      </c>
      <c r="F1377" s="55">
        <v>2000</v>
      </c>
      <c r="J1377" s="55" t="str">
        <f t="shared" si="83"/>
        <v>X-8KL</v>
      </c>
    </row>
    <row r="1378" spans="1:10" hidden="1">
      <c r="A1378" s="1797" t="s">
        <v>2300</v>
      </c>
      <c r="C1378" s="1797" t="s">
        <v>2439</v>
      </c>
      <c r="D1378" s="55" t="s">
        <v>2394</v>
      </c>
      <c r="F1378" s="55">
        <v>2000</v>
      </c>
      <c r="J1378" s="55" t="str">
        <f t="shared" si="83"/>
        <v>X-21ĐL</v>
      </c>
    </row>
    <row r="1379" spans="1:10" hidden="1">
      <c r="A1379" s="1797" t="s">
        <v>895</v>
      </c>
      <c r="C1379" s="1797" t="s">
        <v>2440</v>
      </c>
      <c r="D1379" s="55" t="s">
        <v>2394</v>
      </c>
      <c r="F1379" s="55">
        <v>2000</v>
      </c>
      <c r="J1379" s="55" t="str">
        <f t="shared" si="83"/>
        <v>X-21KL</v>
      </c>
    </row>
    <row r="1380" spans="1:10" hidden="1">
      <c r="A1380" s="1797" t="s">
        <v>2301</v>
      </c>
      <c r="C1380" s="1797" t="s">
        <v>2441</v>
      </c>
      <c r="D1380" s="55" t="s">
        <v>2394</v>
      </c>
      <c r="F1380" s="55">
        <v>2000</v>
      </c>
      <c r="J1380" s="55" t="str">
        <f t="shared" si="83"/>
        <v>X-20ĐL2/3</v>
      </c>
    </row>
    <row r="1381" spans="1:10" hidden="1">
      <c r="A1381" s="1797" t="s">
        <v>2127</v>
      </c>
      <c r="C1381" s="1797" t="s">
        <v>2442</v>
      </c>
      <c r="D1381" s="55" t="s">
        <v>2394</v>
      </c>
      <c r="F1381" s="55">
        <v>2000</v>
      </c>
      <c r="J1381" s="55" t="str">
        <f t="shared" si="83"/>
        <v>X-20KL2/3</v>
      </c>
    </row>
    <row r="1382" spans="1:10" hidden="1">
      <c r="A1382" s="1797" t="s">
        <v>2306</v>
      </c>
      <c r="C1382" s="1797" t="s">
        <v>2443</v>
      </c>
      <c r="D1382" s="55" t="s">
        <v>2394</v>
      </c>
      <c r="F1382" s="55">
        <v>2000</v>
      </c>
      <c r="J1382" s="55" t="str">
        <f t="shared" si="83"/>
        <v>X-24ĐP</v>
      </c>
    </row>
    <row r="1383" spans="1:10" hidden="1">
      <c r="A1383" s="1797" t="s">
        <v>213</v>
      </c>
      <c r="C1383" s="1797" t="s">
        <v>2444</v>
      </c>
      <c r="D1383" s="55" t="s">
        <v>2394</v>
      </c>
      <c r="F1383" s="55">
        <v>2000</v>
      </c>
      <c r="J1383" s="55" t="str">
        <f t="shared" si="83"/>
        <v>X-24KP</v>
      </c>
    </row>
    <row r="1384" spans="1:10" hidden="1">
      <c r="A1384" s="1797" t="s">
        <v>2319</v>
      </c>
      <c r="C1384" s="1797" t="s">
        <v>2445</v>
      </c>
      <c r="D1384" s="55" t="s">
        <v>2394</v>
      </c>
      <c r="F1384" s="55">
        <v>2000</v>
      </c>
      <c r="J1384" s="55" t="str">
        <f t="shared" si="83"/>
        <v>X-26ĐP</v>
      </c>
    </row>
    <row r="1385" spans="1:10" hidden="1">
      <c r="A1385" s="1797" t="s">
        <v>1506</v>
      </c>
      <c r="C1385" s="1797" t="s">
        <v>2454</v>
      </c>
      <c r="D1385" s="55" t="s">
        <v>2394</v>
      </c>
      <c r="F1385" s="55">
        <v>2000</v>
      </c>
      <c r="J1385" s="55" t="str">
        <f t="shared" si="83"/>
        <v>X-26KP</v>
      </c>
    </row>
    <row r="1386" spans="1:10" hidden="1">
      <c r="A1386" s="1797" t="s">
        <v>1579</v>
      </c>
      <c r="C1386" s="1797" t="s">
        <v>2456</v>
      </c>
      <c r="D1386" s="55" t="s">
        <v>2394</v>
      </c>
      <c r="F1386" s="55">
        <v>2000</v>
      </c>
      <c r="J1386" s="55" t="str">
        <f t="shared" si="83"/>
        <v>X-28KP</v>
      </c>
    </row>
    <row r="1387" spans="1:10" hidden="1">
      <c r="A1387" s="1797" t="s">
        <v>105</v>
      </c>
      <c r="C1387" s="1797" t="s">
        <v>2458</v>
      </c>
      <c r="D1387" s="55" t="s">
        <v>2394</v>
      </c>
      <c r="F1387" s="55">
        <v>2000</v>
      </c>
      <c r="J1387" s="55" t="str">
        <f t="shared" si="83"/>
        <v>X-30KP</v>
      </c>
    </row>
    <row r="1388" spans="1:10" hidden="1">
      <c r="A1388" s="1797" t="s">
        <v>2307</v>
      </c>
      <c r="C1388" s="1797" t="s">
        <v>2459</v>
      </c>
      <c r="D1388" s="55" t="s">
        <v>2394</v>
      </c>
      <c r="F1388" s="55">
        <v>2000</v>
      </c>
      <c r="J1388" s="55" t="str">
        <f t="shared" si="83"/>
        <v>X-38Đ</v>
      </c>
    </row>
    <row r="1389" spans="1:10" hidden="1">
      <c r="A1389" s="1797" t="s">
        <v>809</v>
      </c>
      <c r="C1389" s="1797" t="s">
        <v>2460</v>
      </c>
      <c r="D1389" s="55" t="s">
        <v>2394</v>
      </c>
      <c r="F1389" s="55">
        <v>2000</v>
      </c>
      <c r="J1389" s="55" t="str">
        <f t="shared" si="83"/>
        <v>X-42KP</v>
      </c>
    </row>
    <row r="1390" spans="1:10" hidden="1">
      <c r="A1390" s="1797" t="s">
        <v>1874</v>
      </c>
      <c r="C1390" s="1797" t="s">
        <v>2461</v>
      </c>
      <c r="D1390" s="55" t="s">
        <v>2394</v>
      </c>
      <c r="F1390" s="55">
        <v>2000</v>
      </c>
      <c r="J1390" s="55" t="str">
        <f t="shared" si="83"/>
        <v>X-24KP500</v>
      </c>
    </row>
    <row r="1391" spans="1:10" hidden="1">
      <c r="A1391" s="1797" t="s">
        <v>808</v>
      </c>
      <c r="C1391" s="1797" t="s">
        <v>2463</v>
      </c>
      <c r="D1391" s="55" t="s">
        <v>2394</v>
      </c>
      <c r="F1391" s="55">
        <v>2000</v>
      </c>
      <c r="J1391" s="55" t="str">
        <f t="shared" si="83"/>
        <v>G-20KP</v>
      </c>
    </row>
    <row r="1392" spans="1:10" hidden="1">
      <c r="A1392" s="1797" t="s">
        <v>807</v>
      </c>
      <c r="C1392" s="1797" t="s">
        <v>2464</v>
      </c>
      <c r="D1392" s="55" t="s">
        <v>2394</v>
      </c>
      <c r="F1392" s="55">
        <v>2000</v>
      </c>
      <c r="J1392" s="55" t="str">
        <f t="shared" si="83"/>
        <v>G-23KP</v>
      </c>
    </row>
    <row r="1393" spans="1:10" hidden="1">
      <c r="A1393" s="1797" t="s">
        <v>1571</v>
      </c>
      <c r="C1393" s="1797" t="s">
        <v>2465</v>
      </c>
      <c r="D1393" s="55" t="s">
        <v>2394</v>
      </c>
      <c r="F1393" s="55">
        <v>2000</v>
      </c>
      <c r="J1393" s="55" t="str">
        <f t="shared" si="83"/>
        <v>G-720</v>
      </c>
    </row>
    <row r="1394" spans="1:10" hidden="1">
      <c r="A1394" s="1797" t="s">
        <v>1197</v>
      </c>
      <c r="C1394" s="1797" t="s">
        <v>2466</v>
      </c>
      <c r="D1394" s="55" t="s">
        <v>2394</v>
      </c>
      <c r="F1394" s="55">
        <v>2000</v>
      </c>
      <c r="J1394" s="55" t="str">
        <f t="shared" si="83"/>
        <v>CODE th-Þ240</v>
      </c>
    </row>
    <row r="1395" spans="1:10" hidden="1">
      <c r="A1395" s="1797" t="s">
        <v>633</v>
      </c>
      <c r="C1395" s="1797" t="s">
        <v>2467</v>
      </c>
      <c r="D1395" s="55" t="s">
        <v>2394</v>
      </c>
      <c r="F1395" s="55">
        <v>2000</v>
      </c>
      <c r="J1395" s="55" t="str">
        <f t="shared" si="83"/>
        <v>CX-ht</v>
      </c>
    </row>
    <row r="1396" spans="1:10" hidden="1">
      <c r="A1396" s="1797" t="s">
        <v>205</v>
      </c>
      <c r="C1396" s="1797" t="s">
        <v>2468</v>
      </c>
      <c r="D1396" s="55" t="s">
        <v>2394</v>
      </c>
      <c r="F1396" s="55">
        <v>2000</v>
      </c>
      <c r="J1396" s="55" t="str">
        <f t="shared" si="83"/>
        <v>T CL-ht</v>
      </c>
    </row>
    <row r="1397" spans="1:10" hidden="1">
      <c r="A1397" s="1797" t="s">
        <v>632</v>
      </c>
      <c r="C1397" s="1797" t="s">
        <v>2471</v>
      </c>
      <c r="D1397" s="55" t="s">
        <v>2394</v>
      </c>
      <c r="F1397" s="55">
        <v>2000</v>
      </c>
      <c r="J1397" s="55" t="str">
        <f t="shared" si="83"/>
        <v>CL-ht</v>
      </c>
    </row>
    <row r="1398" spans="1:10" hidden="1">
      <c r="A1398" s="1797" t="s">
        <v>837</v>
      </c>
      <c r="C1398" s="1797" t="s">
        <v>2472</v>
      </c>
      <c r="D1398" s="55" t="s">
        <v>2394</v>
      </c>
      <c r="F1398" s="55">
        <v>2000</v>
      </c>
      <c r="J1398" s="55" t="str">
        <f t="shared" si="83"/>
        <v>CX10-B</v>
      </c>
    </row>
    <row r="1399" spans="1:10" hidden="1">
      <c r="A1399" s="1797" t="s">
        <v>838</v>
      </c>
      <c r="C1399" s="1797" t="s">
        <v>2473</v>
      </c>
      <c r="D1399" s="55" t="s">
        <v>2394</v>
      </c>
      <c r="F1399" s="55">
        <v>2000</v>
      </c>
      <c r="J1399" s="55" t="str">
        <f t="shared" si="83"/>
        <v>CL10-B</v>
      </c>
    </row>
    <row r="1400" spans="1:10" hidden="1">
      <c r="A1400" s="1797" t="s">
        <v>839</v>
      </c>
      <c r="C1400" s="1797" t="s">
        <v>2474</v>
      </c>
      <c r="D1400" s="55" t="s">
        <v>2394</v>
      </c>
      <c r="F1400" s="55">
        <v>2000</v>
      </c>
      <c r="J1400" s="55" t="str">
        <f t="shared" si="83"/>
        <v>CXX10-B</v>
      </c>
    </row>
    <row r="1401" spans="1:10" hidden="1">
      <c r="A1401" s="1797" t="s">
        <v>1275</v>
      </c>
      <c r="C1401" s="1797" t="s">
        <v>2475</v>
      </c>
      <c r="D1401" s="55" t="s">
        <v>2394</v>
      </c>
      <c r="F1401" s="55">
        <v>2000</v>
      </c>
      <c r="J1401" s="55" t="str">
        <f t="shared" si="83"/>
        <v>T CX12-B</v>
      </c>
    </row>
    <row r="1402" spans="1:10" hidden="1">
      <c r="A1402" s="1797" t="s">
        <v>663</v>
      </c>
      <c r="C1402" s="1797" t="s">
        <v>2476</v>
      </c>
      <c r="D1402" s="55" t="s">
        <v>2394</v>
      </c>
      <c r="F1402" s="55">
        <v>2000</v>
      </c>
      <c r="J1402" s="55" t="str">
        <f t="shared" si="83"/>
        <v>CX12-B</v>
      </c>
    </row>
    <row r="1403" spans="1:10" hidden="1">
      <c r="A1403" s="1797" t="s">
        <v>195</v>
      </c>
      <c r="C1403" s="1797" t="s">
        <v>2478</v>
      </c>
      <c r="D1403" s="55" t="s">
        <v>2394</v>
      </c>
      <c r="F1403" s="55">
        <v>2000</v>
      </c>
      <c r="J1403" s="55" t="str">
        <f t="shared" si="83"/>
        <v>T CL12-B</v>
      </c>
    </row>
    <row r="1404" spans="1:10" hidden="1">
      <c r="A1404" s="1797" t="s">
        <v>664</v>
      </c>
      <c r="C1404" s="1797" t="s">
        <v>2479</v>
      </c>
      <c r="D1404" s="55" t="s">
        <v>2394</v>
      </c>
      <c r="F1404" s="55">
        <v>2000</v>
      </c>
      <c r="J1404" s="55" t="str">
        <f t="shared" si="83"/>
        <v>CL12-B</v>
      </c>
    </row>
    <row r="1405" spans="1:10" hidden="1">
      <c r="A1405" s="1797" t="s">
        <v>665</v>
      </c>
      <c r="C1405" s="1797" t="s">
        <v>2480</v>
      </c>
      <c r="D1405" s="55" t="s">
        <v>2394</v>
      </c>
      <c r="F1405" s="55">
        <v>2000</v>
      </c>
      <c r="J1405" s="55" t="str">
        <f t="shared" si="83"/>
        <v>CXX12-B</v>
      </c>
    </row>
    <row r="1406" spans="1:10" hidden="1">
      <c r="A1406" s="1797" t="s">
        <v>666</v>
      </c>
      <c r="C1406" s="1797" t="s">
        <v>2481</v>
      </c>
      <c r="D1406" s="55" t="s">
        <v>2394</v>
      </c>
      <c r="F1406" s="55">
        <v>2000</v>
      </c>
      <c r="J1406" s="55" t="str">
        <f t="shared" si="83"/>
        <v>CX14-B</v>
      </c>
    </row>
    <row r="1407" spans="1:10" hidden="1">
      <c r="A1407" s="1797" t="s">
        <v>914</v>
      </c>
      <c r="C1407" s="1797" t="s">
        <v>2482</v>
      </c>
      <c r="D1407" s="55" t="s">
        <v>2394</v>
      </c>
      <c r="F1407" s="55">
        <v>2000</v>
      </c>
      <c r="J1407" s="55" t="str">
        <f t="shared" si="83"/>
        <v>CL14-B</v>
      </c>
    </row>
    <row r="1408" spans="1:10" hidden="1">
      <c r="A1408" s="1797" t="s">
        <v>915</v>
      </c>
      <c r="C1408" s="1797" t="s">
        <v>2483</v>
      </c>
      <c r="D1408" s="55" t="s">
        <v>2394</v>
      </c>
      <c r="F1408" s="55">
        <v>2000</v>
      </c>
      <c r="J1408" s="55" t="str">
        <f t="shared" si="83"/>
        <v>CXX14-B</v>
      </c>
    </row>
    <row r="1409" spans="1:10" hidden="1">
      <c r="A1409" s="1797" t="s">
        <v>751</v>
      </c>
      <c r="C1409" s="1797" t="s">
        <v>2484</v>
      </c>
      <c r="D1409" s="55" t="s">
        <v>2394</v>
      </c>
      <c r="F1409" s="55">
        <v>2000</v>
      </c>
      <c r="J1409" s="55" t="str">
        <f t="shared" si="83"/>
        <v>CK-B</v>
      </c>
    </row>
    <row r="1410" spans="1:10" hidden="1">
      <c r="A1410" s="1797" t="s">
        <v>750</v>
      </c>
      <c r="C1410" s="1797" t="s">
        <v>2485</v>
      </c>
      <c r="D1410" s="55" t="s">
        <v>2394</v>
      </c>
      <c r="F1410" s="55">
        <v>2000</v>
      </c>
      <c r="J1410" s="55" t="str">
        <f t="shared" si="83"/>
        <v>CKK-B</v>
      </c>
    </row>
    <row r="1411" spans="1:10" hidden="1">
      <c r="A1411" s="1797" t="s">
        <v>345</v>
      </c>
      <c r="C1411" s="1797" t="s">
        <v>2486</v>
      </c>
      <c r="D1411" s="55" t="s">
        <v>2394</v>
      </c>
      <c r="F1411" s="55">
        <v>2000</v>
      </c>
      <c r="J1411" s="55" t="str">
        <f t="shared" si="83"/>
        <v>CX10-C</v>
      </c>
    </row>
    <row r="1412" spans="1:10" hidden="1">
      <c r="A1412" s="1797" t="s">
        <v>1086</v>
      </c>
      <c r="C1412" s="1797" t="s">
        <v>2487</v>
      </c>
      <c r="D1412" s="55" t="s">
        <v>2394</v>
      </c>
      <c r="F1412" s="55">
        <v>2000</v>
      </c>
      <c r="J1412" s="55" t="str">
        <f t="shared" si="83"/>
        <v>CL10-C</v>
      </c>
    </row>
    <row r="1413" spans="1:10" hidden="1">
      <c r="A1413" s="1797" t="s">
        <v>1087</v>
      </c>
      <c r="C1413" s="1797" t="s">
        <v>2488</v>
      </c>
      <c r="D1413" s="55" t="s">
        <v>2394</v>
      </c>
      <c r="F1413" s="55">
        <v>2000</v>
      </c>
      <c r="J1413" s="55" t="str">
        <f t="shared" si="83"/>
        <v>CXX10-C</v>
      </c>
    </row>
    <row r="1414" spans="1:10" hidden="1">
      <c r="A1414" s="1797" t="s">
        <v>1088</v>
      </c>
      <c r="C1414" s="1797" t="s">
        <v>2489</v>
      </c>
      <c r="D1414" s="55" t="s">
        <v>2394</v>
      </c>
      <c r="F1414" s="55">
        <v>2000</v>
      </c>
      <c r="J1414" s="55" t="str">
        <f t="shared" si="83"/>
        <v>CX12-C</v>
      </c>
    </row>
    <row r="1415" spans="1:10" hidden="1">
      <c r="A1415" s="1797" t="s">
        <v>1089</v>
      </c>
      <c r="C1415" s="1797" t="s">
        <v>2490</v>
      </c>
      <c r="D1415" s="55" t="s">
        <v>2394</v>
      </c>
      <c r="F1415" s="55">
        <v>2000</v>
      </c>
      <c r="J1415" s="55" t="str">
        <f t="shared" si="83"/>
        <v>CL12-C</v>
      </c>
    </row>
    <row r="1416" spans="1:10" hidden="1">
      <c r="A1416" s="1797" t="s">
        <v>1090</v>
      </c>
      <c r="C1416" s="1797" t="s">
        <v>2491</v>
      </c>
      <c r="D1416" s="55" t="s">
        <v>2394</v>
      </c>
      <c r="F1416" s="55">
        <v>2000</v>
      </c>
      <c r="J1416" s="55" t="str">
        <f t="shared" si="83"/>
        <v>CXX12-C</v>
      </c>
    </row>
    <row r="1417" spans="1:10" hidden="1">
      <c r="A1417" s="1797" t="s">
        <v>1815</v>
      </c>
      <c r="C1417" s="1797" t="s">
        <v>2492</v>
      </c>
      <c r="D1417" s="55" t="s">
        <v>2394</v>
      </c>
      <c r="F1417" s="55">
        <v>2000</v>
      </c>
      <c r="J1417" s="55" t="str">
        <f t="shared" si="83"/>
        <v>CX14-C</v>
      </c>
    </row>
    <row r="1418" spans="1:10" hidden="1">
      <c r="A1418" s="1797" t="s">
        <v>339</v>
      </c>
      <c r="C1418" s="1797" t="s">
        <v>2493</v>
      </c>
      <c r="D1418" s="55" t="s">
        <v>2394</v>
      </c>
      <c r="F1418" s="55">
        <v>2000</v>
      </c>
      <c r="J1418" s="55" t="str">
        <f t="shared" si="83"/>
        <v>CL14-C</v>
      </c>
    </row>
    <row r="1419" spans="1:10" hidden="1">
      <c r="A1419" s="1797" t="s">
        <v>1245</v>
      </c>
      <c r="C1419" s="1797" t="s">
        <v>2494</v>
      </c>
      <c r="D1419" s="55" t="s">
        <v>2394</v>
      </c>
      <c r="F1419" s="55">
        <v>2000</v>
      </c>
      <c r="J1419" s="55" t="str">
        <f t="shared" ref="J1419:J1482" si="84">A1419</f>
        <v>CXX14-C</v>
      </c>
    </row>
    <row r="1420" spans="1:10" hidden="1">
      <c r="A1420" s="1797" t="s">
        <v>814</v>
      </c>
      <c r="C1420" s="1797" t="s">
        <v>2495</v>
      </c>
      <c r="D1420" s="55" t="s">
        <v>2394</v>
      </c>
      <c r="F1420" s="55">
        <v>2000</v>
      </c>
      <c r="J1420" s="55" t="str">
        <f t="shared" si="84"/>
        <v>CX20-C</v>
      </c>
    </row>
    <row r="1421" spans="1:10" hidden="1">
      <c r="A1421" s="1797" t="s">
        <v>1091</v>
      </c>
      <c r="C1421" s="1797" t="s">
        <v>2496</v>
      </c>
      <c r="D1421" s="55" t="s">
        <v>2394</v>
      </c>
      <c r="F1421" s="55">
        <v>2000</v>
      </c>
      <c r="J1421" s="55" t="str">
        <f t="shared" si="84"/>
        <v>CK-C</v>
      </c>
    </row>
    <row r="1422" spans="1:10" hidden="1">
      <c r="A1422" s="1797" t="s">
        <v>1092</v>
      </c>
      <c r="C1422" s="1797" t="s">
        <v>2497</v>
      </c>
      <c r="D1422" s="55" t="s">
        <v>2394</v>
      </c>
      <c r="F1422" s="55">
        <v>2000</v>
      </c>
      <c r="J1422" s="55" t="str">
        <f t="shared" si="84"/>
        <v>CKK-C</v>
      </c>
    </row>
    <row r="1423" spans="1:10" hidden="1">
      <c r="A1423" s="1797" t="s">
        <v>1497</v>
      </c>
      <c r="C1423" s="1797" t="s">
        <v>2498</v>
      </c>
      <c r="D1423" s="55" t="s">
        <v>2394</v>
      </c>
      <c r="F1423" s="55">
        <v>2000</v>
      </c>
      <c r="J1423" s="55" t="str">
        <f t="shared" si="84"/>
        <v>NXX</v>
      </c>
    </row>
    <row r="1424" spans="1:10" hidden="1">
      <c r="A1424" s="1797" t="s">
        <v>1498</v>
      </c>
      <c r="C1424" s="1797" t="s">
        <v>2499</v>
      </c>
      <c r="D1424" s="55" t="s">
        <v>2394</v>
      </c>
      <c r="F1424" s="55">
        <v>2000</v>
      </c>
      <c r="J1424" s="55" t="str">
        <f t="shared" si="84"/>
        <v>NXL</v>
      </c>
    </row>
    <row r="1425" spans="1:10" hidden="1">
      <c r="A1425" s="1797" t="s">
        <v>1577</v>
      </c>
      <c r="C1425" s="1797" t="s">
        <v>2500</v>
      </c>
      <c r="D1425" s="55" t="s">
        <v>2394</v>
      </c>
      <c r="F1425" s="55">
        <v>2000</v>
      </c>
      <c r="J1425" s="55" t="str">
        <f t="shared" si="84"/>
        <v xml:space="preserve">MNX12-2 </v>
      </c>
    </row>
    <row r="1426" spans="1:10" hidden="1">
      <c r="A1426" s="1797" t="s">
        <v>1093</v>
      </c>
      <c r="C1426" s="1797" t="s">
        <v>2501</v>
      </c>
      <c r="D1426" s="55" t="s">
        <v>2394</v>
      </c>
      <c r="F1426" s="55">
        <v>2000</v>
      </c>
      <c r="J1426" s="55" t="str">
        <f t="shared" si="84"/>
        <v>MNL12-2</v>
      </c>
    </row>
    <row r="1427" spans="1:10" hidden="1">
      <c r="A1427" s="1797" t="s">
        <v>2154</v>
      </c>
      <c r="C1427" s="1797" t="s">
        <v>2502</v>
      </c>
      <c r="D1427" s="55" t="s">
        <v>2394</v>
      </c>
      <c r="F1427" s="55">
        <v>2000</v>
      </c>
      <c r="J1427" s="55" t="str">
        <f t="shared" si="84"/>
        <v xml:space="preserve">MNX12-4 </v>
      </c>
    </row>
    <row r="1428" spans="1:10" hidden="1">
      <c r="A1428" s="1797" t="s">
        <v>1094</v>
      </c>
      <c r="C1428" s="1797" t="s">
        <v>2503</v>
      </c>
      <c r="D1428" s="55" t="s">
        <v>2394</v>
      </c>
      <c r="F1428" s="55">
        <v>2000</v>
      </c>
      <c r="J1428" s="55" t="str">
        <f t="shared" si="84"/>
        <v xml:space="preserve">MNL12-4 </v>
      </c>
    </row>
    <row r="1429" spans="1:10" hidden="1">
      <c r="A1429" s="1797" t="s">
        <v>2155</v>
      </c>
      <c r="C1429" s="1797" t="s">
        <v>2504</v>
      </c>
      <c r="D1429" s="55" t="s">
        <v>2394</v>
      </c>
      <c r="F1429" s="55">
        <v>2000</v>
      </c>
      <c r="J1429" s="55" t="str">
        <f t="shared" si="84"/>
        <v xml:space="preserve">MNX15-4 </v>
      </c>
    </row>
    <row r="1430" spans="1:10" hidden="1">
      <c r="A1430" s="1797" t="s">
        <v>1095</v>
      </c>
      <c r="C1430" s="1797" t="s">
        <v>2505</v>
      </c>
      <c r="D1430" s="55" t="s">
        <v>2394</v>
      </c>
      <c r="F1430" s="55">
        <v>2000</v>
      </c>
      <c r="J1430" s="55" t="str">
        <f t="shared" si="84"/>
        <v>MNL15-4</v>
      </c>
    </row>
    <row r="1431" spans="1:10" hidden="1">
      <c r="A1431" s="1797" t="s">
        <v>2052</v>
      </c>
      <c r="C1431" s="1797" t="s">
        <v>2506</v>
      </c>
      <c r="D1431" s="55" t="s">
        <v>2394</v>
      </c>
      <c r="F1431" s="55">
        <v>2000</v>
      </c>
      <c r="J1431" s="55" t="str">
        <f t="shared" si="84"/>
        <v xml:space="preserve">MNX15-6 </v>
      </c>
    </row>
    <row r="1432" spans="1:10" hidden="1">
      <c r="A1432" s="1797" t="s">
        <v>1096</v>
      </c>
      <c r="C1432" s="1797" t="s">
        <v>2507</v>
      </c>
      <c r="D1432" s="55" t="s">
        <v>2394</v>
      </c>
      <c r="F1432" s="55">
        <v>2000</v>
      </c>
      <c r="J1432" s="55" t="str">
        <f t="shared" si="84"/>
        <v xml:space="preserve">MNL15-6 </v>
      </c>
    </row>
    <row r="1433" spans="1:10" hidden="1">
      <c r="A1433" s="1797" t="s">
        <v>28</v>
      </c>
      <c r="C1433" s="1797" t="s">
        <v>4440</v>
      </c>
      <c r="D1433" s="55" t="s">
        <v>2309</v>
      </c>
      <c r="F1433" s="55">
        <v>2000</v>
      </c>
      <c r="J1433" s="55" t="str">
        <f t="shared" si="84"/>
        <v>DDTT3P-ct</v>
      </c>
    </row>
    <row r="1434" spans="1:10" hidden="1">
      <c r="A1434" s="1797" t="s">
        <v>744</v>
      </c>
      <c r="C1434" s="1797" t="s">
        <v>2536</v>
      </c>
      <c r="D1434" s="55" t="s">
        <v>2309</v>
      </c>
      <c r="F1434" s="55">
        <v>2000</v>
      </c>
      <c r="J1434" s="55" t="str">
        <f t="shared" si="84"/>
        <v>DDTT3P2m-m</v>
      </c>
    </row>
    <row r="1435" spans="1:10" hidden="1">
      <c r="A1435" s="1797" t="s">
        <v>1925</v>
      </c>
      <c r="C1435" s="1797" t="s">
        <v>4501</v>
      </c>
      <c r="D1435" s="55" t="s">
        <v>2309</v>
      </c>
      <c r="F1435" s="55">
        <v>2000</v>
      </c>
      <c r="J1435" s="55" t="str">
        <f t="shared" si="84"/>
        <v>DDTT3P1m-m</v>
      </c>
    </row>
    <row r="1436" spans="1:10" hidden="1">
      <c r="A1436" s="1797" t="s">
        <v>1984</v>
      </c>
      <c r="C1436" s="1797" t="s">
        <v>2565</v>
      </c>
      <c r="D1436" s="55" t="s">
        <v>2309</v>
      </c>
      <c r="F1436" s="55">
        <v>2000</v>
      </c>
      <c r="J1436" s="55" t="str">
        <f t="shared" si="84"/>
        <v>DDTT1P-m</v>
      </c>
    </row>
    <row r="1437" spans="1:10" hidden="1">
      <c r="A1437" s="1797" t="s">
        <v>284</v>
      </c>
      <c r="C1437" s="1797" t="s">
        <v>2570</v>
      </c>
      <c r="D1437" s="55" t="s">
        <v>2309</v>
      </c>
      <c r="F1437" s="55">
        <v>2000</v>
      </c>
      <c r="J1437" s="55" t="str">
        <f t="shared" si="84"/>
        <v>DDHTDL</v>
      </c>
    </row>
    <row r="1438" spans="1:10" hidden="1">
      <c r="A1438" s="1797" t="s">
        <v>31</v>
      </c>
      <c r="C1438" s="1797" t="s">
        <v>2575</v>
      </c>
      <c r="D1438" s="55" t="s">
        <v>2309</v>
      </c>
      <c r="F1438" s="55">
        <v>2000</v>
      </c>
      <c r="J1438" s="55" t="str">
        <f t="shared" si="84"/>
        <v>DDHTHH</v>
      </c>
    </row>
    <row r="1439" spans="1:10" hidden="1">
      <c r="A1439" s="1797" t="s">
        <v>162</v>
      </c>
      <c r="C1439" s="1797" t="s">
        <v>2576</v>
      </c>
      <c r="D1439" s="55" t="s">
        <v>2309</v>
      </c>
      <c r="F1439" s="55">
        <v>2000</v>
      </c>
      <c r="J1439" s="55" t="str">
        <f t="shared" si="84"/>
        <v>HTCS</v>
      </c>
    </row>
    <row r="1440" spans="1:10" hidden="1">
      <c r="A1440" s="1797" t="s">
        <v>1503</v>
      </c>
      <c r="C1440" s="1797" t="s">
        <v>2577</v>
      </c>
      <c r="F1440" s="55">
        <v>2000</v>
      </c>
      <c r="J1440" s="55" t="str">
        <f t="shared" si="84"/>
        <v>Hotline</v>
      </c>
    </row>
    <row r="1441" spans="1:10" hidden="1">
      <c r="A1441" s="1797" t="s">
        <v>589</v>
      </c>
      <c r="C1441" s="1797" t="s">
        <v>2578</v>
      </c>
      <c r="F1441" s="55">
        <v>2000</v>
      </c>
      <c r="J1441" s="55" t="str">
        <f t="shared" si="84"/>
        <v>TBDD3pct</v>
      </c>
    </row>
    <row r="1442" spans="1:10" hidden="1">
      <c r="A1442" s="1797" t="s">
        <v>1928</v>
      </c>
      <c r="C1442" s="1797" t="s">
        <v>2579</v>
      </c>
      <c r="F1442" s="55">
        <v>2000</v>
      </c>
      <c r="J1442" s="55" t="str">
        <f t="shared" si="84"/>
        <v>TBDD3p2m</v>
      </c>
    </row>
    <row r="1443" spans="1:10" hidden="1">
      <c r="A1443" s="1797" t="s">
        <v>1141</v>
      </c>
      <c r="C1443" s="1797" t="s">
        <v>2580</v>
      </c>
      <c r="F1443" s="55">
        <v>2000</v>
      </c>
      <c r="J1443" s="55" t="str">
        <f t="shared" si="84"/>
        <v>TBDD3p1m</v>
      </c>
    </row>
    <row r="1444" spans="1:10" hidden="1">
      <c r="A1444" s="1797" t="s">
        <v>2320</v>
      </c>
      <c r="C1444" s="1797" t="s">
        <v>2581</v>
      </c>
      <c r="F1444" s="55">
        <v>2000</v>
      </c>
      <c r="J1444" s="55" t="str">
        <f t="shared" si="84"/>
        <v>TĐĐ</v>
      </c>
    </row>
    <row r="1445" spans="1:10" hidden="1">
      <c r="A1445" s="1797" t="s">
        <v>1905</v>
      </c>
      <c r="C1445" s="1797" t="s">
        <v>2582</v>
      </c>
      <c r="F1445" s="55">
        <v>2000</v>
      </c>
      <c r="J1445" s="55" t="str">
        <f t="shared" si="84"/>
        <v>TBDD1p</v>
      </c>
    </row>
    <row r="1446" spans="1:10" hidden="1">
      <c r="A1446" s="1797" t="s">
        <v>949</v>
      </c>
      <c r="C1446" s="1797" t="s">
        <v>2583</v>
      </c>
      <c r="F1446" s="55">
        <v>2000</v>
      </c>
      <c r="J1446" s="55" t="str">
        <f t="shared" si="84"/>
        <v>TBHT</v>
      </c>
    </row>
    <row r="1447" spans="1:10" hidden="1">
      <c r="A1447" s="1797" t="s">
        <v>1046</v>
      </c>
      <c r="C1447" s="1797" t="s">
        <v>2584</v>
      </c>
      <c r="F1447" s="55">
        <v>2000</v>
      </c>
      <c r="J1447" s="55" t="str">
        <f t="shared" si="84"/>
        <v>BBVS</v>
      </c>
    </row>
    <row r="1448" spans="1:10" hidden="1">
      <c r="A1448" s="1797" t="s">
        <v>1047</v>
      </c>
      <c r="C1448" s="1797" t="s">
        <v>2585</v>
      </c>
      <c r="D1448" s="55" t="s">
        <v>2586</v>
      </c>
      <c r="F1448" s="55">
        <v>2000</v>
      </c>
      <c r="J1448" s="55" t="str">
        <f t="shared" si="84"/>
        <v>CBH9</v>
      </c>
    </row>
    <row r="1449" spans="1:10" hidden="1">
      <c r="A1449" s="1797" t="s">
        <v>1048</v>
      </c>
      <c r="C1449" s="1797" t="s">
        <v>2587</v>
      </c>
      <c r="D1449" s="55" t="s">
        <v>2588</v>
      </c>
      <c r="F1449" s="55">
        <v>2000</v>
      </c>
      <c r="J1449" s="55" t="str">
        <f t="shared" si="84"/>
        <v>BBH1212</v>
      </c>
    </row>
    <row r="1450" spans="1:10" hidden="1">
      <c r="A1450" s="1797" t="s">
        <v>1049</v>
      </c>
      <c r="C1450" s="1797" t="s">
        <v>2589</v>
      </c>
      <c r="D1450" s="55" t="s">
        <v>2336</v>
      </c>
      <c r="F1450" s="55">
        <v>2000</v>
      </c>
      <c r="J1450" s="55" t="str">
        <f t="shared" si="84"/>
        <v>MCBH1212</v>
      </c>
    </row>
    <row r="1451" spans="1:10" ht="16.5" hidden="1">
      <c r="A1451" s="1826" t="s">
        <v>2508</v>
      </c>
      <c r="C1451" s="1797" t="s">
        <v>2509</v>
      </c>
      <c r="D1451" s="55" t="s">
        <v>2448</v>
      </c>
      <c r="F1451" s="55">
        <v>2000</v>
      </c>
      <c r="J1451" s="55" t="str">
        <f t="shared" si="84"/>
        <v>Đth-U</v>
      </c>
    </row>
    <row r="1452" spans="1:10" ht="16.5" hidden="1">
      <c r="A1452" s="1826" t="s">
        <v>1626</v>
      </c>
      <c r="C1452" s="1797" t="s">
        <v>2510</v>
      </c>
      <c r="D1452" s="55" t="s">
        <v>2448</v>
      </c>
      <c r="F1452" s="55">
        <v>2000</v>
      </c>
      <c r="J1452" s="55" t="str">
        <f t="shared" si="84"/>
        <v>Nth-U</v>
      </c>
    </row>
    <row r="1453" spans="1:10" ht="16.5" hidden="1">
      <c r="A1453" s="1826" t="s">
        <v>1627</v>
      </c>
      <c r="C1453" s="1797" t="s">
        <v>2511</v>
      </c>
      <c r="D1453" s="55" t="s">
        <v>2448</v>
      </c>
      <c r="F1453" s="55">
        <v>2000</v>
      </c>
      <c r="J1453" s="55" t="str">
        <f t="shared" si="84"/>
        <v>Nth-T</v>
      </c>
    </row>
    <row r="1454" spans="1:10" ht="16.5" hidden="1">
      <c r="A1454" s="1826" t="s">
        <v>2168</v>
      </c>
      <c r="C1454" s="1797" t="s">
        <v>2512</v>
      </c>
      <c r="D1454" s="55" t="s">
        <v>2448</v>
      </c>
      <c r="F1454" s="55">
        <v>2000</v>
      </c>
      <c r="J1454" s="55" t="str">
        <f t="shared" si="84"/>
        <v>Nth-X</v>
      </c>
    </row>
    <row r="1455" spans="1:10" ht="16.5" hidden="1">
      <c r="A1455" s="1826" t="s">
        <v>2513</v>
      </c>
      <c r="C1455" s="1797" t="s">
        <v>2514</v>
      </c>
      <c r="D1455" s="55" t="s">
        <v>2448</v>
      </c>
      <c r="F1455" s="55">
        <v>2000</v>
      </c>
      <c r="J1455" s="55" t="str">
        <f t="shared" si="84"/>
        <v>SĐU</v>
      </c>
    </row>
    <row r="1456" spans="1:10" ht="16.5" hidden="1">
      <c r="A1456" s="1826" t="s">
        <v>2515</v>
      </c>
      <c r="C1456" s="1797" t="s">
        <v>2516</v>
      </c>
      <c r="D1456" s="55" t="s">
        <v>2448</v>
      </c>
      <c r="F1456" s="55">
        <v>2000</v>
      </c>
      <c r="J1456" s="55" t="str">
        <f t="shared" si="84"/>
        <v>SĐI</v>
      </c>
    </row>
    <row r="1457" spans="1:10" ht="16.5" hidden="1">
      <c r="A1457" s="1826" t="s">
        <v>2517</v>
      </c>
      <c r="C1457" s="1797" t="s">
        <v>2518</v>
      </c>
      <c r="D1457" s="55" t="s">
        <v>2448</v>
      </c>
      <c r="F1457" s="55">
        <v>2000</v>
      </c>
      <c r="J1457" s="55" t="str">
        <f t="shared" si="84"/>
        <v>SĐG</v>
      </c>
    </row>
    <row r="1458" spans="1:10" ht="16.5" hidden="1">
      <c r="A1458" s="1826" t="s">
        <v>2519</v>
      </c>
      <c r="C1458" s="1797" t="s">
        <v>2520</v>
      </c>
      <c r="D1458" s="55" t="s">
        <v>2448</v>
      </c>
      <c r="F1458" s="55">
        <v>2000</v>
      </c>
      <c r="J1458" s="55" t="str">
        <f t="shared" si="84"/>
        <v>CĐT 2BAT-T</v>
      </c>
    </row>
    <row r="1459" spans="1:10" ht="16.5" hidden="1">
      <c r="A1459" s="1826" t="s">
        <v>2522</v>
      </c>
      <c r="C1459" s="1797" t="s">
        <v>2523</v>
      </c>
      <c r="D1459" s="55" t="s">
        <v>2448</v>
      </c>
      <c r="F1459" s="55">
        <v>2000</v>
      </c>
      <c r="J1459" s="55" t="str">
        <f t="shared" si="84"/>
        <v>CĐT 2BAT-X</v>
      </c>
    </row>
    <row r="1460" spans="1:10" ht="16.5" hidden="1">
      <c r="A1460" s="1826" t="s">
        <v>2524</v>
      </c>
      <c r="C1460" s="1797" t="s">
        <v>2525</v>
      </c>
      <c r="D1460" s="55" t="s">
        <v>2448</v>
      </c>
      <c r="F1460" s="55">
        <v>2000</v>
      </c>
      <c r="J1460" s="55" t="str">
        <f t="shared" si="84"/>
        <v>CĐT ply-X</v>
      </c>
    </row>
    <row r="1461" spans="1:10" ht="16.5" hidden="1">
      <c r="A1461" s="1826" t="s">
        <v>2538</v>
      </c>
      <c r="C1461" s="1797" t="s">
        <v>2539</v>
      </c>
      <c r="D1461" s="55" t="s">
        <v>2448</v>
      </c>
      <c r="F1461" s="55">
        <v>2000</v>
      </c>
      <c r="J1461" s="55" t="str">
        <f t="shared" si="84"/>
        <v>CĐT pty-X</v>
      </c>
    </row>
    <row r="1462" spans="1:10" ht="16.5" hidden="1">
      <c r="A1462" s="1826" t="s">
        <v>2543</v>
      </c>
      <c r="C1462" s="1797" t="s">
        <v>2544</v>
      </c>
      <c r="D1462" s="55" t="s">
        <v>2448</v>
      </c>
      <c r="F1462" s="55">
        <v>2000</v>
      </c>
      <c r="J1462" s="55" t="str">
        <f t="shared" si="84"/>
        <v>Đth-U-g</v>
      </c>
    </row>
    <row r="1463" spans="1:10" ht="16.5" hidden="1">
      <c r="A1463" s="1826" t="s">
        <v>2545</v>
      </c>
      <c r="C1463" s="1797" t="s">
        <v>2546</v>
      </c>
      <c r="D1463" s="55" t="s">
        <v>2448</v>
      </c>
      <c r="F1463" s="55">
        <v>2000</v>
      </c>
      <c r="J1463" s="55" t="str">
        <f t="shared" si="84"/>
        <v>Đth-X</v>
      </c>
    </row>
    <row r="1464" spans="1:10" ht="16.5" hidden="1">
      <c r="A1464" s="1826" t="s">
        <v>534</v>
      </c>
      <c r="C1464" s="1797" t="s">
        <v>2547</v>
      </c>
      <c r="D1464" s="55" t="s">
        <v>2448</v>
      </c>
      <c r="F1464" s="55">
        <v>2000</v>
      </c>
      <c r="J1464" s="55" t="str">
        <f t="shared" si="84"/>
        <v>Nth-T-g</v>
      </c>
    </row>
    <row r="1465" spans="1:10" ht="16.5" hidden="1">
      <c r="A1465" s="1826" t="s">
        <v>2551</v>
      </c>
      <c r="C1465" s="1797" t="s">
        <v>2525</v>
      </c>
      <c r="D1465" s="55" t="s">
        <v>2448</v>
      </c>
      <c r="F1465" s="55">
        <v>2000</v>
      </c>
      <c r="J1465" s="55" t="str">
        <f t="shared" si="84"/>
        <v>CĐTply-X</v>
      </c>
    </row>
    <row r="1466" spans="1:10" ht="16.5" hidden="1">
      <c r="A1466" s="1826" t="s">
        <v>2552</v>
      </c>
      <c r="C1466" s="1797" t="s">
        <v>2553</v>
      </c>
      <c r="D1466" s="55" t="s">
        <v>2448</v>
      </c>
      <c r="F1466" s="55">
        <v>2000</v>
      </c>
      <c r="J1466" s="55" t="str">
        <f t="shared" si="84"/>
        <v>CĐTply-T</v>
      </c>
    </row>
    <row r="1467" spans="1:10" hidden="1">
      <c r="A1467" s="1797" t="s">
        <v>4754</v>
      </c>
      <c r="C1467" s="1797" t="s">
        <v>4672</v>
      </c>
      <c r="D1467" s="55" t="s">
        <v>2566</v>
      </c>
      <c r="F1467" s="55">
        <v>50</v>
      </c>
      <c r="J1467" s="55" t="str">
        <f t="shared" si="84"/>
        <v>ttf50</v>
      </c>
    </row>
    <row r="1468" spans="1:10" hidden="1">
      <c r="A1468" s="1797" t="s">
        <v>4755</v>
      </c>
      <c r="C1468" s="1797" t="s">
        <v>4961</v>
      </c>
      <c r="D1468" s="55" t="s">
        <v>2566</v>
      </c>
      <c r="F1468" s="55">
        <v>50</v>
      </c>
      <c r="J1468" s="55" t="str">
        <f t="shared" si="84"/>
        <v>ssf50</v>
      </c>
    </row>
    <row r="1469" spans="1:10">
      <c r="A1469" s="1797" t="s">
        <v>4673</v>
      </c>
      <c r="C1469" s="1797" t="s">
        <v>4674</v>
      </c>
      <c r="D1469" s="55" t="s">
        <v>858</v>
      </c>
      <c r="F1469" s="55">
        <v>995</v>
      </c>
      <c r="J1469" s="55" t="str">
        <f t="shared" si="84"/>
        <v>GO-CH</v>
      </c>
    </row>
    <row r="1470" spans="1:10">
      <c r="A1470" s="1797" t="s">
        <v>4675</v>
      </c>
      <c r="C1470" s="1797" t="s">
        <v>4676</v>
      </c>
      <c r="D1470" s="55" t="s">
        <v>858</v>
      </c>
      <c r="F1470" s="55">
        <v>995</v>
      </c>
      <c r="J1470" s="55" t="str">
        <f t="shared" si="84"/>
        <v>GO-DN</v>
      </c>
    </row>
    <row r="1471" spans="1:10">
      <c r="A1471" s="1797" t="s">
        <v>4677</v>
      </c>
      <c r="C1471" s="1797" t="s">
        <v>4678</v>
      </c>
      <c r="D1471" s="55" t="s">
        <v>858</v>
      </c>
      <c r="F1471" s="55">
        <v>995</v>
      </c>
      <c r="J1471" s="55" t="str">
        <f t="shared" si="84"/>
        <v>GO-V</v>
      </c>
    </row>
    <row r="1472" spans="1:10" hidden="1">
      <c r="A1472" s="1797" t="s">
        <v>4679</v>
      </c>
      <c r="C1472" s="1797" t="s">
        <v>4680</v>
      </c>
      <c r="D1472" s="55" t="s">
        <v>858</v>
      </c>
      <c r="F1472" s="55">
        <v>2000</v>
      </c>
      <c r="J1472" s="55" t="str">
        <f t="shared" si="84"/>
        <v>MDD3R1</v>
      </c>
    </row>
    <row r="1473" spans="1:10" hidden="1">
      <c r="A1473" s="1797" t="s">
        <v>4681</v>
      </c>
      <c r="C1473" s="1797" t="s">
        <v>4682</v>
      </c>
      <c r="D1473" s="55" t="s">
        <v>2448</v>
      </c>
      <c r="F1473" s="55">
        <v>50</v>
      </c>
      <c r="J1473" s="55" t="str">
        <f t="shared" si="84"/>
        <v>B16750V</v>
      </c>
    </row>
    <row r="1474" spans="1:10" hidden="1">
      <c r="A1474" s="1797" t="s">
        <v>4889</v>
      </c>
      <c r="C1474" s="1797" t="s">
        <v>4890</v>
      </c>
      <c r="D1474" s="55" t="s">
        <v>2448</v>
      </c>
      <c r="F1474" s="55">
        <v>50</v>
      </c>
      <c r="J1474" s="55" t="str">
        <f t="shared" si="84"/>
        <v>B16800V</v>
      </c>
    </row>
    <row r="1475" spans="1:10">
      <c r="A1475" s="1797" t="s">
        <v>4683</v>
      </c>
      <c r="C1475" s="1797" t="s">
        <v>4684</v>
      </c>
      <c r="D1475" s="55" t="s">
        <v>4685</v>
      </c>
      <c r="F1475" s="55">
        <v>3000</v>
      </c>
      <c r="J1475" s="55" t="str">
        <f t="shared" si="84"/>
        <v>LVANK</v>
      </c>
    </row>
    <row r="1476" spans="1:10" hidden="1">
      <c r="A1476" s="1797" t="s">
        <v>4686</v>
      </c>
      <c r="C1476" s="1797" t="s">
        <v>4687</v>
      </c>
      <c r="D1476" s="55" t="s">
        <v>2842</v>
      </c>
      <c r="F1476" s="55">
        <v>2</v>
      </c>
      <c r="J1476" s="55" t="str">
        <f t="shared" si="84"/>
        <v>T12540</v>
      </c>
    </row>
    <row r="1477" spans="1:10" hidden="1">
      <c r="A1477" s="1797" t="s">
        <v>4688</v>
      </c>
      <c r="C1477" s="1797" t="s">
        <v>4689</v>
      </c>
      <c r="D1477" s="55" t="s">
        <v>4690</v>
      </c>
      <c r="F1477" s="55">
        <v>50</v>
      </c>
      <c r="J1477" s="55" t="str">
        <f t="shared" si="84"/>
        <v>d22</v>
      </c>
    </row>
    <row r="1478" spans="1:10" hidden="1">
      <c r="A1478" s="1797" t="s">
        <v>4691</v>
      </c>
      <c r="C1478" s="1797" t="s">
        <v>4692</v>
      </c>
      <c r="D1478" s="55" t="s">
        <v>4690</v>
      </c>
      <c r="F1478" s="55">
        <v>50</v>
      </c>
      <c r="J1478" s="55" t="str">
        <f t="shared" si="84"/>
        <v>t81</v>
      </c>
    </row>
    <row r="1479" spans="1:10" hidden="1">
      <c r="A1479" s="1797" t="s">
        <v>4693</v>
      </c>
      <c r="C1479" s="1797" t="s">
        <v>4694</v>
      </c>
      <c r="D1479" s="55" t="s">
        <v>4690</v>
      </c>
      <c r="F1479" s="55">
        <v>50</v>
      </c>
      <c r="J1479" s="55" t="str">
        <f t="shared" si="84"/>
        <v>d200</v>
      </c>
    </row>
    <row r="1480" spans="1:10" hidden="1">
      <c r="A1480" s="1797" t="s">
        <v>4695</v>
      </c>
      <c r="C1480" s="1797" t="s">
        <v>4696</v>
      </c>
      <c r="D1480" s="55" t="s">
        <v>4690</v>
      </c>
      <c r="F1480" s="55">
        <v>50</v>
      </c>
      <c r="J1480" s="55" t="str">
        <f t="shared" si="84"/>
        <v>t115</v>
      </c>
    </row>
    <row r="1481" spans="1:10" hidden="1">
      <c r="A1481" s="1797" t="s">
        <v>4697</v>
      </c>
      <c r="C1481" s="1797" t="s">
        <v>4698</v>
      </c>
      <c r="D1481" s="55" t="s">
        <v>2448</v>
      </c>
      <c r="F1481" s="55">
        <v>2000</v>
      </c>
      <c r="J1481" s="55" t="str">
        <f t="shared" si="84"/>
        <v>XT2</v>
      </c>
    </row>
    <row r="1482" spans="1:10" hidden="1">
      <c r="A1482" s="1797" t="s">
        <v>4699</v>
      </c>
      <c r="C1482" s="1797" t="s">
        <v>4700</v>
      </c>
      <c r="D1482" s="55" t="s">
        <v>2448</v>
      </c>
      <c r="F1482" s="55">
        <v>2000</v>
      </c>
      <c r="J1482" s="55" t="str">
        <f t="shared" si="84"/>
        <v>XTK2</v>
      </c>
    </row>
    <row r="1483" spans="1:10" hidden="1">
      <c r="A1483" s="1797" t="s">
        <v>4701</v>
      </c>
      <c r="C1483" s="1797" t="s">
        <v>4702</v>
      </c>
      <c r="D1483" s="55" t="s">
        <v>2566</v>
      </c>
      <c r="F1483" s="55">
        <v>50</v>
      </c>
      <c r="J1483" s="55" t="str">
        <f t="shared" ref="J1483:J1517" si="85">A1483</f>
        <v>MANG4</v>
      </c>
    </row>
    <row r="1484" spans="1:10" hidden="1">
      <c r="A1484" s="1797" t="s">
        <v>4703</v>
      </c>
      <c r="C1484" s="1797" t="s">
        <v>4704</v>
      </c>
      <c r="D1484" s="55" t="s">
        <v>2541</v>
      </c>
      <c r="F1484" s="55">
        <v>50</v>
      </c>
      <c r="J1484" s="55" t="str">
        <f t="shared" si="85"/>
        <v>ACX50</v>
      </c>
    </row>
    <row r="1485" spans="1:10" hidden="1">
      <c r="A1485" s="1797" t="s">
        <v>4705</v>
      </c>
      <c r="C1485" s="1797" t="s">
        <v>4706</v>
      </c>
      <c r="D1485" s="55" t="s">
        <v>2566</v>
      </c>
      <c r="F1485" s="55">
        <v>50</v>
      </c>
      <c r="J1485" s="55" t="str">
        <f t="shared" si="85"/>
        <v>GNIU 185</v>
      </c>
    </row>
    <row r="1486" spans="1:10" hidden="1">
      <c r="A1486" s="1797" t="s">
        <v>4707</v>
      </c>
      <c r="C1486" s="1797" t="s">
        <v>4708</v>
      </c>
      <c r="D1486" s="55" t="s">
        <v>2566</v>
      </c>
      <c r="F1486" s="55">
        <v>50</v>
      </c>
      <c r="J1486" s="55" t="str">
        <f t="shared" si="85"/>
        <v>GNIU50</v>
      </c>
    </row>
    <row r="1487" spans="1:10" hidden="1">
      <c r="A1487" s="1797" t="s">
        <v>4709</v>
      </c>
      <c r="C1487" s="1797" t="s">
        <v>4710</v>
      </c>
      <c r="D1487" s="55" t="s">
        <v>2566</v>
      </c>
      <c r="F1487" s="55">
        <v>50</v>
      </c>
      <c r="J1487" s="55" t="str">
        <f t="shared" si="85"/>
        <v>ke279</v>
      </c>
    </row>
    <row r="1488" spans="1:10" hidden="1">
      <c r="A1488" s="1797" t="s">
        <v>4711</v>
      </c>
      <c r="C1488" s="1797" t="s">
        <v>4712</v>
      </c>
      <c r="D1488" s="55" t="s">
        <v>2566</v>
      </c>
      <c r="F1488" s="55">
        <v>50</v>
      </c>
      <c r="J1488" s="55" t="str">
        <f t="shared" si="85"/>
        <v>ke419</v>
      </c>
    </row>
    <row r="1489" spans="1:10" hidden="1">
      <c r="A1489" s="1797" t="s">
        <v>4713</v>
      </c>
      <c r="C1489" s="1797" t="s">
        <v>4714</v>
      </c>
      <c r="D1489" s="55" t="s">
        <v>2566</v>
      </c>
      <c r="F1489" s="55">
        <v>50</v>
      </c>
      <c r="J1489" s="55" t="str">
        <f t="shared" si="85"/>
        <v>ke929</v>
      </c>
    </row>
    <row r="1490" spans="1:10" hidden="1">
      <c r="A1490" s="1797" t="s">
        <v>4715</v>
      </c>
      <c r="C1490" s="1797" t="s">
        <v>4817</v>
      </c>
      <c r="D1490" s="55" t="s">
        <v>1829</v>
      </c>
      <c r="F1490" s="55">
        <v>50</v>
      </c>
      <c r="J1490" s="55" t="str">
        <f t="shared" si="85"/>
        <v>OCN</v>
      </c>
    </row>
    <row r="1491" spans="1:10" hidden="1">
      <c r="A1491" s="1797" t="s">
        <v>4716</v>
      </c>
      <c r="C1491" s="1797" t="s">
        <v>4717</v>
      </c>
      <c r="D1491" s="55" t="s">
        <v>2448</v>
      </c>
      <c r="F1491" s="55">
        <v>50</v>
      </c>
      <c r="J1491" s="55" t="str">
        <f t="shared" si="85"/>
        <v>chupU</v>
      </c>
    </row>
    <row r="1492" spans="1:10" hidden="1">
      <c r="A1492" s="1797" t="s">
        <v>4718</v>
      </c>
      <c r="C1492" s="1797" t="s">
        <v>4719</v>
      </c>
      <c r="D1492" s="55" t="s">
        <v>2394</v>
      </c>
      <c r="F1492" s="55">
        <v>50</v>
      </c>
      <c r="J1492" s="55" t="str">
        <f t="shared" si="85"/>
        <v>KDIN</v>
      </c>
    </row>
    <row r="1493" spans="1:10" hidden="1">
      <c r="A1493" s="1797" t="s">
        <v>4756</v>
      </c>
      <c r="C1493" s="1797" t="s">
        <v>4959</v>
      </c>
      <c r="D1493" s="55" t="s">
        <v>2566</v>
      </c>
      <c r="F1493" s="55">
        <v>50</v>
      </c>
      <c r="J1493" s="55" t="str">
        <f t="shared" si="85"/>
        <v>ttf185</v>
      </c>
    </row>
    <row r="1494" spans="1:10" hidden="1">
      <c r="A1494" s="1797" t="s">
        <v>4757</v>
      </c>
      <c r="C1494" s="1797" t="s">
        <v>4671</v>
      </c>
      <c r="D1494" s="55" t="s">
        <v>2566</v>
      </c>
      <c r="F1494" s="55">
        <v>50</v>
      </c>
      <c r="J1494" s="55" t="str">
        <f t="shared" si="85"/>
        <v>ssf185</v>
      </c>
    </row>
    <row r="1495" spans="1:10" hidden="1">
      <c r="A1495" s="1797" t="s">
        <v>4720</v>
      </c>
      <c r="C1495" s="1797" t="s">
        <v>4721</v>
      </c>
      <c r="D1495" s="55" t="s">
        <v>2448</v>
      </c>
      <c r="F1495" s="55">
        <v>2000</v>
      </c>
      <c r="J1495" s="55" t="str">
        <f t="shared" si="85"/>
        <v>LSDD</v>
      </c>
    </row>
    <row r="1496" spans="1:10" hidden="1">
      <c r="A1496" s="1797" t="s">
        <v>4722</v>
      </c>
      <c r="C1496" s="1797" t="s">
        <v>3732</v>
      </c>
      <c r="D1496" s="55" t="s">
        <v>2448</v>
      </c>
      <c r="F1496" s="55">
        <v>2000</v>
      </c>
      <c r="J1496" s="55" t="str">
        <f t="shared" si="85"/>
        <v>BTLT 12 F540</v>
      </c>
    </row>
    <row r="1497" spans="1:10" hidden="1">
      <c r="A1497" s="1797" t="s">
        <v>4723</v>
      </c>
      <c r="C1497" s="1797" t="s">
        <v>4724</v>
      </c>
      <c r="D1497" s="55" t="s">
        <v>2566</v>
      </c>
      <c r="E1497" s="2277" t="s">
        <v>4725</v>
      </c>
      <c r="F1497" s="55">
        <v>18</v>
      </c>
      <c r="J1497" s="55" t="str">
        <f t="shared" si="85"/>
        <v>TC920</v>
      </c>
    </row>
    <row r="1498" spans="1:10" hidden="1">
      <c r="A1498" s="1797" t="s">
        <v>4726</v>
      </c>
      <c r="C1498" s="1797" t="s">
        <v>4727</v>
      </c>
      <c r="D1498" s="55" t="s">
        <v>2566</v>
      </c>
      <c r="E1498" s="2277" t="s">
        <v>4725</v>
      </c>
      <c r="F1498" s="55">
        <v>18</v>
      </c>
      <c r="J1498" s="55" t="str">
        <f t="shared" si="85"/>
        <v>TC810</v>
      </c>
    </row>
    <row r="1499" spans="1:10" hidden="1">
      <c r="A1499" s="1797" t="s">
        <v>4728</v>
      </c>
      <c r="C1499" s="1797" t="s">
        <v>4729</v>
      </c>
      <c r="D1499" s="55" t="s">
        <v>2566</v>
      </c>
      <c r="E1499" s="2277" t="s">
        <v>4725</v>
      </c>
      <c r="F1499" s="55">
        <v>18</v>
      </c>
      <c r="J1499" s="55" t="str">
        <f t="shared" si="85"/>
        <v>TC1150</v>
      </c>
    </row>
    <row r="1500" spans="1:10" hidden="1">
      <c r="A1500" s="1797" t="s">
        <v>4730</v>
      </c>
      <c r="C1500" s="1797" t="s">
        <v>4731</v>
      </c>
      <c r="D1500" s="55" t="s">
        <v>3466</v>
      </c>
      <c r="F1500" s="55">
        <v>17</v>
      </c>
      <c r="J1500" s="55" t="str">
        <f t="shared" si="85"/>
        <v>Xa1660</v>
      </c>
    </row>
    <row r="1501" spans="1:10" hidden="1">
      <c r="A1501" s="1797" t="s">
        <v>4732</v>
      </c>
      <c r="C1501" s="1797" t="s">
        <v>4733</v>
      </c>
      <c r="D1501" s="55" t="s">
        <v>3466</v>
      </c>
      <c r="F1501" s="55">
        <v>17</v>
      </c>
      <c r="J1501" s="55" t="str">
        <f t="shared" si="85"/>
        <v>xa2000</v>
      </c>
    </row>
    <row r="1502" spans="1:10" hidden="1">
      <c r="A1502" s="1797" t="s">
        <v>4734</v>
      </c>
      <c r="C1502" s="1797" t="s">
        <v>4735</v>
      </c>
      <c r="D1502" s="55" t="s">
        <v>3466</v>
      </c>
      <c r="F1502" s="55">
        <v>17</v>
      </c>
      <c r="J1502" s="55" t="str">
        <f t="shared" si="85"/>
        <v>xa2200</v>
      </c>
    </row>
    <row r="1503" spans="1:10" hidden="1">
      <c r="A1503" s="1797" t="s">
        <v>4736</v>
      </c>
      <c r="C1503" s="1797" t="s">
        <v>4578</v>
      </c>
      <c r="D1503" s="55" t="s">
        <v>2601</v>
      </c>
      <c r="F1503" s="55">
        <v>17</v>
      </c>
      <c r="G1503" s="55" t="s">
        <v>512</v>
      </c>
      <c r="J1503" s="55" t="str">
        <f t="shared" si="85"/>
        <v>com800</v>
      </c>
    </row>
    <row r="1504" spans="1:10" hidden="1">
      <c r="A1504" s="1797" t="s">
        <v>4737</v>
      </c>
      <c r="C1504" s="1797" t="s">
        <v>4738</v>
      </c>
      <c r="D1504" s="55" t="s">
        <v>2566</v>
      </c>
      <c r="F1504" s="55">
        <v>50</v>
      </c>
      <c r="J1504" s="55" t="str">
        <f t="shared" si="85"/>
        <v>len</v>
      </c>
    </row>
    <row r="1505" spans="1:10" hidden="1">
      <c r="A1505" s="1797" t="s">
        <v>4739</v>
      </c>
      <c r="C1505" s="1797" t="s">
        <v>4740</v>
      </c>
      <c r="D1505" s="55" t="s">
        <v>2566</v>
      </c>
      <c r="F1505" s="55">
        <v>50</v>
      </c>
      <c r="J1505" s="55" t="str">
        <f t="shared" ref="J1505" si="86">A1505</f>
        <v>Kep3U</v>
      </c>
    </row>
    <row r="1506" spans="1:10" hidden="1">
      <c r="A1506" s="1797" t="s">
        <v>5169</v>
      </c>
      <c r="C1506" s="1797" t="s">
        <v>5170</v>
      </c>
      <c r="D1506" s="55" t="s">
        <v>2566</v>
      </c>
      <c r="F1506" s="55">
        <v>50</v>
      </c>
      <c r="J1506" s="55" t="str">
        <f t="shared" si="85"/>
        <v>Kep5U</v>
      </c>
    </row>
    <row r="1507" spans="1:10" hidden="1">
      <c r="A1507" s="1797" t="s">
        <v>4741</v>
      </c>
      <c r="C1507" s="1797" t="s">
        <v>4742</v>
      </c>
      <c r="D1507" s="55" t="s">
        <v>2566</v>
      </c>
      <c r="F1507" s="55">
        <v>50</v>
      </c>
      <c r="J1507" s="55" t="str">
        <f t="shared" si="85"/>
        <v>tsd20</v>
      </c>
    </row>
    <row r="1508" spans="1:10" hidden="1">
      <c r="A1508" s="1797" t="s">
        <v>4743</v>
      </c>
      <c r="C1508" s="1797" t="s">
        <v>4744</v>
      </c>
      <c r="D1508" s="55" t="s">
        <v>2394</v>
      </c>
      <c r="F1508" s="55">
        <v>2000</v>
      </c>
      <c r="J1508" s="55" t="str">
        <f t="shared" si="85"/>
        <v>STTT-2BAT</v>
      </c>
    </row>
    <row r="1509" spans="1:10" hidden="1">
      <c r="A1509" s="1797" t="s">
        <v>4745</v>
      </c>
      <c r="C1509" s="1797" t="s">
        <v>4746</v>
      </c>
      <c r="D1509" s="55" t="s">
        <v>2448</v>
      </c>
      <c r="F1509" s="55">
        <v>19</v>
      </c>
      <c r="J1509" s="55" t="str">
        <f t="shared" si="85"/>
        <v>cl1200</v>
      </c>
    </row>
    <row r="1510" spans="1:10" hidden="1">
      <c r="A1510" s="1797" t="s">
        <v>4747</v>
      </c>
      <c r="C1510" s="1797" t="s">
        <v>4748</v>
      </c>
      <c r="D1510" s="55" t="s">
        <v>2448</v>
      </c>
      <c r="E1510" s="2277" t="s">
        <v>4749</v>
      </c>
      <c r="F1510" s="55">
        <v>50</v>
      </c>
      <c r="J1510" s="55" t="str">
        <f t="shared" si="85"/>
        <v>BMOC16200</v>
      </c>
    </row>
    <row r="1511" spans="1:10" hidden="1">
      <c r="A1511" s="1797" t="s">
        <v>4750</v>
      </c>
      <c r="C1511" s="1797" t="s">
        <v>4751</v>
      </c>
      <c r="D1511" s="55" t="s">
        <v>2448</v>
      </c>
      <c r="F1511" s="55">
        <v>2000</v>
      </c>
      <c r="G1511" s="55" t="s">
        <v>512</v>
      </c>
      <c r="J1511" s="55" t="str">
        <f t="shared" si="85"/>
        <v>X-com800</v>
      </c>
    </row>
    <row r="1512" spans="1:10" hidden="1">
      <c r="A1512" s="1797" t="s">
        <v>4752</v>
      </c>
      <c r="C1512" s="1797" t="s">
        <v>3953</v>
      </c>
      <c r="D1512" s="55" t="s">
        <v>2566</v>
      </c>
      <c r="E1512" s="2277" t="s">
        <v>4753</v>
      </c>
      <c r="F1512" s="55">
        <v>50</v>
      </c>
      <c r="J1512" s="55" t="str">
        <f t="shared" si="85"/>
        <v>GIP</v>
      </c>
    </row>
    <row r="1513" spans="1:10" hidden="1">
      <c r="A1513" s="1797" t="s">
        <v>4760</v>
      </c>
      <c r="C1513" s="1797" t="s">
        <v>4761</v>
      </c>
      <c r="D1513" s="55" t="s">
        <v>2566</v>
      </c>
      <c r="F1513" s="55">
        <v>50</v>
      </c>
      <c r="J1513" s="55" t="str">
        <f t="shared" si="85"/>
        <v>khanhkep</v>
      </c>
    </row>
    <row r="1514" spans="1:10" hidden="1">
      <c r="A1514" s="1797" t="s">
        <v>4861</v>
      </c>
      <c r="C1514" s="1797" t="s">
        <v>4905</v>
      </c>
      <c r="J1514" s="55" t="str">
        <f t="shared" si="85"/>
        <v>X-22K-Đ-C920</v>
      </c>
    </row>
    <row r="1515" spans="1:10" hidden="1">
      <c r="A1515" s="1797" t="s">
        <v>4862</v>
      </c>
      <c r="C1515" s="1797" t="s">
        <v>4904</v>
      </c>
      <c r="J1515" s="55" t="str">
        <f t="shared" si="85"/>
        <v>X-22K-K-C920</v>
      </c>
    </row>
    <row r="1516" spans="1:10" hidden="1">
      <c r="J1516" s="55">
        <f t="shared" si="85"/>
        <v>0</v>
      </c>
    </row>
    <row r="1517" spans="1:10" hidden="1">
      <c r="J1517" s="55">
        <f t="shared" si="85"/>
        <v>0</v>
      </c>
    </row>
    <row r="1518" spans="1:10" hidden="1"/>
    <row r="1519" spans="1:10" hidden="1"/>
    <row r="1520" spans="1:10" hidden="1"/>
  </sheetData>
  <autoFilter ref="A1:J1520">
    <filterColumn colId="2">
      <colorFilter dxfId="206"/>
    </filterColumn>
  </autoFilter>
  <phoneticPr fontId="0" type="noConversion"/>
  <conditionalFormatting sqref="A1467:A1472 A1118:A1170 A2:A32 A466:A922 A309:A310 A1067:A1110 A232:A264 A185:A194 A266:A307 A991:A1016 A34:A60 A1263:A1349 A1351:A1450 A312:A368 A924:A989 A405:A457 A396:A397 A1018:A1065 A1112:A1116 A62:A82 A1178:A1261 A1474:A1504 A459:A461 A139:A183 A371:A390 A196:A225 A1506:A1048576 A84:A137 A227:A230">
    <cfRule type="duplicateValues" dxfId="205" priority="97"/>
  </conditionalFormatting>
  <conditionalFormatting sqref="A1117">
    <cfRule type="duplicateValues" dxfId="204" priority="96"/>
  </conditionalFormatting>
  <conditionalFormatting sqref="A462">
    <cfRule type="duplicateValues" dxfId="203" priority="95"/>
  </conditionalFormatting>
  <conditionalFormatting sqref="A308">
    <cfRule type="duplicateValues" dxfId="202" priority="94"/>
  </conditionalFormatting>
  <conditionalFormatting sqref="A1066">
    <cfRule type="duplicateValues" dxfId="201" priority="93"/>
  </conditionalFormatting>
  <conditionalFormatting sqref="A231">
    <cfRule type="duplicateValues" dxfId="200" priority="92"/>
  </conditionalFormatting>
  <conditionalFormatting sqref="A184">
    <cfRule type="duplicateValues" dxfId="199" priority="91"/>
  </conditionalFormatting>
  <conditionalFormatting sqref="A311">
    <cfRule type="duplicateValues" dxfId="198" priority="90"/>
  </conditionalFormatting>
  <conditionalFormatting sqref="A265">
    <cfRule type="duplicateValues" dxfId="197" priority="89"/>
  </conditionalFormatting>
  <conditionalFormatting sqref="A990">
    <cfRule type="duplicateValues" dxfId="196" priority="88"/>
  </conditionalFormatting>
  <conditionalFormatting sqref="A463">
    <cfRule type="duplicateValues" dxfId="195" priority="87"/>
  </conditionalFormatting>
  <conditionalFormatting sqref="A33">
    <cfRule type="duplicateValues" dxfId="194" priority="86"/>
  </conditionalFormatting>
  <conditionalFormatting sqref="A1451:A1466">
    <cfRule type="duplicateValues" dxfId="193" priority="85"/>
  </conditionalFormatting>
  <conditionalFormatting sqref="A1262">
    <cfRule type="duplicateValues" dxfId="192" priority="83"/>
  </conditionalFormatting>
  <conditionalFormatting sqref="A464">
    <cfRule type="duplicateValues" dxfId="191" priority="82"/>
  </conditionalFormatting>
  <conditionalFormatting sqref="A465">
    <cfRule type="duplicateValues" dxfId="190" priority="81"/>
  </conditionalFormatting>
  <conditionalFormatting sqref="A1350">
    <cfRule type="duplicateValues" dxfId="189" priority="80"/>
  </conditionalFormatting>
  <conditionalFormatting sqref="A1178:A1472 A924:A1016 A2:A60 A405:A457 A396:A397 A1018:A1110 A1112:A1170 A62:A82 A1474:A1504 A459:A922 A139:A194 A371:A390 A196:A225 A1506:A1048576 A84:A137 A227:A368">
    <cfRule type="duplicateValues" dxfId="188" priority="78"/>
  </conditionalFormatting>
  <conditionalFormatting sqref="A923">
    <cfRule type="duplicateValues" dxfId="187" priority="76"/>
  </conditionalFormatting>
  <conditionalFormatting sqref="A923">
    <cfRule type="duplicateValues" dxfId="186" priority="75"/>
  </conditionalFormatting>
  <conditionalFormatting sqref="A398">
    <cfRule type="duplicateValues" dxfId="185" priority="73"/>
  </conditionalFormatting>
  <conditionalFormatting sqref="A398">
    <cfRule type="duplicateValues" dxfId="184" priority="72"/>
  </conditionalFormatting>
  <conditionalFormatting sqref="A391">
    <cfRule type="duplicateValues" dxfId="183" priority="70"/>
  </conditionalFormatting>
  <conditionalFormatting sqref="A391">
    <cfRule type="duplicateValues" dxfId="182" priority="69"/>
  </conditionalFormatting>
  <conditionalFormatting sqref="A1017">
    <cfRule type="duplicateValues" dxfId="181" priority="67"/>
  </conditionalFormatting>
  <conditionalFormatting sqref="A1017">
    <cfRule type="duplicateValues" dxfId="180" priority="66"/>
  </conditionalFormatting>
  <conditionalFormatting sqref="A1111">
    <cfRule type="duplicateValues" dxfId="179" priority="64"/>
  </conditionalFormatting>
  <conditionalFormatting sqref="A1111">
    <cfRule type="duplicateValues" dxfId="178" priority="63"/>
  </conditionalFormatting>
  <conditionalFormatting sqref="A399">
    <cfRule type="duplicateValues" dxfId="177" priority="61"/>
  </conditionalFormatting>
  <conditionalFormatting sqref="A399">
    <cfRule type="duplicateValues" dxfId="176" priority="60"/>
  </conditionalFormatting>
  <conditionalFormatting sqref="A400:A401 A403:A404">
    <cfRule type="duplicateValues" dxfId="175" priority="58"/>
  </conditionalFormatting>
  <conditionalFormatting sqref="A400:A401">
    <cfRule type="duplicateValues" dxfId="174" priority="57"/>
  </conditionalFormatting>
  <conditionalFormatting sqref="A395">
    <cfRule type="duplicateValues" dxfId="173" priority="55"/>
  </conditionalFormatting>
  <conditionalFormatting sqref="A395">
    <cfRule type="duplicateValues" dxfId="172" priority="54"/>
  </conditionalFormatting>
  <conditionalFormatting sqref="A392:A393">
    <cfRule type="duplicateValues" dxfId="171" priority="51"/>
  </conditionalFormatting>
  <conditionalFormatting sqref="A392:A393">
    <cfRule type="duplicateValues" dxfId="170" priority="50"/>
  </conditionalFormatting>
  <conditionalFormatting sqref="A394">
    <cfRule type="duplicateValues" dxfId="169" priority="48"/>
  </conditionalFormatting>
  <conditionalFormatting sqref="A394">
    <cfRule type="duplicateValues" dxfId="168" priority="47"/>
  </conditionalFormatting>
  <conditionalFormatting sqref="A61">
    <cfRule type="duplicateValues" dxfId="167" priority="45"/>
  </conditionalFormatting>
  <conditionalFormatting sqref="A61">
    <cfRule type="duplicateValues" dxfId="166" priority="44"/>
  </conditionalFormatting>
  <conditionalFormatting sqref="A1171">
    <cfRule type="duplicateValues" dxfId="165" priority="42"/>
  </conditionalFormatting>
  <conditionalFormatting sqref="A1171">
    <cfRule type="duplicateValues" dxfId="164" priority="41"/>
  </conditionalFormatting>
  <conditionalFormatting sqref="A1177">
    <cfRule type="duplicateValues" dxfId="163" priority="39"/>
  </conditionalFormatting>
  <conditionalFormatting sqref="A1177">
    <cfRule type="duplicateValues" dxfId="162" priority="38"/>
  </conditionalFormatting>
  <conditionalFormatting sqref="A1172">
    <cfRule type="duplicateValues" dxfId="161" priority="36"/>
  </conditionalFormatting>
  <conditionalFormatting sqref="A1172">
    <cfRule type="duplicateValues" dxfId="160" priority="35"/>
  </conditionalFormatting>
  <conditionalFormatting sqref="A1173:A1176">
    <cfRule type="duplicateValues" dxfId="159" priority="33"/>
  </conditionalFormatting>
  <conditionalFormatting sqref="A1173:A1176">
    <cfRule type="duplicateValues" dxfId="158" priority="32"/>
  </conditionalFormatting>
  <conditionalFormatting sqref="A1473">
    <cfRule type="duplicateValues" dxfId="157" priority="30"/>
  </conditionalFormatting>
  <conditionalFormatting sqref="A1473">
    <cfRule type="duplicateValues" dxfId="156" priority="29"/>
  </conditionalFormatting>
  <conditionalFormatting sqref="A458">
    <cfRule type="duplicateValues" dxfId="155" priority="27"/>
  </conditionalFormatting>
  <conditionalFormatting sqref="A458">
    <cfRule type="duplicateValues" dxfId="154" priority="26"/>
  </conditionalFormatting>
  <conditionalFormatting sqref="A138">
    <cfRule type="duplicateValues" dxfId="153" priority="24"/>
  </conditionalFormatting>
  <conditionalFormatting sqref="A138">
    <cfRule type="duplicateValues" dxfId="152" priority="23"/>
  </conditionalFormatting>
  <conditionalFormatting sqref="A402">
    <cfRule type="duplicateValues" dxfId="151" priority="21"/>
  </conditionalFormatting>
  <conditionalFormatting sqref="A402">
    <cfRule type="duplicateValues" dxfId="150" priority="20"/>
  </conditionalFormatting>
  <conditionalFormatting sqref="A369">
    <cfRule type="duplicateValues" dxfId="149" priority="18"/>
  </conditionalFormatting>
  <conditionalFormatting sqref="A369">
    <cfRule type="duplicateValues" dxfId="148" priority="17"/>
  </conditionalFormatting>
  <conditionalFormatting sqref="A370">
    <cfRule type="duplicateValues" dxfId="147" priority="15"/>
  </conditionalFormatting>
  <conditionalFormatting sqref="A370">
    <cfRule type="duplicateValues" dxfId="146" priority="14"/>
  </conditionalFormatting>
  <conditionalFormatting sqref="A195">
    <cfRule type="duplicateValues" dxfId="145" priority="12"/>
  </conditionalFormatting>
  <conditionalFormatting sqref="A195">
    <cfRule type="duplicateValues" dxfId="144" priority="11"/>
  </conditionalFormatting>
  <conditionalFormatting sqref="A1505">
    <cfRule type="duplicateValues" dxfId="143" priority="9"/>
  </conditionalFormatting>
  <conditionalFormatting sqref="A1505">
    <cfRule type="duplicateValues" dxfId="142" priority="8"/>
  </conditionalFormatting>
  <conditionalFormatting sqref="A83">
    <cfRule type="duplicateValues" dxfId="141" priority="6"/>
  </conditionalFormatting>
  <conditionalFormatting sqref="A83">
    <cfRule type="duplicateValues" dxfId="140" priority="5"/>
  </conditionalFormatting>
  <conditionalFormatting sqref="A226">
    <cfRule type="duplicateValues" dxfId="139" priority="3"/>
  </conditionalFormatting>
  <conditionalFormatting sqref="A226">
    <cfRule type="duplicateValues" dxfId="138"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7" operator="containsText" id="{0B8AF989-5A70-4A24-9767-D1344D6C9362}">
            <xm:f>NOT(ISERROR(SEARCH($A$1,C1)))</xm:f>
            <xm:f>$A$1</xm:f>
            <x14:dxf>
              <font>
                <color rgb="FF9C0006"/>
              </font>
              <fill>
                <patternFill>
                  <bgColor rgb="FFFFC7CE"/>
                </patternFill>
              </fill>
            </x14:dxf>
          </x14:cfRule>
          <xm:sqref>C924:C1016 C1:C60 C405:C457 C396:C397 C1018:C1110 C1112:C1170 C62:C82 C1178:C1472 C1474:C1504 C459:C922 C139:C194 C371:C390 C196:C225 C1506:C1048576 C84:C137 C227:C368</xm:sqref>
        </x14:conditionalFormatting>
        <x14:conditionalFormatting xmlns:xm="http://schemas.microsoft.com/office/excel/2006/main">
          <x14:cfRule type="containsText" priority="74" operator="containsText" id="{795BEE92-6A39-40C0-89D4-1A74CD7C97F1}">
            <xm:f>NOT(ISERROR(SEARCH($A$1,C923)))</xm:f>
            <xm:f>$A$1</xm:f>
            <x14:dxf>
              <font>
                <color rgb="FF9C0006"/>
              </font>
              <fill>
                <patternFill>
                  <bgColor rgb="FFFFC7CE"/>
                </patternFill>
              </fill>
            </x14:dxf>
          </x14:cfRule>
          <xm:sqref>C923</xm:sqref>
        </x14:conditionalFormatting>
        <x14:conditionalFormatting xmlns:xm="http://schemas.microsoft.com/office/excel/2006/main">
          <x14:cfRule type="containsText" priority="71" operator="containsText" id="{A88093C9-8EC1-4F07-82DD-BB042154E89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68" operator="containsText" id="{067D279C-E49E-4FDE-898F-39574835D17E}">
            <xm:f>NOT(ISERROR(SEARCH($A$1,C391)))</xm:f>
            <xm:f>$A$1</xm:f>
            <x14:dxf>
              <font>
                <color rgb="FF9C0006"/>
              </font>
              <fill>
                <patternFill>
                  <bgColor rgb="FFFFC7CE"/>
                </patternFill>
              </fill>
            </x14:dxf>
          </x14:cfRule>
          <xm:sqref>C391</xm:sqref>
        </x14:conditionalFormatting>
        <x14:conditionalFormatting xmlns:xm="http://schemas.microsoft.com/office/excel/2006/main">
          <x14:cfRule type="containsText" priority="65" operator="containsText" id="{F1E642A3-C265-47BF-AD3C-201F26DF5606}">
            <xm:f>NOT(ISERROR(SEARCH($A$1,C1017)))</xm:f>
            <xm:f>$A$1</xm:f>
            <x14:dxf>
              <font>
                <color rgb="FF9C0006"/>
              </font>
              <fill>
                <patternFill>
                  <bgColor rgb="FFFFC7CE"/>
                </patternFill>
              </fill>
            </x14:dxf>
          </x14:cfRule>
          <xm:sqref>C1017</xm:sqref>
        </x14:conditionalFormatting>
        <x14:conditionalFormatting xmlns:xm="http://schemas.microsoft.com/office/excel/2006/main">
          <x14:cfRule type="containsText" priority="62" operator="containsText" id="{7D892640-3359-43DF-8F05-61266BB6DDD1}">
            <xm:f>NOT(ISERROR(SEARCH($A$1,C1111)))</xm:f>
            <xm:f>$A$1</xm:f>
            <x14:dxf>
              <font>
                <color rgb="FF9C0006"/>
              </font>
              <fill>
                <patternFill>
                  <bgColor rgb="FFFFC7CE"/>
                </patternFill>
              </fill>
            </x14:dxf>
          </x14:cfRule>
          <xm:sqref>C1111</xm:sqref>
        </x14:conditionalFormatting>
        <x14:conditionalFormatting xmlns:xm="http://schemas.microsoft.com/office/excel/2006/main">
          <x14:cfRule type="containsText" priority="59" operator="containsText" id="{F1F319DC-9B9F-42B4-9321-93481C06118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56" operator="containsText" id="{C2125A6F-4A98-469D-AE4D-25BB300B4B50}">
            <xm:f>NOT(ISERROR(SEARCH($A$1,C400)))</xm:f>
            <xm:f>$A$1</xm:f>
            <x14:dxf>
              <font>
                <color rgb="FF9C0006"/>
              </font>
              <fill>
                <patternFill>
                  <bgColor rgb="FFFFC7CE"/>
                </patternFill>
              </fill>
            </x14:dxf>
          </x14:cfRule>
          <xm:sqref>C400:C401 C403:C404</xm:sqref>
        </x14:conditionalFormatting>
        <x14:conditionalFormatting xmlns:xm="http://schemas.microsoft.com/office/excel/2006/main">
          <x14:cfRule type="containsText" priority="52" operator="containsText" id="{3F6BC000-304E-4E3D-8118-11B025A8ECD6}">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49" operator="containsText" id="{DDABA488-7C85-4FB9-984F-7034119D545A}">
            <xm:f>NOT(ISERROR(SEARCH($A$1,C392)))</xm:f>
            <xm:f>$A$1</xm:f>
            <x14:dxf>
              <font>
                <color rgb="FF9C0006"/>
              </font>
              <fill>
                <patternFill>
                  <bgColor rgb="FFFFC7CE"/>
                </patternFill>
              </fill>
            </x14:dxf>
          </x14:cfRule>
          <xm:sqref>C392:C393</xm:sqref>
        </x14:conditionalFormatting>
        <x14:conditionalFormatting xmlns:xm="http://schemas.microsoft.com/office/excel/2006/main">
          <x14:cfRule type="containsText" priority="46" operator="containsText" id="{BFCCC23D-1127-49A7-B95A-A1F6359ADD04}">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40" operator="containsText" id="{9EE53B7D-D832-4255-944F-F817D63735A4}">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37" operator="containsText" id="{AEADC3BC-D6ED-43C6-BB56-B42AB72D46CD}">
            <xm:f>NOT(ISERROR(SEARCH($A$1,C1177)))</xm:f>
            <xm:f>$A$1</xm:f>
            <x14:dxf>
              <font>
                <color rgb="FF9C0006"/>
              </font>
              <fill>
                <patternFill>
                  <bgColor rgb="FFFFC7CE"/>
                </patternFill>
              </fill>
            </x14:dxf>
          </x14:cfRule>
          <xm:sqref>C1177</xm:sqref>
        </x14:conditionalFormatting>
        <x14:conditionalFormatting xmlns:xm="http://schemas.microsoft.com/office/excel/2006/main">
          <x14:cfRule type="containsText" priority="34" operator="containsText" id="{0FCF5498-2363-46EE-A409-37BF43E243E2}">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31" operator="containsText" id="{E510B465-AB61-4474-9F45-7A8CF8E40874}">
            <xm:f>NOT(ISERROR(SEARCH($A$1,C1173)))</xm:f>
            <xm:f>$A$1</xm:f>
            <x14:dxf>
              <font>
                <color rgb="FF9C0006"/>
              </font>
              <fill>
                <patternFill>
                  <bgColor rgb="FFFFC7CE"/>
                </patternFill>
              </fill>
            </x14:dxf>
          </x14:cfRule>
          <xm:sqref>C1173:C1176</xm:sqref>
        </x14:conditionalFormatting>
        <x14:conditionalFormatting xmlns:xm="http://schemas.microsoft.com/office/excel/2006/main">
          <x14:cfRule type="containsText" priority="28" operator="containsText" id="{F1DF0670-A887-43DD-AF95-94E162005DE1}">
            <xm:f>NOT(ISERROR(SEARCH($A$1,C1473)))</xm:f>
            <xm:f>$A$1</xm:f>
            <x14:dxf>
              <font>
                <color rgb="FF9C0006"/>
              </font>
              <fill>
                <patternFill>
                  <bgColor rgb="FFFFC7CE"/>
                </patternFill>
              </fill>
            </x14:dxf>
          </x14:cfRule>
          <xm:sqref>C1473</xm:sqref>
        </x14:conditionalFormatting>
        <x14:conditionalFormatting xmlns:xm="http://schemas.microsoft.com/office/excel/2006/main">
          <x14:cfRule type="containsText" priority="25" operator="containsText" id="{6F1B295B-C92F-497F-8561-EB1022D0CCC7}">
            <xm:f>NOT(ISERROR(SEARCH($A$1,C458)))</xm:f>
            <xm:f>$A$1</xm:f>
            <x14:dxf>
              <font>
                <color rgb="FF9C0006"/>
              </font>
              <fill>
                <patternFill>
                  <bgColor rgb="FFFFC7CE"/>
                </patternFill>
              </fill>
            </x14:dxf>
          </x14:cfRule>
          <xm:sqref>C458</xm:sqref>
        </x14:conditionalFormatting>
        <x14:conditionalFormatting xmlns:xm="http://schemas.microsoft.com/office/excel/2006/main">
          <x14:cfRule type="containsText" priority="22"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9" operator="containsText" id="{A602F37B-E401-4BB7-AA8E-426E71597B6D}">
            <xm:f>NOT(ISERROR(SEARCH($A$1,C402)))</xm:f>
            <xm:f>$A$1</xm:f>
            <x14:dxf>
              <font>
                <color rgb="FF9C0006"/>
              </font>
              <fill>
                <patternFill>
                  <bgColor rgb="FFFFC7CE"/>
                </patternFill>
              </fill>
            </x14:dxf>
          </x14:cfRule>
          <xm:sqref>C402</xm:sqref>
        </x14:conditionalFormatting>
        <x14:conditionalFormatting xmlns:xm="http://schemas.microsoft.com/office/excel/2006/main">
          <x14:cfRule type="containsText" priority="16" operator="containsText" id="{14C503A3-5F44-4728-8466-3ECA56926196}">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13" operator="containsText" id="{7303AD66-B4A8-4FE7-BD29-15D34BEA472B}">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10"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7" operator="containsText" id="{B58E1C8F-FC1C-421C-9007-C2FB65DBDEB2}">
            <xm:f>NOT(ISERROR(SEARCH($A$1,C1505)))</xm:f>
            <xm:f>$A$1</xm:f>
            <x14:dxf>
              <font>
                <color rgb="FF9C0006"/>
              </font>
              <fill>
                <patternFill>
                  <bgColor rgb="FFFFC7CE"/>
                </patternFill>
              </fill>
            </x14:dxf>
          </x14:cfRule>
          <xm:sqref>C1505</xm:sqref>
        </x14:conditionalFormatting>
        <x14:conditionalFormatting xmlns:xm="http://schemas.microsoft.com/office/excel/2006/main">
          <x14:cfRule type="containsText" priority="4" operator="containsText" id="{20D4F4FD-2932-4B92-862B-E4A371D72731}">
            <xm:f>NOT(ISERROR(SEARCH($A$1,C83)))</xm:f>
            <xm:f>$A$1</xm:f>
            <x14:dxf>
              <font>
                <color rgb="FF9C0006"/>
              </font>
              <fill>
                <patternFill>
                  <bgColor rgb="FFFFC7CE"/>
                </patternFill>
              </fill>
            </x14:dxf>
          </x14:cfRule>
          <xm:sqref>C83</xm:sqref>
        </x14:conditionalFormatting>
        <x14:conditionalFormatting xmlns:xm="http://schemas.microsoft.com/office/excel/2006/main">
          <x14:cfRule type="containsText" priority="1" operator="containsText" id="{2679C204-C56E-477F-87E2-630C74893E5D}">
            <xm:f>NOT(ISERROR(SEARCH($A$1,C226)))</xm:f>
            <xm:f>$A$1</xm:f>
            <x14:dxf>
              <font>
                <color rgb="FF9C0006"/>
              </font>
              <fill>
                <patternFill>
                  <bgColor rgb="FFFFC7CE"/>
                </patternFill>
              </fill>
            </x14:dxf>
          </x14:cfRule>
          <xm:sqref>C226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6"/>
  <sheetViews>
    <sheetView tabSelected="1" topLeftCell="T1" zoomScale="85" zoomScaleNormal="85" workbookViewId="0">
      <selection activeCell="Y2" sqref="Y2"/>
    </sheetView>
  </sheetViews>
  <sheetFormatPr defaultColWidth="8.88671875" defaultRowHeight="16.5" outlineLevelCol="1"/>
  <cols>
    <col min="1" max="1" width="18.88671875" style="994" customWidth="1" outlineLevel="1"/>
    <col min="2" max="2" width="20.5546875" style="994" customWidth="1" outlineLevel="1"/>
    <col min="3" max="3" width="15.109375" style="1285" customWidth="1" outlineLevel="1"/>
    <col min="4" max="4" width="11.44140625" style="995" customWidth="1" outlineLevel="1"/>
    <col min="5" max="5" width="15.109375" style="1285" customWidth="1" outlineLevel="1"/>
    <col min="6" max="6" width="20.88671875" style="994" customWidth="1" outlineLevel="1"/>
    <col min="7" max="7" width="11.44140625" style="995" customWidth="1" outlineLevel="1"/>
    <col min="8" max="9" width="19" style="995" customWidth="1" outlineLevel="1"/>
    <col min="10" max="10" width="15.109375" style="1285" customWidth="1" outlineLevel="1"/>
    <col min="11" max="11" width="12.77734375" customWidth="1" outlineLevel="1"/>
    <col min="12" max="12" width="8.109375" style="995" customWidth="1" outlineLevel="1"/>
    <col min="13" max="13" width="8.77734375" style="995" customWidth="1" outlineLevel="1"/>
    <col min="14" max="14" width="11.5546875" style="995" customWidth="1" outlineLevel="1"/>
    <col min="15" max="15" width="14.6640625" style="995" customWidth="1" outlineLevel="1"/>
    <col min="16" max="16" width="11.44140625" style="1285" customWidth="1" outlineLevel="1"/>
    <col min="17" max="17" width="11.5546875" style="995" customWidth="1" outlineLevel="1"/>
    <col min="18" max="18" width="8.21875" style="998" customWidth="1" outlineLevel="1"/>
    <col min="19" max="19" width="15.44140625" style="995" customWidth="1" outlineLevel="1"/>
    <col min="20" max="20" width="17.44140625" style="995" customWidth="1" outlineLevel="1"/>
    <col min="21" max="21" width="21" style="994" customWidth="1" outlineLevel="1"/>
    <col min="22" max="22" width="19.6640625" style="994" customWidth="1"/>
    <col min="23" max="23" width="17.21875" style="994" customWidth="1"/>
    <col min="24" max="24" width="22.6640625" style="994" customWidth="1"/>
    <col min="25" max="25" width="22.6640625" style="1285" customWidth="1"/>
    <col min="26" max="27" width="8.88671875" style="994"/>
    <col min="28" max="30" width="22.6640625" style="994" customWidth="1"/>
    <col min="31" max="31" width="22.6640625" style="994" hidden="1" customWidth="1"/>
    <col min="32" max="37" width="8.88671875" style="994"/>
    <col min="38" max="38" width="11.88671875" style="994" customWidth="1"/>
    <col min="39" max="42" width="8.88671875" style="994"/>
    <col min="43" max="43" width="20.6640625" style="994" customWidth="1"/>
    <col min="44" max="44" width="8.88671875" style="994"/>
    <col min="45" max="45" width="8.88671875" style="1285"/>
    <col min="46" max="48" width="8.88671875" style="994"/>
    <col min="49" max="49" width="45.21875" style="994" customWidth="1"/>
    <col min="50" max="16384" width="8.88671875" style="994"/>
  </cols>
  <sheetData>
    <row r="1" spans="1:49" s="997" customFormat="1" ht="50.25" thickTop="1">
      <c r="A1" s="1938" t="s">
        <v>4642</v>
      </c>
      <c r="B1" s="1938" t="s">
        <v>4409</v>
      </c>
      <c r="C1" s="1938" t="s">
        <v>4579</v>
      </c>
      <c r="D1" s="1938" t="s">
        <v>4412</v>
      </c>
      <c r="E1" s="1938" t="s">
        <v>4590</v>
      </c>
      <c r="F1" s="1938" t="s">
        <v>4503</v>
      </c>
      <c r="G1" s="1938" t="s">
        <v>4643</v>
      </c>
      <c r="H1" s="1938" t="s">
        <v>4644</v>
      </c>
      <c r="I1" s="1938" t="s">
        <v>4645</v>
      </c>
      <c r="J1" s="1938" t="s">
        <v>5230</v>
      </c>
      <c r="K1" s="1938" t="s">
        <v>4646</v>
      </c>
      <c r="L1" s="1938" t="s">
        <v>4647</v>
      </c>
      <c r="M1" s="1938" t="s">
        <v>4648</v>
      </c>
      <c r="N1" s="1938" t="s">
        <v>4649</v>
      </c>
      <c r="O1" s="1938" t="s">
        <v>4416</v>
      </c>
      <c r="P1" s="1938" t="s">
        <v>5232</v>
      </c>
      <c r="Q1" s="1938" t="s">
        <v>4413</v>
      </c>
      <c r="R1" s="1938" t="s">
        <v>4414</v>
      </c>
      <c r="S1" s="1938" t="s">
        <v>4415</v>
      </c>
      <c r="T1" s="1938" t="s">
        <v>4411</v>
      </c>
      <c r="U1" s="1938" t="s">
        <v>4650</v>
      </c>
      <c r="V1" s="1938" t="s">
        <v>4651</v>
      </c>
      <c r="W1" s="1938" t="s">
        <v>4202</v>
      </c>
      <c r="X1" s="1938" t="s">
        <v>5227</v>
      </c>
      <c r="Y1" s="1938" t="s">
        <v>5228</v>
      </c>
      <c r="Z1" s="1938" t="s">
        <v>4418</v>
      </c>
      <c r="AA1" s="1938" t="s">
        <v>4419</v>
      </c>
      <c r="AB1" s="1938" t="s">
        <v>4421</v>
      </c>
      <c r="AC1" s="1938" t="s">
        <v>4417</v>
      </c>
      <c r="AD1" s="1938" t="s">
        <v>4420</v>
      </c>
      <c r="AE1" s="1938" t="s">
        <v>4410</v>
      </c>
      <c r="AF1" s="1941" t="s">
        <v>4325</v>
      </c>
      <c r="AG1" s="1942" t="s">
        <v>4652</v>
      </c>
      <c r="AH1" s="1943" t="s">
        <v>4653</v>
      </c>
      <c r="AI1" s="1944" t="s">
        <v>4654</v>
      </c>
      <c r="AJ1" s="1938" t="s">
        <v>4655</v>
      </c>
      <c r="AK1" s="1938" t="s">
        <v>4656</v>
      </c>
      <c r="AL1" s="997" t="s">
        <v>4818</v>
      </c>
      <c r="AM1" s="997" t="s">
        <v>4851</v>
      </c>
      <c r="AN1" s="997" t="s">
        <v>4900</v>
      </c>
      <c r="AO1" s="997" t="s">
        <v>4897</v>
      </c>
      <c r="AP1" s="997" t="s">
        <v>4508</v>
      </c>
      <c r="AQ1" s="997" t="s">
        <v>1066</v>
      </c>
      <c r="AR1" s="997" t="s">
        <v>4899</v>
      </c>
      <c r="AS1" s="1937" t="s">
        <v>4906</v>
      </c>
      <c r="AT1" s="997" t="s">
        <v>4898</v>
      </c>
      <c r="AU1" s="997" t="s">
        <v>4901</v>
      </c>
      <c r="AV1" s="997" t="s">
        <v>4902</v>
      </c>
      <c r="AW1" s="997" t="s">
        <v>5216</v>
      </c>
    </row>
    <row r="2" spans="1:49" s="1288" customFormat="1" ht="82.5">
      <c r="A2" s="1939" t="s">
        <v>5176</v>
      </c>
      <c r="B2" s="1939" t="s">
        <v>5177</v>
      </c>
      <c r="C2" s="1936" t="s">
        <v>4568</v>
      </c>
      <c r="D2" s="1939" t="s">
        <v>5178</v>
      </c>
      <c r="E2" s="1936" t="s">
        <v>4568</v>
      </c>
      <c r="F2" s="1939" t="s">
        <v>5179</v>
      </c>
      <c r="G2" s="1939" t="s">
        <v>5180</v>
      </c>
      <c r="H2" s="1939" t="s">
        <v>5181</v>
      </c>
      <c r="I2" s="1939" t="str">
        <f>F2</f>
        <v>………………………</v>
      </c>
      <c r="J2" s="1936" t="s">
        <v>5231</v>
      </c>
      <c r="K2" s="1939" t="s">
        <v>5187</v>
      </c>
      <c r="L2" s="1939"/>
      <c r="M2" s="1939"/>
      <c r="N2" s="1939" t="s">
        <v>5183</v>
      </c>
      <c r="O2" s="1939" t="s">
        <v>5184</v>
      </c>
      <c r="P2" s="1936" t="s">
        <v>4568</v>
      </c>
      <c r="Q2" s="1939" t="s">
        <v>5182</v>
      </c>
      <c r="R2" s="1937" t="s">
        <v>5185</v>
      </c>
      <c r="S2" s="1937" t="s">
        <v>5186</v>
      </c>
      <c r="T2" s="1939"/>
      <c r="U2" s="1939"/>
      <c r="V2" s="1936" t="s">
        <v>4568</v>
      </c>
      <c r="W2" s="1940" t="s">
        <v>5175</v>
      </c>
      <c r="X2" s="1940" t="s">
        <v>5226</v>
      </c>
      <c r="Y2" s="1940" t="s">
        <v>5229</v>
      </c>
      <c r="Z2" s="1936" t="s">
        <v>5189</v>
      </c>
      <c r="AA2" s="1940" t="str">
        <f>UPPER(Z2)</f>
        <v>XUÂN TÂM</v>
      </c>
      <c r="AB2" s="1939" t="s">
        <v>5188</v>
      </c>
      <c r="AC2" s="1939" t="str">
        <f>UPPER(AB2)</f>
        <v>ĐƯỜNG DÂY TRUNG THẾ &amp; TBA SUỐI LÁ, ẤP GIA UI, XÃ XUÂN TÂM</v>
      </c>
      <c r="AD2" s="1940" t="str">
        <f>IF(Z2&lt;&gt;0,"Xã "&amp;Z2&amp;" - ","")&amp;"Huyện Xuân Lộc - TỉnhĐồngNai"</f>
        <v>Xã Xuân Tâm - Huyện Xuân Lộc - TỉnhĐồngNai</v>
      </c>
      <c r="AE2" s="1940" t="str">
        <f>UPPER(AD2)</f>
        <v>XÃ XUÂN TÂM - HUYỆN XUÂN LỘC - TỈNHĐỒNGNAI</v>
      </c>
      <c r="AF2" s="1945" t="s">
        <v>4657</v>
      </c>
      <c r="AG2" s="1946" t="s">
        <v>4658</v>
      </c>
      <c r="AH2" s="1947" t="s">
        <v>4201</v>
      </c>
      <c r="AI2" s="1948"/>
      <c r="AJ2" s="2146" t="s">
        <v>5190</v>
      </c>
      <c r="AK2" s="2146" t="s">
        <v>5198</v>
      </c>
      <c r="AL2" s="1288" t="s">
        <v>5199</v>
      </c>
      <c r="AM2" s="2301" t="s">
        <v>5200</v>
      </c>
      <c r="AN2" s="2307">
        <f>Solieu!D3</f>
        <v>2</v>
      </c>
      <c r="AO2" s="2307">
        <f>Solieu!D4</f>
        <v>3</v>
      </c>
      <c r="AP2" s="2307">
        <f>Solieu!D5</f>
        <v>4</v>
      </c>
      <c r="AQ2" s="2307">
        <f>Solieu!D6</f>
        <v>4</v>
      </c>
      <c r="AR2" s="2307">
        <f>Solieu!D7</f>
        <v>5</v>
      </c>
      <c r="AS2" s="2307">
        <f>Solieu!D8</f>
        <v>6</v>
      </c>
      <c r="AT2" s="2307">
        <f>Solieu!D9</f>
        <v>7</v>
      </c>
      <c r="AU2" s="2307">
        <f>Solieu!D10</f>
        <v>8</v>
      </c>
      <c r="AV2" s="2307">
        <f>Solieu!D11</f>
        <v>9</v>
      </c>
      <c r="AW2" s="1288" t="str">
        <f>CONCATENATE(AW5,AW6,AW7,AW8,AW9,AW10,AW11,AW12,AW13,AW14,AW15,AW16,AW17,AW18)</f>
        <v xml:space="preserve"> - Từ trụ 019 đến trụ 019/002 đường dây băng qua bên trái đường và đi dọc theo đường hiện hữu. - Từ trụ 019/002 đến trụ 019/003 đường dây băng qua bên phải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row>
    <row r="3" spans="1:49" s="1012" customFormat="1" ht="63">
      <c r="A3" s="1011"/>
      <c r="B3" s="1011"/>
      <c r="C3" s="1011"/>
      <c r="D3" s="1011"/>
      <c r="E3" s="1011"/>
      <c r="F3" s="1011"/>
      <c r="G3" s="1011"/>
      <c r="H3" s="1011"/>
      <c r="I3" s="1011"/>
      <c r="J3" s="1011"/>
      <c r="K3" s="1011"/>
      <c r="L3" s="1011"/>
      <c r="M3" s="1011"/>
      <c r="N3" s="1011"/>
      <c r="O3" s="1011"/>
      <c r="P3" s="1011"/>
      <c r="Q3" s="1011"/>
      <c r="R3" s="1011"/>
      <c r="S3" s="1011"/>
      <c r="T3" s="1011"/>
      <c r="U3" s="1011"/>
      <c r="V3" s="1011"/>
      <c r="Z3" s="1936" t="s">
        <v>4822</v>
      </c>
      <c r="AB3" s="1939" t="s">
        <v>4823</v>
      </c>
      <c r="AC3" s="1939" t="str">
        <f>UPPER(AB3)</f>
        <v>ĐƯỜNG DÂY TRUNG THẾ &amp; TBA 1 PHA 25KVA - 12,7/0,23 KV HỘ DUY TRƯỜNG</v>
      </c>
      <c r="AL3" s="1288" t="s">
        <v>4819</v>
      </c>
    </row>
    <row r="4" spans="1:49" s="1012" customFormat="1" ht="63">
      <c r="A4" s="985"/>
      <c r="B4" s="985"/>
      <c r="C4" s="1287"/>
      <c r="D4" s="985"/>
      <c r="E4" s="1287"/>
      <c r="F4" s="985"/>
      <c r="G4" s="985"/>
      <c r="H4" s="985"/>
      <c r="I4" s="985"/>
      <c r="J4" s="1287"/>
      <c r="K4" s="997"/>
      <c r="L4" s="997"/>
      <c r="P4" s="1287"/>
      <c r="R4" s="1013"/>
      <c r="S4" s="985"/>
      <c r="Z4" s="1936" t="s">
        <v>4850</v>
      </c>
      <c r="AB4" s="1939" t="s">
        <v>4809</v>
      </c>
      <c r="AT4" s="1466" t="s">
        <v>5201</v>
      </c>
      <c r="AU4" s="1466" t="s">
        <v>5202</v>
      </c>
      <c r="AV4" s="1466" t="s">
        <v>5203</v>
      </c>
      <c r="AW4" s="1466" t="s">
        <v>5204</v>
      </c>
    </row>
    <row r="5" spans="1:49" s="1012" customFormat="1" ht="106.5" customHeight="1">
      <c r="A5" s="985"/>
      <c r="B5" s="985"/>
      <c r="C5" s="1287"/>
      <c r="D5" s="985"/>
      <c r="E5" s="1287"/>
      <c r="F5" s="985"/>
      <c r="J5" s="1287"/>
      <c r="P5" s="1287"/>
      <c r="R5" s="1013"/>
      <c r="Z5" s="1936" t="s">
        <v>5189</v>
      </c>
      <c r="AB5" s="1013" t="s">
        <v>5143</v>
      </c>
      <c r="AT5" s="2479" t="s">
        <v>5205</v>
      </c>
      <c r="AU5" s="2479" t="s">
        <v>5206</v>
      </c>
      <c r="AV5" s="1947" t="s">
        <v>5207</v>
      </c>
      <c r="AW5" s="2480" t="str">
        <f>IF(AU5&lt;&gt;0," - Từ trụ "&amp;AT5&amp;" đến trụ "&amp;AU5&amp;" đường dây băng qua bên "&amp;AV5&amp;" đường và đi dọc theo đường hiện hữu.","")</f>
        <v xml:space="preserve"> - Từ trụ 019 đến trụ 019/002 đường dây băng qua bên trái đường và đi dọc theo đường hiện hữu.</v>
      </c>
    </row>
    <row r="6" spans="1:49" ht="33">
      <c r="A6" s="985"/>
      <c r="B6" s="985"/>
      <c r="C6" s="1287"/>
      <c r="D6" s="985"/>
      <c r="E6" s="1287"/>
      <c r="F6" s="985"/>
      <c r="G6" s="985"/>
      <c r="H6" s="985"/>
      <c r="I6" s="985"/>
      <c r="J6" s="1287"/>
      <c r="K6" s="997"/>
      <c r="L6" s="997"/>
      <c r="M6" s="985"/>
      <c r="N6" s="1287"/>
      <c r="O6" s="997"/>
      <c r="P6" s="1287"/>
      <c r="Q6" s="1287"/>
      <c r="S6" s="985"/>
      <c r="AT6" s="1947" t="str">
        <f>AU5</f>
        <v>019/002</v>
      </c>
      <c r="AU6" s="2479" t="s">
        <v>5208</v>
      </c>
      <c r="AV6" s="1947" t="s">
        <v>5209</v>
      </c>
      <c r="AW6" s="2480" t="str">
        <f t="shared" ref="AW6:AW15" si="0">IF(AU6&lt;&gt;0," - Từ trụ "&amp;AT6&amp;" đến trụ "&amp;AU6&amp;" đường dây băng qua bên "&amp;AV6&amp;" đường và đi dọc theo đường hiện hữu.","")</f>
        <v xml:space="preserve"> - Từ trụ 019/002 đến trụ 019/003 đường dây băng qua bên phải đường và đi dọc theo đường hiện hữu.</v>
      </c>
    </row>
    <row r="7" spans="1:49" s="1288" customFormat="1" ht="33">
      <c r="A7" s="985"/>
      <c r="B7" s="985"/>
      <c r="C7" s="1287"/>
      <c r="D7" s="985"/>
      <c r="E7" s="1287"/>
      <c r="F7" s="985"/>
      <c r="G7" s="985"/>
      <c r="H7" s="985"/>
      <c r="I7" s="985"/>
      <c r="J7" s="1287"/>
      <c r="K7" s="997"/>
      <c r="L7" s="997"/>
      <c r="M7" s="985"/>
      <c r="N7" s="1287"/>
      <c r="O7" s="997"/>
      <c r="P7" s="1287"/>
      <c r="Q7" s="1287"/>
      <c r="R7" s="997"/>
      <c r="S7" s="985"/>
      <c r="T7" s="985"/>
      <c r="U7" s="997"/>
      <c r="V7" s="997"/>
      <c r="AT7" s="812" t="str">
        <f>AU6</f>
        <v>019/003</v>
      </c>
      <c r="AU7" s="2479" t="s">
        <v>5210</v>
      </c>
      <c r="AV7" s="1947" t="s">
        <v>5207</v>
      </c>
      <c r="AW7" s="2480" t="str">
        <f t="shared" si="0"/>
        <v xml:space="preserve"> - Từ trụ 019/003 đến trụ 019/008 đường dây băng qua bên trái đường và đi dọc theo đường hiện hữu.</v>
      </c>
    </row>
    <row r="8" spans="1:49" s="1288" customFormat="1" ht="33">
      <c r="A8" s="985"/>
      <c r="B8" s="985"/>
      <c r="C8" s="1287"/>
      <c r="D8" s="985"/>
      <c r="E8" s="1287"/>
      <c r="F8" s="985"/>
      <c r="G8" s="985"/>
      <c r="H8" s="985"/>
      <c r="I8" s="985"/>
      <c r="J8" s="1287"/>
      <c r="K8" s="997"/>
      <c r="L8" s="997"/>
      <c r="M8" s="985"/>
      <c r="N8" s="1287"/>
      <c r="O8" s="997"/>
      <c r="P8" s="1287"/>
      <c r="Q8" s="1287"/>
      <c r="R8" s="997"/>
      <c r="S8" s="985"/>
      <c r="T8" s="985"/>
      <c r="U8" s="997"/>
      <c r="V8" s="997"/>
      <c r="AT8" s="812" t="str">
        <f t="shared" ref="AT8:AT15" si="1">AU7</f>
        <v>019/008</v>
      </c>
      <c r="AU8" s="2479" t="s">
        <v>5211</v>
      </c>
      <c r="AV8" s="1947" t="s">
        <v>5209</v>
      </c>
      <c r="AW8" s="2480" t="str">
        <f t="shared" si="0"/>
        <v xml:space="preserve"> - Từ trụ 019/008 đến trụ 019/010 đường dây băng qua bên phải đường và đi dọc theo đường hiện hữu.</v>
      </c>
    </row>
    <row r="9" spans="1:49" s="1288" customFormat="1" ht="33">
      <c r="A9" s="985"/>
      <c r="B9" s="985"/>
      <c r="C9" s="1287"/>
      <c r="D9" s="985"/>
      <c r="E9" s="1287"/>
      <c r="F9" s="985"/>
      <c r="G9" s="985"/>
      <c r="H9" s="985"/>
      <c r="I9" s="985"/>
      <c r="J9" s="1287"/>
      <c r="K9" s="997"/>
      <c r="L9" s="997"/>
      <c r="M9" s="985"/>
      <c r="N9" s="1287"/>
      <c r="O9" s="997"/>
      <c r="P9" s="1287"/>
      <c r="Q9" s="1287"/>
      <c r="R9" s="997"/>
      <c r="S9" s="985"/>
      <c r="T9" s="985"/>
      <c r="U9" s="997"/>
      <c r="V9" s="997"/>
      <c r="AT9" s="812" t="str">
        <f t="shared" si="1"/>
        <v>019/010</v>
      </c>
      <c r="AU9" s="2479" t="s">
        <v>5212</v>
      </c>
      <c r="AV9" s="1947" t="s">
        <v>5207</v>
      </c>
      <c r="AW9" s="2480" t="str">
        <f t="shared" si="0"/>
        <v xml:space="preserve"> - Từ trụ 019/010 đến trụ 019/019 đường dây băng qua bên trái đường và đi dọc theo đường hiện hữu.</v>
      </c>
    </row>
    <row r="10" spans="1:49" ht="33">
      <c r="AT10" s="812" t="str">
        <f t="shared" si="1"/>
        <v>019/019</v>
      </c>
      <c r="AU10" s="2479" t="s">
        <v>5213</v>
      </c>
      <c r="AV10" s="1947" t="s">
        <v>5209</v>
      </c>
      <c r="AW10" s="2480" t="str">
        <f t="shared" si="0"/>
        <v xml:space="preserve"> - Từ trụ 019/019 đến trụ 019/031 đường dây băng qua bên phải đường và đi dọc theo đường hiện hữu.</v>
      </c>
    </row>
    <row r="11" spans="1:49" ht="33">
      <c r="AT11" s="812" t="str">
        <f t="shared" si="1"/>
        <v>019/031</v>
      </c>
      <c r="AU11" s="2479" t="s">
        <v>5214</v>
      </c>
      <c r="AV11" s="1947" t="s">
        <v>5207</v>
      </c>
      <c r="AW11" s="2480" t="str">
        <f t="shared" si="0"/>
        <v xml:space="preserve"> - Từ trụ 019/031 đến trụ 019/033 đường dây băng qua bên trái đường và đi dọc theo đường hiện hữu.</v>
      </c>
    </row>
    <row r="12" spans="1:49" ht="33">
      <c r="AT12" s="812" t="str">
        <f t="shared" si="1"/>
        <v>019/033</v>
      </c>
      <c r="AU12" s="2479" t="s">
        <v>5215</v>
      </c>
      <c r="AV12" s="1947" t="s">
        <v>5209</v>
      </c>
      <c r="AW12" s="2480" t="str">
        <f t="shared" si="0"/>
        <v xml:space="preserve"> - Từ trụ 019/033 đến trụ 019/035 đường dây băng qua bên phải đường và đi dọc theo đường hiện hữu.</v>
      </c>
    </row>
    <row r="13" spans="1:49">
      <c r="AT13" s="812" t="str">
        <f t="shared" si="1"/>
        <v>019/035</v>
      </c>
      <c r="AU13" s="812"/>
      <c r="AV13" s="1947" t="s">
        <v>5207</v>
      </c>
      <c r="AW13" s="2480" t="str">
        <f t="shared" si="0"/>
        <v/>
      </c>
    </row>
    <row r="14" spans="1:49">
      <c r="AT14" s="812">
        <f t="shared" si="1"/>
        <v>0</v>
      </c>
      <c r="AU14" s="812"/>
      <c r="AV14" s="1947" t="s">
        <v>5209</v>
      </c>
      <c r="AW14" s="2480" t="str">
        <f t="shared" si="0"/>
        <v/>
      </c>
    </row>
    <row r="15" spans="1:49">
      <c r="AT15" s="812">
        <f t="shared" si="1"/>
        <v>0</v>
      </c>
      <c r="AU15" s="812"/>
      <c r="AV15" s="1947" t="s">
        <v>5207</v>
      </c>
      <c r="AW15" s="2480" t="str">
        <f t="shared" si="0"/>
        <v/>
      </c>
    </row>
    <row r="16" spans="1:49">
      <c r="AT16" s="812"/>
      <c r="AU16" s="812"/>
      <c r="AV16" s="1947"/>
      <c r="AW16" s="812"/>
    </row>
  </sheetData>
  <dataValidations count="2">
    <dataValidation type="list" allowBlank="1" showInputMessage="1" showErrorMessage="1" sqref="E4:E9 N6:N9 C2 C4:C9 E2 J4:J9 J2 P4:P9 P2">
      <formula1>"Ông, Bà"</formula1>
    </dataValidation>
    <dataValidation showInputMessage="1" showErrorMessage="1" sqref="N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3784</v>
      </c>
      <c r="C3" s="101"/>
      <c r="D3" s="101"/>
      <c r="E3" s="101"/>
      <c r="F3" s="102"/>
      <c r="G3" s="103"/>
      <c r="H3" s="104"/>
      <c r="I3" s="104"/>
    </row>
    <row r="4" spans="1:13" ht="15">
      <c r="A4" s="105"/>
      <c r="B4" s="2485" t="s">
        <v>1714</v>
      </c>
      <c r="C4" s="2485" t="s">
        <v>2289</v>
      </c>
      <c r="D4" s="92" t="s">
        <v>2290</v>
      </c>
      <c r="E4" s="92" t="s">
        <v>2291</v>
      </c>
      <c r="F4" s="106">
        <f>pp_NC!GV5</f>
        <v>0</v>
      </c>
      <c r="G4" s="106" t="str">
        <f>'pp3p2m '!ED6</f>
        <v>B</v>
      </c>
      <c r="H4" s="106" t="s">
        <v>1040</v>
      </c>
      <c r="I4" s="106" t="s">
        <v>1040</v>
      </c>
      <c r="J4" s="107"/>
      <c r="K4" s="103"/>
      <c r="L4" s="103"/>
      <c r="M4" s="103"/>
    </row>
    <row r="5" spans="1:13" ht="15">
      <c r="A5" s="93" t="s">
        <v>2292</v>
      </c>
      <c r="B5" s="2486"/>
      <c r="C5" s="2486"/>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7.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7.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7.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7.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7.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7.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7.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7.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7.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7.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7.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7.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7.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7.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7.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7.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7.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7.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7.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7.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7.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7.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7.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7.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7.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7.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7.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7.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7.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7.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7.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7.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7.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7.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7.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7.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7.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7.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7.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7.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7.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7.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7.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7.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7.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7.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7.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7.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7.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7.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7.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7.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7.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7.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7.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7.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7.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7.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7.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7.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7.25">
      <c r="A92" s="9" t="str">
        <f>chitiet!B1492</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7.25">
      <c r="A93" s="9" t="str">
        <f>chitiet!B1493</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7.25">
      <c r="A94" s="9" t="str">
        <f>chitiet!B1494</f>
        <v>AC150</v>
      </c>
      <c r="B94" s="18" t="e">
        <f>IF(E94=0,"",COUNTIF($B$92:$B93,"&gt;0")+1)</f>
        <v>#NAME?</v>
      </c>
      <c r="C94" s="16" t="e">
        <f t="shared" si="9"/>
        <v>#NAME?</v>
      </c>
      <c r="D94" s="19" t="e">
        <f t="shared" si="11"/>
        <v>#NAME?</v>
      </c>
      <c r="E94" s="17" t="e">
        <f t="shared" si="10"/>
        <v>#NAME?</v>
      </c>
      <c r="F94" s="10">
        <f>chitiet!E1494</f>
        <v>0</v>
      </c>
      <c r="G94" s="7" t="e">
        <f>IF(E94&lt;&gt;0,1,0)</f>
        <v>#NAME?</v>
      </c>
      <c r="H94" s="4"/>
      <c r="I94" s="4"/>
      <c r="J94" s="4"/>
    </row>
    <row r="95" spans="1:10" s="1" customFormat="1" ht="17.25">
      <c r="A95" s="9" t="str">
        <f>chitiet!B1495</f>
        <v>AC120</v>
      </c>
      <c r="B95" s="18" t="e">
        <f>IF(E95=0,"",COUNTIF($B$92:$B94,"&gt;0")+1)</f>
        <v>#NAME?</v>
      </c>
      <c r="C95" s="16" t="e">
        <f t="shared" si="9"/>
        <v>#NAME?</v>
      </c>
      <c r="D95" s="19" t="e">
        <f t="shared" si="11"/>
        <v>#NAME?</v>
      </c>
      <c r="E95" s="17" t="e">
        <f t="shared" si="10"/>
        <v>#NAME?</v>
      </c>
      <c r="F95" s="10">
        <f>chitiet!E1495</f>
        <v>0</v>
      </c>
      <c r="G95" s="7" t="e">
        <f>IF(E95&lt;&gt;0,1,0)</f>
        <v>#NAME?</v>
      </c>
      <c r="H95" s="4"/>
      <c r="I95" s="4"/>
      <c r="J95" s="4"/>
    </row>
    <row r="96" spans="1:10" s="1" customFormat="1" ht="17.25">
      <c r="A96" s="9" t="str">
        <f>chitiet!B1496</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7.25">
      <c r="A97" s="9" t="str">
        <f>chitiet!B1497</f>
        <v>AC70</v>
      </c>
      <c r="B97" s="18" t="e">
        <f>IF(E97=0,"",COUNTIF($B$92:$B96,"&gt;0")+1)</f>
        <v>#NAME?</v>
      </c>
      <c r="C97" s="16" t="e">
        <f t="shared" si="9"/>
        <v>#NAME?</v>
      </c>
      <c r="D97" s="19" t="e">
        <f t="shared" si="11"/>
        <v>#NAME?</v>
      </c>
      <c r="E97" s="17" t="e">
        <f t="shared" si="10"/>
        <v>#NAME?</v>
      </c>
      <c r="F97" s="10">
        <f>chitiet!E1497</f>
        <v>0</v>
      </c>
      <c r="G97" s="7" t="e">
        <f t="shared" si="12"/>
        <v>#NAME?</v>
      </c>
      <c r="H97" s="4"/>
      <c r="I97" s="4"/>
      <c r="J97" s="4"/>
    </row>
    <row r="98" spans="1:10" s="1" customFormat="1" ht="17.25">
      <c r="A98" s="9" t="str">
        <f>chitiet!B1498</f>
        <v>AC50</v>
      </c>
      <c r="B98" s="18" t="e">
        <f>IF(E98=0,"",COUNTIF($B$92:$B97,"&gt;0")+1)</f>
        <v>#NAME?</v>
      </c>
      <c r="C98" s="16" t="e">
        <f t="shared" si="9"/>
        <v>#NAME?</v>
      </c>
      <c r="D98" s="19" t="e">
        <f t="shared" si="11"/>
        <v>#NAME?</v>
      </c>
      <c r="E98" s="17" t="e">
        <f t="shared" si="10"/>
        <v>#NAME?</v>
      </c>
      <c r="F98" s="10">
        <f>chitiet!E1498</f>
        <v>0</v>
      </c>
      <c r="G98" s="7" t="e">
        <f t="shared" si="12"/>
        <v>#NAME?</v>
      </c>
      <c r="H98" s="4"/>
      <c r="I98" s="4"/>
      <c r="J98" s="4"/>
    </row>
    <row r="99" spans="1:10" s="1" customFormat="1" ht="17.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7.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7.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7.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7.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7.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7.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chitiet!B1499</f>
        <v>ACXV50</v>
      </c>
      <c r="B106" s="114" t="e">
        <f>IF(E106=0,"",COUNTIF($B$92:$B105,"&gt;0")+1)</f>
        <v>#NAME?</v>
      </c>
      <c r="C106" s="115" t="e">
        <f t="shared" si="9"/>
        <v>#NAME?</v>
      </c>
      <c r="D106" s="98" t="e">
        <f t="shared" si="11"/>
        <v>#NAME?</v>
      </c>
      <c r="E106" s="116" t="e">
        <f t="shared" si="10"/>
        <v>#NAME?</v>
      </c>
      <c r="F106" s="121">
        <f>chitiet!E1499</f>
        <v>0</v>
      </c>
      <c r="G106" s="113" t="e">
        <f>IF(E106&lt;&gt;0,1,0)</f>
        <v>#NAME?</v>
      </c>
      <c r="H106" s="105"/>
      <c r="I106" s="105"/>
      <c r="J106" s="105"/>
    </row>
    <row r="107" spans="1:10" s="1" customFormat="1" ht="17.25">
      <c r="A107" s="9" t="str">
        <f>chitiet!B1500</f>
        <v>XLPE240A</v>
      </c>
      <c r="B107" s="18" t="e">
        <f>IF(E107=0,"",COUNTIF($B$92:$B106,"&gt;0")+1)</f>
        <v>#NAME?</v>
      </c>
      <c r="C107" s="16" t="e">
        <f t="shared" si="9"/>
        <v>#NAME?</v>
      </c>
      <c r="D107" s="19" t="e">
        <f t="shared" si="11"/>
        <v>#NAME?</v>
      </c>
      <c r="E107" s="17" t="e">
        <f t="shared" si="10"/>
        <v>#NAME?</v>
      </c>
      <c r="F107" s="10">
        <f>chitiet!E1500</f>
        <v>0</v>
      </c>
      <c r="G107" s="7" t="e">
        <f t="shared" si="13"/>
        <v>#NAME?</v>
      </c>
      <c r="H107" s="4"/>
      <c r="I107" s="4"/>
      <c r="J107" s="4"/>
    </row>
    <row r="108" spans="1:10" s="1" customFormat="1" ht="17.25">
      <c r="A108" s="9" t="str">
        <f>chitiet!B1501</f>
        <v>XLPE185A</v>
      </c>
      <c r="B108" s="18" t="e">
        <f>IF(E108=0,"",COUNTIF($B$92:$B107,"&gt;0")+1)</f>
        <v>#NAME?</v>
      </c>
      <c r="C108" s="16" t="e">
        <f t="shared" si="9"/>
        <v>#NAME?</v>
      </c>
      <c r="D108" s="19" t="e">
        <f t="shared" si="11"/>
        <v>#NAME?</v>
      </c>
      <c r="E108" s="17" t="e">
        <f t="shared" si="10"/>
        <v>#NAME?</v>
      </c>
      <c r="F108" s="10">
        <f>chitiet!E1501</f>
        <v>0</v>
      </c>
      <c r="G108" s="7" t="e">
        <f t="shared" si="13"/>
        <v>#NAME?</v>
      </c>
      <c r="H108" s="4"/>
      <c r="I108" s="4"/>
      <c r="J108" s="4"/>
    </row>
    <row r="109" spans="1:10" s="1" customFormat="1" ht="17.25">
      <c r="A109" s="9" t="str">
        <f>chitiet!B1502</f>
        <v>XLPE150A</v>
      </c>
      <c r="B109" s="18" t="e">
        <f>IF(E109=0,"",COUNTIF($B$92:$B108,"&gt;0")+1)</f>
        <v>#NAME?</v>
      </c>
      <c r="C109" s="16" t="e">
        <f t="shared" si="9"/>
        <v>#NAME?</v>
      </c>
      <c r="D109" s="19" t="e">
        <f t="shared" si="11"/>
        <v>#NAME?</v>
      </c>
      <c r="E109" s="17" t="e">
        <f t="shared" si="10"/>
        <v>#NAME?</v>
      </c>
      <c r="F109" s="10">
        <f>chitiet!E1502</f>
        <v>0</v>
      </c>
      <c r="G109" s="7" t="e">
        <f t="shared" si="13"/>
        <v>#NAME?</v>
      </c>
      <c r="H109" s="4"/>
      <c r="I109" s="4"/>
      <c r="J109" s="4"/>
    </row>
    <row r="110" spans="1:10" s="1" customFormat="1" ht="17.25">
      <c r="A110" s="9" t="str">
        <f>chitiet!B1503</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7.25">
      <c r="A111" s="9" t="str">
        <f>chitiet!B1504</f>
        <v>XLPE95A</v>
      </c>
      <c r="B111" s="18" t="e">
        <f>IF(E111=0,"",COUNTIF($B$92:$B110,"&gt;0")+1)</f>
        <v>#NAME?</v>
      </c>
      <c r="C111" s="16" t="e">
        <f t="shared" si="9"/>
        <v>#NAME?</v>
      </c>
      <c r="D111" s="19" t="e">
        <f t="shared" si="11"/>
        <v>#NAME?</v>
      </c>
      <c r="E111" s="17" t="e">
        <f t="shared" si="10"/>
        <v>#NAME?</v>
      </c>
      <c r="F111" s="10">
        <f>chitiet!E1504</f>
        <v>0</v>
      </c>
      <c r="G111" s="7" t="e">
        <f t="shared" si="13"/>
        <v>#NAME?</v>
      </c>
      <c r="H111" s="4"/>
      <c r="I111" s="4"/>
      <c r="J111" s="4"/>
    </row>
    <row r="112" spans="1:10" s="1" customFormat="1" ht="17.25">
      <c r="A112" s="9" t="str">
        <f>chitiet!B1505</f>
        <v>XLPE70A</v>
      </c>
      <c r="B112" s="18" t="e">
        <f>IF(E112=0,"",COUNTIF($B$92:$B111,"&gt;0")+1)</f>
        <v>#NAME?</v>
      </c>
      <c r="C112" s="16" t="e">
        <f t="shared" si="9"/>
        <v>#NAME?</v>
      </c>
      <c r="D112" s="19" t="e">
        <f t="shared" si="11"/>
        <v>#NAME?</v>
      </c>
      <c r="E112" s="17" t="e">
        <f t="shared" si="10"/>
        <v>#NAME?</v>
      </c>
      <c r="F112" s="10">
        <f>chitiet!E1505</f>
        <v>0</v>
      </c>
      <c r="G112" s="7" t="e">
        <f>IF(E112&lt;&gt;0,1,0)</f>
        <v>#NAME?</v>
      </c>
      <c r="H112" s="4"/>
      <c r="I112" s="4"/>
      <c r="J112" s="4"/>
    </row>
    <row r="113" spans="1:10" ht="15">
      <c r="A113" s="120" t="str">
        <f>chitiet!B1506</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chitiet!B1507</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chitiet!B1508</f>
        <v>B16300</v>
      </c>
      <c r="B115" s="114"/>
      <c r="C115" s="115" t="e">
        <f t="shared" si="9"/>
        <v>#NAME?</v>
      </c>
      <c r="D115" s="98" t="e">
        <f t="shared" si="11"/>
        <v>#NAME?</v>
      </c>
      <c r="E115" s="116" t="e">
        <f>E114</f>
        <v>#NAME?</v>
      </c>
      <c r="F115" s="121">
        <f>chitiet!E1512</f>
        <v>0</v>
      </c>
      <c r="G115" s="117" t="e">
        <f t="shared" si="14"/>
        <v>#NAME?</v>
      </c>
      <c r="H115" s="105"/>
      <c r="I115" s="105"/>
      <c r="J115" s="105"/>
    </row>
    <row r="116" spans="1:10" s="1" customFormat="1" ht="17.25">
      <c r="A116" s="9" t="str">
        <f>chitiet!B1509</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7.25">
      <c r="A117" s="9" t="str">
        <f>chitiet!B1510</f>
        <v>R1</v>
      </c>
      <c r="B117" s="18" t="str">
        <f>IF(E117=0,"",COUNTIF($E$92:$E117,"&gt;0"))</f>
        <v/>
      </c>
      <c r="C117" s="16" t="e">
        <f t="shared" si="9"/>
        <v>#NAME?</v>
      </c>
      <c r="D117" s="19" t="e">
        <f t="shared" si="11"/>
        <v>#NAME?</v>
      </c>
      <c r="E117" s="17"/>
      <c r="F117" s="4"/>
      <c r="G117" s="8">
        <f t="shared" si="14"/>
        <v>0</v>
      </c>
      <c r="H117" s="4"/>
      <c r="I117" s="4"/>
      <c r="J117" s="4"/>
    </row>
    <row r="118" spans="1:10" s="1" customFormat="1" ht="17.25">
      <c r="A118" s="9" t="str">
        <f>chitiet!B1511</f>
        <v>B16300</v>
      </c>
      <c r="B118" s="18" t="str">
        <f>IF(E118=0,"",COUNTIF($E$92:$E118,"&gt;0"))</f>
        <v/>
      </c>
      <c r="C118" s="16" t="e">
        <f t="shared" si="9"/>
        <v>#NAME?</v>
      </c>
      <c r="D118" s="19" t="e">
        <f t="shared" si="11"/>
        <v>#NAME?</v>
      </c>
      <c r="E118" s="17"/>
      <c r="F118" s="4"/>
      <c r="G118" s="8">
        <f t="shared" si="14"/>
        <v>0</v>
      </c>
      <c r="H118" s="4"/>
      <c r="I118" s="4"/>
      <c r="J118" s="4"/>
    </row>
    <row r="119" spans="1:10" s="1" customFormat="1" ht="17.25">
      <c r="A119" s="9" t="str">
        <f>chitiet!B1512</f>
        <v>K50</v>
      </c>
      <c r="B119" s="18" t="str">
        <f>IF(E119=0,"",COUNTIF($E$92:$E119,"&gt;0"))</f>
        <v/>
      </c>
      <c r="C119" s="16" t="e">
        <f t="shared" si="9"/>
        <v>#NAME?</v>
      </c>
      <c r="D119" s="19" t="e">
        <f t="shared" si="11"/>
        <v>#NAME?</v>
      </c>
      <c r="E119" s="17"/>
      <c r="F119" s="4"/>
      <c r="G119" s="8">
        <f t="shared" si="14"/>
        <v>0</v>
      </c>
      <c r="H119" s="4"/>
      <c r="I119" s="4"/>
      <c r="J119" s="4"/>
    </row>
    <row r="120" spans="1:10" s="1" customFormat="1" ht="17.25">
      <c r="A120" s="9" t="str">
        <f>chitiet!B1513</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7.25">
      <c r="A121" s="9" t="str">
        <f>chitiet!B1514</f>
        <v>kn50</v>
      </c>
      <c r="B121" s="18" t="str">
        <f>IF(E121=0,"",COUNTIF($E$92:$E121,"&gt;0"))</f>
        <v/>
      </c>
      <c r="C121" s="16" t="e">
        <f t="shared" si="9"/>
        <v>#NAME?</v>
      </c>
      <c r="D121" s="19" t="e">
        <f t="shared" si="11"/>
        <v>#NAME?</v>
      </c>
      <c r="E121" s="17"/>
      <c r="F121" s="4"/>
      <c r="G121" s="8">
        <f t="shared" si="14"/>
        <v>0</v>
      </c>
      <c r="H121" s="4"/>
      <c r="I121" s="4"/>
      <c r="J121" s="4"/>
    </row>
    <row r="122" spans="1:10" s="1" customFormat="1" ht="17.25">
      <c r="A122" s="9" t="str">
        <f>chitiet!B1515</f>
        <v>MT</v>
      </c>
      <c r="B122" s="18" t="str">
        <f>IF(E122=0,"",COUNTIF($E$92:$E122,"&gt;0"))</f>
        <v/>
      </c>
      <c r="C122" s="16" t="e">
        <f t="shared" si="9"/>
        <v>#NAME?</v>
      </c>
      <c r="D122" s="19" t="e">
        <f t="shared" si="11"/>
        <v>#NAME?</v>
      </c>
      <c r="E122" s="17"/>
      <c r="F122" s="4"/>
      <c r="G122" s="8">
        <f t="shared" si="14"/>
        <v>0</v>
      </c>
      <c r="H122" s="4"/>
      <c r="I122" s="4"/>
      <c r="J122" s="4"/>
    </row>
    <row r="123" spans="1:10" s="1" customFormat="1" ht="17.25">
      <c r="A123" s="9" t="str">
        <f>chitiet!B1516</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7.25">
      <c r="A124" s="9" t="str">
        <f>chitiet!B1517</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chitiet!B1518</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chitiet!B1519</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chitiet!B1520</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chitiet!B1521</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chitiet!B1522</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chitiet!B1523</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chitiet!B1524</f>
        <v>CSD</v>
      </c>
      <c r="B131" s="114"/>
      <c r="C131" s="115" t="e">
        <f t="shared" si="15"/>
        <v>#NAME?</v>
      </c>
      <c r="D131" s="98" t="e">
        <f t="shared" si="11"/>
        <v>#NAME?</v>
      </c>
      <c r="E131" s="116" t="e">
        <f>E130</f>
        <v>#NAME?</v>
      </c>
      <c r="F131" s="105"/>
      <c r="G131" s="117" t="e">
        <f t="shared" si="14"/>
        <v>#NAME?</v>
      </c>
      <c r="H131" s="105"/>
      <c r="I131" s="105"/>
      <c r="J131" s="105"/>
    </row>
    <row r="132" spans="1:10" s="1" customFormat="1" ht="17.25">
      <c r="A132" s="9" t="str">
        <f>chitiet!B1525</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7.25">
      <c r="A133" s="9" t="str">
        <f>chitiet!B1526</f>
        <v>SD</v>
      </c>
      <c r="B133" s="18"/>
      <c r="C133" s="16" t="e">
        <f t="shared" si="15"/>
        <v>#NAME?</v>
      </c>
      <c r="D133" s="19" t="e">
        <f t="shared" si="11"/>
        <v>#NAME?</v>
      </c>
      <c r="E133" s="17"/>
      <c r="F133" s="4"/>
      <c r="G133" s="8">
        <f t="shared" si="14"/>
        <v>0</v>
      </c>
      <c r="H133" s="4"/>
      <c r="I133" s="4"/>
      <c r="J133" s="4"/>
    </row>
    <row r="134" spans="1:10" s="1" customFormat="1" ht="17.25">
      <c r="A134" s="9" t="str">
        <f>chitiet!B1527</f>
        <v>CSDI</v>
      </c>
      <c r="B134" s="18"/>
      <c r="C134" s="16" t="e">
        <f t="shared" si="15"/>
        <v>#NAME?</v>
      </c>
      <c r="D134" s="19" t="e">
        <f t="shared" si="11"/>
        <v>#NAME?</v>
      </c>
      <c r="E134" s="17"/>
      <c r="F134" s="4"/>
      <c r="G134" s="8">
        <f t="shared" si="14"/>
        <v>0</v>
      </c>
      <c r="H134" s="4"/>
      <c r="I134" s="4"/>
      <c r="J134" s="4"/>
    </row>
    <row r="135" spans="1:10" s="1" customFormat="1" ht="17.25">
      <c r="A135" s="9" t="str">
        <f>chitiet!B1528</f>
        <v>B16300</v>
      </c>
      <c r="B135" s="18" t="str">
        <f>IF(E135=0,"",COUNTIF($B$92:$B134,"&gt;0")+1)</f>
        <v/>
      </c>
      <c r="C135" s="16" t="e">
        <f t="shared" si="15"/>
        <v>#NAME?</v>
      </c>
      <c r="D135" s="19" t="e">
        <f t="shared" si="11"/>
        <v>#NAME?</v>
      </c>
      <c r="E135" s="17"/>
      <c r="F135" s="4"/>
      <c r="G135" s="8">
        <f t="shared" si="14"/>
        <v>0</v>
      </c>
      <c r="H135" s="4"/>
      <c r="I135" s="4"/>
      <c r="J135" s="4"/>
    </row>
    <row r="136" spans="1:10" s="1" customFormat="1" ht="17.25">
      <c r="A136" s="9" t="str">
        <f>chitiet!B1529</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7.25">
      <c r="A137" s="9" t="str">
        <f>chitiet!B1530</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7.25">
      <c r="A138" s="9" t="str">
        <f>chitiet!B1531</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7.25">
      <c r="A139" s="9" t="str">
        <f>chitiet!B1532</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7.25">
      <c r="A140" s="9" t="str">
        <f>chitiet!B1533</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7.25">
      <c r="A141" s="9" t="str">
        <f>chitiet!B1534</f>
        <v>St</v>
      </c>
      <c r="B141" s="18" t="str">
        <f>IF(E141=0,"",COUNTIF($B$92:$B140,"&gt;0")+1)</f>
        <v/>
      </c>
      <c r="C141" s="16" t="e">
        <f t="shared" si="16"/>
        <v>#NAME?</v>
      </c>
      <c r="D141" s="19" t="e">
        <f t="shared" si="17"/>
        <v>#NAME?</v>
      </c>
      <c r="E141" s="17"/>
      <c r="F141" s="4"/>
      <c r="G141" s="8">
        <f t="shared" si="14"/>
        <v>0</v>
      </c>
      <c r="H141" s="4"/>
      <c r="I141" s="4"/>
      <c r="J141" s="4"/>
    </row>
    <row r="142" spans="1:10" s="1" customFormat="1" ht="17.25">
      <c r="A142" s="9" t="str">
        <f>chitiet!B1535</f>
        <v>MT</v>
      </c>
      <c r="B142" s="18" t="str">
        <f>IF(E142=0,"",COUNTIF($B$92:$B141,"&gt;0")+1)</f>
        <v/>
      </c>
      <c r="C142" s="16" t="e">
        <f t="shared" si="16"/>
        <v>#NAME?</v>
      </c>
      <c r="D142" s="19" t="e">
        <f t="shared" si="17"/>
        <v>#NAME?</v>
      </c>
      <c r="E142" s="17"/>
      <c r="F142" s="4"/>
      <c r="G142" s="8">
        <f t="shared" si="14"/>
        <v>0</v>
      </c>
      <c r="H142" s="4"/>
      <c r="I142" s="4"/>
      <c r="J142" s="4"/>
    </row>
    <row r="143" spans="1:10" s="1" customFormat="1" ht="17.25">
      <c r="A143" s="9" t="str">
        <f>chitiet!B1536</f>
        <v>VT</v>
      </c>
      <c r="B143" s="18" t="str">
        <f>IF(E143=0,"",COUNTIF($B$92:$B142,"&gt;0")+1)</f>
        <v/>
      </c>
      <c r="C143" s="16" t="e">
        <f t="shared" si="16"/>
        <v>#NAME?</v>
      </c>
      <c r="D143" s="19" t="e">
        <f t="shared" si="17"/>
        <v>#NAME?</v>
      </c>
      <c r="E143" s="17"/>
      <c r="F143" s="4"/>
      <c r="G143" s="8">
        <f t="shared" si="14"/>
        <v>0</v>
      </c>
      <c r="H143" s="4"/>
      <c r="I143" s="4"/>
      <c r="J143" s="4"/>
    </row>
    <row r="144" spans="1:10" s="1" customFormat="1" ht="17.25">
      <c r="A144" s="9" t="str">
        <f>chitiet!B1537</f>
        <v>MND</v>
      </c>
      <c r="B144" s="18" t="str">
        <f>IF(E144=0,"",COUNTIF($B$92:$B143,"&gt;0")+1)</f>
        <v/>
      </c>
      <c r="C144" s="16" t="e">
        <f t="shared" si="16"/>
        <v>#NAME?</v>
      </c>
      <c r="D144" s="19" t="e">
        <f t="shared" si="17"/>
        <v>#NAME?</v>
      </c>
      <c r="E144" s="17"/>
      <c r="F144" s="4"/>
      <c r="G144" s="8">
        <f t="shared" si="14"/>
        <v>0</v>
      </c>
      <c r="H144" s="4"/>
      <c r="I144" s="4"/>
      <c r="J144" s="4"/>
    </row>
    <row r="145" spans="1:10" s="1" customFormat="1" ht="17.25">
      <c r="A145" s="9" t="str">
        <f>chitiet!B1538</f>
        <v>Bm16300</v>
      </c>
      <c r="B145" s="18" t="str">
        <f>IF(E145=0,"",COUNTIF($B$92:$B144,"&gt;0")+1)</f>
        <v/>
      </c>
      <c r="C145" s="16" t="e">
        <f t="shared" si="16"/>
        <v>#NAME?</v>
      </c>
      <c r="D145" s="19" t="e">
        <f t="shared" si="17"/>
        <v>#NAME?</v>
      </c>
      <c r="E145" s="17"/>
      <c r="F145" s="4"/>
      <c r="G145" s="8">
        <f t="shared" si="14"/>
        <v>0</v>
      </c>
      <c r="H145" s="4"/>
      <c r="I145" s="4"/>
      <c r="J145" s="4"/>
    </row>
    <row r="146" spans="1:10" s="1" customFormat="1" ht="17.25">
      <c r="A146" s="9" t="str">
        <f>chitiet!B1539</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7.25">
      <c r="A147" s="9" t="str">
        <f>chitiet!B1540</f>
        <v>ST</v>
      </c>
      <c r="B147" s="18" t="str">
        <f>IF(E147=0,"",COUNTIF($B$92:$B146,"&gt;0")+1)</f>
        <v/>
      </c>
      <c r="C147" s="16" t="e">
        <f t="shared" si="15"/>
        <v>#NAME?</v>
      </c>
      <c r="D147" s="19" t="e">
        <f t="shared" si="11"/>
        <v>#NAME?</v>
      </c>
      <c r="E147" s="17"/>
      <c r="F147" s="4"/>
      <c r="G147" s="8">
        <f t="shared" si="14"/>
        <v>0</v>
      </c>
      <c r="H147" s="4"/>
      <c r="I147" s="4"/>
      <c r="J147" s="4"/>
    </row>
    <row r="148" spans="1:10" s="1" customFormat="1" ht="17.25">
      <c r="A148" s="9" t="str">
        <f>chitiet!B1541</f>
        <v>MT</v>
      </c>
      <c r="B148" s="18" t="str">
        <f>IF(E148=0,"",COUNTIF($B$92:$B147,"&gt;0")+1)</f>
        <v/>
      </c>
      <c r="C148" s="16" t="e">
        <f t="shared" si="15"/>
        <v>#NAME?</v>
      </c>
      <c r="D148" s="19" t="e">
        <f t="shared" si="11"/>
        <v>#NAME?</v>
      </c>
      <c r="E148" s="17"/>
      <c r="F148" s="4"/>
      <c r="G148" s="8">
        <f t="shared" si="14"/>
        <v>0</v>
      </c>
      <c r="H148" s="4"/>
      <c r="I148" s="4"/>
      <c r="J148" s="4"/>
    </row>
    <row r="149" spans="1:10" s="1" customFormat="1" ht="17.25">
      <c r="A149" s="9" t="str">
        <f>chitiet!B1542</f>
        <v>VT</v>
      </c>
      <c r="B149" s="18" t="str">
        <f>IF(E149=0,"",COUNTIF($B$92:$B148,"&gt;0")+1)</f>
        <v/>
      </c>
      <c r="C149" s="16" t="e">
        <f t="shared" si="15"/>
        <v>#NAME?</v>
      </c>
      <c r="D149" s="19" t="e">
        <f t="shared" si="11"/>
        <v>#NAME?</v>
      </c>
      <c r="E149" s="17"/>
      <c r="F149" s="4"/>
      <c r="G149" s="8">
        <f t="shared" si="14"/>
        <v>0</v>
      </c>
      <c r="H149" s="4"/>
      <c r="I149" s="4"/>
      <c r="J149" s="4"/>
    </row>
    <row r="150" spans="1:10" s="1" customFormat="1" ht="17.25">
      <c r="A150" s="9" t="str">
        <f>chitiet!B1543</f>
        <v>MND</v>
      </c>
      <c r="B150" s="18"/>
      <c r="C150" s="16" t="e">
        <f t="shared" si="15"/>
        <v>#NAME?</v>
      </c>
      <c r="D150" s="19" t="e">
        <f t="shared" si="11"/>
        <v>#NAME?</v>
      </c>
      <c r="E150" s="17"/>
      <c r="F150" s="4"/>
      <c r="G150" s="8">
        <f t="shared" si="14"/>
        <v>0</v>
      </c>
      <c r="H150" s="4"/>
      <c r="I150" s="4"/>
      <c r="J150" s="4"/>
    </row>
    <row r="151" spans="1:10" ht="15">
      <c r="A151" s="120" t="str">
        <f>chitiet!B1544</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chitiet!B1545</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chitiet!B1546</f>
        <v>MT</v>
      </c>
      <c r="B153" s="114"/>
      <c r="C153" s="115" t="e">
        <f t="shared" si="15"/>
        <v>#NAME?</v>
      </c>
      <c r="D153" s="98" t="e">
        <f t="shared" si="11"/>
        <v>#NAME?</v>
      </c>
      <c r="E153" s="116" t="e">
        <f>E152*2</f>
        <v>#NAME?</v>
      </c>
      <c r="F153" s="105"/>
      <c r="G153" s="117" t="e">
        <f t="shared" si="14"/>
        <v>#NAME?</v>
      </c>
      <c r="H153" s="105"/>
      <c r="I153" s="105"/>
      <c r="J153" s="105"/>
    </row>
    <row r="154" spans="1:10" ht="15">
      <c r="A154" s="130">
        <f>chitiet!B1550</f>
        <v>0</v>
      </c>
      <c r="B154" s="114"/>
      <c r="C154" s="60" t="s">
        <v>2526</v>
      </c>
      <c r="D154" s="98"/>
      <c r="E154" s="116"/>
      <c r="F154" s="105"/>
      <c r="G154" s="117">
        <v>1</v>
      </c>
      <c r="H154" s="105"/>
      <c r="I154" s="105"/>
      <c r="J154" s="105"/>
    </row>
    <row r="155" spans="1:10" s="1" customFormat="1" ht="17.25">
      <c r="A155" s="11" t="str">
        <f>chitiet!B1551</f>
        <v>KD240</v>
      </c>
      <c r="B155" s="18" t="str">
        <f>IF(E155=0,"",COUNTIF($B$92:$B154,"&gt;0")+1)</f>
        <v/>
      </c>
      <c r="C155" s="16" t="str">
        <f>chitiet!F1551</f>
        <v>Khóa đỡ dây cỡ dây 240</v>
      </c>
      <c r="D155" s="19" t="str">
        <f>chitiet!G1551</f>
        <v>cái</v>
      </c>
      <c r="E155" s="17">
        <f>chitiet!D1551</f>
        <v>0</v>
      </c>
      <c r="F155" s="4"/>
      <c r="G155" s="8">
        <f t="shared" si="14"/>
        <v>0</v>
      </c>
      <c r="H155" s="4"/>
      <c r="I155" s="4"/>
      <c r="J155" s="4"/>
    </row>
    <row r="156" spans="1:10" s="1" customFormat="1" ht="17.25">
      <c r="A156" s="11" t="str">
        <f>chitiet!B1552</f>
        <v>KD185</v>
      </c>
      <c r="B156" s="18" t="str">
        <f>IF(E156=0,"",COUNTIF($B$92:$B155,"&gt;0")+1)</f>
        <v/>
      </c>
      <c r="C156" s="16" t="str">
        <f>chitiet!F1552</f>
        <v>Khóa đỡ dây cỡ dây 185</v>
      </c>
      <c r="D156" s="19" t="str">
        <f>chitiet!G1552</f>
        <v>cái</v>
      </c>
      <c r="E156" s="17">
        <f>chitiet!D1552</f>
        <v>0</v>
      </c>
      <c r="F156" s="4"/>
      <c r="G156" s="8">
        <f t="shared" si="14"/>
        <v>0</v>
      </c>
      <c r="H156" s="4"/>
      <c r="I156" s="4"/>
      <c r="J156" s="4"/>
    </row>
    <row r="157" spans="1:10" s="1" customFormat="1" ht="17.25">
      <c r="A157" s="11" t="str">
        <f>chitiet!B1553</f>
        <v>KD150</v>
      </c>
      <c r="B157" s="18" t="str">
        <f>IF(E157=0,"",COUNTIF($B$92:$B156,"&gt;0")+1)</f>
        <v/>
      </c>
      <c r="C157" s="16" t="str">
        <f>chitiet!F1553</f>
        <v>Khóa đỡ dây cỡ dây 150</v>
      </c>
      <c r="D157" s="19" t="str">
        <f>chitiet!G1553</f>
        <v>cái</v>
      </c>
      <c r="E157" s="17">
        <f>chitiet!D1553</f>
        <v>0</v>
      </c>
      <c r="F157" s="4"/>
      <c r="G157" s="8">
        <f t="shared" si="14"/>
        <v>0</v>
      </c>
      <c r="H157" s="4"/>
      <c r="I157" s="4"/>
      <c r="J157" s="4"/>
    </row>
    <row r="158" spans="1:10" s="1" customFormat="1" ht="17.25">
      <c r="A158" s="11" t="str">
        <f>chitiet!B1554</f>
        <v>KD120</v>
      </c>
      <c r="B158" s="18" t="str">
        <f>IF(E158=0,"",COUNTIF($B$92:$B157,"&gt;0")+1)</f>
        <v/>
      </c>
      <c r="C158" s="16" t="str">
        <f>chitiet!F1554</f>
        <v>Khóa đỡ dây cỡ dây 120</v>
      </c>
      <c r="D158" s="19" t="str">
        <f>chitiet!G1554</f>
        <v>cái</v>
      </c>
      <c r="E158" s="17">
        <f>chitiet!D1554</f>
        <v>0</v>
      </c>
      <c r="F158" s="4"/>
      <c r="G158" s="8">
        <f t="shared" si="14"/>
        <v>0</v>
      </c>
      <c r="H158" s="4"/>
      <c r="I158" s="4"/>
      <c r="J158" s="4"/>
    </row>
    <row r="159" spans="1:10" s="1" customFormat="1" ht="17.25">
      <c r="A159" s="11" t="str">
        <f>chitiet!B1555</f>
        <v>KD95</v>
      </c>
      <c r="B159" s="18" t="str">
        <f>IF(E159=0,"",COUNTIF($B$92:$B158,"&gt;0")+1)</f>
        <v/>
      </c>
      <c r="C159" s="16" t="str">
        <f>chitiet!F1555</f>
        <v>Khóa đỡ dây cỡ dây 95</v>
      </c>
      <c r="D159" s="19" t="str">
        <f>chitiet!G1555</f>
        <v>cái</v>
      </c>
      <c r="E159" s="17">
        <f>chitiet!D1555</f>
        <v>0</v>
      </c>
      <c r="F159" s="4"/>
      <c r="G159" s="8">
        <f t="shared" si="14"/>
        <v>0</v>
      </c>
      <c r="H159" s="4"/>
      <c r="I159" s="4"/>
      <c r="J159" s="4"/>
    </row>
    <row r="160" spans="1:10" s="1" customFormat="1" ht="17.25">
      <c r="A160" s="11" t="str">
        <f>chitiet!B1556</f>
        <v>KD70</v>
      </c>
      <c r="B160" s="18" t="str">
        <f>IF(E160=0,"",COUNTIF($B$92:$B159,"&gt;0")+1)</f>
        <v/>
      </c>
      <c r="C160" s="16" t="str">
        <f>chitiet!F1556</f>
        <v>Khóa đỡ dây cỡ dây 70</v>
      </c>
      <c r="D160" s="19" t="str">
        <f>chitiet!G1556</f>
        <v>cái</v>
      </c>
      <c r="E160" s="17">
        <f>chitiet!D1556</f>
        <v>0</v>
      </c>
      <c r="F160" s="4"/>
      <c r="G160" s="8">
        <f t="shared" si="14"/>
        <v>0</v>
      </c>
      <c r="H160" s="4"/>
      <c r="I160" s="4"/>
      <c r="J160" s="4"/>
    </row>
    <row r="161" spans="1:10" s="1" customFormat="1" ht="17.25">
      <c r="A161" s="11" t="str">
        <f>chitiet!B1557</f>
        <v>KD50</v>
      </c>
      <c r="B161" s="18" t="str">
        <f>IF(E161=0,"",COUNTIF($B$92:$B160,"&gt;0")+1)</f>
        <v/>
      </c>
      <c r="C161" s="16" t="str">
        <f>chitiet!F1557</f>
        <v>Khóa đỡ dây cỡ dây 50</v>
      </c>
      <c r="D161" s="19" t="str">
        <f>chitiet!G1557</f>
        <v>cái</v>
      </c>
      <c r="E161" s="17">
        <f>chitiet!D1557</f>
        <v>0</v>
      </c>
      <c r="F161" s="4"/>
      <c r="G161" s="8">
        <f t="shared" si="14"/>
        <v>0</v>
      </c>
      <c r="H161" s="4"/>
      <c r="I161" s="4"/>
      <c r="J161" s="4"/>
    </row>
    <row r="162" spans="1:10" s="1" customFormat="1" ht="17.25">
      <c r="A162" s="11" t="str">
        <f>chitiet!B1558</f>
        <v>KN240</v>
      </c>
      <c r="B162" s="18" t="str">
        <f>IF(E162=0,"",COUNTIF($B$92:$B161,"&gt;0")+1)</f>
        <v/>
      </c>
      <c r="C162" s="16" t="str">
        <f>chitiet!F1558</f>
        <v>Khóa néo dây cỡ dây 240</v>
      </c>
      <c r="D162" s="19" t="str">
        <f>chitiet!G1558</f>
        <v>cái</v>
      </c>
      <c r="E162" s="17">
        <f>chitiet!D1558</f>
        <v>0</v>
      </c>
      <c r="F162" s="4"/>
      <c r="G162" s="8">
        <f t="shared" si="14"/>
        <v>0</v>
      </c>
      <c r="H162" s="4"/>
      <c r="I162" s="4"/>
      <c r="J162" s="4"/>
    </row>
    <row r="163" spans="1:10" s="1" customFormat="1" ht="17.25">
      <c r="A163" s="11" t="str">
        <f>chitiet!B1559</f>
        <v>KN185</v>
      </c>
      <c r="B163" s="18" t="str">
        <f>IF(E163=0,"",COUNTIF($B$92:$B162,"&gt;0")+1)</f>
        <v/>
      </c>
      <c r="C163" s="16" t="str">
        <f>chitiet!F1559</f>
        <v>Khóa néo dây cỡ dây 185</v>
      </c>
      <c r="D163" s="19" t="str">
        <f>chitiet!G1559</f>
        <v>cái</v>
      </c>
      <c r="E163" s="17">
        <f>chitiet!D1559</f>
        <v>0</v>
      </c>
      <c r="F163" s="4"/>
      <c r="G163" s="8">
        <f t="shared" si="14"/>
        <v>0</v>
      </c>
      <c r="H163" s="4"/>
      <c r="I163" s="4"/>
      <c r="J163" s="4"/>
    </row>
    <row r="164" spans="1:10" s="1" customFormat="1" ht="17.25">
      <c r="A164" s="11" t="str">
        <f>chitiet!B1560</f>
        <v>KN150</v>
      </c>
      <c r="B164" s="18" t="str">
        <f>IF(E164=0,"",COUNTIF($B$92:$B163,"&gt;0")+1)</f>
        <v/>
      </c>
      <c r="C164" s="16" t="str">
        <f>chitiet!F1560</f>
        <v>Khóa néo dây cỡ dây 150</v>
      </c>
      <c r="D164" s="19" t="str">
        <f>chitiet!G1560</f>
        <v>cái</v>
      </c>
      <c r="E164" s="17">
        <f>chitiet!D1560</f>
        <v>0</v>
      </c>
      <c r="F164" s="4"/>
      <c r="G164" s="8">
        <f t="shared" si="14"/>
        <v>0</v>
      </c>
      <c r="H164" s="4"/>
      <c r="I164" s="4"/>
      <c r="J164" s="4"/>
    </row>
    <row r="165" spans="1:10" s="1" customFormat="1" ht="17.25">
      <c r="A165" s="11" t="str">
        <f>chitiet!B1561</f>
        <v>KN120</v>
      </c>
      <c r="B165" s="18" t="str">
        <f>IF(E165=0,"",COUNTIF($B$92:$B164,"&gt;0")+1)</f>
        <v/>
      </c>
      <c r="C165" s="16" t="str">
        <f>chitiet!F1561</f>
        <v>Khóa néo dây cỡ dây 120</v>
      </c>
      <c r="D165" s="19" t="str">
        <f>chitiet!G1561</f>
        <v>cái</v>
      </c>
      <c r="E165" s="17">
        <f>chitiet!D1561</f>
        <v>0</v>
      </c>
      <c r="F165" s="4"/>
      <c r="G165" s="8">
        <f t="shared" si="14"/>
        <v>0</v>
      </c>
      <c r="H165" s="4"/>
      <c r="I165" s="4"/>
      <c r="J165" s="4"/>
    </row>
    <row r="166" spans="1:10" s="1" customFormat="1" ht="17.25">
      <c r="A166" s="11" t="str">
        <f>chitiet!B1562</f>
        <v>KN95</v>
      </c>
      <c r="B166" s="18" t="str">
        <f>IF(E166=0,"",COUNTIF($B$92:$B165,"&gt;0")+1)</f>
        <v/>
      </c>
      <c r="C166" s="16" t="str">
        <f>chitiet!F1562</f>
        <v>Khóa néo dây cỡ dây 95</v>
      </c>
      <c r="D166" s="19" t="str">
        <f>chitiet!G1562</f>
        <v>cái</v>
      </c>
      <c r="E166" s="17">
        <f>chitiet!D1562</f>
        <v>0</v>
      </c>
      <c r="F166" s="4"/>
      <c r="G166" s="8">
        <f t="shared" si="14"/>
        <v>0</v>
      </c>
      <c r="H166" s="4"/>
      <c r="I166" s="4"/>
      <c r="J166" s="4"/>
    </row>
    <row r="167" spans="1:10" s="1" customFormat="1" ht="17.25">
      <c r="A167" s="11" t="str">
        <f>chitiet!B1563</f>
        <v>KN70</v>
      </c>
      <c r="B167" s="18" t="str">
        <f>IF(E167=0,"",COUNTIF($B$92:$B166,"&gt;0")+1)</f>
        <v/>
      </c>
      <c r="C167" s="16" t="str">
        <f>chitiet!F1563</f>
        <v>Khóa néo dây cỡ dây 70</v>
      </c>
      <c r="D167" s="19" t="str">
        <f>chitiet!G1563</f>
        <v>cái</v>
      </c>
      <c r="E167" s="17">
        <f>chitiet!D1563</f>
        <v>0</v>
      </c>
      <c r="F167" s="4"/>
      <c r="G167" s="8">
        <f t="shared" si="14"/>
        <v>0</v>
      </c>
      <c r="H167" s="4"/>
      <c r="I167" s="4"/>
      <c r="J167" s="4"/>
    </row>
    <row r="168" spans="1:10" s="1" customFormat="1" ht="17.25">
      <c r="A168" s="11" t="str">
        <f>chitiet!B1564</f>
        <v>KN50</v>
      </c>
      <c r="B168" s="18" t="str">
        <f>IF(E168=0,"",COUNTIF($B$92:$B167,"&gt;0")+1)</f>
        <v/>
      </c>
      <c r="C168" s="16" t="str">
        <f>chitiet!F1564</f>
        <v>Khóa néo dây cỡ dây 50</v>
      </c>
      <c r="D168" s="19" t="str">
        <f>chitiet!G1564</f>
        <v>cái</v>
      </c>
      <c r="E168" s="17">
        <f>chitiet!D1564</f>
        <v>0</v>
      </c>
      <c r="F168" s="4"/>
      <c r="G168" s="8">
        <f t="shared" si="14"/>
        <v>0</v>
      </c>
      <c r="H168" s="4"/>
      <c r="I168" s="4"/>
      <c r="J168" s="4"/>
    </row>
    <row r="169" spans="1:10" s="1" customFormat="1" ht="17.25">
      <c r="A169" s="11" t="str">
        <f>chitiet!B1565</f>
        <v>k50</v>
      </c>
      <c r="B169" s="18" t="str">
        <f>IF(E169=0,"",COUNTIF($B$92:$B168,"&gt;0")+1)</f>
        <v/>
      </c>
      <c r="C169" s="16" t="str">
        <f>chitiet!F1565</f>
        <v>Kẹp 2 rãnh (APC) cỡ dây 50mm2</v>
      </c>
      <c r="D169" s="19" t="str">
        <f>chitiet!G1565</f>
        <v>cái</v>
      </c>
      <c r="E169" s="17">
        <f>chitiet!D1565</f>
        <v>0</v>
      </c>
      <c r="F169" s="4"/>
      <c r="G169" s="8">
        <f t="shared" si="14"/>
        <v>0</v>
      </c>
      <c r="H169" s="4"/>
      <c r="I169" s="4"/>
      <c r="J169" s="4"/>
    </row>
    <row r="170" spans="1:10" s="1" customFormat="1" ht="17.25">
      <c r="A170" s="11" t="str">
        <f>chitiet!B1566</f>
        <v>k70</v>
      </c>
      <c r="B170" s="18" t="str">
        <f>IF(E170=0,"",COUNTIF($B$92:$B169,"&gt;0")+1)</f>
        <v/>
      </c>
      <c r="C170" s="16" t="str">
        <f>chitiet!F1566</f>
        <v>Kẹp 2 rãnh (APC) cỡ dây 70mm2</v>
      </c>
      <c r="D170" s="19" t="str">
        <f>chitiet!G1566</f>
        <v>cái</v>
      </c>
      <c r="E170" s="17">
        <f>chitiet!D1566</f>
        <v>0</v>
      </c>
      <c r="F170" s="4"/>
      <c r="G170" s="8">
        <f t="shared" si="14"/>
        <v>0</v>
      </c>
      <c r="H170" s="4"/>
      <c r="I170" s="4"/>
      <c r="J170" s="4"/>
    </row>
    <row r="171" spans="1:10" s="1" customFormat="1" ht="17.25">
      <c r="A171" s="11" t="str">
        <f>chitiet!B1567</f>
        <v>k95</v>
      </c>
      <c r="B171" s="18" t="str">
        <f>IF(E171=0,"",COUNTIF($B$92:$B170,"&gt;0")+1)</f>
        <v/>
      </c>
      <c r="C171" s="16" t="str">
        <f>chitiet!F1567</f>
        <v>Kẹp 2 rãnh (APC) cỡ dây 95mm2</v>
      </c>
      <c r="D171" s="19" t="str">
        <f>chitiet!G1567</f>
        <v>cái</v>
      </c>
      <c r="E171" s="17">
        <f>chitiet!D1567</f>
        <v>0</v>
      </c>
      <c r="F171" s="4"/>
      <c r="G171" s="8">
        <f t="shared" si="14"/>
        <v>0</v>
      </c>
      <c r="H171" s="4"/>
      <c r="I171" s="4"/>
      <c r="J171" s="4"/>
    </row>
    <row r="172" spans="1:10" ht="15">
      <c r="A172" s="130" t="str">
        <f>chitiet!B1571</f>
        <v>ke95</v>
      </c>
      <c r="B172" s="114" t="str">
        <f>IF(E172=0,"",COUNTIF($B$92:$B171,"&gt;0")+1)</f>
        <v/>
      </c>
      <c r="C172" s="115" t="str">
        <f>chitiet!F1571</f>
        <v>Kẹp ép WR cỡ dây 95mm2</v>
      </c>
      <c r="D172" s="98" t="str">
        <f>chitiet!G1571</f>
        <v>cái</v>
      </c>
      <c r="E172" s="116">
        <f>chitiet!D1571</f>
        <v>0</v>
      </c>
      <c r="F172" s="105"/>
      <c r="G172" s="117">
        <f t="shared" si="14"/>
        <v>0</v>
      </c>
      <c r="H172" s="105"/>
      <c r="I172" s="105"/>
      <c r="J172" s="105"/>
    </row>
    <row r="173" spans="1:10" ht="15">
      <c r="A173" s="130" t="str">
        <f>chitiet!B1572</f>
        <v>kE150</v>
      </c>
      <c r="B173" s="114" t="str">
        <f>IF(E173=0,"",COUNTIF($B$92:$B172,"&gt;0")+1)</f>
        <v/>
      </c>
      <c r="C173" s="115" t="str">
        <f>chitiet!F1572</f>
        <v>Kẹp ép WR cỡ dây 150mm2</v>
      </c>
      <c r="D173" s="98" t="str">
        <f>chitiet!G1572</f>
        <v>cái</v>
      </c>
      <c r="E173" s="116">
        <f>chitiet!D1572</f>
        <v>0</v>
      </c>
      <c r="F173" s="105"/>
      <c r="G173" s="117">
        <f t="shared" si="14"/>
        <v>0</v>
      </c>
      <c r="H173" s="105"/>
      <c r="I173" s="105"/>
      <c r="J173" s="105"/>
    </row>
    <row r="174" spans="1:10" s="1" customFormat="1" ht="17.25">
      <c r="A174" s="11" t="str">
        <f>chitiet!B1573</f>
        <v>ke185</v>
      </c>
      <c r="B174" s="18" t="str">
        <f>IF(E174=0,"",COUNTIF($B$92:$B173,"&gt;0")+1)</f>
        <v/>
      </c>
      <c r="C174" s="16" t="str">
        <f>chitiet!F1573</f>
        <v>Kẹp ép WR cỡ dây 185mm2</v>
      </c>
      <c r="D174" s="19" t="str">
        <f>chitiet!G1573</f>
        <v>cái</v>
      </c>
      <c r="E174" s="17">
        <f>chitiet!D1573</f>
        <v>0</v>
      </c>
      <c r="F174" s="4"/>
      <c r="G174" s="8">
        <f t="shared" si="14"/>
        <v>0</v>
      </c>
      <c r="H174" s="4"/>
      <c r="I174" s="4"/>
      <c r="J174" s="4"/>
    </row>
    <row r="175" spans="1:10" ht="15">
      <c r="A175" s="130" t="str">
        <f>chitiet!B1574</f>
        <v>kE240</v>
      </c>
      <c r="B175" s="114" t="str">
        <f>IF(E175=0,"",COUNTIF($B$92:$B174,"&gt;0")+1)</f>
        <v/>
      </c>
      <c r="C175" s="115" t="str">
        <f>chitiet!F1574</f>
        <v>Kẹp ép WR cỡ dây 240mm2</v>
      </c>
      <c r="D175" s="98" t="str">
        <f>chitiet!G1574</f>
        <v>cái</v>
      </c>
      <c r="E175" s="116">
        <f>chitiet!D1574</f>
        <v>0</v>
      </c>
      <c r="F175" s="105"/>
      <c r="G175" s="117">
        <f t="shared" si="14"/>
        <v>0</v>
      </c>
      <c r="H175" s="105"/>
      <c r="I175" s="105"/>
      <c r="J175" s="105"/>
    </row>
    <row r="176" spans="1:10" s="1" customFormat="1" ht="17.25">
      <c r="A176" s="11" t="str">
        <f>chitiet!B1575</f>
        <v>cose70</v>
      </c>
      <c r="B176" s="18" t="str">
        <f>IF(E176=0,"",COUNTIF($B$92:$B175,"&gt;0")+1)</f>
        <v/>
      </c>
      <c r="C176" s="16" t="str">
        <f>chitiet!F1575</f>
        <v>Đầu cosse ép Cu-Al 70mm2</v>
      </c>
      <c r="D176" s="19" t="str">
        <f>chitiet!G1575</f>
        <v>cái</v>
      </c>
      <c r="E176" s="17">
        <f>chitiet!D1575</f>
        <v>0</v>
      </c>
      <c r="F176" s="4"/>
      <c r="G176" s="8">
        <f t="shared" si="14"/>
        <v>0</v>
      </c>
      <c r="H176" s="4"/>
      <c r="I176" s="4"/>
      <c r="J176" s="4"/>
    </row>
    <row r="177" spans="1:10" s="1" customFormat="1" ht="17.25">
      <c r="A177" s="11" t="str">
        <f>chitiet!B1576</f>
        <v>cose95</v>
      </c>
      <c r="B177" s="18" t="str">
        <f>IF(E177=0,"",COUNTIF($B$92:$B176,"&gt;0")+1)</f>
        <v/>
      </c>
      <c r="C177" s="16" t="str">
        <f>chitiet!F1576</f>
        <v>Đầu cosse ép Cu-Al 95mm2</v>
      </c>
      <c r="D177" s="19" t="str">
        <f>chitiet!G1576</f>
        <v>cái</v>
      </c>
      <c r="E177" s="17">
        <f>chitiet!D1576</f>
        <v>0</v>
      </c>
      <c r="F177" s="4"/>
      <c r="G177" s="8">
        <f t="shared" si="14"/>
        <v>0</v>
      </c>
      <c r="H177" s="4"/>
      <c r="I177" s="4"/>
      <c r="J177" s="4"/>
    </row>
    <row r="178" spans="1:10" s="1" customFormat="1" ht="17.25">
      <c r="A178" s="11" t="str">
        <f>chitiet!B1577</f>
        <v>cose120</v>
      </c>
      <c r="B178" s="18" t="str">
        <f>IF(E178=0,"",COUNTIF($B$92:$B177,"&gt;0")+1)</f>
        <v/>
      </c>
      <c r="C178" s="16" t="str">
        <f>chitiet!F1577</f>
        <v>Đầu cosse ép Cu-Al 120mm2</v>
      </c>
      <c r="D178" s="19" t="str">
        <f>chitiet!G1577</f>
        <v>cái</v>
      </c>
      <c r="E178" s="17">
        <f>chitiet!D1577</f>
        <v>0</v>
      </c>
      <c r="F178" s="4"/>
      <c r="G178" s="8">
        <f t="shared" si="14"/>
        <v>0</v>
      </c>
      <c r="H178" s="4"/>
      <c r="I178" s="4"/>
      <c r="J178" s="4"/>
    </row>
    <row r="179" spans="1:10" ht="15">
      <c r="A179" s="130" t="str">
        <f>chitiet!B1578</f>
        <v>cose150</v>
      </c>
      <c r="B179" s="114" t="str">
        <f>IF(E179=0,"",COUNTIF($B$92:$B178,"&gt;0")+1)</f>
        <v/>
      </c>
      <c r="C179" s="115" t="str">
        <f>chitiet!F1578</f>
        <v>Đầu cosse ép Cu-Al 150mm2</v>
      </c>
      <c r="D179" s="98" t="str">
        <f>chitiet!G1578</f>
        <v>cái</v>
      </c>
      <c r="E179" s="116">
        <f>chitiet!D1578</f>
        <v>0</v>
      </c>
      <c r="F179" s="105"/>
      <c r="G179" s="117">
        <f t="shared" si="14"/>
        <v>0</v>
      </c>
      <c r="H179" s="105"/>
      <c r="I179" s="105"/>
      <c r="J179" s="105"/>
    </row>
    <row r="180" spans="1:10" s="1" customFormat="1" ht="17.25">
      <c r="A180" s="11" t="str">
        <f>chitiet!B1579</f>
        <v>cose185</v>
      </c>
      <c r="B180" s="18" t="str">
        <f>IF(E180=0,"",COUNTIF($B$92:$B179,"&gt;0")+1)</f>
        <v/>
      </c>
      <c r="C180" s="16" t="str">
        <f>chitiet!F1579</f>
        <v>Đầu cosse ép Cu-Al 185mm2</v>
      </c>
      <c r="D180" s="19" t="str">
        <f>chitiet!G1579</f>
        <v>cái</v>
      </c>
      <c r="E180" s="17">
        <f>chitiet!D1579</f>
        <v>0</v>
      </c>
      <c r="F180" s="4"/>
      <c r="G180" s="8">
        <f t="shared" si="14"/>
        <v>0</v>
      </c>
      <c r="H180" s="4"/>
      <c r="I180" s="4"/>
      <c r="J180" s="4"/>
    </row>
    <row r="181" spans="1:10" ht="15">
      <c r="A181" s="130" t="str">
        <f>chitiet!B1580</f>
        <v>cose240</v>
      </c>
      <c r="B181" s="114" t="str">
        <f>IF(E181=0,"",COUNTIF($B$92:$B180,"&gt;0")+1)</f>
        <v/>
      </c>
      <c r="C181" s="115" t="str">
        <f>chitiet!F1580</f>
        <v>Đầu cosse ép Cu-Al 240mm2</v>
      </c>
      <c r="D181" s="98" t="str">
        <f>chitiet!G1580</f>
        <v>cái</v>
      </c>
      <c r="E181" s="116">
        <f>chitiet!D1580</f>
        <v>0</v>
      </c>
      <c r="F181" s="105"/>
      <c r="G181" s="117">
        <f t="shared" si="14"/>
        <v>0</v>
      </c>
      <c r="H181" s="105"/>
      <c r="I181" s="105"/>
      <c r="J181" s="105"/>
    </row>
    <row r="182" spans="1:10" ht="15">
      <c r="A182" s="130" t="str">
        <f>chitiet!B1581</f>
        <v>B1230</v>
      </c>
      <c r="B182" s="114" t="str">
        <f>IF(E182=0,"",COUNTIF($B$92:$B181,"&gt;0")+1)</f>
        <v/>
      </c>
      <c r="C182" s="115" t="str">
        <f>chitiet!F1581</f>
        <v>Boulon 12x30+ 2 long đền vuông D14-50x50x3/Zn</v>
      </c>
      <c r="D182" s="98" t="str">
        <f>chitiet!G1581</f>
        <v>bộ</v>
      </c>
      <c r="E182" s="116">
        <f>chitiet!D1581</f>
        <v>0</v>
      </c>
      <c r="F182" s="105"/>
      <c r="G182" s="117">
        <f t="shared" ref="G182:G204" si="18">IF(E182&lt;&gt;0,1,0)</f>
        <v>0</v>
      </c>
      <c r="H182" s="105"/>
      <c r="I182" s="105"/>
      <c r="J182" s="105"/>
    </row>
    <row r="183" spans="1:10" s="1" customFormat="1" ht="17.25">
      <c r="A183" s="11" t="str">
        <f>chitiet!B1582</f>
        <v>KQ2/0</v>
      </c>
      <c r="B183" s="18" t="str">
        <f>IF(E183=0,"",COUNTIF($B$92:$B182,"&gt;0")+1)</f>
        <v/>
      </c>
      <c r="C183" s="16" t="str">
        <f>chitiet!F1582</f>
        <v>Kẹp quai 2/0</v>
      </c>
      <c r="D183" s="19" t="str">
        <f>chitiet!G1582</f>
        <v>cái</v>
      </c>
      <c r="E183" s="17">
        <f>chitiet!D1582</f>
        <v>0</v>
      </c>
      <c r="F183" s="4"/>
      <c r="G183" s="8">
        <f t="shared" si="18"/>
        <v>0</v>
      </c>
      <c r="H183" s="4"/>
      <c r="I183" s="4"/>
      <c r="J183" s="4"/>
    </row>
    <row r="184" spans="1:10" s="1" customFormat="1" ht="17.25">
      <c r="A184" s="11" t="str">
        <f>chitiet!B1583</f>
        <v>KQ4/0</v>
      </c>
      <c r="B184" s="18" t="str">
        <f>IF(E184=0,"",COUNTIF($B$92:$B183,"&gt;0")+1)</f>
        <v/>
      </c>
      <c r="C184" s="16" t="str">
        <f>chitiet!F1583</f>
        <v>Kẹp quai 4/0</v>
      </c>
      <c r="D184" s="19" t="str">
        <f>chitiet!G1583</f>
        <v>cái</v>
      </c>
      <c r="E184" s="17">
        <f>chitiet!D1583</f>
        <v>0</v>
      </c>
      <c r="F184" s="4"/>
      <c r="G184" s="8">
        <f t="shared" si="18"/>
        <v>0</v>
      </c>
      <c r="H184" s="4"/>
      <c r="I184" s="4"/>
      <c r="J184" s="4"/>
    </row>
    <row r="185" spans="1:10" s="1" customFormat="1" ht="17.25">
      <c r="A185" s="11" t="str">
        <f>chitiet!B1584</f>
        <v>KH2/0</v>
      </c>
      <c r="B185" s="18" t="str">
        <f>IF(E185=0,"",COUNTIF($B$92:$B184,"&gt;0")+1)</f>
        <v/>
      </c>
      <c r="C185" s="16" t="str">
        <f>chitiet!F1584</f>
        <v>Kẹp hotline 2/0</v>
      </c>
      <c r="D185" s="19" t="str">
        <f>chitiet!G1584</f>
        <v>cái</v>
      </c>
      <c r="E185" s="17">
        <f>chitiet!D1584</f>
        <v>0</v>
      </c>
      <c r="F185" s="4"/>
      <c r="G185" s="8">
        <f t="shared" si="18"/>
        <v>0</v>
      </c>
      <c r="H185" s="4"/>
      <c r="I185" s="4"/>
      <c r="J185" s="4"/>
    </row>
    <row r="186" spans="1:10" s="1" customFormat="1" ht="17.25">
      <c r="A186" s="11" t="str">
        <f>chitiet!B1585</f>
        <v>KH4/0</v>
      </c>
      <c r="B186" s="18" t="str">
        <f>IF(E186=0,"",COUNTIF($B$92:$B185,"&gt;0")+1)</f>
        <v/>
      </c>
      <c r="C186" s="16" t="str">
        <f>chitiet!F1585</f>
        <v>Kẹp hotline 4/0</v>
      </c>
      <c r="D186" s="19" t="str">
        <f>chitiet!G1585</f>
        <v>cái</v>
      </c>
      <c r="E186" s="17">
        <f>chitiet!D1585</f>
        <v>0</v>
      </c>
      <c r="F186" s="4"/>
      <c r="G186" s="8">
        <f t="shared" si="18"/>
        <v>0</v>
      </c>
      <c r="H186" s="4"/>
      <c r="I186" s="4"/>
      <c r="J186" s="4"/>
    </row>
    <row r="187" spans="1:10" s="1" customFormat="1" ht="17.25">
      <c r="A187" s="11" t="str">
        <f>chitiet!B1586</f>
        <v>ON50</v>
      </c>
      <c r="B187" s="18" t="str">
        <f>IF(E187=0,"",COUNTIF($B$92:$B186,"&gt;0")+1)</f>
        <v/>
      </c>
      <c r="C187" s="16" t="str">
        <f>chitiet!F1586</f>
        <v>Ống nối dây cỡ 50mm2</v>
      </c>
      <c r="D187" s="19" t="str">
        <f>chitiet!G1586</f>
        <v>cái</v>
      </c>
      <c r="E187" s="17">
        <f>chitiet!D1586</f>
        <v>0</v>
      </c>
      <c r="F187" s="4"/>
      <c r="G187" s="8">
        <f t="shared" si="18"/>
        <v>0</v>
      </c>
      <c r="H187" s="4"/>
      <c r="I187" s="4"/>
      <c r="J187" s="4"/>
    </row>
    <row r="188" spans="1:10" s="1" customFormat="1" ht="17.25">
      <c r="A188" s="11" t="str">
        <f>chitiet!B1587</f>
        <v>ON70</v>
      </c>
      <c r="B188" s="18" t="str">
        <f>IF(E188=0,"",COUNTIF($B$92:$B187,"&gt;0")+1)</f>
        <v/>
      </c>
      <c r="C188" s="16" t="str">
        <f>chitiet!F1587</f>
        <v>Ống nối dây cỡ 70mm2</v>
      </c>
      <c r="D188" s="19" t="str">
        <f>chitiet!G1587</f>
        <v>cái</v>
      </c>
      <c r="E188" s="17">
        <f>chitiet!D1587</f>
        <v>0</v>
      </c>
      <c r="F188" s="4"/>
      <c r="G188" s="8">
        <f t="shared" si="18"/>
        <v>0</v>
      </c>
      <c r="H188" s="4"/>
      <c r="I188" s="4"/>
      <c r="J188" s="4"/>
    </row>
    <row r="189" spans="1:10" s="1" customFormat="1" ht="17.25">
      <c r="A189" s="11" t="str">
        <f>chitiet!B1588</f>
        <v>ON95</v>
      </c>
      <c r="B189" s="18" t="str">
        <f>IF(E189=0,"",COUNTIF($B$92:$B188,"&gt;0")+1)</f>
        <v/>
      </c>
      <c r="C189" s="16" t="str">
        <f>chitiet!F1588</f>
        <v>Ống nối dây cỡ 95mm2</v>
      </c>
      <c r="D189" s="19" t="str">
        <f>chitiet!G1588</f>
        <v>cái</v>
      </c>
      <c r="E189" s="17">
        <f>chitiet!D1588</f>
        <v>0</v>
      </c>
      <c r="F189" s="4"/>
      <c r="G189" s="8">
        <f t="shared" si="18"/>
        <v>0</v>
      </c>
      <c r="H189" s="4"/>
      <c r="I189" s="4"/>
      <c r="J189" s="4"/>
    </row>
    <row r="190" spans="1:10" s="1" customFormat="1" ht="17.25">
      <c r="A190" s="11" t="str">
        <f>chitiet!B1589</f>
        <v>ON120</v>
      </c>
      <c r="B190" s="18" t="str">
        <f>IF(E190=0,"",COUNTIF($B$92:$B189,"&gt;0")+1)</f>
        <v/>
      </c>
      <c r="C190" s="16" t="str">
        <f>chitiet!F1589</f>
        <v>Ống nối dây cỡ 120mm2</v>
      </c>
      <c r="D190" s="19" t="str">
        <f>chitiet!G1589</f>
        <v>cái</v>
      </c>
      <c r="E190" s="17">
        <f>chitiet!D1589</f>
        <v>0</v>
      </c>
      <c r="F190" s="4"/>
      <c r="G190" s="8">
        <f t="shared" si="18"/>
        <v>0</v>
      </c>
      <c r="H190" s="4"/>
      <c r="I190" s="4"/>
      <c r="J190" s="4"/>
    </row>
    <row r="191" spans="1:10" s="1" customFormat="1" ht="17.25">
      <c r="A191" s="11" t="str">
        <f>chitiet!B1590</f>
        <v>ON150</v>
      </c>
      <c r="B191" s="18" t="str">
        <f>IF(E191=0,"",COUNTIF($B$92:$B190,"&gt;0")+1)</f>
        <v/>
      </c>
      <c r="C191" s="16" t="str">
        <f>chitiet!F1590</f>
        <v>Ống nối dây cỡ 150mm2</v>
      </c>
      <c r="D191" s="19" t="str">
        <f>chitiet!G1590</f>
        <v>cái</v>
      </c>
      <c r="E191" s="17">
        <f>chitiet!D1590</f>
        <v>0</v>
      </c>
      <c r="F191" s="4"/>
      <c r="G191" s="8">
        <f t="shared" si="18"/>
        <v>0</v>
      </c>
      <c r="H191" s="4"/>
      <c r="I191" s="4"/>
      <c r="J191" s="4"/>
    </row>
    <row r="192" spans="1:10" s="1" customFormat="1" ht="17.25">
      <c r="A192" s="11" t="str">
        <f>chitiet!B1591</f>
        <v>ON185</v>
      </c>
      <c r="B192" s="18" t="str">
        <f>IF(E192=0,"",COUNTIF($B$92:$B191,"&gt;0")+1)</f>
        <v/>
      </c>
      <c r="C192" s="16" t="str">
        <f>chitiet!F1591</f>
        <v>Ống nối dây cỡ 185mm2</v>
      </c>
      <c r="D192" s="19" t="str">
        <f>chitiet!G1591</f>
        <v>cái</v>
      </c>
      <c r="E192" s="17">
        <f>chitiet!D1591</f>
        <v>0</v>
      </c>
      <c r="F192" s="4"/>
      <c r="G192" s="8">
        <f t="shared" si="18"/>
        <v>0</v>
      </c>
      <c r="H192" s="4"/>
      <c r="I192" s="4"/>
      <c r="J192" s="4"/>
    </row>
    <row r="193" spans="1:10" ht="15">
      <c r="A193" s="130" t="str">
        <f>chitiet!B1592</f>
        <v>ON240</v>
      </c>
      <c r="B193" s="114" t="str">
        <f>IF(E193=0,"",COUNTIF($B$92:$B192,"&gt;0")+1)</f>
        <v/>
      </c>
      <c r="C193" s="115" t="str">
        <f>chitiet!F1592</f>
        <v>Ống nối dây cỡ 240mm2</v>
      </c>
      <c r="D193" s="98" t="str">
        <f>chitiet!G1592</f>
        <v>cái</v>
      </c>
      <c r="E193" s="116">
        <f>chitiet!D1592</f>
        <v>0</v>
      </c>
      <c r="F193" s="105"/>
      <c r="G193" s="117">
        <f t="shared" si="18"/>
        <v>0</v>
      </c>
      <c r="H193" s="105"/>
      <c r="I193" s="105"/>
      <c r="J193" s="105"/>
    </row>
    <row r="194" spans="1:10" ht="15">
      <c r="A194" s="130" t="str">
        <f>chitiet!B1593</f>
        <v>DAYA</v>
      </c>
      <c r="B194" s="114" t="str">
        <f>IF(E194=0,"",COUNTIF($B$92:$B193,"&gt;0")+1)</f>
        <v/>
      </c>
      <c r="C194" s="115" t="str">
        <f>chitiet!F1593</f>
        <v xml:space="preserve">Dây nhôm buộc </v>
      </c>
      <c r="D194" s="98" t="str">
        <f>chitiet!G1593</f>
        <v>kg</v>
      </c>
      <c r="E194" s="116">
        <f>chitiet!D1593</f>
        <v>0</v>
      </c>
      <c r="F194" s="105"/>
      <c r="G194" s="117">
        <f t="shared" si="18"/>
        <v>0</v>
      </c>
      <c r="H194" s="105"/>
      <c r="I194" s="105"/>
      <c r="J194" s="105"/>
    </row>
    <row r="195" spans="1:10" ht="15">
      <c r="A195" s="130" t="str">
        <f>chitiet!B1594</f>
        <v>bnh</v>
      </c>
      <c r="B195" s="114" t="str">
        <f>IF(E195=0,"",COUNTIF($B$92:$B194,"&gt;0")+1)</f>
        <v/>
      </c>
      <c r="C195" s="115" t="str">
        <f>chitiet!F1594</f>
        <v>Biển số - Bảng nguy hiểm</v>
      </c>
      <c r="D195" s="98" t="str">
        <f>chitiet!G1594</f>
        <v>cái</v>
      </c>
      <c r="E195" s="116">
        <f>chitiet!D1594</f>
        <v>0</v>
      </c>
      <c r="F195" s="105"/>
      <c r="G195" s="117">
        <f t="shared" si="18"/>
        <v>0</v>
      </c>
      <c r="H195" s="105"/>
      <c r="I195" s="105"/>
      <c r="J195" s="105"/>
    </row>
    <row r="196" spans="1:10" s="1" customFormat="1" ht="18.75">
      <c r="A196" s="12" t="s">
        <v>589</v>
      </c>
      <c r="B196" s="15" t="s">
        <v>1903</v>
      </c>
      <c r="C196" s="97" t="s">
        <v>2310</v>
      </c>
      <c r="D196" s="98" t="s">
        <v>2309</v>
      </c>
      <c r="E196" s="20"/>
      <c r="F196" s="4"/>
      <c r="G196" s="8">
        <f t="shared" si="18"/>
        <v>0</v>
      </c>
      <c r="H196" s="4"/>
      <c r="I196" s="4"/>
      <c r="J196" s="4"/>
    </row>
    <row r="197" spans="1:10" s="1" customFormat="1" ht="17.25">
      <c r="A197" s="13" t="s">
        <v>790</v>
      </c>
      <c r="B197" s="18" t="str">
        <f>IF(E197=0,"",COUNTIF($B$196:$B196,"&gt;0")+1)</f>
        <v/>
      </c>
      <c r="C197" s="16" t="s">
        <v>1189</v>
      </c>
      <c r="D197" s="19" t="s">
        <v>2566</v>
      </c>
      <c r="E197" s="24">
        <f>pp_NC!ED184</f>
        <v>0</v>
      </c>
      <c r="F197" s="4"/>
      <c r="G197" s="8">
        <f t="shared" si="18"/>
        <v>0</v>
      </c>
      <c r="H197" s="4"/>
      <c r="I197" s="4"/>
      <c r="J197" s="4"/>
    </row>
    <row r="198" spans="1:10" s="1" customFormat="1" ht="17.25">
      <c r="A198" s="13" t="s">
        <v>675</v>
      </c>
      <c r="B198" s="18" t="str">
        <f>IF(E198=0,"",COUNTIF($B$196:$B197,"&gt;0")+1)</f>
        <v/>
      </c>
      <c r="C198" s="16" t="e">
        <v>#N/A</v>
      </c>
      <c r="D198" s="19" t="e">
        <v>#N/A</v>
      </c>
      <c r="E198" s="24">
        <f>pp_NC!ED185</f>
        <v>0</v>
      </c>
      <c r="F198" s="4"/>
      <c r="G198" s="8">
        <f t="shared" si="18"/>
        <v>0</v>
      </c>
      <c r="H198" s="4"/>
      <c r="I198" s="4"/>
      <c r="J198" s="4"/>
    </row>
    <row r="199" spans="1:10" s="1" customFormat="1" ht="17.25">
      <c r="A199" s="13" t="s">
        <v>1904</v>
      </c>
      <c r="B199" s="18" t="str">
        <f>IF(E199=0,"",COUNTIF($B$196:$B198,"&gt;0")+1)</f>
        <v/>
      </c>
      <c r="C199" s="16" t="e">
        <v>#N/A</v>
      </c>
      <c r="D199" s="19" t="e">
        <v>#N/A</v>
      </c>
      <c r="E199" s="24">
        <f>pp_NC!ED186</f>
        <v>0</v>
      </c>
      <c r="F199" s="4"/>
      <c r="G199" s="8">
        <f t="shared" si="18"/>
        <v>0</v>
      </c>
      <c r="H199" s="4"/>
      <c r="I199" s="4"/>
      <c r="J199" s="4"/>
    </row>
    <row r="200" spans="1:10" s="1" customFormat="1" ht="17.25">
      <c r="A200" s="13" t="s">
        <v>446</v>
      </c>
      <c r="B200" s="18" t="str">
        <f>IF(E200=0,"",COUNTIF($B$196:$B199,"&gt;0")+1)</f>
        <v/>
      </c>
      <c r="C200" s="16" t="s">
        <v>1220</v>
      </c>
      <c r="D200" s="19" t="s">
        <v>2448</v>
      </c>
      <c r="E200" s="24">
        <f>pp_NC!ED187</f>
        <v>0</v>
      </c>
      <c r="F200" s="4"/>
      <c r="G200" s="8">
        <f t="shared" si="18"/>
        <v>0</v>
      </c>
      <c r="H200" s="4"/>
      <c r="I200" s="4"/>
      <c r="J200" s="4"/>
    </row>
    <row r="201" spans="1:10" s="1" customFormat="1" ht="17.25">
      <c r="A201" s="13" t="s">
        <v>1927</v>
      </c>
      <c r="B201" s="18" t="str">
        <f>IF(E201=0,"",COUNTIF($B$196:$B200,"&gt;0")+1)</f>
        <v/>
      </c>
      <c r="C201" s="16" t="s">
        <v>1598</v>
      </c>
      <c r="D201" s="19" t="s">
        <v>2448</v>
      </c>
      <c r="E201" s="24">
        <f>pp_NC!ED188</f>
        <v>0</v>
      </c>
      <c r="F201" s="4"/>
      <c r="G201" s="8">
        <f t="shared" si="18"/>
        <v>0</v>
      </c>
      <c r="H201" s="4"/>
      <c r="I201" s="4"/>
      <c r="J201" s="4"/>
    </row>
    <row r="202" spans="1:10" s="1" customFormat="1" ht="17.25">
      <c r="A202" s="13" t="s">
        <v>394</v>
      </c>
      <c r="B202" s="18" t="str">
        <f>IF(E202=0,"",COUNTIF($B$196:$B201,"&gt;0")+1)</f>
        <v/>
      </c>
      <c r="C202" s="16" t="e">
        <v>#N/A</v>
      </c>
      <c r="D202" s="19" t="e">
        <v>#N/A</v>
      </c>
      <c r="E202" s="24">
        <f>pp_NC!ED189</f>
        <v>0</v>
      </c>
      <c r="F202" s="4"/>
      <c r="G202" s="8">
        <f t="shared" si="18"/>
        <v>0</v>
      </c>
      <c r="H202" s="4"/>
      <c r="I202" s="4"/>
      <c r="J202" s="4"/>
    </row>
    <row r="203" spans="1:10" s="1" customFormat="1" ht="17.25">
      <c r="A203" s="13" t="s">
        <v>1918</v>
      </c>
      <c r="B203" s="18" t="str">
        <f>IF(E203=0,"",COUNTIF($B$196:$B202,"&gt;0")+1)</f>
        <v/>
      </c>
      <c r="C203" s="16" t="s">
        <v>2065</v>
      </c>
      <c r="D203" s="19" t="s">
        <v>2448</v>
      </c>
      <c r="E203" s="24">
        <f>pp_NC!ED190</f>
        <v>0</v>
      </c>
      <c r="F203" s="4"/>
      <c r="G203" s="8">
        <f t="shared" si="18"/>
        <v>0</v>
      </c>
      <c r="H203" s="4"/>
      <c r="I203" s="4"/>
      <c r="J203" s="4"/>
    </row>
    <row r="204" spans="1:10" s="1" customFormat="1" ht="17.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3785</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7.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7.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7.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7.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7.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7.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7.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7.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7.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7.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7.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7.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7.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7.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7.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7.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7.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7.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7.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7.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7.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7.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7.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7.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7.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7.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7.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7.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7.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7.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7.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7.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7.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7.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7.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7.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7.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7.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7.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7.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7.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7.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7.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7.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7.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7.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7.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7.25">
      <c r="A68" s="9" t="str">
        <f>chitiet!B2153</f>
        <v>AV95</v>
      </c>
      <c r="B68" s="18" t="e">
        <f>IF(E68=0,"",COUNTIF($E$68:$E68,"&gt;0"))</f>
        <v>#NAME?</v>
      </c>
      <c r="C68" s="16" t="e">
        <f>VLOOKUP($A68,DSPKhthh,4,)</f>
        <v>#NAME?</v>
      </c>
      <c r="D68" s="19" t="e">
        <f>VLOOKUP($A68,DSPKhthh,5,)</f>
        <v>#NAME?</v>
      </c>
      <c r="E68" s="24" t="e">
        <f>VLOOKUP($A68,DSPKhthh,6,)</f>
        <v>#NAME?</v>
      </c>
      <c r="F68" s="10">
        <f>chitiet!E2153</f>
        <v>0</v>
      </c>
      <c r="G68" s="7" t="e">
        <f t="shared" si="3"/>
        <v>#NAME?</v>
      </c>
      <c r="H68" s="4"/>
      <c r="I68" s="4"/>
      <c r="J68" s="4"/>
    </row>
    <row r="69" spans="1:10" ht="15">
      <c r="A69" s="120" t="str">
        <f>chitiet!B2154</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chitiet!B2155</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chitiet!B2156</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7.25">
      <c r="A72" s="9" t="str">
        <f>chitiet!B2157</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7.25">
      <c r="A73" s="9" t="str">
        <f>chitiet!B2158</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7.25">
      <c r="A74" s="9" t="str">
        <f>chitiet!B2159</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chitiet!B2160</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chitiet!B2161</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chitiet!B2162</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7.25">
      <c r="A78" s="9" t="str">
        <f>chitiet!B2164</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7.25">
      <c r="A79" s="9" t="str">
        <f>chitiet!B2165</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7.25">
      <c r="A80" s="9" t="str">
        <f>chitiet!B2166</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7.25">
      <c r="A81" s="9" t="str">
        <f>chitiet!B2167</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chitiet!B2168</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7.25">
      <c r="A83" s="9" t="str">
        <f>chitiet!B2169</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chitiet!B2170</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chitiet!B2171</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7.25">
      <c r="A87" s="6"/>
      <c r="B87" s="4"/>
      <c r="C87" s="4"/>
      <c r="D87" s="4"/>
      <c r="E87" s="4"/>
      <c r="F87" s="4"/>
      <c r="G87" s="5"/>
      <c r="H87" s="4"/>
      <c r="I87" s="4"/>
      <c r="J87" s="4"/>
    </row>
    <row r="88" spans="1:10" s="1" customFormat="1" ht="17.25">
      <c r="A88" s="4"/>
      <c r="B88" s="4"/>
      <c r="C88" s="4"/>
      <c r="D88" s="4"/>
      <c r="E88" s="4"/>
      <c r="F88" s="4"/>
      <c r="G88" s="5"/>
      <c r="H88" s="4"/>
      <c r="I88" s="4"/>
      <c r="J88" s="4"/>
    </row>
    <row r="89" spans="1:10" s="1" customFormat="1" ht="17.25">
      <c r="A89" s="4"/>
      <c r="B89" s="4"/>
      <c r="C89" s="4"/>
      <c r="D89" s="4"/>
      <c r="E89" s="4"/>
      <c r="F89" s="4"/>
      <c r="G89" s="5"/>
      <c r="H89" s="4"/>
      <c r="I89" s="4"/>
      <c r="J89" s="4"/>
    </row>
    <row r="90" spans="1:10" s="1" customFormat="1" ht="17.25">
      <c r="A90" s="4"/>
      <c r="B90" s="4"/>
      <c r="C90" s="4"/>
      <c r="D90" s="4"/>
      <c r="E90" s="4"/>
      <c r="F90" s="4"/>
      <c r="G90" s="5"/>
      <c r="H90" s="4"/>
      <c r="I90" s="4"/>
      <c r="J90" s="4"/>
    </row>
    <row r="91" spans="1:10" s="1" customFormat="1" ht="17.25">
      <c r="A91" s="4"/>
      <c r="B91" s="4"/>
      <c r="C91" s="4"/>
      <c r="D91" s="4"/>
      <c r="E91" s="4"/>
      <c r="F91" s="4"/>
      <c r="G91" s="5"/>
      <c r="H91" s="4"/>
      <c r="I91" s="4"/>
      <c r="J91" s="4"/>
    </row>
    <row r="92" spans="1:10" s="1" customFormat="1" ht="17.25">
      <c r="A92" s="4"/>
      <c r="B92" s="4"/>
      <c r="C92" s="4"/>
      <c r="D92" s="4"/>
      <c r="E92" s="4"/>
      <c r="F92" s="4"/>
      <c r="G92" s="5"/>
      <c r="H92" s="4"/>
      <c r="I92" s="4"/>
      <c r="J92" s="4"/>
    </row>
    <row r="93" spans="1:10" s="1" customFormat="1" ht="17.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3786</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"&amp;WORD!S2</f>
        <v>Công trình: Phan An</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533" t="s">
        <v>3787</v>
      </c>
      <c r="B4" s="2497" t="s">
        <v>3788</v>
      </c>
      <c r="C4" s="2497" t="s">
        <v>4431</v>
      </c>
      <c r="D4" s="2497" t="s">
        <v>3789</v>
      </c>
      <c r="E4" s="2497" t="s">
        <v>3790</v>
      </c>
      <c r="F4" s="2497" t="s">
        <v>3791</v>
      </c>
      <c r="G4" s="2497" t="s">
        <v>3792</v>
      </c>
      <c r="H4" s="2497" t="s">
        <v>3793</v>
      </c>
      <c r="I4" s="2497" t="s">
        <v>3794</v>
      </c>
      <c r="J4" s="2527" t="s">
        <v>3795</v>
      </c>
      <c r="K4" s="2527" t="s">
        <v>3796</v>
      </c>
      <c r="L4" s="2527" t="s">
        <v>3797</v>
      </c>
      <c r="M4" s="2530" t="s">
        <v>3798</v>
      </c>
      <c r="N4" s="150" t="s">
        <v>2285</v>
      </c>
      <c r="O4" s="176"/>
      <c r="P4" s="176"/>
      <c r="Q4" s="176"/>
      <c r="R4" s="176"/>
      <c r="S4" s="176"/>
      <c r="T4" s="176"/>
      <c r="U4" s="176"/>
      <c r="V4" s="176"/>
      <c r="W4" s="177"/>
      <c r="X4" s="150" t="s">
        <v>3799</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3800</v>
      </c>
      <c r="BC4" s="176"/>
      <c r="BD4" s="176"/>
      <c r="BE4" s="176"/>
      <c r="BF4" s="176"/>
      <c r="BG4" s="176"/>
      <c r="BH4" s="176"/>
      <c r="BI4" s="176"/>
      <c r="BJ4" s="176"/>
      <c r="BK4" s="176"/>
      <c r="BL4" s="176"/>
      <c r="BM4" s="176"/>
      <c r="BN4" s="176"/>
      <c r="BO4" s="176"/>
      <c r="BP4" s="177"/>
      <c r="BQ4" s="2520" t="s">
        <v>3801</v>
      </c>
      <c r="BR4" s="2521"/>
      <c r="BS4" s="2521"/>
      <c r="BT4" s="2521"/>
      <c r="BU4" s="2521"/>
      <c r="BV4" s="2521"/>
      <c r="BW4" s="2521"/>
      <c r="BX4" s="2521"/>
      <c r="BY4" s="2521"/>
      <c r="BZ4" s="2521"/>
      <c r="CA4" s="2521"/>
      <c r="CB4" s="2522"/>
      <c r="CC4" s="2501" t="s">
        <v>2396</v>
      </c>
      <c r="CD4" s="2501" t="s">
        <v>2399</v>
      </c>
      <c r="CE4" s="2501" t="s">
        <v>2402</v>
      </c>
      <c r="CF4" s="2501" t="s">
        <v>2401</v>
      </c>
      <c r="CG4" s="2501" t="s">
        <v>2403</v>
      </c>
      <c r="CH4" s="2501" t="s">
        <v>2404</v>
      </c>
      <c r="CI4" s="151" t="s">
        <v>3802</v>
      </c>
      <c r="CJ4" s="178"/>
      <c r="CK4" s="178"/>
      <c r="CL4" s="178"/>
      <c r="CM4" s="179"/>
      <c r="CN4" s="179"/>
      <c r="CO4" s="179"/>
      <c r="CP4" s="179"/>
      <c r="CQ4" s="179"/>
      <c r="CR4" s="179"/>
      <c r="CS4" s="179"/>
      <c r="CT4" s="179"/>
      <c r="CU4" s="179"/>
      <c r="CV4" s="179"/>
      <c r="CW4" s="179"/>
      <c r="CX4" s="179"/>
      <c r="CY4" s="179"/>
      <c r="CZ4" s="179"/>
      <c r="DA4" s="179"/>
      <c r="DB4" s="179"/>
      <c r="DC4" s="179"/>
      <c r="DD4" s="179"/>
      <c r="DE4" s="179"/>
      <c r="DF4" s="2518" t="s">
        <v>3803</v>
      </c>
      <c r="DG4" s="2518" t="s">
        <v>3804</v>
      </c>
      <c r="DH4" s="2491" t="s">
        <v>3805</v>
      </c>
      <c r="DI4" s="2491" t="s">
        <v>3806</v>
      </c>
      <c r="DJ4" s="2491" t="s">
        <v>3807</v>
      </c>
      <c r="DK4" s="2491" t="s">
        <v>3808</v>
      </c>
      <c r="DL4" s="2491" t="s">
        <v>3809</v>
      </c>
      <c r="DM4" s="2491" t="s">
        <v>3810</v>
      </c>
      <c r="DN4" s="2491" t="s">
        <v>3811</v>
      </c>
      <c r="DO4" s="2491" t="s">
        <v>3812</v>
      </c>
      <c r="DP4" s="2491" t="s">
        <v>3813</v>
      </c>
      <c r="DQ4" s="2489" t="s">
        <v>1739</v>
      </c>
      <c r="DR4" s="2491" t="s">
        <v>3814</v>
      </c>
      <c r="DS4" s="2489" t="s">
        <v>4116</v>
      </c>
      <c r="DT4" s="2489" t="s">
        <v>3816</v>
      </c>
      <c r="DU4" s="2489" t="s">
        <v>3817</v>
      </c>
      <c r="DV4" s="2489" t="s">
        <v>3818</v>
      </c>
      <c r="DW4" s="2489" t="s">
        <v>3819</v>
      </c>
      <c r="DX4" s="2489" t="s">
        <v>3820</v>
      </c>
      <c r="DY4" s="2489" t="s">
        <v>3821</v>
      </c>
      <c r="DZ4" s="2489" t="s">
        <v>3822</v>
      </c>
      <c r="EA4" s="2489" t="s">
        <v>3823</v>
      </c>
      <c r="EB4" s="2489" t="s">
        <v>3824</v>
      </c>
      <c r="EC4" s="2489" t="s">
        <v>3825</v>
      </c>
      <c r="ED4" s="2493" t="s">
        <v>790</v>
      </c>
      <c r="EE4" s="2495" t="s">
        <v>1410</v>
      </c>
      <c r="EF4" s="2495" t="s">
        <v>1380</v>
      </c>
      <c r="EG4" s="2499" t="s">
        <v>675</v>
      </c>
      <c r="EH4" s="2499" t="s">
        <v>1904</v>
      </c>
      <c r="EI4" s="2499" t="s">
        <v>1131</v>
      </c>
      <c r="EJ4" s="2499" t="s">
        <v>1927</v>
      </c>
      <c r="EK4" s="2499" t="s">
        <v>394</v>
      </c>
      <c r="EL4" s="2499" t="s">
        <v>1918</v>
      </c>
      <c r="EM4" s="2499" t="s">
        <v>630</v>
      </c>
      <c r="EN4" s="2499" t="s">
        <v>629</v>
      </c>
      <c r="EO4" s="2499" t="s">
        <v>631</v>
      </c>
      <c r="EP4" s="2487" t="s">
        <v>3826</v>
      </c>
      <c r="EQ4" s="2487" t="s">
        <v>3827</v>
      </c>
      <c r="ER4" s="2487" t="s">
        <v>3828</v>
      </c>
      <c r="ES4" s="2487" t="s">
        <v>3829</v>
      </c>
      <c r="ET4" s="2501" t="s">
        <v>3830</v>
      </c>
      <c r="EU4" s="2501" t="s">
        <v>3831</v>
      </c>
      <c r="EV4" s="2501" t="s">
        <v>3832</v>
      </c>
      <c r="EW4" s="2501" t="s">
        <v>3833</v>
      </c>
      <c r="EX4" s="2501" t="s">
        <v>3834</v>
      </c>
      <c r="EY4" s="2501" t="s">
        <v>3835</v>
      </c>
      <c r="EZ4" s="2501" t="s">
        <v>3836</v>
      </c>
      <c r="FA4" s="2501" t="s">
        <v>3837</v>
      </c>
      <c r="FB4" s="2487" t="s">
        <v>3838</v>
      </c>
      <c r="FC4" s="2487" t="s">
        <v>3839</v>
      </c>
      <c r="FD4" s="2487" t="s">
        <v>3840</v>
      </c>
      <c r="FE4" s="2487" t="s">
        <v>3841</v>
      </c>
      <c r="FF4" s="2487" t="s">
        <v>3842</v>
      </c>
      <c r="FG4" s="2487" t="s">
        <v>3843</v>
      </c>
      <c r="FH4" s="2487" t="s">
        <v>3844</v>
      </c>
      <c r="FI4" s="2487" t="s">
        <v>3845</v>
      </c>
      <c r="FJ4" s="2487" t="s">
        <v>3846</v>
      </c>
      <c r="FK4" s="2487" t="s">
        <v>3847</v>
      </c>
      <c r="FL4" s="2487" t="s">
        <v>4359</v>
      </c>
      <c r="FM4" s="2487" t="s">
        <v>3848</v>
      </c>
      <c r="FN4" s="2487" t="s">
        <v>3849</v>
      </c>
      <c r="FO4" s="2487" t="s">
        <v>3850</v>
      </c>
      <c r="FP4" s="2487" t="s">
        <v>3851</v>
      </c>
      <c r="FQ4" s="2487" t="s">
        <v>3852</v>
      </c>
      <c r="FR4" s="2501" t="s">
        <v>3853</v>
      </c>
      <c r="FS4" s="2501" t="s">
        <v>3854</v>
      </c>
      <c r="FT4" s="2501" t="s">
        <v>3855</v>
      </c>
      <c r="FU4" s="2505" t="s">
        <v>3856</v>
      </c>
      <c r="FV4" s="2505" t="s">
        <v>3857</v>
      </c>
      <c r="FW4" s="2505" t="s">
        <v>3858</v>
      </c>
      <c r="FX4" s="2505" t="s">
        <v>3859</v>
      </c>
      <c r="FY4" s="2505" t="s">
        <v>3860</v>
      </c>
      <c r="FZ4" s="2505" t="s">
        <v>3861</v>
      </c>
      <c r="GA4" s="2505" t="s">
        <v>3862</v>
      </c>
      <c r="GB4" s="2505" t="s">
        <v>3863</v>
      </c>
      <c r="GC4" s="2505" t="s">
        <v>3864</v>
      </c>
      <c r="GD4" s="2505" t="s">
        <v>3865</v>
      </c>
      <c r="GE4" s="2505" t="s">
        <v>3866</v>
      </c>
      <c r="GF4" s="2505" t="s">
        <v>3867</v>
      </c>
      <c r="GG4" s="2505" t="s">
        <v>3868</v>
      </c>
      <c r="GH4" s="2507" t="s">
        <v>3869</v>
      </c>
      <c r="GI4" s="2507" t="s">
        <v>3870</v>
      </c>
      <c r="GJ4" s="2515" t="s">
        <v>3871</v>
      </c>
      <c r="GK4" s="2515" t="s">
        <v>3872</v>
      </c>
      <c r="GL4" s="2507" t="s">
        <v>3873</v>
      </c>
      <c r="GM4" s="2515" t="s">
        <v>3874</v>
      </c>
      <c r="GN4" s="2515" t="s">
        <v>3875</v>
      </c>
      <c r="GO4" s="2507" t="s">
        <v>3876</v>
      </c>
      <c r="GP4" s="2507" t="s">
        <v>3877</v>
      </c>
      <c r="GQ4" s="2507" t="s">
        <v>3878</v>
      </c>
      <c r="GR4" s="2505" t="s">
        <v>3879</v>
      </c>
      <c r="GS4" s="2505" t="s">
        <v>3692</v>
      </c>
      <c r="GT4" s="2513" t="s">
        <v>3880</v>
      </c>
      <c r="GU4" s="2511"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534"/>
      <c r="B5" s="2498"/>
      <c r="C5" s="2498"/>
      <c r="D5" s="2498"/>
      <c r="E5" s="2498"/>
      <c r="F5" s="2498"/>
      <c r="G5" s="2498"/>
      <c r="H5" s="2498"/>
      <c r="I5" s="2498"/>
      <c r="J5" s="2528"/>
      <c r="K5" s="2529"/>
      <c r="L5" s="2529"/>
      <c r="M5" s="2519"/>
      <c r="N5" s="153" t="s">
        <v>92</v>
      </c>
      <c r="O5" s="153" t="s">
        <v>1533</v>
      </c>
      <c r="P5" s="153" t="s">
        <v>1831</v>
      </c>
      <c r="Q5" s="153" t="s">
        <v>1830</v>
      </c>
      <c r="R5" s="153" t="s">
        <v>233</v>
      </c>
      <c r="S5" s="153" t="s">
        <v>519</v>
      </c>
      <c r="T5" s="153" t="s">
        <v>300</v>
      </c>
      <c r="U5" s="965" t="s">
        <v>318</v>
      </c>
      <c r="V5" s="181" t="s">
        <v>302</v>
      </c>
      <c r="W5" s="153" t="s">
        <v>761</v>
      </c>
      <c r="X5" s="152" t="s">
        <v>2184</v>
      </c>
      <c r="Y5" s="152" t="s">
        <v>3881</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3882</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502"/>
      <c r="CD5" s="2502"/>
      <c r="CE5" s="2502"/>
      <c r="CF5" s="2502"/>
      <c r="CG5" s="2502"/>
      <c r="CH5" s="2502"/>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519"/>
      <c r="DG5" s="2519"/>
      <c r="DH5" s="2492"/>
      <c r="DI5" s="2492"/>
      <c r="DJ5" s="2492"/>
      <c r="DK5" s="2492"/>
      <c r="DL5" s="2492"/>
      <c r="DM5" s="2492"/>
      <c r="DN5" s="2492"/>
      <c r="DO5" s="2492"/>
      <c r="DP5" s="2492"/>
      <c r="DQ5" s="2490"/>
      <c r="DR5" s="2492"/>
      <c r="DS5" s="2490"/>
      <c r="DT5" s="2490"/>
      <c r="DU5" s="2490"/>
      <c r="DV5" s="2490"/>
      <c r="DW5" s="2490"/>
      <c r="DX5" s="2490"/>
      <c r="DY5" s="2490"/>
      <c r="DZ5" s="2490"/>
      <c r="EA5" s="2490"/>
      <c r="EB5" s="2490"/>
      <c r="EC5" s="2490"/>
      <c r="ED5" s="2494"/>
      <c r="EE5" s="2496"/>
      <c r="EF5" s="2496"/>
      <c r="EG5" s="2500"/>
      <c r="EH5" s="2500"/>
      <c r="EI5" s="2500"/>
      <c r="EJ5" s="2500"/>
      <c r="EK5" s="2500"/>
      <c r="EL5" s="2500"/>
      <c r="EM5" s="2500"/>
      <c r="EN5" s="2500"/>
      <c r="EO5" s="2500"/>
      <c r="EP5" s="2488"/>
      <c r="EQ5" s="2488"/>
      <c r="ER5" s="2488"/>
      <c r="ES5" s="2488"/>
      <c r="ET5" s="2502"/>
      <c r="EU5" s="2502"/>
      <c r="EV5" s="2502"/>
      <c r="EW5" s="2502"/>
      <c r="EX5" s="2502"/>
      <c r="EY5" s="2502"/>
      <c r="EZ5" s="2502"/>
      <c r="FA5" s="2502"/>
      <c r="FB5" s="2488"/>
      <c r="FC5" s="2488"/>
      <c r="FD5" s="2488"/>
      <c r="FE5" s="2488"/>
      <c r="FF5" s="2488"/>
      <c r="FG5" s="2488"/>
      <c r="FH5" s="2488"/>
      <c r="FI5" s="2488"/>
      <c r="FJ5" s="2488"/>
      <c r="FK5" s="2488"/>
      <c r="FL5" s="2488"/>
      <c r="FM5" s="2488"/>
      <c r="FN5" s="2488"/>
      <c r="FO5" s="2488"/>
      <c r="FP5" s="2488"/>
      <c r="FQ5" s="2488"/>
      <c r="FR5" s="2502"/>
      <c r="FS5" s="2502"/>
      <c r="FT5" s="2502"/>
      <c r="FU5" s="2506"/>
      <c r="FV5" s="2506"/>
      <c r="FW5" s="2506"/>
      <c r="FX5" s="2506"/>
      <c r="FY5" s="2506"/>
      <c r="FZ5" s="2506"/>
      <c r="GA5" s="2506"/>
      <c r="GB5" s="2506"/>
      <c r="GC5" s="2506"/>
      <c r="GD5" s="2506"/>
      <c r="GE5" s="2506"/>
      <c r="GF5" s="2506"/>
      <c r="GG5" s="2506"/>
      <c r="GH5" s="2508"/>
      <c r="GI5" s="2508"/>
      <c r="GJ5" s="2516"/>
      <c r="GK5" s="2516"/>
      <c r="GL5" s="2508"/>
      <c r="GM5" s="2516"/>
      <c r="GN5" s="2516"/>
      <c r="GO5" s="2508"/>
      <c r="GP5" s="2508"/>
      <c r="GQ5" s="2508"/>
      <c r="GR5" s="2506"/>
      <c r="GS5" s="2506"/>
      <c r="GT5" s="2514"/>
      <c r="GU5" s="2512"/>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39"/>
      <c r="B9" s="1340"/>
      <c r="C9" s="1341"/>
      <c r="D9" s="188"/>
      <c r="E9" s="188"/>
      <c r="F9" s="188"/>
      <c r="G9" s="188"/>
      <c r="H9" s="188"/>
      <c r="I9" s="188"/>
      <c r="J9" s="189"/>
      <c r="K9" s="190"/>
      <c r="L9" s="191"/>
      <c r="M9" s="1344"/>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6"/>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39"/>
      <c r="B10" s="1342"/>
      <c r="C10" s="274"/>
      <c r="D10" s="198"/>
      <c r="E10" s="198"/>
      <c r="F10" s="198"/>
      <c r="G10" s="198"/>
      <c r="H10" s="198"/>
      <c r="I10" s="198"/>
      <c r="J10" s="199"/>
      <c r="K10" s="200"/>
      <c r="L10" s="201"/>
      <c r="M10" s="1345"/>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39"/>
      <c r="B11" s="1342"/>
      <c r="C11" s="274"/>
      <c r="D11" s="198"/>
      <c r="E11" s="198"/>
      <c r="F11" s="198"/>
      <c r="G11" s="198"/>
      <c r="H11" s="198"/>
      <c r="I11" s="198"/>
      <c r="J11" s="199"/>
      <c r="K11" s="200"/>
      <c r="L11" s="201"/>
      <c r="M11" s="1345"/>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39"/>
      <c r="B12" s="1343"/>
      <c r="C12" s="274"/>
      <c r="D12" s="198"/>
      <c r="E12" s="198"/>
      <c r="F12" s="198"/>
      <c r="G12" s="198"/>
      <c r="H12" s="198"/>
      <c r="I12" s="198"/>
      <c r="J12" s="199"/>
      <c r="K12" s="200"/>
      <c r="L12" s="201"/>
      <c r="M12" s="1345"/>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39"/>
      <c r="B13" s="1343"/>
      <c r="C13" s="274"/>
      <c r="D13" s="198"/>
      <c r="E13" s="198"/>
      <c r="F13" s="198"/>
      <c r="G13" s="198"/>
      <c r="H13" s="198"/>
      <c r="I13" s="198"/>
      <c r="J13" s="199"/>
      <c r="K13" s="200"/>
      <c r="L13" s="201"/>
      <c r="M13" s="1345"/>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39"/>
      <c r="B14" s="1343"/>
      <c r="C14" s="274"/>
      <c r="D14" s="198"/>
      <c r="E14" s="198"/>
      <c r="F14" s="198"/>
      <c r="G14" s="198"/>
      <c r="H14" s="198"/>
      <c r="I14" s="198"/>
      <c r="J14" s="199"/>
      <c r="K14" s="200"/>
      <c r="L14" s="201"/>
      <c r="M14" s="1345"/>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39"/>
      <c r="B15" s="1343"/>
      <c r="C15" s="274"/>
      <c r="D15" s="198"/>
      <c r="E15" s="198"/>
      <c r="F15" s="198"/>
      <c r="G15" s="198"/>
      <c r="H15" s="198"/>
      <c r="I15" s="198"/>
      <c r="J15" s="199"/>
      <c r="K15" s="200"/>
      <c r="L15" s="201"/>
      <c r="M15" s="1345"/>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39"/>
      <c r="B16" s="1343"/>
      <c r="C16" s="274"/>
      <c r="D16" s="198"/>
      <c r="E16" s="198"/>
      <c r="F16" s="198"/>
      <c r="G16" s="198"/>
      <c r="H16" s="198"/>
      <c r="I16" s="198"/>
      <c r="J16" s="199"/>
      <c r="K16" s="200"/>
      <c r="L16" s="201"/>
      <c r="M16" s="1345"/>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39"/>
      <c r="B17" s="1343"/>
      <c r="C17" s="274"/>
      <c r="D17" s="198"/>
      <c r="E17" s="198"/>
      <c r="F17" s="198"/>
      <c r="G17" s="198"/>
      <c r="H17" s="198"/>
      <c r="I17" s="198"/>
      <c r="J17" s="199"/>
      <c r="K17" s="200"/>
      <c r="L17" s="201"/>
      <c r="M17" s="1345"/>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39"/>
      <c r="B18" s="1343"/>
      <c r="C18" s="274"/>
      <c r="D18" s="198"/>
      <c r="E18" s="198"/>
      <c r="F18" s="198"/>
      <c r="G18" s="198"/>
      <c r="H18" s="198"/>
      <c r="I18" s="198"/>
      <c r="J18" s="199"/>
      <c r="K18" s="200"/>
      <c r="L18" s="201"/>
      <c r="M18" s="1345"/>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39"/>
      <c r="B19" s="1343"/>
      <c r="C19" s="274"/>
      <c r="D19" s="198"/>
      <c r="E19" s="198"/>
      <c r="F19" s="198"/>
      <c r="G19" s="198"/>
      <c r="H19" s="198"/>
      <c r="I19" s="198"/>
      <c r="J19" s="199"/>
      <c r="K19" s="200"/>
      <c r="L19" s="201"/>
      <c r="M19" s="1345"/>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39"/>
      <c r="B20" s="1343"/>
      <c r="C20" s="274"/>
      <c r="D20" s="198"/>
      <c r="E20" s="198"/>
      <c r="F20" s="198"/>
      <c r="G20" s="198"/>
      <c r="H20" s="198"/>
      <c r="I20" s="198"/>
      <c r="J20" s="199"/>
      <c r="K20" s="200"/>
      <c r="L20" s="201"/>
      <c r="M20" s="1345"/>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3885</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3885</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3885</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3885</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3885</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3885</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3885</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3885</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3885</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3885</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3885</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3886</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3886</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3886</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3885</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3886</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3885</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3885</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3886</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3886</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3886</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3886</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3885</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3885</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3885</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3885</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3885</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3885</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3885</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3885</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3885</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3885</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3885</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3885</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3885</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3885</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3885</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3885</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3887</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3888</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3888</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3889</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3889</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3889</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3889</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3890</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3889</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3889</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3889</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3889</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3889</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3889</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3889</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3891</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523"/>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509" t="s">
        <v>3892</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524"/>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510"/>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3893</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3893</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3889</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3889</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3889</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525"/>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503" t="s">
        <v>3894</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526"/>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504"/>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3895</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3890</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3884</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531" t="s">
        <v>2603</v>
      </c>
      <c r="B184" s="253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3896</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517">
        <f>1.02*D186</f>
        <v>0</v>
      </c>
      <c r="W186" s="2517"/>
      <c r="X186" s="2517"/>
      <c r="Y186" s="2517"/>
      <c r="Z186" s="2517"/>
      <c r="AA186" s="2517"/>
      <c r="AB186" s="2517"/>
      <c r="AC186" s="2517"/>
      <c r="AD186" s="2517"/>
      <c r="AE186" s="2517"/>
      <c r="AF186" s="2517"/>
      <c r="AG186" s="2517"/>
      <c r="AH186" s="2517"/>
      <c r="AI186" s="2517"/>
      <c r="AJ186" s="2517"/>
      <c r="AK186" s="2517"/>
      <c r="AL186" s="2517"/>
      <c r="AM186" s="2517"/>
      <c r="AN186" s="2517"/>
      <c r="AO186" s="2517"/>
      <c r="AP186" s="2517"/>
      <c r="AQ186" s="2517"/>
      <c r="AR186" s="2517"/>
      <c r="AS186" s="2517"/>
      <c r="AT186" s="2517"/>
      <c r="AU186" s="2517"/>
      <c r="AV186" s="2517"/>
      <c r="AW186" s="2517"/>
      <c r="AX186" s="2517"/>
      <c r="AY186" s="2517"/>
      <c r="AZ186" s="2517"/>
      <c r="BA186" s="2517"/>
      <c r="BB186" s="2517"/>
      <c r="BC186" s="2517"/>
      <c r="BD186" s="2517"/>
      <c r="BE186" s="2517"/>
      <c r="BF186" s="2517"/>
      <c r="BG186" s="2517"/>
      <c r="BH186" s="2517"/>
      <c r="BI186" s="2517"/>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517">
        <f>1.02*D187</f>
        <v>0</v>
      </c>
      <c r="W187" s="2517"/>
      <c r="X187" s="2517"/>
      <c r="Y187" s="2517"/>
      <c r="Z187" s="2517"/>
      <c r="AA187" s="2517"/>
      <c r="AB187" s="2517"/>
      <c r="AC187" s="2517"/>
      <c r="AD187" s="2517"/>
      <c r="AE187" s="2517"/>
      <c r="AF187" s="2517"/>
      <c r="AG187" s="2517"/>
      <c r="AH187" s="2517"/>
      <c r="AI187" s="2517"/>
      <c r="AJ187" s="2517"/>
      <c r="AK187" s="2517"/>
      <c r="AL187" s="2517"/>
      <c r="AM187" s="2517"/>
      <c r="AN187" s="2517"/>
      <c r="AO187" s="2517"/>
      <c r="AP187" s="2517"/>
      <c r="AQ187" s="2517"/>
      <c r="AR187" s="2517"/>
      <c r="AS187" s="2517"/>
      <c r="AT187" s="2517"/>
      <c r="AU187" s="2517"/>
      <c r="AV187" s="2517"/>
      <c r="AW187" s="2517"/>
      <c r="AX187" s="2517"/>
      <c r="AY187" s="2517"/>
      <c r="AZ187" s="2517"/>
      <c r="BA187" s="2517"/>
      <c r="BB187" s="2517"/>
      <c r="BC187" s="2517"/>
      <c r="BD187" s="2517"/>
      <c r="BE187" s="2517"/>
      <c r="BF187" s="2517"/>
      <c r="BG187" s="2517"/>
      <c r="BH187" s="2517"/>
      <c r="BI187" s="2517"/>
    </row>
    <row r="188" spans="1:256" ht="18.95" hidden="1" customHeight="1">
      <c r="A188" s="394" t="s">
        <v>843</v>
      </c>
      <c r="B188" s="171" t="s">
        <v>2180</v>
      </c>
      <c r="D188" s="390"/>
      <c r="E188" s="390"/>
      <c r="F188" s="390"/>
      <c r="G188" s="390"/>
      <c r="H188" s="390"/>
      <c r="I188" s="390"/>
      <c r="J188" s="170" t="s">
        <v>1829</v>
      </c>
      <c r="L188" s="395"/>
      <c r="N188" s="394" t="s">
        <v>843</v>
      </c>
      <c r="O188" s="170" t="s">
        <v>2180</v>
      </c>
      <c r="V188" s="2517">
        <f>1.02*D188</f>
        <v>0</v>
      </c>
      <c r="W188" s="2517"/>
      <c r="X188" s="2517"/>
      <c r="Y188" s="2517"/>
      <c r="Z188" s="2517"/>
      <c r="AA188" s="2517"/>
      <c r="AB188" s="2517"/>
      <c r="AC188" s="2517"/>
      <c r="AD188" s="2517"/>
      <c r="AE188" s="2517"/>
      <c r="AF188" s="2517"/>
      <c r="AG188" s="2517"/>
      <c r="AH188" s="2517"/>
      <c r="AI188" s="2517"/>
      <c r="AJ188" s="2517"/>
      <c r="AK188" s="2517"/>
      <c r="AL188" s="2517"/>
      <c r="AM188" s="2517"/>
      <c r="AN188" s="2517"/>
      <c r="AO188" s="2517"/>
      <c r="AP188" s="2517"/>
      <c r="AQ188" s="2517"/>
      <c r="AR188" s="2517"/>
      <c r="AS188" s="2517"/>
      <c r="AT188" s="2517"/>
      <c r="AU188" s="2517"/>
      <c r="AV188" s="2517"/>
      <c r="AW188" s="2517"/>
      <c r="AX188" s="2517"/>
      <c r="AY188" s="2517"/>
      <c r="AZ188" s="2517"/>
      <c r="BA188" s="2517"/>
      <c r="BB188" s="2517"/>
      <c r="BC188" s="2517"/>
      <c r="BD188" s="2517"/>
      <c r="BE188" s="2517"/>
      <c r="BF188" s="2517"/>
      <c r="BG188" s="2517"/>
      <c r="BH188" s="2517"/>
      <c r="BI188" s="2517"/>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4355</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3897</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550" t="e">
        <f>#REF!&amp;", "&amp;#REF!</f>
        <v>#REF!</v>
      </c>
      <c r="B4" s="2550"/>
      <c r="C4" s="2550"/>
      <c r="D4" s="2550"/>
      <c r="E4" s="2550"/>
      <c r="F4" s="2550"/>
      <c r="G4" s="2550"/>
      <c r="H4" s="2550"/>
      <c r="I4" s="2550"/>
      <c r="J4" s="2550"/>
      <c r="K4" s="2550"/>
      <c r="L4" s="2550"/>
      <c r="M4" s="2550"/>
      <c r="N4" s="2550"/>
      <c r="O4" s="2550"/>
      <c r="P4" s="2550"/>
      <c r="Q4" s="2550"/>
      <c r="R4" s="2550"/>
      <c r="S4" s="2550"/>
      <c r="T4" s="2550"/>
      <c r="U4" s="2550"/>
      <c r="V4" s="2550"/>
      <c r="W4" s="2550"/>
      <c r="X4" s="2550"/>
      <c r="Y4" s="2550"/>
      <c r="Z4" s="2550"/>
      <c r="AA4" s="2550"/>
      <c r="AB4" s="2550"/>
      <c r="AC4" s="2550"/>
      <c r="AD4" s="2550"/>
      <c r="AE4" s="2550"/>
      <c r="AF4" s="2550"/>
      <c r="AG4" s="2550"/>
      <c r="AH4" s="2550"/>
      <c r="AI4" s="2550"/>
      <c r="AJ4" s="2550"/>
      <c r="AK4" s="2550"/>
      <c r="AL4" s="2550"/>
      <c r="AM4" s="2550"/>
      <c r="AN4" s="2550"/>
      <c r="AO4" s="2550"/>
      <c r="AP4" s="2550"/>
      <c r="AQ4" s="2550"/>
      <c r="AR4" s="2550"/>
      <c r="AS4" s="2550"/>
      <c r="AT4" s="2550"/>
      <c r="AU4" s="2550"/>
      <c r="AV4" s="2550"/>
      <c r="AW4" s="2550"/>
      <c r="AX4" s="2550"/>
      <c r="AY4" s="2550"/>
      <c r="AZ4" s="2550"/>
      <c r="BA4" s="2550"/>
      <c r="BB4" s="2550"/>
      <c r="BC4" s="2550"/>
      <c r="BD4" s="2550"/>
      <c r="BE4" s="2550"/>
      <c r="BF4" s="2550"/>
      <c r="BG4" s="2550"/>
      <c r="BH4" s="2550"/>
      <c r="BI4" s="2550"/>
      <c r="BJ4" s="2550"/>
      <c r="BK4" s="2550"/>
      <c r="BL4" s="2550"/>
      <c r="BM4" s="2550"/>
      <c r="BN4" s="2550"/>
      <c r="BO4" s="2550"/>
      <c r="BP4" s="2550"/>
      <c r="BQ4" s="2550"/>
      <c r="BR4" s="2550"/>
      <c r="BS4" s="2550"/>
      <c r="BT4" s="2550"/>
      <c r="BU4" s="2550"/>
      <c r="BV4" s="2550"/>
      <c r="BW4" s="2550"/>
      <c r="BX4" s="2550"/>
      <c r="BY4" s="2550"/>
      <c r="BZ4" s="2550"/>
      <c r="CA4" s="2550"/>
      <c r="CB4" s="2550"/>
      <c r="CC4" s="2550"/>
      <c r="CD4" s="2550"/>
      <c r="CE4" s="2550"/>
      <c r="CF4" s="2550"/>
      <c r="CG4" s="2550"/>
      <c r="CH4" s="2550"/>
      <c r="CI4" s="2550"/>
      <c r="CJ4" s="2550"/>
      <c r="CK4" s="2550"/>
      <c r="CL4" s="2550"/>
      <c r="CM4" s="2550"/>
      <c r="CN4" s="2550"/>
      <c r="CO4" s="2550"/>
      <c r="CP4" s="2550"/>
      <c r="CQ4" s="2550"/>
      <c r="CR4" s="2550"/>
      <c r="CS4" s="2550"/>
      <c r="CT4" s="2550"/>
      <c r="CU4" s="2550"/>
      <c r="CV4" s="2550"/>
      <c r="CW4" s="2550"/>
      <c r="CX4" s="2550"/>
      <c r="CY4" s="2550"/>
      <c r="CZ4" s="2550"/>
      <c r="DA4" s="2550"/>
      <c r="DB4" s="2550"/>
      <c r="DC4" s="2550"/>
      <c r="DD4" s="2550"/>
      <c r="DE4" s="2550"/>
      <c r="DF4" s="2550"/>
      <c r="DG4" s="2550"/>
      <c r="DH4" s="2550"/>
      <c r="DI4" s="2550"/>
      <c r="DJ4" s="2550"/>
      <c r="DK4" s="2550"/>
      <c r="DL4" s="2550"/>
      <c r="DM4" s="2550"/>
      <c r="DN4" s="2550"/>
      <c r="DO4" s="2550"/>
      <c r="DP4" s="2550"/>
      <c r="DQ4" s="2550"/>
      <c r="DR4" s="2550"/>
      <c r="DS4" s="2550"/>
      <c r="DT4" s="2550"/>
      <c r="DU4" s="2550"/>
      <c r="DV4" s="2550"/>
      <c r="DW4" s="2550"/>
      <c r="DX4" s="2550"/>
      <c r="DY4" s="2550"/>
      <c r="DZ4" s="2550"/>
      <c r="EA4" s="2550"/>
      <c r="EB4" s="2550"/>
      <c r="EC4" s="2550"/>
    </row>
    <row r="5" spans="1:153" ht="34.5" customHeight="1" thickTop="1" thickBot="1">
      <c r="A5" s="2554" t="s">
        <v>3787</v>
      </c>
      <c r="B5" s="2556" t="s">
        <v>3788</v>
      </c>
      <c r="C5" s="2552" t="s">
        <v>3898</v>
      </c>
      <c r="D5" s="2552" t="s">
        <v>3899</v>
      </c>
      <c r="E5" s="2552" t="s">
        <v>3795</v>
      </c>
      <c r="F5" s="2544" t="s">
        <v>3796</v>
      </c>
      <c r="G5" s="2544" t="s">
        <v>3797</v>
      </c>
      <c r="H5" s="2544" t="s">
        <v>3798</v>
      </c>
      <c r="I5" s="2558" t="s">
        <v>2285</v>
      </c>
      <c r="J5" s="2559"/>
      <c r="K5" s="2560"/>
      <c r="L5" s="422"/>
      <c r="M5" s="402" t="s">
        <v>3900</v>
      </c>
      <c r="N5" s="423"/>
      <c r="O5" s="423"/>
      <c r="P5" s="423"/>
      <c r="Q5" s="423"/>
      <c r="R5" s="423"/>
      <c r="S5" s="423"/>
      <c r="T5" s="423"/>
      <c r="U5" s="403" t="s">
        <v>3901</v>
      </c>
      <c r="V5" s="423"/>
      <c r="W5" s="424"/>
      <c r="X5" s="406"/>
      <c r="Y5" s="406"/>
      <c r="Z5" s="406"/>
      <c r="AA5" s="406"/>
      <c r="AB5" s="406"/>
      <c r="AC5" s="406"/>
      <c r="AD5" s="406"/>
      <c r="AE5" s="406"/>
      <c r="AF5" s="406"/>
      <c r="AG5" s="406"/>
      <c r="AH5" s="406"/>
      <c r="AI5" s="406"/>
      <c r="AJ5" s="406"/>
      <c r="AK5" s="406"/>
      <c r="AL5" s="406"/>
      <c r="AM5" s="406"/>
      <c r="AN5" s="406"/>
      <c r="AO5" s="404" t="s">
        <v>3902</v>
      </c>
      <c r="AP5" s="406"/>
      <c r="AQ5" s="406"/>
      <c r="AR5" s="406"/>
      <c r="AS5" s="425"/>
      <c r="AT5" s="405" t="s">
        <v>3800</v>
      </c>
      <c r="AU5" s="426"/>
      <c r="AV5" s="406"/>
      <c r="AW5" s="406"/>
      <c r="AX5" s="406"/>
      <c r="AY5" s="406"/>
      <c r="AZ5" s="406"/>
      <c r="BA5" s="406"/>
      <c r="BB5" s="406" t="s">
        <v>3903</v>
      </c>
      <c r="BC5" s="407" t="s">
        <v>3904</v>
      </c>
      <c r="BD5" s="427"/>
      <c r="BE5" s="427"/>
      <c r="BF5" s="406"/>
      <c r="BG5" s="406"/>
      <c r="BH5" s="406"/>
      <c r="BI5" s="406"/>
      <c r="BJ5" s="406"/>
      <c r="BK5" s="406"/>
      <c r="BL5" s="406"/>
      <c r="BM5" s="406"/>
      <c r="BN5" s="406"/>
      <c r="BO5" s="2537" t="s">
        <v>2400</v>
      </c>
      <c r="BP5" s="2537" t="s">
        <v>2403</v>
      </c>
      <c r="BQ5" s="2537" t="s">
        <v>2403</v>
      </c>
      <c r="BR5" s="2537" t="s">
        <v>2404</v>
      </c>
      <c r="BS5" s="404" t="s">
        <v>3802</v>
      </c>
      <c r="BT5" s="406"/>
      <c r="BU5" s="406"/>
      <c r="BV5" s="406"/>
      <c r="BW5" s="406"/>
      <c r="BX5" s="406"/>
      <c r="BY5" s="406"/>
      <c r="BZ5" s="406"/>
      <c r="CA5" s="406"/>
      <c r="CB5" s="406"/>
      <c r="CC5" s="406"/>
      <c r="CD5" s="406"/>
      <c r="CE5" s="406"/>
      <c r="CF5" s="406"/>
      <c r="CG5" s="406"/>
      <c r="CH5" s="406"/>
      <c r="CI5" s="406"/>
      <c r="CJ5" s="406"/>
      <c r="CK5" s="406"/>
      <c r="CL5" s="406"/>
      <c r="CM5" s="406"/>
      <c r="CN5" s="2543" t="s">
        <v>3905</v>
      </c>
      <c r="CO5" s="2543" t="s">
        <v>3906</v>
      </c>
      <c r="CP5" s="2543" t="s">
        <v>3907</v>
      </c>
      <c r="CQ5" s="2539" t="str">
        <f>"Chuoãi "&amp;EF6&amp;" laép vaøo xaø  CÑX "&amp;EF6 &amp; "-X"</f>
        <v>Chuoãi Polymer laép vaøo xaø  CÑX Polymer-X</v>
      </c>
      <c r="CR5" s="2548" t="s">
        <v>3807</v>
      </c>
      <c r="CS5" s="2546" t="s">
        <v>3908</v>
      </c>
      <c r="CT5" s="2546" t="s">
        <v>3909</v>
      </c>
      <c r="CU5" s="2543" t="s">
        <v>3808</v>
      </c>
      <c r="CV5" s="2543" t="s">
        <v>3809</v>
      </c>
      <c r="CW5" s="2543" t="s">
        <v>3810</v>
      </c>
      <c r="CX5" s="2543" t="s">
        <v>3811</v>
      </c>
      <c r="CY5" s="2541" t="s">
        <v>3910</v>
      </c>
      <c r="CZ5" s="2541" t="s">
        <v>3911</v>
      </c>
      <c r="DA5" s="2541" t="s">
        <v>3912</v>
      </c>
      <c r="DB5" s="2546" t="s">
        <v>3913</v>
      </c>
      <c r="DC5" s="2541" t="s">
        <v>3914</v>
      </c>
      <c r="DD5" s="2546" t="s">
        <v>3818</v>
      </c>
      <c r="DE5" s="2541" t="s">
        <v>3915</v>
      </c>
      <c r="DF5" s="2537" t="s">
        <v>3819</v>
      </c>
      <c r="DG5" s="2537" t="s">
        <v>3820</v>
      </c>
      <c r="DH5" s="2537" t="s">
        <v>3821</v>
      </c>
      <c r="DI5" s="2537" t="s">
        <v>3822</v>
      </c>
      <c r="DJ5" s="2537" t="s">
        <v>3823</v>
      </c>
      <c r="DK5" s="2537" t="s">
        <v>3825</v>
      </c>
      <c r="DL5" s="2537" t="s">
        <v>3825</v>
      </c>
      <c r="DM5" s="2537" t="s">
        <v>790</v>
      </c>
      <c r="DN5" s="2537" t="s">
        <v>675</v>
      </c>
      <c r="DO5" s="2537" t="s">
        <v>1904</v>
      </c>
      <c r="DP5" s="2537" t="s">
        <v>1131</v>
      </c>
      <c r="DQ5" s="2537" t="s">
        <v>1927</v>
      </c>
      <c r="DR5" s="2537" t="s">
        <v>394</v>
      </c>
      <c r="DS5" s="2537" t="s">
        <v>1918</v>
      </c>
      <c r="DT5" s="2537" t="s">
        <v>1195</v>
      </c>
      <c r="DU5" s="2537" t="s">
        <v>1196</v>
      </c>
      <c r="DV5" s="428"/>
      <c r="DW5" s="428"/>
      <c r="DX5" s="428"/>
      <c r="DY5" s="428"/>
      <c r="DZ5" s="428"/>
      <c r="EA5" s="408"/>
      <c r="EB5" s="2546" t="s">
        <v>3916</v>
      </c>
      <c r="EC5" s="2535" t="s">
        <v>2610</v>
      </c>
    </row>
    <row r="6" spans="1:153" s="434" customFormat="1" ht="99.75" customHeight="1" thickTop="1">
      <c r="A6" s="2555"/>
      <c r="B6" s="2557"/>
      <c r="C6" s="2553"/>
      <c r="D6" s="2553"/>
      <c r="E6" s="2553"/>
      <c r="F6" s="2545"/>
      <c r="G6" s="2545"/>
      <c r="H6" s="2545"/>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3882</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561"/>
      <c r="BP6" s="2561"/>
      <c r="BQ6" s="2561"/>
      <c r="BR6" s="2561"/>
      <c r="BS6" s="410" t="s">
        <v>2299</v>
      </c>
      <c r="BT6" s="410" t="s">
        <v>911</v>
      </c>
      <c r="BU6" s="410" t="s">
        <v>280</v>
      </c>
      <c r="BV6" s="410" t="s">
        <v>912</v>
      </c>
      <c r="BW6" s="410" t="s">
        <v>3883</v>
      </c>
      <c r="BX6" s="410" t="s">
        <v>2305</v>
      </c>
      <c r="BY6" s="410" t="s">
        <v>344</v>
      </c>
      <c r="BZ6" s="410" t="s">
        <v>3917</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3918</v>
      </c>
      <c r="CM6" s="410" t="s">
        <v>1197</v>
      </c>
      <c r="CN6" s="2540"/>
      <c r="CO6" s="2540"/>
      <c r="CP6" s="2540"/>
      <c r="CQ6" s="2540"/>
      <c r="CR6" s="2549"/>
      <c r="CS6" s="2547"/>
      <c r="CT6" s="2547"/>
      <c r="CU6" s="2540"/>
      <c r="CV6" s="2540"/>
      <c r="CW6" s="2540"/>
      <c r="CX6" s="2540"/>
      <c r="CY6" s="2542"/>
      <c r="CZ6" s="2542"/>
      <c r="DA6" s="2542"/>
      <c r="DB6" s="2547"/>
      <c r="DC6" s="2542"/>
      <c r="DD6" s="2547"/>
      <c r="DE6" s="2542"/>
      <c r="DF6" s="2538"/>
      <c r="DG6" s="2538"/>
      <c r="DH6" s="2538"/>
      <c r="DI6" s="2538"/>
      <c r="DJ6" s="2538"/>
      <c r="DK6" s="2538"/>
      <c r="DL6" s="2538"/>
      <c r="DM6" s="2538"/>
      <c r="DN6" s="2538"/>
      <c r="DO6" s="2538"/>
      <c r="DP6" s="2538"/>
      <c r="DQ6" s="2538"/>
      <c r="DR6" s="2538"/>
      <c r="DS6" s="2538"/>
      <c r="DT6" s="2538"/>
      <c r="DU6" s="2538"/>
      <c r="DV6" s="411" t="s">
        <v>3919</v>
      </c>
      <c r="DW6" s="411" t="s">
        <v>3920</v>
      </c>
      <c r="DX6" s="411" t="s">
        <v>3921</v>
      </c>
      <c r="DY6" s="411" t="s">
        <v>3922</v>
      </c>
      <c r="DZ6" s="411" t="s">
        <v>3923</v>
      </c>
      <c r="EA6" s="408" t="s">
        <v>3880</v>
      </c>
      <c r="EB6" s="2547"/>
      <c r="EC6" s="2536"/>
      <c r="ED6" s="432" t="s">
        <v>1040</v>
      </c>
      <c r="EE6" s="433" t="s">
        <v>189</v>
      </c>
      <c r="EF6" s="434" t="str">
        <f>IF(EE6="P","Polymer","treo 2 baùt")</f>
        <v>Polymer</v>
      </c>
    </row>
    <row r="7" spans="1:153" ht="18.95" customHeight="1">
      <c r="A7" s="412" t="s">
        <v>3924</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3896</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551" t="s">
        <v>1641</v>
      </c>
      <c r="B99" s="2551"/>
      <c r="C99" s="2551"/>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A7" zoomScaleNormal="100" workbookViewId="0">
      <selection activeCell="W105" sqref="W105"/>
    </sheetView>
  </sheetViews>
  <sheetFormatPr defaultColWidth="8.88671875" defaultRowHeight="18.95" customHeight="1" outlineLevelRow="1"/>
  <cols>
    <col min="1" max="1" width="8" style="1624" customWidth="1"/>
    <col min="2" max="2" width="5.109375" style="1624" customWidth="1"/>
    <col min="3" max="3" width="6.88671875" style="1624" hidden="1" customWidth="1"/>
    <col min="4" max="4" width="6" style="1624" customWidth="1"/>
    <col min="5" max="6" width="3.88671875" style="1624" hidden="1" customWidth="1"/>
    <col min="7" max="7" width="4.6640625" style="1625" hidden="1" customWidth="1"/>
    <col min="8" max="8" width="5.6640625" style="1624" customWidth="1"/>
    <col min="9" max="9" width="4.77734375" style="1624" hidden="1" customWidth="1"/>
    <col min="10" max="10" width="4.77734375" style="1624" customWidth="1"/>
    <col min="11" max="11" width="4.77734375" style="1624" hidden="1" customWidth="1"/>
    <col min="12" max="12" width="4.77734375" style="1624" customWidth="1"/>
    <col min="13" max="18" width="4.77734375" style="1624" hidden="1" customWidth="1"/>
    <col min="19" max="19" width="5.5546875" style="1624" customWidth="1"/>
    <col min="20" max="20" width="5.21875" style="1624" hidden="1" customWidth="1"/>
    <col min="21" max="21" width="4.77734375" style="1624" hidden="1" customWidth="1"/>
    <col min="22" max="22" width="6.6640625" style="1624" hidden="1" customWidth="1"/>
    <col min="23" max="23" width="4.77734375" style="1624" customWidth="1"/>
    <col min="24" max="39" width="4.77734375" style="1624" hidden="1" customWidth="1"/>
    <col min="40" max="41" width="4.77734375" style="1624" customWidth="1"/>
    <col min="42" max="42" width="5.44140625" style="1624" hidden="1" customWidth="1"/>
    <col min="43" max="43" width="8.77734375" style="1624" hidden="1" customWidth="1"/>
    <col min="44" max="44" width="5.21875" style="1624" hidden="1" customWidth="1"/>
    <col min="45" max="47" width="8.77734375" style="1624" hidden="1" customWidth="1"/>
    <col min="48" max="48" width="4.77734375" style="1624" hidden="1" customWidth="1"/>
    <col min="49" max="50" width="4.77734375" style="1624" customWidth="1"/>
    <col min="51" max="54" width="4.77734375" style="1624" hidden="1" customWidth="1"/>
    <col min="55" max="57" width="4.77734375" style="1626" hidden="1" customWidth="1"/>
    <col min="58" max="65" width="4.77734375" style="1624" hidden="1" customWidth="1"/>
    <col min="66" max="66" width="6.77734375" style="1624" hidden="1" customWidth="1"/>
    <col min="67" max="71" width="4.77734375" style="1624" hidden="1" customWidth="1"/>
    <col min="72" max="72" width="3.88671875" style="1624" hidden="1" customWidth="1"/>
    <col min="73" max="81" width="4.77734375" style="1624" customWidth="1"/>
    <col min="82" max="101" width="4.33203125" style="1624" hidden="1" customWidth="1"/>
    <col min="102" max="102" width="7.77734375" style="1627" customWidth="1"/>
    <col min="103" max="16384" width="8.88671875" style="1624"/>
  </cols>
  <sheetData>
    <row r="1" spans="1:262" s="2171" customFormat="1" ht="81" customHeight="1" outlineLevel="1">
      <c r="B1" s="2171" t="s">
        <v>4765</v>
      </c>
      <c r="C1" s="1624"/>
      <c r="D1" s="2171" t="str">
        <f>IF(D9&lt;&gt;0,D9,D8)</f>
        <v>Cộng dồn ACXV50+AC50</v>
      </c>
      <c r="E1" s="1624" t="str">
        <f t="shared" ref="E1:BQ1" si="0">IF(E9&lt;&gt;0,E9,E8)</f>
        <v>Khoảng néo</v>
      </c>
      <c r="F1" s="1624" t="str">
        <f t="shared" si="0"/>
        <v>Hướng</v>
      </c>
      <c r="G1" s="1624" t="str">
        <f t="shared" si="0"/>
        <v>Góc</v>
      </c>
      <c r="H1" s="2171" t="str">
        <f t="shared" si="0"/>
        <v>Hình thức trụ</v>
      </c>
      <c r="I1" s="1624" t="str">
        <f t="shared" si="0"/>
        <v>BTLT 10.5</v>
      </c>
      <c r="J1" s="2171" t="str">
        <f t="shared" si="0"/>
        <v>BTLT 12 HH</v>
      </c>
      <c r="K1" s="1624" t="str">
        <f t="shared" si="0"/>
        <v>BTLT 12 TĐ</v>
      </c>
      <c r="L1" s="2171" t="str">
        <f t="shared" si="0"/>
        <v>BTLT 12</v>
      </c>
      <c r="M1" s="1624" t="str">
        <f t="shared" si="0"/>
        <v>BTLT 14</v>
      </c>
      <c r="N1" s="1624" t="str">
        <f t="shared" si="0"/>
        <v>M10a</v>
      </c>
      <c r="O1" s="1624" t="str">
        <f t="shared" si="0"/>
        <v>M10b</v>
      </c>
      <c r="P1" s="1624" t="str">
        <f t="shared" si="0"/>
        <v>M10aa</v>
      </c>
      <c r="Q1" s="1624" t="str">
        <f t="shared" si="0"/>
        <v>M10ba</v>
      </c>
      <c r="R1" s="1624" t="str">
        <f t="shared" si="0"/>
        <v>M10bb</v>
      </c>
      <c r="S1" s="2171" t="str">
        <f t="shared" si="0"/>
        <v>M12</v>
      </c>
      <c r="T1" s="1624" t="str">
        <f t="shared" si="0"/>
        <v>M10-2b</v>
      </c>
      <c r="U1" s="1624" t="str">
        <f t="shared" si="0"/>
        <v>M12a</v>
      </c>
      <c r="V1" s="1624" t="str">
        <f t="shared" si="0"/>
        <v>M12BT ĐƠN</v>
      </c>
      <c r="W1" s="2171" t="str">
        <f t="shared" si="0"/>
        <v>M12BT ĐÔI</v>
      </c>
      <c r="X1" s="1624" t="str">
        <f t="shared" si="0"/>
        <v>M12b</v>
      </c>
      <c r="Y1" s="1624" t="str">
        <f t="shared" si="0"/>
        <v>M12aa</v>
      </c>
      <c r="Z1" s="1624" t="str">
        <f t="shared" si="0"/>
        <v>M12ba</v>
      </c>
      <c r="AA1" s="1624" t="str">
        <f t="shared" si="0"/>
        <v>M12bb</v>
      </c>
      <c r="AB1" s="1624" t="str">
        <f t="shared" si="0"/>
        <v>M12-2a</v>
      </c>
      <c r="AC1" s="1624" t="str">
        <f t="shared" si="0"/>
        <v>M12-2b</v>
      </c>
      <c r="AD1" s="1624" t="str">
        <f t="shared" si="0"/>
        <v>M14a</v>
      </c>
      <c r="AE1" s="1624" t="str">
        <f t="shared" si="0"/>
        <v>M14b</v>
      </c>
      <c r="AF1" s="1624" t="str">
        <f t="shared" si="0"/>
        <v>M14aa</v>
      </c>
      <c r="AG1" s="1624" t="str">
        <f t="shared" si="0"/>
        <v>M14ba</v>
      </c>
      <c r="AH1" s="1624" t="str">
        <f t="shared" si="0"/>
        <v>M14bb</v>
      </c>
      <c r="AI1" s="1624" t="str">
        <f t="shared" si="0"/>
        <v>M14-2a</v>
      </c>
      <c r="AJ1" s="1624" t="str">
        <f t="shared" si="0"/>
        <v>M14-2b</v>
      </c>
      <c r="AK1" s="1624" t="str">
        <f t="shared" si="0"/>
        <v>CX10-B</v>
      </c>
      <c r="AL1" s="1624" t="str">
        <f t="shared" si="0"/>
        <v>CL10-B</v>
      </c>
      <c r="AM1" s="1624" t="str">
        <f t="shared" si="0"/>
        <v>CXX10-B</v>
      </c>
      <c r="AN1" s="2171" t="str">
        <f t="shared" si="0"/>
        <v>CX12-B</v>
      </c>
      <c r="AO1" s="2171" t="str">
        <f t="shared" si="0"/>
        <v>CL12-B</v>
      </c>
      <c r="AP1" s="1624" t="str">
        <f t="shared" si="0"/>
        <v>CXX12-B</v>
      </c>
      <c r="AQ1" s="1624" t="str">
        <f t="shared" si="0"/>
        <v>CX14-B</v>
      </c>
      <c r="AR1" s="1624" t="str">
        <f t="shared" si="0"/>
        <v>CL14-B</v>
      </c>
      <c r="AS1" s="1624" t="str">
        <f t="shared" si="0"/>
        <v>CXX14-B</v>
      </c>
      <c r="AT1" s="1624" t="str">
        <f t="shared" si="0"/>
        <v>CK-B</v>
      </c>
      <c r="AU1" s="1624" t="str">
        <f t="shared" si="0"/>
        <v>CKK-B</v>
      </c>
      <c r="AV1" s="1624" t="str">
        <f t="shared" si="0"/>
        <v>Khoảng cách</v>
      </c>
      <c r="AW1" s="2171" t="str">
        <f t="shared" si="0"/>
        <v>NXX</v>
      </c>
      <c r="AX1" s="2171" t="str">
        <f t="shared" si="0"/>
        <v>NXL</v>
      </c>
      <c r="AY1" s="1624" t="str">
        <f t="shared" si="0"/>
        <v xml:space="preserve">MNX12-2 </v>
      </c>
      <c r="AZ1" s="1624" t="str">
        <f t="shared" si="0"/>
        <v>MNL12-2</v>
      </c>
      <c r="BA1" s="1624" t="str">
        <f t="shared" si="0"/>
        <v xml:space="preserve">MNX12-4 </v>
      </c>
      <c r="BB1" s="1624" t="str">
        <f t="shared" si="0"/>
        <v xml:space="preserve">MNL12-4 </v>
      </c>
      <c r="BC1" s="1624" t="str">
        <f t="shared" si="0"/>
        <v>Tiếp địa lặp lại (trụ 10.5m)</v>
      </c>
      <c r="BD1" s="2171" t="s">
        <v>1642</v>
      </c>
      <c r="BE1" s="1624" t="str">
        <f t="shared" si="0"/>
        <v>Tiếp địa lặp lại (trụ 14m)</v>
      </c>
      <c r="BF1" s="1624" t="str">
        <f t="shared" si="0"/>
        <v>X-20Đ</v>
      </c>
      <c r="BG1" s="1624" t="str">
        <f t="shared" si="0"/>
        <v>X-20K</v>
      </c>
      <c r="BH1" s="1624" t="str">
        <f t="shared" si="0"/>
        <v>X-24Đ</v>
      </c>
      <c r="BI1" s="1624" t="str">
        <f t="shared" si="0"/>
        <v>X-24K</v>
      </c>
      <c r="BJ1" s="1624" t="str">
        <f t="shared" si="0"/>
        <v>X-20ĐL2/3</v>
      </c>
      <c r="BK1" s="1624" t="str">
        <f t="shared" si="0"/>
        <v>X-20KL2/3</v>
      </c>
      <c r="BL1" s="1624" t="str">
        <f t="shared" si="0"/>
        <v>X-8ĐL</v>
      </c>
      <c r="BM1" s="2061" t="s">
        <v>4750</v>
      </c>
      <c r="BN1" s="1624" t="str">
        <f t="shared" si="0"/>
        <v>X-8KL</v>
      </c>
      <c r="BO1" s="2171" t="str">
        <f t="shared" si="0"/>
        <v>Bộ sứ đỉnh đỡ thẳng SĐI</v>
      </c>
      <c r="BP1" s="2171" t="str">
        <f t="shared" si="0"/>
        <v>Bộ sứ đỉnh đỡ góc SĐG</v>
      </c>
      <c r="BQ1" s="1624" t="str">
        <f t="shared" si="0"/>
        <v>Bộ sứ đỉnh đỡ thẳng SĐI sử dụng lại</v>
      </c>
      <c r="BR1" s="1624" t="str">
        <f t="shared" ref="BR1:CX1" si="1">IF(BR9&lt;&gt;0,BR9,BR8)</f>
        <v>Bộ sứ đỉnh đỡ góc SĐG sử dụng lại</v>
      </c>
      <c r="BS1" s="1624" t="str">
        <f t="shared" si="1"/>
        <v>Bộ sứ đứng SĐU</v>
      </c>
      <c r="BT1" s="1624" t="str">
        <f t="shared" si="1"/>
        <v>Chuỗi sứ treo polyme bắt vào xà</v>
      </c>
      <c r="BU1" s="2171" t="str">
        <f t="shared" si="1"/>
        <v>Chuỗi sứ treo polyme bắt vào trụ</v>
      </c>
      <c r="BV1" s="2171" t="str">
        <f t="shared" si="1"/>
        <v xml:space="preserve"> Chuỗi treo 2 bát lắp vào trụ</v>
      </c>
      <c r="BW1" s="2171" t="str">
        <f t="shared" si="1"/>
        <v xml:space="preserve"> Chuỗi đỡ 2 bát lắp vào trụ - CĐT</v>
      </c>
      <c r="BX1" s="2171" t="str">
        <f t="shared" si="1"/>
        <v>Bộ đỡ dây T.H : Đth-U</v>
      </c>
      <c r="BY1" s="2171" t="str">
        <f t="shared" si="1"/>
        <v>Bộ néo dây T.H : Nth-U</v>
      </c>
      <c r="BZ1" s="2171" t="str">
        <f t="shared" si="1"/>
        <v>Bộ khóa néo TH : Nth-T</v>
      </c>
      <c r="CA1" s="2171" t="s">
        <v>1484</v>
      </c>
      <c r="CB1" s="2171" t="s">
        <v>1482</v>
      </c>
      <c r="CC1" s="2171" t="str">
        <f t="shared" si="1"/>
        <v>Kẹp ép WR cỡ dây 50mm2</v>
      </c>
      <c r="CD1" s="2171" t="str">
        <f t="shared" si="1"/>
        <v>Kẹp ép WR cỡ dây 70mm2</v>
      </c>
      <c r="CE1" s="2171" t="str">
        <f t="shared" si="1"/>
        <v>Kẹp ép WR cỡ dây 95mm2</v>
      </c>
      <c r="CF1" s="2171" t="str">
        <f t="shared" si="1"/>
        <v>Kẹp ép WR cỡ dây 120mm2</v>
      </c>
      <c r="CG1" s="2171" t="str">
        <f t="shared" si="1"/>
        <v>Kẹp ép WR cỡ dây 150mm2</v>
      </c>
      <c r="CH1" s="2171" t="str">
        <f t="shared" si="1"/>
        <v>Kẹp ép WR cỡ dây 185mm2</v>
      </c>
      <c r="CI1" s="2171" t="str">
        <f t="shared" si="1"/>
        <v>Kẹp ép WR cỡ dây 240mm2</v>
      </c>
      <c r="CJ1" s="2171" t="str">
        <f t="shared" si="1"/>
        <v>Đầu cốt ép cỡ dây 70mm2</v>
      </c>
      <c r="CK1" s="2171" t="str">
        <f t="shared" si="1"/>
        <v>Đầu cốt ép cỡ dây 95mm2</v>
      </c>
      <c r="CL1" s="2171" t="str">
        <f t="shared" si="1"/>
        <v>Đầu cốt ép cỡ dây 120mm2</v>
      </c>
      <c r="CM1" s="2171" t="str">
        <f t="shared" si="1"/>
        <v>Đầu cốt ép cỡ dây 150mm2</v>
      </c>
      <c r="CN1" s="2171" t="str">
        <f t="shared" si="1"/>
        <v>Đầu cốt ép cỡ dây 185mm2</v>
      </c>
      <c r="CO1" s="2171" t="str">
        <f t="shared" si="1"/>
        <v>Đầu cốt ép cỡ dây 240mm2</v>
      </c>
      <c r="CP1" s="2171" t="str">
        <f t="shared" si="1"/>
        <v>Dây buộc đầu sứ</v>
      </c>
      <c r="CQ1" s="2171" t="str">
        <f t="shared" si="1"/>
        <v>Giá T lắp FCO sử dụng lại</v>
      </c>
      <c r="CR1" s="2171" t="s">
        <v>1657</v>
      </c>
      <c r="CS1" s="2171" t="s">
        <v>382</v>
      </c>
      <c r="CT1" s="2171" t="str">
        <f t="shared" si="1"/>
        <v>chi8K</v>
      </c>
      <c r="CU1" s="2171" t="str">
        <f t="shared" si="1"/>
        <v>chi10K</v>
      </c>
      <c r="CV1" s="2171" t="str">
        <f t="shared" si="1"/>
        <v>chi12K</v>
      </c>
      <c r="CW1" s="2171" t="str">
        <f t="shared" si="1"/>
        <v>Vị trí vượt đường</v>
      </c>
      <c r="CX1" s="2171" t="str">
        <f t="shared" si="1"/>
        <v>GHI CHÚ</v>
      </c>
      <c r="CY1" s="2172" t="s">
        <v>382</v>
      </c>
    </row>
    <row r="2" spans="1:262" ht="18.95" customHeight="1" outlineLevel="1">
      <c r="A2" s="1624" t="s">
        <v>4408</v>
      </c>
      <c r="C2" s="2000">
        <f>SUM(C11:C93)</f>
        <v>0</v>
      </c>
      <c r="D2" s="2000">
        <f t="shared" ref="D2:BP2" si="2">SUM(D11:D93)</f>
        <v>0</v>
      </c>
      <c r="E2" s="2000">
        <f t="shared" si="2"/>
        <v>0</v>
      </c>
      <c r="F2" s="2000">
        <f t="shared" si="2"/>
        <v>0</v>
      </c>
      <c r="G2" s="2000">
        <f t="shared" si="2"/>
        <v>0</v>
      </c>
      <c r="H2" s="2000">
        <f t="shared" si="2"/>
        <v>0</v>
      </c>
      <c r="I2" s="2000">
        <f t="shared" si="2"/>
        <v>0</v>
      </c>
      <c r="J2" s="2000">
        <f t="shared" si="2"/>
        <v>0</v>
      </c>
      <c r="K2" s="2000">
        <f t="shared" si="2"/>
        <v>0</v>
      </c>
      <c r="L2" s="2000">
        <f t="shared" si="2"/>
        <v>0</v>
      </c>
      <c r="M2" s="2000">
        <f t="shared" si="2"/>
        <v>0</v>
      </c>
      <c r="N2" s="2000">
        <f t="shared" si="2"/>
        <v>0</v>
      </c>
      <c r="O2" s="2000">
        <f t="shared" si="2"/>
        <v>0</v>
      </c>
      <c r="P2" s="2000">
        <f t="shared" si="2"/>
        <v>0</v>
      </c>
      <c r="Q2" s="2000">
        <f t="shared" si="2"/>
        <v>0</v>
      </c>
      <c r="R2" s="2000">
        <f t="shared" si="2"/>
        <v>0</v>
      </c>
      <c r="S2" s="2000">
        <f t="shared" si="2"/>
        <v>0</v>
      </c>
      <c r="T2" s="2000">
        <f t="shared" si="2"/>
        <v>0</v>
      </c>
      <c r="U2" s="2000">
        <f t="shared" si="2"/>
        <v>0</v>
      </c>
      <c r="V2" s="2000">
        <f t="shared" si="2"/>
        <v>0</v>
      </c>
      <c r="W2" s="2000">
        <f t="shared" si="2"/>
        <v>0</v>
      </c>
      <c r="X2" s="2000">
        <f t="shared" si="2"/>
        <v>0</v>
      </c>
      <c r="Y2" s="2000">
        <f t="shared" si="2"/>
        <v>0</v>
      </c>
      <c r="Z2" s="2000">
        <f t="shared" si="2"/>
        <v>0</v>
      </c>
      <c r="AA2" s="2000">
        <f t="shared" si="2"/>
        <v>0</v>
      </c>
      <c r="AB2" s="2000">
        <f t="shared" si="2"/>
        <v>0</v>
      </c>
      <c r="AC2" s="2000">
        <f t="shared" si="2"/>
        <v>0</v>
      </c>
      <c r="AD2" s="2000">
        <f t="shared" si="2"/>
        <v>0</v>
      </c>
      <c r="AE2" s="2000">
        <f t="shared" si="2"/>
        <v>0</v>
      </c>
      <c r="AF2" s="2000">
        <f t="shared" si="2"/>
        <v>0</v>
      </c>
      <c r="AG2" s="2000">
        <f t="shared" si="2"/>
        <v>0</v>
      </c>
      <c r="AH2" s="2000">
        <f t="shared" si="2"/>
        <v>0</v>
      </c>
      <c r="AI2" s="2000">
        <f t="shared" si="2"/>
        <v>0</v>
      </c>
      <c r="AJ2" s="2000">
        <f t="shared" si="2"/>
        <v>0</v>
      </c>
      <c r="AK2" s="2000">
        <f t="shared" si="2"/>
        <v>0</v>
      </c>
      <c r="AL2" s="2000">
        <f t="shared" si="2"/>
        <v>0</v>
      </c>
      <c r="AM2" s="2000">
        <f t="shared" si="2"/>
        <v>0</v>
      </c>
      <c r="AN2" s="2000">
        <f t="shared" si="2"/>
        <v>0</v>
      </c>
      <c r="AO2" s="2000">
        <f t="shared" si="2"/>
        <v>0</v>
      </c>
      <c r="AP2" s="2000">
        <f t="shared" si="2"/>
        <v>0</v>
      </c>
      <c r="AQ2" s="2000">
        <f t="shared" si="2"/>
        <v>0</v>
      </c>
      <c r="AR2" s="2000">
        <f t="shared" si="2"/>
        <v>0</v>
      </c>
      <c r="AS2" s="2000">
        <f t="shared" si="2"/>
        <v>0</v>
      </c>
      <c r="AT2" s="2000">
        <f t="shared" si="2"/>
        <v>0</v>
      </c>
      <c r="AU2" s="2000">
        <f t="shared" si="2"/>
        <v>0</v>
      </c>
      <c r="AV2" s="2000">
        <f t="shared" si="2"/>
        <v>0</v>
      </c>
      <c r="AW2" s="2000">
        <f t="shared" si="2"/>
        <v>0</v>
      </c>
      <c r="AX2" s="2000">
        <f t="shared" si="2"/>
        <v>0</v>
      </c>
      <c r="AY2" s="2000">
        <f t="shared" si="2"/>
        <v>0</v>
      </c>
      <c r="AZ2" s="2000">
        <f t="shared" si="2"/>
        <v>0</v>
      </c>
      <c r="BA2" s="2000">
        <f t="shared" si="2"/>
        <v>0</v>
      </c>
      <c r="BB2" s="2000">
        <f t="shared" si="2"/>
        <v>0</v>
      </c>
      <c r="BC2" s="2000">
        <f t="shared" si="2"/>
        <v>0</v>
      </c>
      <c r="BD2" s="2000">
        <f t="shared" si="2"/>
        <v>0</v>
      </c>
      <c r="BE2" s="2000">
        <f t="shared" si="2"/>
        <v>0</v>
      </c>
      <c r="BF2" s="2000">
        <f t="shared" si="2"/>
        <v>0</v>
      </c>
      <c r="BG2" s="2000">
        <f t="shared" si="2"/>
        <v>0</v>
      </c>
      <c r="BH2" s="2000">
        <f t="shared" si="2"/>
        <v>0</v>
      </c>
      <c r="BI2" s="2000">
        <f t="shared" si="2"/>
        <v>0</v>
      </c>
      <c r="BJ2" s="2000">
        <f t="shared" si="2"/>
        <v>0</v>
      </c>
      <c r="BK2" s="2000">
        <f t="shared" si="2"/>
        <v>0</v>
      </c>
      <c r="BL2" s="2000">
        <f t="shared" si="2"/>
        <v>0</v>
      </c>
      <c r="BM2" s="2000">
        <f t="shared" si="2"/>
        <v>0</v>
      </c>
      <c r="BN2" s="2000">
        <f t="shared" si="2"/>
        <v>0</v>
      </c>
      <c r="BO2" s="2000">
        <f t="shared" si="2"/>
        <v>0</v>
      </c>
      <c r="BP2" s="2000">
        <f t="shared" si="2"/>
        <v>0</v>
      </c>
      <c r="BQ2" s="2000">
        <f t="shared" ref="BQ2:CX2" si="3">SUM(BQ11:BQ93)</f>
        <v>0</v>
      </c>
      <c r="BR2" s="2000">
        <f t="shared" si="3"/>
        <v>0</v>
      </c>
      <c r="BS2" s="2000">
        <f t="shared" si="3"/>
        <v>0</v>
      </c>
      <c r="BT2" s="2000">
        <f t="shared" si="3"/>
        <v>0</v>
      </c>
      <c r="BU2" s="2000">
        <f t="shared" si="3"/>
        <v>0</v>
      </c>
      <c r="BV2" s="2000">
        <f t="shared" si="3"/>
        <v>0</v>
      </c>
      <c r="BW2" s="2000">
        <f t="shared" si="3"/>
        <v>0</v>
      </c>
      <c r="BX2" s="2000">
        <f t="shared" si="3"/>
        <v>0</v>
      </c>
      <c r="BY2" s="2000">
        <f t="shared" si="3"/>
        <v>0</v>
      </c>
      <c r="BZ2" s="2000">
        <f t="shared" si="3"/>
        <v>0</v>
      </c>
      <c r="CA2" s="2000">
        <f t="shared" si="3"/>
        <v>0</v>
      </c>
      <c r="CB2" s="2000">
        <f t="shared" ref="CB2:CF2" si="4">SUM(CB11:CB93)</f>
        <v>0</v>
      </c>
      <c r="CC2" s="2000">
        <f t="shared" si="4"/>
        <v>0</v>
      </c>
      <c r="CD2" s="2000">
        <f t="shared" si="4"/>
        <v>0</v>
      </c>
      <c r="CE2" s="2000">
        <f t="shared" si="4"/>
        <v>0</v>
      </c>
      <c r="CF2" s="2000">
        <f t="shared" si="4"/>
        <v>0</v>
      </c>
      <c r="CG2" s="2000">
        <f t="shared" si="3"/>
        <v>0</v>
      </c>
      <c r="CH2" s="2000">
        <f t="shared" si="3"/>
        <v>0</v>
      </c>
      <c r="CI2" s="2000">
        <f t="shared" si="3"/>
        <v>0</v>
      </c>
      <c r="CJ2" s="2000">
        <f t="shared" si="3"/>
        <v>0</v>
      </c>
      <c r="CK2" s="2000">
        <f t="shared" si="3"/>
        <v>0</v>
      </c>
      <c r="CL2" s="2000">
        <f t="shared" si="3"/>
        <v>0</v>
      </c>
      <c r="CM2" s="2000">
        <f t="shared" si="3"/>
        <v>0</v>
      </c>
      <c r="CN2" s="2000">
        <f t="shared" si="3"/>
        <v>0</v>
      </c>
      <c r="CO2" s="2000">
        <f t="shared" si="3"/>
        <v>0</v>
      </c>
      <c r="CP2" s="2000">
        <f t="shared" si="3"/>
        <v>0</v>
      </c>
      <c r="CQ2" s="2000">
        <f t="shared" si="3"/>
        <v>0</v>
      </c>
      <c r="CR2" s="2000">
        <f t="shared" si="3"/>
        <v>0</v>
      </c>
      <c r="CS2" s="2000">
        <f t="shared" si="3"/>
        <v>0</v>
      </c>
      <c r="CT2" s="2000">
        <f t="shared" si="3"/>
        <v>0</v>
      </c>
      <c r="CU2" s="2000">
        <f t="shared" si="3"/>
        <v>0</v>
      </c>
      <c r="CV2" s="2000">
        <f t="shared" si="3"/>
        <v>0</v>
      </c>
      <c r="CW2" s="2000">
        <f t="shared" si="3"/>
        <v>0</v>
      </c>
      <c r="CX2" s="2000">
        <f t="shared" si="3"/>
        <v>0</v>
      </c>
    </row>
    <row r="3" spans="1:262" ht="18.95" customHeight="1" outlineLevel="1">
      <c r="A3" s="1624" t="s">
        <v>4200</v>
      </c>
      <c r="B3" s="2000">
        <f>SUM(B11:B93)</f>
        <v>0</v>
      </c>
      <c r="C3" s="1624">
        <v>0</v>
      </c>
      <c r="D3" s="2000">
        <f>SUM(D11:D93)</f>
        <v>0</v>
      </c>
      <c r="E3" s="2000">
        <f t="shared" ref="E3:BP3" si="5">SUM(E11:E93)</f>
        <v>0</v>
      </c>
      <c r="F3" s="2000">
        <f t="shared" si="5"/>
        <v>0</v>
      </c>
      <c r="G3" s="2000">
        <f t="shared" si="5"/>
        <v>0</v>
      </c>
      <c r="H3" s="2000">
        <f t="shared" si="5"/>
        <v>0</v>
      </c>
      <c r="I3" s="2000">
        <f t="shared" si="5"/>
        <v>0</v>
      </c>
      <c r="J3" s="2000">
        <f t="shared" si="5"/>
        <v>0</v>
      </c>
      <c r="K3" s="2000">
        <f t="shared" si="5"/>
        <v>0</v>
      </c>
      <c r="L3" s="2000">
        <f t="shared" si="5"/>
        <v>0</v>
      </c>
      <c r="M3" s="2000">
        <f t="shared" si="5"/>
        <v>0</v>
      </c>
      <c r="N3" s="2000">
        <f t="shared" si="5"/>
        <v>0</v>
      </c>
      <c r="O3" s="2000">
        <f t="shared" si="5"/>
        <v>0</v>
      </c>
      <c r="P3" s="2000">
        <f t="shared" si="5"/>
        <v>0</v>
      </c>
      <c r="Q3" s="2000">
        <f t="shared" si="5"/>
        <v>0</v>
      </c>
      <c r="R3" s="2000">
        <f t="shared" si="5"/>
        <v>0</v>
      </c>
      <c r="S3" s="2000">
        <f t="shared" si="5"/>
        <v>0</v>
      </c>
      <c r="T3" s="2000">
        <f t="shared" si="5"/>
        <v>0</v>
      </c>
      <c r="U3" s="2000">
        <f t="shared" si="5"/>
        <v>0</v>
      </c>
      <c r="V3" s="2000">
        <f t="shared" si="5"/>
        <v>0</v>
      </c>
      <c r="W3" s="2000">
        <f t="shared" si="5"/>
        <v>0</v>
      </c>
      <c r="X3" s="2000">
        <f t="shared" si="5"/>
        <v>0</v>
      </c>
      <c r="Y3" s="2000">
        <f t="shared" si="5"/>
        <v>0</v>
      </c>
      <c r="Z3" s="2000">
        <f t="shared" si="5"/>
        <v>0</v>
      </c>
      <c r="AA3" s="2000">
        <f t="shared" si="5"/>
        <v>0</v>
      </c>
      <c r="AB3" s="2000">
        <f t="shared" si="5"/>
        <v>0</v>
      </c>
      <c r="AC3" s="2000">
        <f t="shared" si="5"/>
        <v>0</v>
      </c>
      <c r="AD3" s="2000">
        <f t="shared" si="5"/>
        <v>0</v>
      </c>
      <c r="AE3" s="2000">
        <f t="shared" si="5"/>
        <v>0</v>
      </c>
      <c r="AF3" s="2000">
        <f t="shared" si="5"/>
        <v>0</v>
      </c>
      <c r="AG3" s="2000">
        <f t="shared" si="5"/>
        <v>0</v>
      </c>
      <c r="AH3" s="2000">
        <f t="shared" si="5"/>
        <v>0</v>
      </c>
      <c r="AI3" s="2000">
        <f t="shared" si="5"/>
        <v>0</v>
      </c>
      <c r="AJ3" s="2000">
        <f t="shared" si="5"/>
        <v>0</v>
      </c>
      <c r="AK3" s="2000">
        <f t="shared" si="5"/>
        <v>0</v>
      </c>
      <c r="AL3" s="2000">
        <f t="shared" si="5"/>
        <v>0</v>
      </c>
      <c r="AM3" s="2000">
        <f t="shared" si="5"/>
        <v>0</v>
      </c>
      <c r="AN3" s="2000">
        <f t="shared" si="5"/>
        <v>0</v>
      </c>
      <c r="AO3" s="2000">
        <f t="shared" si="5"/>
        <v>0</v>
      </c>
      <c r="AP3" s="2000">
        <f t="shared" si="5"/>
        <v>0</v>
      </c>
      <c r="AQ3" s="2000">
        <f t="shared" si="5"/>
        <v>0</v>
      </c>
      <c r="AR3" s="2000">
        <f t="shared" si="5"/>
        <v>0</v>
      </c>
      <c r="AS3" s="2000">
        <f t="shared" si="5"/>
        <v>0</v>
      </c>
      <c r="AT3" s="2000">
        <f t="shared" si="5"/>
        <v>0</v>
      </c>
      <c r="AU3" s="2000">
        <f t="shared" si="5"/>
        <v>0</v>
      </c>
      <c r="AV3" s="2000">
        <f t="shared" si="5"/>
        <v>0</v>
      </c>
      <c r="AW3" s="2000">
        <f t="shared" si="5"/>
        <v>0</v>
      </c>
      <c r="AX3" s="2000">
        <f t="shared" si="5"/>
        <v>0</v>
      </c>
      <c r="AY3" s="2000">
        <f t="shared" si="5"/>
        <v>0</v>
      </c>
      <c r="AZ3" s="2000">
        <f t="shared" si="5"/>
        <v>0</v>
      </c>
      <c r="BA3" s="2000">
        <f t="shared" si="5"/>
        <v>0</v>
      </c>
      <c r="BB3" s="2000">
        <f t="shared" si="5"/>
        <v>0</v>
      </c>
      <c r="BC3" s="2000">
        <f t="shared" si="5"/>
        <v>0</v>
      </c>
      <c r="BD3" s="2000">
        <f t="shared" si="5"/>
        <v>0</v>
      </c>
      <c r="BE3" s="2000">
        <f t="shared" si="5"/>
        <v>0</v>
      </c>
      <c r="BF3" s="2000">
        <f t="shared" si="5"/>
        <v>0</v>
      </c>
      <c r="BG3" s="2000">
        <f t="shared" si="5"/>
        <v>0</v>
      </c>
      <c r="BH3" s="2000">
        <f t="shared" si="5"/>
        <v>0</v>
      </c>
      <c r="BI3" s="2000">
        <f t="shared" si="5"/>
        <v>0</v>
      </c>
      <c r="BJ3" s="2000">
        <f t="shared" si="5"/>
        <v>0</v>
      </c>
      <c r="BK3" s="2000">
        <f t="shared" si="5"/>
        <v>0</v>
      </c>
      <c r="BL3" s="2000">
        <f t="shared" si="5"/>
        <v>0</v>
      </c>
      <c r="BM3" s="2000">
        <f t="shared" si="5"/>
        <v>0</v>
      </c>
      <c r="BN3" s="2000">
        <f t="shared" si="5"/>
        <v>0</v>
      </c>
      <c r="BO3" s="2000">
        <f t="shared" si="5"/>
        <v>0</v>
      </c>
      <c r="BP3" s="2000">
        <f t="shared" si="5"/>
        <v>0</v>
      </c>
      <c r="BQ3" s="2000">
        <f t="shared" ref="BQ3:CX3" si="6">SUM(BQ11:BQ93)</f>
        <v>0</v>
      </c>
      <c r="BR3" s="2000">
        <f t="shared" si="6"/>
        <v>0</v>
      </c>
      <c r="BS3" s="2000">
        <f t="shared" si="6"/>
        <v>0</v>
      </c>
      <c r="BT3" s="2000">
        <f t="shared" si="6"/>
        <v>0</v>
      </c>
      <c r="BU3" s="2000">
        <f t="shared" si="6"/>
        <v>0</v>
      </c>
      <c r="BV3" s="2000">
        <f t="shared" si="6"/>
        <v>0</v>
      </c>
      <c r="BW3" s="2000">
        <f t="shared" si="6"/>
        <v>0</v>
      </c>
      <c r="BX3" s="2000">
        <f t="shared" si="6"/>
        <v>0</v>
      </c>
      <c r="BY3" s="2000">
        <f t="shared" si="6"/>
        <v>0</v>
      </c>
      <c r="BZ3" s="2000">
        <f t="shared" si="6"/>
        <v>0</v>
      </c>
      <c r="CA3" s="2000">
        <f t="shared" si="6"/>
        <v>0</v>
      </c>
      <c r="CB3" s="2000">
        <f t="shared" ref="CB3:CF3" si="7">SUM(CB11:CB93)</f>
        <v>0</v>
      </c>
      <c r="CC3" s="2000">
        <f t="shared" si="7"/>
        <v>0</v>
      </c>
      <c r="CD3" s="2000">
        <f t="shared" si="7"/>
        <v>0</v>
      </c>
      <c r="CE3" s="2000">
        <f t="shared" si="7"/>
        <v>0</v>
      </c>
      <c r="CF3" s="2000">
        <f t="shared" si="7"/>
        <v>0</v>
      </c>
      <c r="CG3" s="2000">
        <f t="shared" si="6"/>
        <v>0</v>
      </c>
      <c r="CH3" s="2000">
        <f t="shared" si="6"/>
        <v>0</v>
      </c>
      <c r="CI3" s="2000">
        <f t="shared" si="6"/>
        <v>0</v>
      </c>
      <c r="CJ3" s="2000">
        <f t="shared" si="6"/>
        <v>0</v>
      </c>
      <c r="CK3" s="2000">
        <f t="shared" si="6"/>
        <v>0</v>
      </c>
      <c r="CL3" s="2000">
        <f t="shared" si="6"/>
        <v>0</v>
      </c>
      <c r="CM3" s="2000">
        <f t="shared" si="6"/>
        <v>0</v>
      </c>
      <c r="CN3" s="2000">
        <f t="shared" si="6"/>
        <v>0</v>
      </c>
      <c r="CO3" s="2000">
        <f t="shared" si="6"/>
        <v>0</v>
      </c>
      <c r="CP3" s="2000">
        <f t="shared" si="6"/>
        <v>0</v>
      </c>
      <c r="CQ3" s="2000">
        <f t="shared" si="6"/>
        <v>0</v>
      </c>
      <c r="CR3" s="2000">
        <f t="shared" si="6"/>
        <v>0</v>
      </c>
      <c r="CS3" s="2000">
        <f t="shared" si="6"/>
        <v>0</v>
      </c>
      <c r="CT3" s="2000">
        <f t="shared" si="6"/>
        <v>0</v>
      </c>
      <c r="CU3" s="2000">
        <f t="shared" si="6"/>
        <v>0</v>
      </c>
      <c r="CV3" s="2000">
        <f t="shared" si="6"/>
        <v>0</v>
      </c>
      <c r="CW3" s="2000">
        <f t="shared" si="6"/>
        <v>0</v>
      </c>
      <c r="CX3" s="2000">
        <f t="shared" si="6"/>
        <v>0</v>
      </c>
    </row>
    <row r="4" spans="1:262" s="1664" customFormat="1" ht="15" outlineLevel="1">
      <c r="E4" s="1624"/>
      <c r="F4" s="1624"/>
      <c r="G4" s="1624"/>
      <c r="I4" s="1624"/>
      <c r="J4" s="1624"/>
      <c r="K4" s="1624"/>
      <c r="M4" s="1624"/>
      <c r="N4" s="1624"/>
      <c r="O4" s="1624"/>
      <c r="P4" s="1624"/>
      <c r="Q4" s="1624"/>
      <c r="R4" s="1624"/>
      <c r="S4" s="1624"/>
      <c r="T4" s="1624"/>
      <c r="U4" s="1624"/>
      <c r="W4" s="1624"/>
      <c r="X4" s="1624"/>
      <c r="Y4" s="1624"/>
      <c r="Z4" s="1624"/>
      <c r="AA4" s="1624"/>
      <c r="AB4" s="1624"/>
      <c r="AC4" s="1624"/>
      <c r="AD4" s="1624"/>
      <c r="AE4" s="1624"/>
      <c r="AF4" s="1624"/>
      <c r="AG4" s="1624"/>
      <c r="AH4" s="1624"/>
      <c r="AI4" s="1624"/>
      <c r="AJ4" s="1624"/>
      <c r="AK4" s="1624"/>
      <c r="AL4" s="1624"/>
      <c r="AM4" s="1624"/>
      <c r="AP4" s="1624"/>
      <c r="AQ4" s="1624"/>
      <c r="AR4" s="1624"/>
      <c r="AS4" s="1624"/>
      <c r="AT4" s="1624"/>
      <c r="AU4" s="1624"/>
      <c r="AV4" s="1624"/>
      <c r="AY4" s="1624"/>
      <c r="AZ4" s="1624"/>
      <c r="BA4" s="1624"/>
      <c r="BB4" s="1624"/>
      <c r="BC4" s="1624"/>
      <c r="BD4" s="1624"/>
      <c r="BE4" s="1624"/>
      <c r="BF4" s="1624"/>
      <c r="BG4" s="1624"/>
      <c r="BH4" s="1624"/>
      <c r="BI4" s="1624"/>
      <c r="BJ4" s="1624"/>
      <c r="BK4" s="1624"/>
      <c r="BL4" s="1624"/>
      <c r="BM4" s="1624"/>
      <c r="BN4" s="1624"/>
      <c r="BO4" s="1624"/>
      <c r="BP4" s="1624"/>
      <c r="BQ4" s="1624"/>
      <c r="BR4" s="1624"/>
      <c r="BS4" s="1624"/>
      <c r="BT4" s="1624"/>
      <c r="BV4" s="1624"/>
      <c r="BW4" s="1624"/>
      <c r="BX4" s="1624"/>
      <c r="BY4" s="1624"/>
      <c r="CG4" s="1624"/>
      <c r="CH4" s="1624"/>
      <c r="CI4" s="1624"/>
      <c r="CJ4" s="1624"/>
      <c r="CK4" s="1624"/>
      <c r="CL4" s="1624"/>
      <c r="CM4" s="1624"/>
      <c r="CN4" s="1624"/>
      <c r="CO4" s="1624"/>
      <c r="CQ4" s="1624"/>
      <c r="CW4" s="1624"/>
    </row>
    <row r="5" spans="1:262" s="1629" customFormat="1" ht="27" customHeight="1">
      <c r="A5" s="524" t="s">
        <v>3926</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28"/>
    </row>
    <row r="6" spans="1:262" s="1629" customFormat="1" ht="31.15" customHeight="1">
      <c r="A6" s="2562" t="str">
        <f>chitiet!E7</f>
        <v>Công trình: Đường dây trung thế &amp; TBA Suối Lá, ấp Gia Ui, xã Xuân Tâm</v>
      </c>
      <c r="B6" s="2562"/>
      <c r="C6" s="2562"/>
      <c r="D6" s="2562"/>
      <c r="E6" s="2562"/>
      <c r="F6" s="2562"/>
      <c r="G6" s="2562"/>
      <c r="H6" s="2562"/>
      <c r="I6" s="2562"/>
      <c r="J6" s="2562"/>
      <c r="K6" s="2562"/>
      <c r="L6" s="2562"/>
      <c r="M6" s="2562"/>
      <c r="N6" s="2562"/>
      <c r="O6" s="2562"/>
      <c r="P6" s="2562"/>
      <c r="Q6" s="2562"/>
      <c r="R6" s="2562"/>
      <c r="S6" s="2562"/>
      <c r="T6" s="2562"/>
      <c r="U6" s="2562"/>
      <c r="V6" s="2562"/>
      <c r="W6" s="2562"/>
      <c r="X6" s="2562"/>
      <c r="Y6" s="2562"/>
      <c r="Z6" s="2562"/>
      <c r="AA6" s="2562"/>
      <c r="AB6" s="2562"/>
      <c r="AC6" s="2562"/>
      <c r="AD6" s="2562"/>
      <c r="AE6" s="2562"/>
      <c r="AF6" s="2562"/>
      <c r="AG6" s="2562"/>
      <c r="AH6" s="2562"/>
      <c r="AI6" s="2562"/>
      <c r="AJ6" s="2562"/>
      <c r="AK6" s="2562"/>
      <c r="AL6" s="2562"/>
      <c r="AM6" s="2562"/>
      <c r="AN6" s="2562"/>
      <c r="AO6" s="2562"/>
      <c r="AP6" s="2562"/>
      <c r="AQ6" s="2562"/>
      <c r="AR6" s="2562"/>
      <c r="AS6" s="2562"/>
      <c r="AT6" s="2562"/>
      <c r="AU6" s="2562"/>
      <c r="AV6" s="2562"/>
      <c r="AW6" s="2562"/>
      <c r="AX6" s="2562"/>
      <c r="AY6" s="2562"/>
      <c r="AZ6" s="2562"/>
      <c r="BA6" s="2562"/>
      <c r="BB6" s="2562"/>
      <c r="BC6" s="2562"/>
      <c r="BD6" s="2562"/>
      <c r="BE6" s="2562"/>
      <c r="BF6" s="2562"/>
      <c r="BG6" s="2562"/>
      <c r="BH6" s="2562"/>
      <c r="BI6" s="2562"/>
      <c r="BJ6" s="2562"/>
      <c r="BK6" s="2562"/>
      <c r="BL6" s="2562"/>
      <c r="BM6" s="2562"/>
      <c r="BN6" s="2562"/>
      <c r="BO6" s="2562"/>
      <c r="BP6" s="2562"/>
      <c r="BQ6" s="2562"/>
      <c r="BR6" s="2562"/>
      <c r="BS6" s="2562"/>
      <c r="BT6" s="2562"/>
      <c r="BU6" s="2562"/>
      <c r="BV6" s="2562"/>
      <c r="BW6" s="2562"/>
      <c r="BX6" s="2562"/>
      <c r="BY6" s="2562"/>
      <c r="BZ6" s="2562"/>
      <c r="CA6" s="2562"/>
      <c r="CB6" s="2562"/>
      <c r="CC6" s="2562"/>
      <c r="CD6" s="2562"/>
      <c r="CE6" s="2562"/>
      <c r="CF6" s="2562"/>
      <c r="CG6" s="2562"/>
      <c r="CH6" s="2562"/>
      <c r="CI6" s="2562"/>
      <c r="CJ6" s="2562"/>
      <c r="CK6" s="2562"/>
      <c r="CL6" s="2562"/>
      <c r="CM6" s="2562"/>
      <c r="CN6" s="2562"/>
      <c r="CO6" s="2562"/>
      <c r="CP6" s="2562"/>
      <c r="CQ6" s="2562"/>
      <c r="CR6" s="2562"/>
      <c r="CS6" s="2562"/>
      <c r="CT6" s="2562"/>
      <c r="CU6" s="2562"/>
      <c r="CV6" s="2562"/>
      <c r="CW6" s="2562"/>
      <c r="CX6" s="2562"/>
    </row>
    <row r="7" spans="1:262" s="1629" customFormat="1" ht="31.15" customHeight="1" thickBot="1">
      <c r="A7" s="2562" t="str">
        <f>chitiet!E8</f>
        <v>Địa điểm: Xã Xuân Tâm - Huyện Xuân Lộc - TỉnhĐồngNai</v>
      </c>
      <c r="B7" s="2562"/>
      <c r="C7" s="2550"/>
      <c r="D7" s="2562"/>
      <c r="E7" s="2550"/>
      <c r="F7" s="2550"/>
      <c r="G7" s="2550"/>
      <c r="H7" s="2562"/>
      <c r="I7" s="2550"/>
      <c r="J7" s="2562"/>
      <c r="K7" s="2550"/>
      <c r="L7" s="2562"/>
      <c r="M7" s="2562"/>
      <c r="N7" s="2550"/>
      <c r="O7" s="2550"/>
      <c r="P7" s="2550"/>
      <c r="Q7" s="2550"/>
      <c r="R7" s="2550"/>
      <c r="S7" s="2562"/>
      <c r="T7" s="2550"/>
      <c r="U7" s="2550"/>
      <c r="V7" s="2550"/>
      <c r="W7" s="2562"/>
      <c r="X7" s="2550"/>
      <c r="Y7" s="2550"/>
      <c r="Z7" s="2550"/>
      <c r="AA7" s="2550"/>
      <c r="AB7" s="2550"/>
      <c r="AC7" s="2550"/>
      <c r="AD7" s="2550"/>
      <c r="AE7" s="2550"/>
      <c r="AF7" s="2550"/>
      <c r="AG7" s="2550"/>
      <c r="AH7" s="2550"/>
      <c r="AI7" s="2550"/>
      <c r="AJ7" s="2550"/>
      <c r="AK7" s="2550"/>
      <c r="AL7" s="2550"/>
      <c r="AM7" s="2550"/>
      <c r="AN7" s="2562"/>
      <c r="AO7" s="2562"/>
      <c r="AP7" s="2550"/>
      <c r="AQ7" s="2550"/>
      <c r="AR7" s="2550"/>
      <c r="AS7" s="2550"/>
      <c r="AT7" s="2550"/>
      <c r="AU7" s="2550"/>
      <c r="AV7" s="2550"/>
      <c r="AW7" s="2562"/>
      <c r="AX7" s="2562"/>
      <c r="AY7" s="2550"/>
      <c r="AZ7" s="2550"/>
      <c r="BA7" s="2550"/>
      <c r="BB7" s="2550"/>
      <c r="BC7" s="2550"/>
      <c r="BD7" s="2562"/>
      <c r="BE7" s="2550"/>
      <c r="BF7" s="2550"/>
      <c r="BG7" s="2550"/>
      <c r="BH7" s="2550"/>
      <c r="BI7" s="2550"/>
      <c r="BJ7" s="2550"/>
      <c r="BK7" s="2550"/>
      <c r="BL7" s="2550"/>
      <c r="BM7" s="2562"/>
      <c r="BN7" s="2550"/>
      <c r="BO7" s="2562"/>
      <c r="BP7" s="2562"/>
      <c r="BQ7" s="2550"/>
      <c r="BR7" s="2550"/>
      <c r="BS7" s="2550"/>
      <c r="BT7" s="2562"/>
      <c r="BU7" s="2562"/>
      <c r="BV7" s="2562"/>
      <c r="BW7" s="2562"/>
      <c r="BX7" s="2562"/>
      <c r="BY7" s="2550"/>
      <c r="BZ7" s="2562"/>
      <c r="CA7" s="2562"/>
      <c r="CB7" s="2562"/>
      <c r="CC7" s="2562"/>
      <c r="CD7" s="2550"/>
      <c r="CE7" s="2550"/>
      <c r="CF7" s="2550"/>
      <c r="CG7" s="2550"/>
      <c r="CH7" s="2550"/>
      <c r="CI7" s="2550"/>
      <c r="CJ7" s="2550"/>
      <c r="CK7" s="2550"/>
      <c r="CL7" s="2550"/>
      <c r="CM7" s="2550"/>
      <c r="CN7" s="2550"/>
      <c r="CO7" s="2550"/>
      <c r="CP7" s="2550"/>
      <c r="CQ7" s="2550"/>
      <c r="CR7" s="2562"/>
      <c r="CS7" s="2562"/>
      <c r="CT7" s="2562"/>
      <c r="CU7" s="2562"/>
      <c r="CV7" s="2562"/>
      <c r="CW7" s="2562"/>
      <c r="CX7" s="2562"/>
    </row>
    <row r="8" spans="1:262" s="543" customFormat="1" ht="29.45" customHeight="1" thickTop="1">
      <c r="A8" s="2563" t="s">
        <v>3787</v>
      </c>
      <c r="B8" s="2563" t="s">
        <v>3788</v>
      </c>
      <c r="C8" s="2594" t="s">
        <v>3927</v>
      </c>
      <c r="D8" s="2563" t="s">
        <v>3928</v>
      </c>
      <c r="E8" s="2596" t="s">
        <v>3795</v>
      </c>
      <c r="F8" s="2571" t="s">
        <v>3796</v>
      </c>
      <c r="G8" s="2597" t="s">
        <v>3929</v>
      </c>
      <c r="H8" s="2563" t="s">
        <v>3798</v>
      </c>
      <c r="I8" s="2584" t="s">
        <v>2285</v>
      </c>
      <c r="J8" s="2585"/>
      <c r="K8" s="2584"/>
      <c r="L8" s="2585"/>
      <c r="M8" s="2586"/>
      <c r="N8" s="2016"/>
      <c r="O8" s="542"/>
      <c r="P8" s="542"/>
      <c r="Q8" s="542"/>
      <c r="R8" s="579"/>
      <c r="S8" s="2044"/>
      <c r="T8" s="2018"/>
      <c r="U8" s="525" t="s">
        <v>2336</v>
      </c>
      <c r="V8" s="579"/>
      <c r="W8" s="2044"/>
      <c r="X8" s="2018"/>
      <c r="Y8" s="542"/>
      <c r="Z8" s="542"/>
      <c r="AA8" s="542"/>
      <c r="AB8" s="542"/>
      <c r="AC8" s="542"/>
      <c r="AD8" s="542"/>
      <c r="AE8" s="542"/>
      <c r="AF8" s="542"/>
      <c r="AG8" s="542"/>
      <c r="AH8" s="542"/>
      <c r="AI8" s="542"/>
      <c r="AJ8" s="542"/>
      <c r="AK8" s="525"/>
      <c r="AL8" s="525"/>
      <c r="AM8" s="2003"/>
      <c r="AN8" s="2045" t="s">
        <v>3930</v>
      </c>
      <c r="AO8" s="2045"/>
      <c r="AP8" s="2018"/>
      <c r="AQ8" s="542"/>
      <c r="AR8" s="542"/>
      <c r="AS8" s="542"/>
      <c r="AT8" s="542"/>
      <c r="AU8" s="542"/>
      <c r="AV8" s="579"/>
      <c r="AW8" s="2045" t="s">
        <v>3903</v>
      </c>
      <c r="AX8" s="2044"/>
      <c r="AY8" s="2018"/>
      <c r="AZ8" s="542"/>
      <c r="BA8" s="542"/>
      <c r="BB8" s="542"/>
      <c r="BC8" s="2573" t="s">
        <v>2399</v>
      </c>
      <c r="BD8" s="2563" t="s">
        <v>2401</v>
      </c>
      <c r="BE8" s="2578" t="s">
        <v>2403</v>
      </c>
      <c r="BF8" s="525"/>
      <c r="BG8" s="542"/>
      <c r="BH8" s="542"/>
      <c r="BI8" s="542"/>
      <c r="BJ8" s="525" t="s">
        <v>3802</v>
      </c>
      <c r="BK8" s="542"/>
      <c r="BL8" s="579"/>
      <c r="BM8" s="2590" t="s">
        <v>4571</v>
      </c>
      <c r="BN8" s="2149"/>
      <c r="BO8" s="2580" t="s">
        <v>3803</v>
      </c>
      <c r="BP8" s="2580" t="s">
        <v>3804</v>
      </c>
      <c r="BQ8" s="2588" t="s">
        <v>3931</v>
      </c>
      <c r="BR8" s="2582" t="s">
        <v>3932</v>
      </c>
      <c r="BS8" s="2587" t="s">
        <v>3907</v>
      </c>
      <c r="BT8" s="2565" t="s">
        <v>3933</v>
      </c>
      <c r="BU8" s="2563" t="s">
        <v>3934</v>
      </c>
      <c r="BV8" s="2567" t="s">
        <v>3935</v>
      </c>
      <c r="BW8" s="2565" t="s">
        <v>3936</v>
      </c>
      <c r="BX8" s="2563" t="s">
        <v>3808</v>
      </c>
      <c r="BY8" s="2576" t="s">
        <v>3810</v>
      </c>
      <c r="BZ8" s="2563" t="s">
        <v>3937</v>
      </c>
      <c r="CA8" s="2563" t="s">
        <v>4825</v>
      </c>
      <c r="CB8" s="2563" t="s">
        <v>3813</v>
      </c>
      <c r="CC8" s="2563" t="s">
        <v>2892</v>
      </c>
      <c r="CD8" s="2578" t="s">
        <v>2893</v>
      </c>
      <c r="CE8" s="2571" t="s">
        <v>2894</v>
      </c>
      <c r="CF8" s="2571" t="s">
        <v>2895</v>
      </c>
      <c r="CG8" s="2571" t="s">
        <v>2896</v>
      </c>
      <c r="CH8" s="2571" t="s">
        <v>2897</v>
      </c>
      <c r="CI8" s="2571" t="s">
        <v>2898</v>
      </c>
      <c r="CJ8" s="2571" t="s">
        <v>3820</v>
      </c>
      <c r="CK8" s="2571" t="s">
        <v>3821</v>
      </c>
      <c r="CL8" s="2571" t="s">
        <v>3822</v>
      </c>
      <c r="CM8" s="2571" t="s">
        <v>3823</v>
      </c>
      <c r="CN8" s="2571" t="s">
        <v>3824</v>
      </c>
      <c r="CO8" s="2571" t="s">
        <v>3825</v>
      </c>
      <c r="CP8" s="2571" t="s">
        <v>4773</v>
      </c>
      <c r="CQ8" s="2573" t="s">
        <v>3938</v>
      </c>
      <c r="CR8" s="2563" t="s">
        <v>421</v>
      </c>
      <c r="CS8" s="2567" t="s">
        <v>4778</v>
      </c>
      <c r="CT8" s="2563" t="s">
        <v>368</v>
      </c>
      <c r="CU8" s="2563" t="s">
        <v>369</v>
      </c>
      <c r="CV8" s="2565" t="s">
        <v>4776</v>
      </c>
      <c r="CW8" s="2565" t="s">
        <v>3939</v>
      </c>
      <c r="CX8" s="2569" t="s">
        <v>2610</v>
      </c>
    </row>
    <row r="9" spans="1:262" s="543" customFormat="1" ht="117" customHeight="1">
      <c r="A9" s="2563"/>
      <c r="B9" s="2563"/>
      <c r="C9" s="2595"/>
      <c r="D9" s="2563"/>
      <c r="E9" s="2567"/>
      <c r="F9" s="2593"/>
      <c r="G9" s="2598"/>
      <c r="H9" s="2563"/>
      <c r="I9" s="2015" t="s">
        <v>300</v>
      </c>
      <c r="J9" s="2136" t="s">
        <v>318</v>
      </c>
      <c r="K9" s="526" t="s">
        <v>2316</v>
      </c>
      <c r="L9" s="2136" t="s">
        <v>301</v>
      </c>
      <c r="M9" s="2138" t="s">
        <v>302</v>
      </c>
      <c r="N9" s="2017" t="s">
        <v>697</v>
      </c>
      <c r="O9" s="527" t="s">
        <v>996</v>
      </c>
      <c r="P9" s="527" t="s">
        <v>100</v>
      </c>
      <c r="Q9" s="527" t="s">
        <v>835</v>
      </c>
      <c r="R9" s="2002" t="s">
        <v>836</v>
      </c>
      <c r="S9" s="2136" t="s">
        <v>219</v>
      </c>
      <c r="T9" s="2019" t="s">
        <v>762</v>
      </c>
      <c r="U9" s="544" t="s">
        <v>303</v>
      </c>
      <c r="V9" s="2137" t="s">
        <v>2313</v>
      </c>
      <c r="W9" s="2136" t="s">
        <v>2314</v>
      </c>
      <c r="X9" s="2019" t="s">
        <v>2271</v>
      </c>
      <c r="Y9" s="1622" t="s">
        <v>304</v>
      </c>
      <c r="Z9" s="527" t="s">
        <v>638</v>
      </c>
      <c r="AA9" s="527" t="s">
        <v>647</v>
      </c>
      <c r="AB9" s="1622" t="s">
        <v>646</v>
      </c>
      <c r="AC9" s="527" t="s">
        <v>1907</v>
      </c>
      <c r="AD9" s="527" t="s">
        <v>648</v>
      </c>
      <c r="AE9" s="527" t="s">
        <v>752</v>
      </c>
      <c r="AF9" s="527" t="s">
        <v>649</v>
      </c>
      <c r="AG9" s="527" t="s">
        <v>483</v>
      </c>
      <c r="AH9" s="527" t="s">
        <v>484</v>
      </c>
      <c r="AI9" s="527" t="s">
        <v>650</v>
      </c>
      <c r="AJ9" s="527" t="s">
        <v>1647</v>
      </c>
      <c r="AK9" s="544" t="s">
        <v>837</v>
      </c>
      <c r="AL9" s="544" t="s">
        <v>838</v>
      </c>
      <c r="AM9" s="2004" t="s">
        <v>839</v>
      </c>
      <c r="AN9" s="2140" t="s">
        <v>663</v>
      </c>
      <c r="AO9" s="2140" t="s">
        <v>664</v>
      </c>
      <c r="AP9" s="2017" t="s">
        <v>665</v>
      </c>
      <c r="AQ9" s="544" t="s">
        <v>666</v>
      </c>
      <c r="AR9" s="544" t="s">
        <v>914</v>
      </c>
      <c r="AS9" s="544" t="s">
        <v>915</v>
      </c>
      <c r="AT9" s="528" t="s">
        <v>751</v>
      </c>
      <c r="AU9" s="528" t="s">
        <v>750</v>
      </c>
      <c r="AV9" s="2005" t="s">
        <v>3882</v>
      </c>
      <c r="AW9" s="2136" t="s">
        <v>1497</v>
      </c>
      <c r="AX9" s="2136" t="s">
        <v>1498</v>
      </c>
      <c r="AY9" s="2020" t="s">
        <v>1577</v>
      </c>
      <c r="AZ9" s="1622" t="s">
        <v>1093</v>
      </c>
      <c r="BA9" s="1622" t="s">
        <v>2154</v>
      </c>
      <c r="BB9" s="1622" t="s">
        <v>1094</v>
      </c>
      <c r="BC9" s="2592"/>
      <c r="BD9" s="2563"/>
      <c r="BE9" s="2579"/>
      <c r="BF9" s="1622" t="s">
        <v>2299</v>
      </c>
      <c r="BG9" s="1622" t="s">
        <v>911</v>
      </c>
      <c r="BH9" s="1622" t="s">
        <v>2304</v>
      </c>
      <c r="BI9" s="1622" t="s">
        <v>912</v>
      </c>
      <c r="BJ9" s="1622" t="s">
        <v>2301</v>
      </c>
      <c r="BK9" s="1622" t="s">
        <v>2127</v>
      </c>
      <c r="BL9" s="2001" t="s">
        <v>2305</v>
      </c>
      <c r="BM9" s="2591"/>
      <c r="BN9" s="2139" t="s">
        <v>344</v>
      </c>
      <c r="BO9" s="2564"/>
      <c r="BP9" s="2564"/>
      <c r="BQ9" s="2589"/>
      <c r="BR9" s="2583"/>
      <c r="BS9" s="2574"/>
      <c r="BT9" s="2566"/>
      <c r="BU9" s="2564"/>
      <c r="BV9" s="2568"/>
      <c r="BW9" s="2566"/>
      <c r="BX9" s="2564"/>
      <c r="BY9" s="2577"/>
      <c r="BZ9" s="2564"/>
      <c r="CA9" s="2564"/>
      <c r="CB9" s="2564"/>
      <c r="CC9" s="2564"/>
      <c r="CD9" s="2581"/>
      <c r="CE9" s="2572"/>
      <c r="CF9" s="2572"/>
      <c r="CG9" s="2572"/>
      <c r="CH9" s="2572"/>
      <c r="CI9" s="2572"/>
      <c r="CJ9" s="2572"/>
      <c r="CK9" s="2572"/>
      <c r="CL9" s="2572"/>
      <c r="CM9" s="2572"/>
      <c r="CN9" s="2572"/>
      <c r="CO9" s="2572"/>
      <c r="CP9" s="2572"/>
      <c r="CQ9" s="2574"/>
      <c r="CR9" s="2564"/>
      <c r="CS9" s="2568"/>
      <c r="CT9" s="2564"/>
      <c r="CU9" s="2564"/>
      <c r="CV9" s="2566"/>
      <c r="CW9" s="2566"/>
      <c r="CX9" s="2570"/>
    </row>
    <row r="10" spans="1:262" s="2169" customFormat="1" ht="27" hidden="1" customHeight="1">
      <c r="A10" s="2165" t="str">
        <f>IF(A9=0,A8,A9)</f>
        <v>Số trụ</v>
      </c>
      <c r="B10" s="2165" t="str">
        <f t="shared" ref="B10:BN10" si="8">IF(B9=0,B8,B9)</f>
        <v>Kh.cách</v>
      </c>
      <c r="C10" s="2094" t="str">
        <f t="shared" si="8"/>
        <v>Cộng dồn AC50+AC50</v>
      </c>
      <c r="D10" s="2165" t="str">
        <f t="shared" si="8"/>
        <v>Cộng dồn ACXV50+AC50</v>
      </c>
      <c r="E10" s="2095" t="str">
        <f t="shared" si="8"/>
        <v>Khoảng néo</v>
      </c>
      <c r="F10" s="530" t="str">
        <f t="shared" si="8"/>
        <v>Hướng</v>
      </c>
      <c r="G10" s="530" t="str">
        <f t="shared" si="8"/>
        <v>Góc</v>
      </c>
      <c r="H10" s="2165" t="str">
        <f t="shared" si="8"/>
        <v>Hình thức trụ</v>
      </c>
      <c r="I10" s="2095" t="str">
        <f t="shared" si="8"/>
        <v>BTLT 10.5</v>
      </c>
      <c r="J10" s="2166" t="str">
        <f t="shared" si="8"/>
        <v>BTLT 12 HH</v>
      </c>
      <c r="K10" s="2095" t="str">
        <f t="shared" si="8"/>
        <v>BTLT 12 TĐ</v>
      </c>
      <c r="L10" s="2165" t="str">
        <f>IF(L9=0,L8,L9)</f>
        <v>BTLT 12</v>
      </c>
      <c r="M10" s="2126" t="str">
        <f t="shared" si="8"/>
        <v>BTLT 14</v>
      </c>
      <c r="N10" s="2095" t="str">
        <f t="shared" si="8"/>
        <v>M10a</v>
      </c>
      <c r="O10" s="530" t="str">
        <f t="shared" si="8"/>
        <v>M10b</v>
      </c>
      <c r="P10" s="530" t="str">
        <f t="shared" si="8"/>
        <v>M10aa</v>
      </c>
      <c r="Q10" s="530" t="str">
        <f t="shared" si="8"/>
        <v>M10ba</v>
      </c>
      <c r="R10" s="530" t="str">
        <f t="shared" si="8"/>
        <v>M10bb</v>
      </c>
      <c r="S10" s="2166" t="str">
        <f t="shared" si="8"/>
        <v>M12</v>
      </c>
      <c r="T10" s="2095" t="str">
        <f t="shared" si="8"/>
        <v>M10-2b</v>
      </c>
      <c r="U10" s="530" t="str">
        <f t="shared" si="8"/>
        <v>M12a</v>
      </c>
      <c r="V10" s="1666" t="str">
        <f t="shared" si="8"/>
        <v>M12BT ĐƠN</v>
      </c>
      <c r="W10" s="2167"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165" t="str">
        <f t="shared" si="8"/>
        <v>CX12-B</v>
      </c>
      <c r="AO10" s="2165" t="str">
        <f t="shared" si="8"/>
        <v>CL12-B</v>
      </c>
      <c r="AP10" s="2095"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165" t="str">
        <f t="shared" si="8"/>
        <v>NXX</v>
      </c>
      <c r="AX10" s="2165" t="str">
        <f t="shared" si="8"/>
        <v>NXL</v>
      </c>
      <c r="AY10" s="2095"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166" t="str">
        <f t="shared" si="8"/>
        <v>Tiếp địa lặp lại trụ 12m</v>
      </c>
      <c r="BE10" s="2095"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131"/>
      <c r="BN10" s="2095" t="str">
        <f t="shared" si="8"/>
        <v>X-8KL</v>
      </c>
      <c r="BO10" s="2167" t="str">
        <f t="shared" ref="BO10:CX10" si="9">IF(BO9=0,BO8,BO9)</f>
        <v>Bộ sứ đỉnh đỡ thẳng SĐI</v>
      </c>
      <c r="BP10" s="2167"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126" t="str">
        <f t="shared" si="9"/>
        <v>Chuỗi sứ treo polyme bắt vào xà</v>
      </c>
      <c r="BU10" s="2165" t="str">
        <f t="shared" si="9"/>
        <v>Chuỗi sứ treo polyme bắt vào trụ</v>
      </c>
      <c r="BV10" s="2100" t="str">
        <f t="shared" si="9"/>
        <v xml:space="preserve"> Chuỗi treo 2 bát lắp vào trụ</v>
      </c>
      <c r="BW10" s="2041" t="str">
        <f t="shared" si="9"/>
        <v xml:space="preserve"> Chuỗi đỡ 2 bát lắp vào trụ - CĐT</v>
      </c>
      <c r="BX10" s="2166" t="str">
        <f t="shared" si="9"/>
        <v>Bộ đỡ dây T.H : Đth-U</v>
      </c>
      <c r="BY10" s="2095" t="str">
        <f t="shared" si="9"/>
        <v>Bộ néo dây T.H : Nth-U</v>
      </c>
      <c r="BZ10" s="2165" t="str">
        <f t="shared" si="9"/>
        <v>Bộ khóa néo TH : Nth-T</v>
      </c>
      <c r="CA10" s="2165" t="str">
        <f t="shared" si="9"/>
        <v>hotline 2/0</v>
      </c>
      <c r="CB10" s="2165"/>
      <c r="CC10" s="2165" t="str">
        <f t="shared" si="9"/>
        <v>Kẹp ép WR cỡ dây 50mm2</v>
      </c>
      <c r="CD10" s="2095"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66" t="str">
        <f t="shared" si="9"/>
        <v>Dây buộc đầu sứ</v>
      </c>
      <c r="CQ10" s="530" t="str">
        <f t="shared" si="9"/>
        <v>Giá T lắp FCO sử dụng lại</v>
      </c>
      <c r="CR10" s="2124" t="str">
        <f t="shared" si="9"/>
        <v>FCO 24kV 100A</v>
      </c>
      <c r="CS10" s="2104"/>
      <c r="CT10" s="2040"/>
      <c r="CU10" s="2040"/>
      <c r="CV10" s="2040"/>
      <c r="CW10" s="2126" t="str">
        <f t="shared" si="9"/>
        <v>Vị trí vượt đường</v>
      </c>
      <c r="CX10" s="2165" t="str">
        <f t="shared" si="9"/>
        <v>GHI CHÚ</v>
      </c>
      <c r="CY10" s="2168"/>
      <c r="CZ10" s="2168"/>
      <c r="DA10" s="2168"/>
      <c r="DB10" s="2168"/>
      <c r="DC10" s="2168"/>
      <c r="DD10" s="2168"/>
      <c r="DE10" s="2168"/>
      <c r="DF10" s="2168"/>
      <c r="DG10" s="2168"/>
      <c r="DH10" s="2168"/>
      <c r="DI10" s="2168"/>
      <c r="DJ10" s="2168"/>
      <c r="DK10" s="2168"/>
      <c r="DL10" s="2168"/>
      <c r="DM10" s="2168"/>
      <c r="DN10" s="2168"/>
      <c r="DO10" s="2168"/>
      <c r="DP10" s="2168"/>
      <c r="DQ10" s="2168"/>
      <c r="DR10" s="2168"/>
      <c r="DS10" s="2168"/>
      <c r="DT10" s="2168"/>
      <c r="DU10" s="2168"/>
      <c r="DV10" s="2168"/>
      <c r="DW10" s="2168"/>
      <c r="DX10" s="2168"/>
      <c r="DY10" s="2168"/>
      <c r="DZ10" s="2168"/>
      <c r="EA10" s="2168"/>
      <c r="EB10" s="2168"/>
      <c r="EC10" s="2168"/>
      <c r="ED10" s="2168"/>
      <c r="EE10" s="2168"/>
      <c r="EF10" s="2168"/>
      <c r="EG10" s="2168"/>
      <c r="EH10" s="2168"/>
      <c r="EI10" s="2168"/>
      <c r="EJ10" s="2168"/>
      <c r="EK10" s="2168"/>
      <c r="EL10" s="2168"/>
      <c r="EM10" s="2168"/>
      <c r="EN10" s="2168"/>
      <c r="EO10" s="2168"/>
      <c r="EP10" s="2168"/>
      <c r="EQ10" s="2168"/>
      <c r="ER10" s="2168"/>
      <c r="ES10" s="2168"/>
      <c r="ET10" s="2168"/>
      <c r="EU10" s="2168"/>
      <c r="EV10" s="2168"/>
      <c r="EW10" s="2168"/>
      <c r="EX10" s="2168"/>
      <c r="EY10" s="2168"/>
      <c r="EZ10" s="2168"/>
      <c r="FA10" s="2168"/>
      <c r="FB10" s="2168"/>
      <c r="FC10" s="2168"/>
      <c r="FD10" s="2168"/>
      <c r="FE10" s="2168"/>
      <c r="FF10" s="2168"/>
      <c r="FG10" s="2168"/>
      <c r="FH10" s="2168"/>
      <c r="FI10" s="2168"/>
      <c r="FJ10" s="2168"/>
      <c r="FK10" s="2168"/>
      <c r="FL10" s="2168"/>
      <c r="FM10" s="2168"/>
      <c r="FN10" s="2168"/>
      <c r="FO10" s="2168"/>
      <c r="FP10" s="2168"/>
      <c r="FQ10" s="2168"/>
      <c r="FR10" s="2168"/>
      <c r="FS10" s="2168"/>
      <c r="FT10" s="2168"/>
      <c r="FU10" s="2168"/>
      <c r="FV10" s="2168"/>
      <c r="FW10" s="2168"/>
      <c r="FX10" s="2168"/>
      <c r="FY10" s="2168"/>
      <c r="FZ10" s="2168"/>
      <c r="GA10" s="2168"/>
      <c r="GB10" s="2168"/>
      <c r="GC10" s="2168"/>
      <c r="GD10" s="2168"/>
      <c r="GE10" s="2168"/>
      <c r="GF10" s="2168"/>
      <c r="GG10" s="2168"/>
      <c r="GH10" s="2168"/>
      <c r="GI10" s="2168"/>
      <c r="GJ10" s="2168"/>
      <c r="GK10" s="2168"/>
      <c r="GL10" s="2168"/>
      <c r="GM10" s="2168"/>
      <c r="GN10" s="2168"/>
      <c r="GO10" s="2168"/>
      <c r="GP10" s="2168"/>
      <c r="GQ10" s="2168"/>
      <c r="GR10" s="2168"/>
      <c r="GS10" s="2168"/>
      <c r="GT10" s="2168"/>
      <c r="GU10" s="2168"/>
      <c r="GV10" s="2168"/>
      <c r="GW10" s="2168"/>
      <c r="GX10" s="2168"/>
      <c r="GY10" s="2168"/>
      <c r="GZ10" s="2168"/>
      <c r="HA10" s="2168"/>
      <c r="HB10" s="2168"/>
      <c r="HC10" s="2168"/>
      <c r="HD10" s="2168"/>
      <c r="HE10" s="2168"/>
      <c r="HF10" s="2168"/>
      <c r="HG10" s="2168"/>
      <c r="HH10" s="2168"/>
      <c r="HI10" s="2168"/>
      <c r="HJ10" s="2168"/>
      <c r="HK10" s="2168"/>
      <c r="HL10" s="2168"/>
      <c r="HM10" s="2168"/>
      <c r="HN10" s="2168"/>
      <c r="HO10" s="2168"/>
      <c r="HP10" s="2168"/>
      <c r="HQ10" s="2168"/>
      <c r="HR10" s="2168"/>
      <c r="HS10" s="2168"/>
      <c r="HT10" s="2168"/>
      <c r="HU10" s="2168"/>
      <c r="HV10" s="2168"/>
      <c r="HW10" s="2168"/>
      <c r="HX10" s="2168"/>
      <c r="HY10" s="2168"/>
      <c r="HZ10" s="2168"/>
      <c r="IA10" s="2168"/>
      <c r="IB10" s="2168"/>
      <c r="IC10" s="2168"/>
      <c r="ID10" s="2168"/>
      <c r="IE10" s="2168"/>
      <c r="IF10" s="2168"/>
      <c r="IG10" s="2168"/>
      <c r="IH10" s="2168"/>
      <c r="II10" s="2168"/>
      <c r="IJ10" s="2168"/>
      <c r="IK10" s="2168"/>
      <c r="IL10" s="2168"/>
      <c r="IM10" s="2168"/>
      <c r="IN10" s="2168"/>
      <c r="IO10" s="2168"/>
      <c r="IP10" s="2168"/>
      <c r="IQ10" s="2168"/>
      <c r="IR10" s="2168"/>
      <c r="IS10" s="2168"/>
      <c r="IT10" s="2168"/>
      <c r="IU10" s="2168"/>
      <c r="IV10" s="2168"/>
      <c r="IW10" s="2168"/>
      <c r="IX10" s="2168"/>
      <c r="IY10" s="2168"/>
      <c r="IZ10" s="2168"/>
      <c r="JA10" s="2168"/>
      <c r="JB10" s="2168"/>
    </row>
    <row r="11" spans="1:262" ht="25.15" customHeight="1">
      <c r="A11" s="2046" t="s">
        <v>4824</v>
      </c>
      <c r="B11" s="2047"/>
      <c r="C11" s="2021"/>
      <c r="D11" s="2048"/>
      <c r="E11" s="2023"/>
      <c r="F11" s="548"/>
      <c r="G11" s="2006"/>
      <c r="H11" s="2050" t="s">
        <v>658</v>
      </c>
      <c r="I11" s="2024"/>
      <c r="J11" s="2047"/>
      <c r="K11" s="2024"/>
      <c r="L11" s="2047"/>
      <c r="M11" s="2101"/>
      <c r="N11" s="2027"/>
      <c r="O11" s="548"/>
      <c r="P11" s="548"/>
      <c r="Q11" s="548"/>
      <c r="R11" s="2010"/>
      <c r="S11" s="2050"/>
      <c r="T11" s="2027"/>
      <c r="U11" s="548"/>
      <c r="V11" s="2010"/>
      <c r="W11" s="2050"/>
      <c r="X11" s="2027"/>
      <c r="Y11" s="548"/>
      <c r="Z11" s="548"/>
      <c r="AA11" s="548"/>
      <c r="AB11" s="548"/>
      <c r="AC11" s="548"/>
      <c r="AD11" s="548"/>
      <c r="AE11" s="548"/>
      <c r="AF11" s="548"/>
      <c r="AG11" s="548"/>
      <c r="AH11" s="548"/>
      <c r="AI11" s="548"/>
      <c r="AJ11" s="548"/>
      <c r="AK11" s="548"/>
      <c r="AL11" s="548"/>
      <c r="AM11" s="2010"/>
      <c r="AN11" s="2050"/>
      <c r="AO11" s="2050"/>
      <c r="AP11" s="2027"/>
      <c r="AQ11" s="548"/>
      <c r="AR11" s="548"/>
      <c r="AS11" s="548"/>
      <c r="AT11" s="548"/>
      <c r="AU11" s="548"/>
      <c r="AV11" s="2010"/>
      <c r="AW11" s="2050"/>
      <c r="AX11" s="2050"/>
      <c r="AY11" s="2027"/>
      <c r="AZ11" s="548"/>
      <c r="BA11" s="548"/>
      <c r="BB11" s="548"/>
      <c r="BC11" s="2010"/>
      <c r="BD11" s="2050"/>
      <c r="BE11" s="2027"/>
      <c r="BF11" s="548"/>
      <c r="BG11" s="548"/>
      <c r="BH11" s="548"/>
      <c r="BI11" s="548"/>
      <c r="BJ11" s="548"/>
      <c r="BK11" s="548"/>
      <c r="BL11" s="2010"/>
      <c r="BM11" s="2050"/>
      <c r="BN11" s="2150"/>
      <c r="BO11" s="2047"/>
      <c r="BP11" s="2047"/>
      <c r="BQ11" s="2023"/>
      <c r="BR11" s="547"/>
      <c r="BS11" s="2008"/>
      <c r="BT11" s="2120"/>
      <c r="BU11" s="2047"/>
      <c r="BV11" s="2101"/>
      <c r="BW11" s="2120"/>
      <c r="BX11" s="2047"/>
      <c r="BY11" s="2047"/>
      <c r="BZ11" s="2047"/>
      <c r="CA11" s="2047"/>
      <c r="CB11" s="2047"/>
      <c r="CC11" s="2047"/>
      <c r="CD11" s="2023"/>
      <c r="CE11" s="547"/>
      <c r="CF11" s="547"/>
      <c r="CG11" s="547"/>
      <c r="CH11" s="547"/>
      <c r="CI11" s="547"/>
      <c r="CJ11" s="547"/>
      <c r="CK11" s="547"/>
      <c r="CL11" s="547"/>
      <c r="CM11" s="547"/>
      <c r="CN11" s="547"/>
      <c r="CO11" s="547"/>
      <c r="CP11" s="547"/>
      <c r="CQ11" s="2008"/>
      <c r="CR11" s="2047"/>
      <c r="CS11" s="2101"/>
      <c r="CT11" s="2047"/>
      <c r="CU11" s="2047"/>
      <c r="CV11" s="2120"/>
      <c r="CW11" s="2120"/>
      <c r="CX11" s="2050"/>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15" customHeight="1">
      <c r="A12" s="2046" t="s">
        <v>166</v>
      </c>
      <c r="B12" s="2093"/>
      <c r="C12" s="2022"/>
      <c r="D12" s="2052"/>
      <c r="E12" s="671"/>
      <c r="F12" s="440"/>
      <c r="G12" s="2007"/>
      <c r="H12" s="2049" t="s">
        <v>1109</v>
      </c>
      <c r="I12" s="2025"/>
      <c r="J12" s="2051"/>
      <c r="K12" s="2026"/>
      <c r="L12" s="2052"/>
      <c r="M12" s="2102"/>
      <c r="N12" s="2028"/>
      <c r="O12" s="782"/>
      <c r="P12" s="782"/>
      <c r="Q12" s="782"/>
      <c r="R12" s="2009"/>
      <c r="S12" s="2051"/>
      <c r="T12" s="2028"/>
      <c r="U12" s="782"/>
      <c r="V12" s="2009"/>
      <c r="W12" s="2051"/>
      <c r="X12" s="2028"/>
      <c r="Y12" s="782"/>
      <c r="Z12" s="782"/>
      <c r="AA12" s="782"/>
      <c r="AB12" s="782"/>
      <c r="AC12" s="782"/>
      <c r="AD12" s="782"/>
      <c r="AE12" s="782"/>
      <c r="AF12" s="782"/>
      <c r="AG12" s="782"/>
      <c r="AH12" s="782"/>
      <c r="AI12" s="782"/>
      <c r="AJ12" s="782"/>
      <c r="AK12" s="782"/>
      <c r="AL12" s="782"/>
      <c r="AM12" s="2009"/>
      <c r="AN12" s="2051"/>
      <c r="AO12" s="2051"/>
      <c r="AP12" s="2028"/>
      <c r="AQ12" s="782"/>
      <c r="AR12" s="782"/>
      <c r="AS12" s="782"/>
      <c r="AT12" s="782"/>
      <c r="AU12" s="782"/>
      <c r="AV12" s="2009"/>
      <c r="AW12" s="2051"/>
      <c r="AX12" s="2051"/>
      <c r="AY12" s="2028"/>
      <c r="AZ12" s="782"/>
      <c r="BA12" s="782"/>
      <c r="BB12" s="782"/>
      <c r="BC12" s="2009"/>
      <c r="BD12" s="2051"/>
      <c r="BE12" s="2028"/>
      <c r="BF12" s="782"/>
      <c r="BG12" s="782"/>
      <c r="BH12" s="782"/>
      <c r="BI12" s="782"/>
      <c r="BJ12" s="782"/>
      <c r="BK12" s="782"/>
      <c r="BL12" s="2009"/>
      <c r="BM12" s="2051"/>
      <c r="BN12" s="2025"/>
      <c r="BO12" s="2051"/>
      <c r="BP12" s="2051"/>
      <c r="BQ12" s="2028"/>
      <c r="BR12" s="782"/>
      <c r="BS12" s="2009"/>
      <c r="BT12" s="2121"/>
      <c r="BU12" s="2051"/>
      <c r="BV12" s="2102"/>
      <c r="BW12" s="2121"/>
      <c r="BX12" s="2051"/>
      <c r="BY12" s="2051"/>
      <c r="BZ12" s="2051"/>
      <c r="CA12" s="2051"/>
      <c r="CB12" s="2051"/>
      <c r="CC12" s="2051"/>
      <c r="CD12" s="2028"/>
      <c r="CE12" s="782"/>
      <c r="CF12" s="782"/>
      <c r="CG12" s="782"/>
      <c r="CH12" s="782"/>
      <c r="CI12" s="782"/>
      <c r="CJ12" s="782"/>
      <c r="CK12" s="782"/>
      <c r="CL12" s="782"/>
      <c r="CM12" s="782"/>
      <c r="CN12" s="782"/>
      <c r="CO12" s="782"/>
      <c r="CP12" s="782"/>
      <c r="CQ12" s="2009"/>
      <c r="CR12" s="2051"/>
      <c r="CS12" s="2102"/>
      <c r="CT12" s="2051"/>
      <c r="CU12" s="2051"/>
      <c r="CV12" s="2121"/>
      <c r="CW12" s="2121"/>
      <c r="CX12" s="2047"/>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15" hidden="1" customHeight="1">
      <c r="A13" s="2046" t="s">
        <v>167</v>
      </c>
      <c r="B13" s="2093"/>
      <c r="C13" s="2108"/>
      <c r="D13" s="2052"/>
      <c r="E13" s="671"/>
      <c r="F13" s="440"/>
      <c r="G13" s="2007"/>
      <c r="H13" s="2049"/>
      <c r="I13" s="2025"/>
      <c r="J13" s="2051"/>
      <c r="K13" s="2111"/>
      <c r="L13" s="2047"/>
      <c r="M13" s="2102"/>
      <c r="N13" s="2028"/>
      <c r="O13" s="782"/>
      <c r="P13" s="782"/>
      <c r="Q13" s="782"/>
      <c r="R13" s="2009"/>
      <c r="S13" s="2051"/>
      <c r="T13" s="2028"/>
      <c r="U13" s="782"/>
      <c r="V13" s="2009"/>
      <c r="W13" s="2051"/>
      <c r="X13" s="2028"/>
      <c r="Y13" s="782"/>
      <c r="Z13" s="782"/>
      <c r="AA13" s="782"/>
      <c r="AB13" s="782"/>
      <c r="AC13" s="782"/>
      <c r="AD13" s="782"/>
      <c r="AE13" s="782"/>
      <c r="AF13" s="782"/>
      <c r="AG13" s="782"/>
      <c r="AH13" s="782"/>
      <c r="AI13" s="782"/>
      <c r="AJ13" s="782"/>
      <c r="AK13" s="782"/>
      <c r="AL13" s="782"/>
      <c r="AM13" s="2009"/>
      <c r="AN13" s="2051"/>
      <c r="AO13" s="2051"/>
      <c r="AP13" s="2028"/>
      <c r="AQ13" s="782"/>
      <c r="AR13" s="782"/>
      <c r="AS13" s="782"/>
      <c r="AT13" s="782"/>
      <c r="AU13" s="782"/>
      <c r="AV13" s="2009"/>
      <c r="AW13" s="2051"/>
      <c r="AX13" s="2051"/>
      <c r="AY13" s="2028"/>
      <c r="AZ13" s="782"/>
      <c r="BA13" s="782"/>
      <c r="BB13" s="782"/>
      <c r="BC13" s="2009"/>
      <c r="BD13" s="2051"/>
      <c r="BE13" s="2028"/>
      <c r="BF13" s="782"/>
      <c r="BG13" s="782"/>
      <c r="BH13" s="782"/>
      <c r="BI13" s="782"/>
      <c r="BJ13" s="782"/>
      <c r="BK13" s="782"/>
      <c r="BL13" s="2009"/>
      <c r="BM13" s="2051"/>
      <c r="BN13" s="2025"/>
      <c r="BO13" s="2051"/>
      <c r="BP13" s="2051"/>
      <c r="BQ13" s="2028"/>
      <c r="BR13" s="782"/>
      <c r="BS13" s="2009"/>
      <c r="BT13" s="2121"/>
      <c r="BU13" s="2051"/>
      <c r="BV13" s="2103"/>
      <c r="BW13" s="2122"/>
      <c r="BX13" s="2051"/>
      <c r="BY13" s="2025"/>
      <c r="BZ13" s="2051"/>
      <c r="CA13" s="2051"/>
      <c r="CB13" s="2051"/>
      <c r="CC13" s="2051"/>
      <c r="CD13" s="2028"/>
      <c r="CE13" s="782"/>
      <c r="CF13" s="782"/>
      <c r="CG13" s="782"/>
      <c r="CH13" s="782"/>
      <c r="CI13" s="782"/>
      <c r="CJ13" s="782"/>
      <c r="CK13" s="782"/>
      <c r="CL13" s="782"/>
      <c r="CM13" s="782"/>
      <c r="CN13" s="782"/>
      <c r="CO13" s="782"/>
      <c r="CP13" s="782"/>
      <c r="CQ13" s="2009"/>
      <c r="CR13" s="2051"/>
      <c r="CS13" s="2103"/>
      <c r="CT13" s="2043"/>
      <c r="CU13" s="2043"/>
      <c r="CV13" s="2122"/>
      <c r="CW13" s="2121"/>
      <c r="CX13" s="2047"/>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15" hidden="1" customHeight="1">
      <c r="A14" s="2046" t="s">
        <v>168</v>
      </c>
      <c r="B14" s="2093"/>
      <c r="C14" s="2108"/>
      <c r="D14" s="2052"/>
      <c r="E14" s="671"/>
      <c r="F14" s="440"/>
      <c r="G14" s="2007"/>
      <c r="H14" s="2049"/>
      <c r="I14" s="2025"/>
      <c r="J14" s="2051"/>
      <c r="K14" s="2111"/>
      <c r="L14" s="2047"/>
      <c r="M14" s="2102"/>
      <c r="N14" s="2028"/>
      <c r="O14" s="782"/>
      <c r="P14" s="782"/>
      <c r="Q14" s="782"/>
      <c r="R14" s="2009"/>
      <c r="S14" s="2051"/>
      <c r="T14" s="2028"/>
      <c r="U14" s="782"/>
      <c r="V14" s="2009"/>
      <c r="W14" s="2051"/>
      <c r="X14" s="2028"/>
      <c r="Y14" s="782"/>
      <c r="Z14" s="782"/>
      <c r="AA14" s="782"/>
      <c r="AB14" s="782"/>
      <c r="AC14" s="782"/>
      <c r="AD14" s="782"/>
      <c r="AE14" s="782"/>
      <c r="AF14" s="782"/>
      <c r="AG14" s="782"/>
      <c r="AH14" s="782"/>
      <c r="AI14" s="782"/>
      <c r="AJ14" s="782"/>
      <c r="AK14" s="782"/>
      <c r="AL14" s="782"/>
      <c r="AM14" s="2009"/>
      <c r="AN14" s="2051"/>
      <c r="AO14" s="2051"/>
      <c r="AP14" s="2028"/>
      <c r="AQ14" s="782"/>
      <c r="AR14" s="782"/>
      <c r="AS14" s="782"/>
      <c r="AT14" s="782"/>
      <c r="AU14" s="782"/>
      <c r="AV14" s="2009"/>
      <c r="AW14" s="2051"/>
      <c r="AX14" s="2051"/>
      <c r="AY14" s="2028"/>
      <c r="AZ14" s="782"/>
      <c r="BA14" s="782"/>
      <c r="BB14" s="782"/>
      <c r="BC14" s="2009"/>
      <c r="BD14" s="2051"/>
      <c r="BE14" s="2028"/>
      <c r="BF14" s="782"/>
      <c r="BG14" s="782"/>
      <c r="BH14" s="782"/>
      <c r="BI14" s="782"/>
      <c r="BJ14" s="782"/>
      <c r="BK14" s="782"/>
      <c r="BL14" s="2009"/>
      <c r="BM14" s="2051"/>
      <c r="BN14" s="2025"/>
      <c r="BO14" s="2051"/>
      <c r="BP14" s="2051"/>
      <c r="BQ14" s="2028"/>
      <c r="BR14" s="782"/>
      <c r="BS14" s="2009"/>
      <c r="BT14" s="2121"/>
      <c r="BU14" s="2051"/>
      <c r="BV14" s="2028"/>
      <c r="BW14" s="2009"/>
      <c r="BX14" s="2051"/>
      <c r="BY14" s="2025"/>
      <c r="BZ14" s="2051"/>
      <c r="CA14" s="2051"/>
      <c r="CB14" s="2051"/>
      <c r="CC14" s="2051"/>
      <c r="CD14" s="2028"/>
      <c r="CE14" s="782"/>
      <c r="CF14" s="782"/>
      <c r="CG14" s="782"/>
      <c r="CH14" s="782"/>
      <c r="CI14" s="782"/>
      <c r="CJ14" s="782"/>
      <c r="CK14" s="782"/>
      <c r="CL14" s="782"/>
      <c r="CM14" s="782"/>
      <c r="CN14" s="782"/>
      <c r="CO14" s="782"/>
      <c r="CP14" s="782"/>
      <c r="CQ14" s="2009"/>
      <c r="CR14" s="2051"/>
      <c r="CS14" s="2028"/>
      <c r="CT14" s="782"/>
      <c r="CU14" s="782"/>
      <c r="CV14" s="2009"/>
      <c r="CW14" s="2121"/>
      <c r="CX14" s="2047"/>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15" hidden="1" customHeight="1">
      <c r="A15" s="2046" t="s">
        <v>165</v>
      </c>
      <c r="B15" s="2093"/>
      <c r="C15" s="2108"/>
      <c r="D15" s="2052"/>
      <c r="E15" s="671"/>
      <c r="F15" s="440"/>
      <c r="G15" s="2007"/>
      <c r="H15" s="2049"/>
      <c r="I15" s="2025"/>
      <c r="J15" s="2051"/>
      <c r="K15" s="2111"/>
      <c r="L15" s="2047"/>
      <c r="M15" s="2102"/>
      <c r="N15" s="2028"/>
      <c r="O15" s="782"/>
      <c r="P15" s="782"/>
      <c r="Q15" s="782"/>
      <c r="R15" s="2009"/>
      <c r="S15" s="2051"/>
      <c r="T15" s="2028"/>
      <c r="U15" s="782"/>
      <c r="V15" s="2009"/>
      <c r="W15" s="2051"/>
      <c r="X15" s="2028"/>
      <c r="Y15" s="782"/>
      <c r="Z15" s="782"/>
      <c r="AA15" s="782"/>
      <c r="AB15" s="782"/>
      <c r="AC15" s="782"/>
      <c r="AD15" s="782"/>
      <c r="AE15" s="782"/>
      <c r="AF15" s="782"/>
      <c r="AG15" s="782"/>
      <c r="AH15" s="782"/>
      <c r="AI15" s="782"/>
      <c r="AJ15" s="782"/>
      <c r="AK15" s="782"/>
      <c r="AL15" s="782"/>
      <c r="AM15" s="2009"/>
      <c r="AN15" s="2051"/>
      <c r="AO15" s="2051"/>
      <c r="AP15" s="2028"/>
      <c r="AQ15" s="782"/>
      <c r="AR15" s="782"/>
      <c r="AS15" s="782"/>
      <c r="AT15" s="782"/>
      <c r="AU15" s="782"/>
      <c r="AV15" s="2009"/>
      <c r="AW15" s="2051"/>
      <c r="AX15" s="2051"/>
      <c r="AY15" s="2028"/>
      <c r="AZ15" s="782"/>
      <c r="BA15" s="782"/>
      <c r="BB15" s="782"/>
      <c r="BC15" s="2009"/>
      <c r="BD15" s="2051"/>
      <c r="BE15" s="2028"/>
      <c r="BF15" s="782"/>
      <c r="BG15" s="782"/>
      <c r="BH15" s="782"/>
      <c r="BI15" s="782"/>
      <c r="BJ15" s="782"/>
      <c r="BK15" s="782"/>
      <c r="BL15" s="2009"/>
      <c r="BM15" s="2051"/>
      <c r="BN15" s="2025"/>
      <c r="BO15" s="2051"/>
      <c r="BP15" s="2051"/>
      <c r="BQ15" s="2028"/>
      <c r="BR15" s="782"/>
      <c r="BS15" s="2009"/>
      <c r="BT15" s="2121"/>
      <c r="BU15" s="2051"/>
      <c r="BV15" s="2028"/>
      <c r="BW15" s="2009"/>
      <c r="BX15" s="2051"/>
      <c r="BY15" s="2025"/>
      <c r="BZ15" s="2051"/>
      <c r="CA15" s="2051"/>
      <c r="CB15" s="2051"/>
      <c r="CC15" s="2051"/>
      <c r="CD15" s="2028"/>
      <c r="CE15" s="782"/>
      <c r="CF15" s="782"/>
      <c r="CG15" s="782"/>
      <c r="CH15" s="782"/>
      <c r="CI15" s="782"/>
      <c r="CJ15" s="782"/>
      <c r="CK15" s="782"/>
      <c r="CL15" s="782"/>
      <c r="CM15" s="782"/>
      <c r="CN15" s="782"/>
      <c r="CO15" s="782"/>
      <c r="CP15" s="782"/>
      <c r="CQ15" s="2009"/>
      <c r="CR15" s="2051"/>
      <c r="CS15" s="2028"/>
      <c r="CT15" s="782"/>
      <c r="CU15" s="782"/>
      <c r="CV15" s="2009"/>
      <c r="CW15" s="2121"/>
      <c r="CX15" s="2047"/>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15" hidden="1" customHeight="1">
      <c r="A16" s="2046" t="s">
        <v>169</v>
      </c>
      <c r="B16" s="2093"/>
      <c r="C16" s="2108"/>
      <c r="D16" s="2052"/>
      <c r="E16" s="671"/>
      <c r="F16" s="440"/>
      <c r="G16" s="2007"/>
      <c r="H16" s="2049"/>
      <c r="I16" s="2025"/>
      <c r="J16" s="2051"/>
      <c r="K16" s="2111"/>
      <c r="L16" s="2047"/>
      <c r="M16" s="2102"/>
      <c r="N16" s="2028"/>
      <c r="O16" s="782"/>
      <c r="P16" s="782"/>
      <c r="Q16" s="782"/>
      <c r="R16" s="2009"/>
      <c r="S16" s="2051"/>
      <c r="T16" s="2028"/>
      <c r="U16" s="782"/>
      <c r="V16" s="2009"/>
      <c r="W16" s="2051"/>
      <c r="X16" s="2028"/>
      <c r="Y16" s="782"/>
      <c r="Z16" s="782"/>
      <c r="AA16" s="782"/>
      <c r="AB16" s="782"/>
      <c r="AC16" s="782"/>
      <c r="AD16" s="782"/>
      <c r="AE16" s="782"/>
      <c r="AF16" s="782"/>
      <c r="AG16" s="782"/>
      <c r="AH16" s="782"/>
      <c r="AI16" s="782"/>
      <c r="AJ16" s="782"/>
      <c r="AK16" s="782"/>
      <c r="AL16" s="782"/>
      <c r="AM16" s="2009"/>
      <c r="AN16" s="2051"/>
      <c r="AO16" s="2051"/>
      <c r="AP16" s="2028"/>
      <c r="AQ16" s="782"/>
      <c r="AR16" s="782"/>
      <c r="AS16" s="782"/>
      <c r="AT16" s="782"/>
      <c r="AU16" s="782"/>
      <c r="AV16" s="2009"/>
      <c r="AW16" s="2051"/>
      <c r="AX16" s="2051"/>
      <c r="AY16" s="2028"/>
      <c r="AZ16" s="782"/>
      <c r="BA16" s="782"/>
      <c r="BB16" s="782"/>
      <c r="BC16" s="2009"/>
      <c r="BD16" s="2051"/>
      <c r="BE16" s="2028"/>
      <c r="BF16" s="782"/>
      <c r="BG16" s="782"/>
      <c r="BH16" s="782"/>
      <c r="BI16" s="782"/>
      <c r="BJ16" s="782"/>
      <c r="BK16" s="782"/>
      <c r="BL16" s="2009"/>
      <c r="BM16" s="2051"/>
      <c r="BN16" s="2025"/>
      <c r="BO16" s="2051"/>
      <c r="BP16" s="2051"/>
      <c r="BQ16" s="2028"/>
      <c r="BR16" s="782"/>
      <c r="BS16" s="2009"/>
      <c r="BT16" s="2121"/>
      <c r="BU16" s="2051"/>
      <c r="BV16" s="2028"/>
      <c r="BW16" s="2009"/>
      <c r="BX16" s="2051"/>
      <c r="BY16" s="2025"/>
      <c r="BZ16" s="2051"/>
      <c r="CA16" s="2051"/>
      <c r="CB16" s="2051"/>
      <c r="CC16" s="2051"/>
      <c r="CD16" s="2028"/>
      <c r="CE16" s="782"/>
      <c r="CF16" s="782"/>
      <c r="CG16" s="782"/>
      <c r="CH16" s="782"/>
      <c r="CI16" s="782"/>
      <c r="CJ16" s="782"/>
      <c r="CK16" s="782"/>
      <c r="CL16" s="782"/>
      <c r="CM16" s="782"/>
      <c r="CN16" s="782"/>
      <c r="CO16" s="782"/>
      <c r="CP16" s="782"/>
      <c r="CQ16" s="2009"/>
      <c r="CR16" s="2051"/>
      <c r="CS16" s="2028"/>
      <c r="CT16" s="782"/>
      <c r="CU16" s="782"/>
      <c r="CV16" s="2009"/>
      <c r="CW16" s="2121"/>
      <c r="CX16" s="2047"/>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15" hidden="1" customHeight="1">
      <c r="A17" s="2046" t="s">
        <v>170</v>
      </c>
      <c r="B17" s="2093"/>
      <c r="C17" s="2108"/>
      <c r="D17" s="2052"/>
      <c r="E17" s="671"/>
      <c r="F17" s="440"/>
      <c r="G17" s="2007"/>
      <c r="H17" s="2049"/>
      <c r="I17" s="2025"/>
      <c r="J17" s="2051"/>
      <c r="K17" s="2111"/>
      <c r="L17" s="2047"/>
      <c r="M17" s="2102"/>
      <c r="N17" s="2028"/>
      <c r="O17" s="782"/>
      <c r="P17" s="782"/>
      <c r="Q17" s="782"/>
      <c r="R17" s="2009"/>
      <c r="S17" s="2051"/>
      <c r="T17" s="2028"/>
      <c r="U17" s="782"/>
      <c r="V17" s="2009"/>
      <c r="W17" s="2051"/>
      <c r="X17" s="2028"/>
      <c r="Y17" s="782"/>
      <c r="Z17" s="782"/>
      <c r="AA17" s="782"/>
      <c r="AB17" s="782"/>
      <c r="AC17" s="782"/>
      <c r="AD17" s="782"/>
      <c r="AE17" s="782"/>
      <c r="AF17" s="782"/>
      <c r="AG17" s="782"/>
      <c r="AH17" s="782"/>
      <c r="AI17" s="782"/>
      <c r="AJ17" s="782"/>
      <c r="AK17" s="782"/>
      <c r="AL17" s="782"/>
      <c r="AM17" s="2009"/>
      <c r="AN17" s="2051"/>
      <c r="AO17" s="2051"/>
      <c r="AP17" s="2028"/>
      <c r="AQ17" s="782"/>
      <c r="AR17" s="782"/>
      <c r="AS17" s="782"/>
      <c r="AT17" s="782"/>
      <c r="AU17" s="782"/>
      <c r="AV17" s="2009"/>
      <c r="AW17" s="2051"/>
      <c r="AX17" s="2051"/>
      <c r="AY17" s="2028"/>
      <c r="AZ17" s="782"/>
      <c r="BA17" s="782"/>
      <c r="BB17" s="782"/>
      <c r="BC17" s="2009"/>
      <c r="BD17" s="2051"/>
      <c r="BE17" s="2028"/>
      <c r="BF17" s="782"/>
      <c r="BG17" s="782"/>
      <c r="BH17" s="782"/>
      <c r="BI17" s="782"/>
      <c r="BJ17" s="782"/>
      <c r="BK17" s="782"/>
      <c r="BL17" s="2009"/>
      <c r="BM17" s="2051"/>
      <c r="BN17" s="2025"/>
      <c r="BO17" s="2051"/>
      <c r="BP17" s="2051"/>
      <c r="BQ17" s="2028"/>
      <c r="BR17" s="782"/>
      <c r="BS17" s="2009"/>
      <c r="BT17" s="2121"/>
      <c r="BU17" s="2051"/>
      <c r="BV17" s="2028"/>
      <c r="BW17" s="2009"/>
      <c r="BX17" s="2051"/>
      <c r="BY17" s="2025"/>
      <c r="BZ17" s="2051"/>
      <c r="CA17" s="2051"/>
      <c r="CB17" s="2051"/>
      <c r="CC17" s="2051"/>
      <c r="CD17" s="2028"/>
      <c r="CE17" s="782"/>
      <c r="CF17" s="782"/>
      <c r="CG17" s="782"/>
      <c r="CH17" s="782"/>
      <c r="CI17" s="782"/>
      <c r="CJ17" s="782"/>
      <c r="CK17" s="782"/>
      <c r="CL17" s="782"/>
      <c r="CM17" s="782"/>
      <c r="CN17" s="782"/>
      <c r="CO17" s="782"/>
      <c r="CP17" s="782"/>
      <c r="CQ17" s="2009"/>
      <c r="CR17" s="2051"/>
      <c r="CS17" s="2028"/>
      <c r="CT17" s="782"/>
      <c r="CU17" s="782"/>
      <c r="CV17" s="2009"/>
      <c r="CW17" s="2121"/>
      <c r="CX17" s="2047"/>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15" hidden="1" customHeight="1">
      <c r="A18" s="2046" t="s">
        <v>171</v>
      </c>
      <c r="B18" s="2093"/>
      <c r="C18" s="2108"/>
      <c r="D18" s="2052"/>
      <c r="E18" s="671"/>
      <c r="F18" s="440"/>
      <c r="G18" s="2007"/>
      <c r="H18" s="2049"/>
      <c r="I18" s="2025"/>
      <c r="J18" s="2051"/>
      <c r="K18" s="2111"/>
      <c r="L18" s="2047"/>
      <c r="M18" s="2102"/>
      <c r="N18" s="2028"/>
      <c r="O18" s="782"/>
      <c r="P18" s="782"/>
      <c r="Q18" s="782"/>
      <c r="R18" s="2009"/>
      <c r="S18" s="2051"/>
      <c r="T18" s="2028"/>
      <c r="U18" s="782"/>
      <c r="V18" s="2009"/>
      <c r="W18" s="2051"/>
      <c r="X18" s="2028"/>
      <c r="Y18" s="782"/>
      <c r="Z18" s="782"/>
      <c r="AA18" s="782"/>
      <c r="AB18" s="782"/>
      <c r="AC18" s="782"/>
      <c r="AD18" s="782"/>
      <c r="AE18" s="782"/>
      <c r="AF18" s="782"/>
      <c r="AG18" s="782"/>
      <c r="AH18" s="782"/>
      <c r="AI18" s="782"/>
      <c r="AJ18" s="782"/>
      <c r="AK18" s="782"/>
      <c r="AL18" s="782"/>
      <c r="AM18" s="2009"/>
      <c r="AN18" s="2051"/>
      <c r="AO18" s="2051"/>
      <c r="AP18" s="2028"/>
      <c r="AQ18" s="782"/>
      <c r="AR18" s="782"/>
      <c r="AS18" s="782"/>
      <c r="AT18" s="782"/>
      <c r="AU18" s="782"/>
      <c r="AV18" s="2009"/>
      <c r="AW18" s="2051"/>
      <c r="AX18" s="2051"/>
      <c r="AY18" s="2028"/>
      <c r="AZ18" s="782"/>
      <c r="BA18" s="782"/>
      <c r="BB18" s="782"/>
      <c r="BC18" s="2009"/>
      <c r="BD18" s="2051"/>
      <c r="BE18" s="2028"/>
      <c r="BF18" s="782"/>
      <c r="BG18" s="782"/>
      <c r="BH18" s="782"/>
      <c r="BI18" s="782"/>
      <c r="BJ18" s="782"/>
      <c r="BK18" s="782"/>
      <c r="BL18" s="2009"/>
      <c r="BM18" s="2051"/>
      <c r="BN18" s="2025"/>
      <c r="BO18" s="2051"/>
      <c r="BP18" s="2051"/>
      <c r="BQ18" s="2028"/>
      <c r="BR18" s="782"/>
      <c r="BS18" s="2009"/>
      <c r="BT18" s="2121"/>
      <c r="BU18" s="2051"/>
      <c r="BV18" s="2028"/>
      <c r="BW18" s="2009"/>
      <c r="BX18" s="2051"/>
      <c r="BY18" s="2025"/>
      <c r="BZ18" s="2051"/>
      <c r="CA18" s="2051"/>
      <c r="CB18" s="2051"/>
      <c r="CC18" s="2051"/>
      <c r="CD18" s="2028"/>
      <c r="CE18" s="782"/>
      <c r="CF18" s="782"/>
      <c r="CG18" s="782"/>
      <c r="CH18" s="782"/>
      <c r="CI18" s="782"/>
      <c r="CJ18" s="782"/>
      <c r="CK18" s="782"/>
      <c r="CL18" s="782"/>
      <c r="CM18" s="782"/>
      <c r="CN18" s="782"/>
      <c r="CO18" s="782"/>
      <c r="CP18" s="782"/>
      <c r="CQ18" s="2009"/>
      <c r="CR18" s="2051"/>
      <c r="CS18" s="2028"/>
      <c r="CT18" s="782"/>
      <c r="CU18" s="782"/>
      <c r="CV18" s="2009"/>
      <c r="CW18" s="2121"/>
      <c r="CX18" s="2047"/>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15" hidden="1" customHeight="1">
      <c r="A19" s="2046" t="s">
        <v>4794</v>
      </c>
      <c r="B19" s="2093"/>
      <c r="C19" s="2108"/>
      <c r="D19" s="2052"/>
      <c r="E19" s="671"/>
      <c r="F19" s="440"/>
      <c r="G19" s="2007"/>
      <c r="H19" s="2049"/>
      <c r="I19" s="2025"/>
      <c r="J19" s="2051"/>
      <c r="K19" s="2111"/>
      <c r="L19" s="2047"/>
      <c r="M19" s="2102"/>
      <c r="N19" s="2028"/>
      <c r="O19" s="782"/>
      <c r="P19" s="782"/>
      <c r="Q19" s="782"/>
      <c r="R19" s="2009"/>
      <c r="S19" s="2051"/>
      <c r="T19" s="2028"/>
      <c r="U19" s="782"/>
      <c r="V19" s="2009"/>
      <c r="W19" s="2051"/>
      <c r="X19" s="2028"/>
      <c r="Y19" s="782"/>
      <c r="Z19" s="782"/>
      <c r="AA19" s="782"/>
      <c r="AB19" s="782"/>
      <c r="AC19" s="782"/>
      <c r="AD19" s="782"/>
      <c r="AE19" s="782"/>
      <c r="AF19" s="782"/>
      <c r="AG19" s="782"/>
      <c r="AH19" s="782"/>
      <c r="AI19" s="782"/>
      <c r="AJ19" s="782"/>
      <c r="AK19" s="782"/>
      <c r="AL19" s="782"/>
      <c r="AM19" s="2009"/>
      <c r="AN19" s="2051"/>
      <c r="AO19" s="2051"/>
      <c r="AP19" s="2028"/>
      <c r="AQ19" s="782"/>
      <c r="AR19" s="782"/>
      <c r="AS19" s="782"/>
      <c r="AT19" s="782"/>
      <c r="AU19" s="782"/>
      <c r="AV19" s="2009"/>
      <c r="AW19" s="2051"/>
      <c r="AX19" s="2051"/>
      <c r="AY19" s="2028"/>
      <c r="AZ19" s="782"/>
      <c r="BA19" s="782"/>
      <c r="BB19" s="782"/>
      <c r="BC19" s="2009"/>
      <c r="BD19" s="2051"/>
      <c r="BE19" s="2028"/>
      <c r="BF19" s="782"/>
      <c r="BG19" s="782"/>
      <c r="BH19" s="782"/>
      <c r="BI19" s="782"/>
      <c r="BJ19" s="782"/>
      <c r="BK19" s="782"/>
      <c r="BL19" s="2009"/>
      <c r="BM19" s="2051"/>
      <c r="BN19" s="2025"/>
      <c r="BO19" s="2051"/>
      <c r="BP19" s="2051"/>
      <c r="BQ19" s="2028"/>
      <c r="BR19" s="782"/>
      <c r="BS19" s="2009"/>
      <c r="BT19" s="2121"/>
      <c r="BU19" s="2051"/>
      <c r="BV19" s="2028"/>
      <c r="BW19" s="2009"/>
      <c r="BX19" s="2051"/>
      <c r="BY19" s="2025"/>
      <c r="BZ19" s="2051"/>
      <c r="CA19" s="2051"/>
      <c r="CB19" s="2051"/>
      <c r="CC19" s="2051"/>
      <c r="CD19" s="2028"/>
      <c r="CE19" s="782"/>
      <c r="CF19" s="782"/>
      <c r="CG19" s="782"/>
      <c r="CH19" s="782"/>
      <c r="CI19" s="782"/>
      <c r="CJ19" s="782"/>
      <c r="CK19" s="782"/>
      <c r="CL19" s="782"/>
      <c r="CM19" s="782"/>
      <c r="CN19" s="782"/>
      <c r="CO19" s="782"/>
      <c r="CP19" s="782"/>
      <c r="CQ19" s="2009"/>
      <c r="CR19" s="2051"/>
      <c r="CS19" s="2028"/>
      <c r="CT19" s="782"/>
      <c r="CU19" s="782"/>
      <c r="CV19" s="2009"/>
      <c r="CW19" s="2121"/>
      <c r="CX19" s="2047"/>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15" hidden="1" customHeight="1">
      <c r="A20" s="2046" t="s">
        <v>4795</v>
      </c>
      <c r="B20" s="2093"/>
      <c r="C20" s="2108"/>
      <c r="D20" s="2052"/>
      <c r="E20" s="671"/>
      <c r="F20" s="440"/>
      <c r="G20" s="2007"/>
      <c r="H20" s="2049"/>
      <c r="I20" s="2025"/>
      <c r="J20" s="2051"/>
      <c r="K20" s="2111"/>
      <c r="L20" s="2047"/>
      <c r="M20" s="2102"/>
      <c r="N20" s="2028"/>
      <c r="O20" s="782"/>
      <c r="P20" s="782"/>
      <c r="Q20" s="782"/>
      <c r="R20" s="2009"/>
      <c r="S20" s="2051"/>
      <c r="T20" s="2028"/>
      <c r="U20" s="782"/>
      <c r="V20" s="2009"/>
      <c r="W20" s="2051"/>
      <c r="X20" s="2028"/>
      <c r="Y20" s="782"/>
      <c r="Z20" s="782"/>
      <c r="AA20" s="782"/>
      <c r="AB20" s="782"/>
      <c r="AC20" s="782"/>
      <c r="AD20" s="782"/>
      <c r="AE20" s="782"/>
      <c r="AF20" s="782"/>
      <c r="AG20" s="782"/>
      <c r="AH20" s="782"/>
      <c r="AI20" s="782"/>
      <c r="AJ20" s="782"/>
      <c r="AK20" s="782"/>
      <c r="AL20" s="782"/>
      <c r="AM20" s="2009"/>
      <c r="AN20" s="2051"/>
      <c r="AO20" s="2051"/>
      <c r="AP20" s="2028"/>
      <c r="AQ20" s="782"/>
      <c r="AR20" s="782"/>
      <c r="AS20" s="782"/>
      <c r="AT20" s="782"/>
      <c r="AU20" s="782"/>
      <c r="AV20" s="2009"/>
      <c r="AW20" s="2051"/>
      <c r="AX20" s="2051"/>
      <c r="AY20" s="2028"/>
      <c r="AZ20" s="782"/>
      <c r="BA20" s="782"/>
      <c r="BB20" s="782"/>
      <c r="BC20" s="2009"/>
      <c r="BD20" s="2051"/>
      <c r="BE20" s="2028"/>
      <c r="BF20" s="782"/>
      <c r="BG20" s="782"/>
      <c r="BH20" s="782"/>
      <c r="BI20" s="782"/>
      <c r="BJ20" s="782"/>
      <c r="BK20" s="782"/>
      <c r="BL20" s="2009"/>
      <c r="BM20" s="2051"/>
      <c r="BN20" s="2025"/>
      <c r="BO20" s="2051"/>
      <c r="BP20" s="2051"/>
      <c r="BQ20" s="2028"/>
      <c r="BR20" s="782"/>
      <c r="BS20" s="2009"/>
      <c r="BT20" s="2121"/>
      <c r="BU20" s="2051"/>
      <c r="BV20" s="2028"/>
      <c r="BW20" s="2009"/>
      <c r="BX20" s="2051"/>
      <c r="BY20" s="2025"/>
      <c r="BZ20" s="2051"/>
      <c r="CA20" s="2051"/>
      <c r="CB20" s="2051"/>
      <c r="CC20" s="2051"/>
      <c r="CD20" s="2028"/>
      <c r="CE20" s="782"/>
      <c r="CF20" s="782"/>
      <c r="CG20" s="782"/>
      <c r="CH20" s="782"/>
      <c r="CI20" s="782"/>
      <c r="CJ20" s="782"/>
      <c r="CK20" s="782"/>
      <c r="CL20" s="782"/>
      <c r="CM20" s="782"/>
      <c r="CN20" s="782"/>
      <c r="CO20" s="782"/>
      <c r="CP20" s="782"/>
      <c r="CQ20" s="2009"/>
      <c r="CR20" s="2051"/>
      <c r="CS20" s="2028"/>
      <c r="CT20" s="782"/>
      <c r="CU20" s="782"/>
      <c r="CV20" s="2009"/>
      <c r="CW20" s="2121"/>
      <c r="CX20" s="2047"/>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15" hidden="1" customHeight="1">
      <c r="A21" s="2046" t="s">
        <v>4796</v>
      </c>
      <c r="B21" s="2093"/>
      <c r="C21" s="2108"/>
      <c r="D21" s="2052"/>
      <c r="E21" s="671"/>
      <c r="F21" s="440"/>
      <c r="G21" s="2007"/>
      <c r="H21" s="2049"/>
      <c r="I21" s="2025"/>
      <c r="J21" s="2051"/>
      <c r="K21" s="2111"/>
      <c r="L21" s="2047"/>
      <c r="M21" s="2102"/>
      <c r="N21" s="2028"/>
      <c r="O21" s="782"/>
      <c r="P21" s="782"/>
      <c r="Q21" s="782"/>
      <c r="R21" s="2009"/>
      <c r="S21" s="2051"/>
      <c r="T21" s="2028"/>
      <c r="U21" s="782"/>
      <c r="V21" s="2009"/>
      <c r="W21" s="2051"/>
      <c r="X21" s="2028"/>
      <c r="Y21" s="782"/>
      <c r="Z21" s="782"/>
      <c r="AA21" s="782"/>
      <c r="AB21" s="782"/>
      <c r="AC21" s="782"/>
      <c r="AD21" s="782"/>
      <c r="AE21" s="782"/>
      <c r="AF21" s="782"/>
      <c r="AG21" s="782"/>
      <c r="AH21" s="782"/>
      <c r="AI21" s="782"/>
      <c r="AJ21" s="782"/>
      <c r="AK21" s="782"/>
      <c r="AL21" s="782"/>
      <c r="AM21" s="2009"/>
      <c r="AN21" s="2051"/>
      <c r="AO21" s="2051"/>
      <c r="AP21" s="2028"/>
      <c r="AQ21" s="782"/>
      <c r="AR21" s="782"/>
      <c r="AS21" s="782"/>
      <c r="AT21" s="782"/>
      <c r="AU21" s="782"/>
      <c r="AV21" s="2009"/>
      <c r="AW21" s="2051"/>
      <c r="AX21" s="2051"/>
      <c r="AY21" s="2028"/>
      <c r="AZ21" s="782"/>
      <c r="BA21" s="782"/>
      <c r="BB21" s="782"/>
      <c r="BC21" s="2009"/>
      <c r="BD21" s="2051"/>
      <c r="BE21" s="2028"/>
      <c r="BF21" s="782"/>
      <c r="BG21" s="782"/>
      <c r="BH21" s="782"/>
      <c r="BI21" s="782"/>
      <c r="BJ21" s="782"/>
      <c r="BK21" s="782"/>
      <c r="BL21" s="2009"/>
      <c r="BM21" s="2051"/>
      <c r="BN21" s="2025"/>
      <c r="BO21" s="2051"/>
      <c r="BP21" s="2051"/>
      <c r="BQ21" s="2028"/>
      <c r="BR21" s="782"/>
      <c r="BS21" s="2009"/>
      <c r="BT21" s="2121"/>
      <c r="BU21" s="2051"/>
      <c r="BV21" s="2028"/>
      <c r="BW21" s="2009"/>
      <c r="BX21" s="2051"/>
      <c r="BY21" s="2025"/>
      <c r="BZ21" s="2051"/>
      <c r="CA21" s="2051"/>
      <c r="CB21" s="2051"/>
      <c r="CC21" s="2051"/>
      <c r="CD21" s="2028"/>
      <c r="CE21" s="782"/>
      <c r="CF21" s="782"/>
      <c r="CG21" s="782"/>
      <c r="CH21" s="782"/>
      <c r="CI21" s="782"/>
      <c r="CJ21" s="782"/>
      <c r="CK21" s="782"/>
      <c r="CL21" s="782"/>
      <c r="CM21" s="782"/>
      <c r="CN21" s="782"/>
      <c r="CO21" s="782"/>
      <c r="CP21" s="782"/>
      <c r="CQ21" s="2009"/>
      <c r="CR21" s="2051"/>
      <c r="CS21" s="2028"/>
      <c r="CT21" s="782"/>
      <c r="CU21" s="782"/>
      <c r="CV21" s="2009"/>
      <c r="CW21" s="2121"/>
      <c r="CX21" s="2047"/>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15" hidden="1" customHeight="1">
      <c r="A22" s="2046" t="s">
        <v>4797</v>
      </c>
      <c r="B22" s="2093"/>
      <c r="C22" s="2108"/>
      <c r="D22" s="2052"/>
      <c r="E22" s="671"/>
      <c r="F22" s="440"/>
      <c r="G22" s="2007"/>
      <c r="H22" s="2049"/>
      <c r="I22" s="2025"/>
      <c r="J22" s="2051"/>
      <c r="K22" s="2111"/>
      <c r="L22" s="2047"/>
      <c r="M22" s="2102"/>
      <c r="N22" s="2028"/>
      <c r="O22" s="782"/>
      <c r="P22" s="782"/>
      <c r="Q22" s="782"/>
      <c r="R22" s="2009"/>
      <c r="S22" s="2051"/>
      <c r="T22" s="2028"/>
      <c r="U22" s="782"/>
      <c r="V22" s="2009"/>
      <c r="W22" s="2051"/>
      <c r="X22" s="2028"/>
      <c r="Y22" s="782"/>
      <c r="Z22" s="782"/>
      <c r="AA22" s="782"/>
      <c r="AB22" s="782"/>
      <c r="AC22" s="782"/>
      <c r="AD22" s="782"/>
      <c r="AE22" s="782"/>
      <c r="AF22" s="782"/>
      <c r="AG22" s="782"/>
      <c r="AH22" s="782"/>
      <c r="AI22" s="782"/>
      <c r="AJ22" s="782"/>
      <c r="AK22" s="782"/>
      <c r="AL22" s="782"/>
      <c r="AM22" s="2009"/>
      <c r="AN22" s="2051"/>
      <c r="AO22" s="2051"/>
      <c r="AP22" s="2028"/>
      <c r="AQ22" s="782"/>
      <c r="AR22" s="782"/>
      <c r="AS22" s="782"/>
      <c r="AT22" s="782"/>
      <c r="AU22" s="782"/>
      <c r="AV22" s="2009"/>
      <c r="AW22" s="2051"/>
      <c r="AX22" s="2051"/>
      <c r="AY22" s="2028"/>
      <c r="AZ22" s="782"/>
      <c r="BA22" s="782"/>
      <c r="BB22" s="782"/>
      <c r="BC22" s="2009"/>
      <c r="BD22" s="2051"/>
      <c r="BE22" s="2028"/>
      <c r="BF22" s="782"/>
      <c r="BG22" s="782"/>
      <c r="BH22" s="782"/>
      <c r="BI22" s="782"/>
      <c r="BJ22" s="782"/>
      <c r="BK22" s="782"/>
      <c r="BL22" s="2009"/>
      <c r="BM22" s="2051"/>
      <c r="BN22" s="2025"/>
      <c r="BO22" s="2051"/>
      <c r="BP22" s="2051"/>
      <c r="BQ22" s="2028"/>
      <c r="BR22" s="782"/>
      <c r="BS22" s="2009"/>
      <c r="BT22" s="2121"/>
      <c r="BU22" s="2051"/>
      <c r="BV22" s="2028"/>
      <c r="BW22" s="2009"/>
      <c r="BX22" s="2051"/>
      <c r="BY22" s="2025"/>
      <c r="BZ22" s="2051"/>
      <c r="CA22" s="2051"/>
      <c r="CB22" s="2051"/>
      <c r="CC22" s="2051"/>
      <c r="CD22" s="2028"/>
      <c r="CE22" s="782"/>
      <c r="CF22" s="782"/>
      <c r="CG22" s="782"/>
      <c r="CH22" s="782"/>
      <c r="CI22" s="782"/>
      <c r="CJ22" s="782"/>
      <c r="CK22" s="782"/>
      <c r="CL22" s="782"/>
      <c r="CM22" s="782"/>
      <c r="CN22" s="782"/>
      <c r="CO22" s="782"/>
      <c r="CP22" s="782"/>
      <c r="CQ22" s="2009"/>
      <c r="CR22" s="2051"/>
      <c r="CS22" s="2028"/>
      <c r="CT22" s="782"/>
      <c r="CU22" s="782"/>
      <c r="CV22" s="2009"/>
      <c r="CW22" s="2121"/>
      <c r="CX22" s="2047"/>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30" customFormat="1" ht="25.15" hidden="1" customHeight="1">
      <c r="A23" s="2046" t="s">
        <v>4798</v>
      </c>
      <c r="B23" s="2093"/>
      <c r="C23" s="2109"/>
      <c r="D23" s="2052"/>
      <c r="E23" s="2096"/>
      <c r="F23" s="1380"/>
      <c r="G23" s="2112"/>
      <c r="H23" s="2049"/>
      <c r="I23" s="2114"/>
      <c r="J23" s="2127"/>
      <c r="K23" s="2114"/>
      <c r="L23" s="2047"/>
      <c r="M23" s="2154"/>
      <c r="N23" s="2098"/>
      <c r="O23" s="626"/>
      <c r="P23" s="626"/>
      <c r="Q23" s="626"/>
      <c r="R23" s="2117"/>
      <c r="S23" s="2051"/>
      <c r="T23" s="2098"/>
      <c r="U23" s="626"/>
      <c r="V23" s="2117"/>
      <c r="W23" s="2127"/>
      <c r="X23" s="2098"/>
      <c r="Y23" s="626"/>
      <c r="Z23" s="626"/>
      <c r="AA23" s="626"/>
      <c r="AB23" s="626"/>
      <c r="AC23" s="626"/>
      <c r="AD23" s="626"/>
      <c r="AE23" s="626"/>
      <c r="AF23" s="626"/>
      <c r="AG23" s="626"/>
      <c r="AH23" s="626"/>
      <c r="AI23" s="626"/>
      <c r="AJ23" s="626"/>
      <c r="AK23" s="626"/>
      <c r="AL23" s="626"/>
      <c r="AM23" s="2117"/>
      <c r="AN23" s="2127"/>
      <c r="AO23" s="2127"/>
      <c r="AP23" s="2098"/>
      <c r="AQ23" s="626"/>
      <c r="AR23" s="626"/>
      <c r="AS23" s="626"/>
      <c r="AT23" s="626"/>
      <c r="AU23" s="626"/>
      <c r="AV23" s="2117"/>
      <c r="AW23" s="2127"/>
      <c r="AX23" s="2127"/>
      <c r="AY23" s="2098"/>
      <c r="AZ23" s="626"/>
      <c r="BA23" s="626"/>
      <c r="BB23" s="626"/>
      <c r="BC23" s="2117"/>
      <c r="BD23" s="2047"/>
      <c r="BE23" s="2098"/>
      <c r="BF23" s="626"/>
      <c r="BG23" s="626"/>
      <c r="BH23" s="626"/>
      <c r="BI23" s="626"/>
      <c r="BJ23" s="626"/>
      <c r="BK23" s="626"/>
      <c r="BL23" s="2117"/>
      <c r="BM23" s="2127"/>
      <c r="BN23" s="2114"/>
      <c r="BO23" s="2047"/>
      <c r="BP23" s="2047"/>
      <c r="BQ23" s="2098"/>
      <c r="BR23" s="626"/>
      <c r="BS23" s="2117"/>
      <c r="BT23" s="2151"/>
      <c r="BU23" s="2047"/>
      <c r="BV23" s="2098"/>
      <c r="BW23" s="2117"/>
      <c r="BX23" s="2047"/>
      <c r="BY23" s="2111"/>
      <c r="BZ23" s="2047"/>
      <c r="CA23" s="2047"/>
      <c r="CB23" s="2047"/>
      <c r="CC23" s="2047"/>
      <c r="CD23" s="671"/>
      <c r="CE23" s="551"/>
      <c r="CF23" s="551"/>
      <c r="CG23" s="551"/>
      <c r="CH23" s="551"/>
      <c r="CI23" s="551"/>
      <c r="CJ23" s="551"/>
      <c r="CK23" s="551"/>
      <c r="CL23" s="551"/>
      <c r="CM23" s="551"/>
      <c r="CN23" s="626"/>
      <c r="CO23" s="626"/>
      <c r="CP23" s="626"/>
      <c r="CQ23" s="2117"/>
      <c r="CR23" s="2127"/>
      <c r="CS23" s="2098"/>
      <c r="CT23" s="626"/>
      <c r="CU23" s="626"/>
      <c r="CV23" s="2117"/>
      <c r="CW23" s="2151"/>
      <c r="CX23" s="2129"/>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15" hidden="1" customHeight="1">
      <c r="A24" s="2046" t="s">
        <v>4799</v>
      </c>
      <c r="B24" s="2093"/>
      <c r="C24" s="2110"/>
      <c r="D24" s="2052"/>
      <c r="E24" s="2097"/>
      <c r="F24" s="1499"/>
      <c r="G24" s="2113"/>
      <c r="H24" s="2049"/>
      <c r="I24" s="2115"/>
      <c r="J24" s="2125"/>
      <c r="K24" s="2115"/>
      <c r="L24" s="2047"/>
      <c r="M24" s="2155"/>
      <c r="N24" s="2097"/>
      <c r="O24" s="1499"/>
      <c r="P24" s="1499"/>
      <c r="Q24" s="1499"/>
      <c r="R24" s="2118"/>
      <c r="S24" s="2051"/>
      <c r="T24" s="2097"/>
      <c r="U24" s="1499"/>
      <c r="V24" s="2118"/>
      <c r="W24" s="2125"/>
      <c r="X24" s="2097"/>
      <c r="Y24" s="1499"/>
      <c r="Z24" s="1499"/>
      <c r="AA24" s="1499"/>
      <c r="AB24" s="1499"/>
      <c r="AC24" s="1499"/>
      <c r="AD24" s="1499"/>
      <c r="AE24" s="1499"/>
      <c r="AF24" s="1499"/>
      <c r="AG24" s="1499"/>
      <c r="AH24" s="1499"/>
      <c r="AI24" s="1499"/>
      <c r="AJ24" s="1499"/>
      <c r="AK24" s="1499"/>
      <c r="AL24" s="1499"/>
      <c r="AM24" s="2118"/>
      <c r="AN24" s="2051"/>
      <c r="AO24" s="2125"/>
      <c r="AP24" s="2097"/>
      <c r="AQ24" s="1499"/>
      <c r="AR24" s="1499"/>
      <c r="AS24" s="1499"/>
      <c r="AT24" s="1499"/>
      <c r="AU24" s="1499"/>
      <c r="AV24" s="2118"/>
      <c r="AW24" s="2051"/>
      <c r="AX24" s="2125"/>
      <c r="AY24" s="2097"/>
      <c r="AZ24" s="1499"/>
      <c r="BA24" s="1499"/>
      <c r="BB24" s="1499"/>
      <c r="BC24" s="2118"/>
      <c r="BD24" s="2048"/>
      <c r="BE24" s="2097"/>
      <c r="BF24" s="1499"/>
      <c r="BG24" s="1499"/>
      <c r="BH24" s="1499"/>
      <c r="BI24" s="1499"/>
      <c r="BJ24" s="1499"/>
      <c r="BK24" s="1499"/>
      <c r="BL24" s="2118"/>
      <c r="BM24" s="2125"/>
      <c r="BN24" s="2115"/>
      <c r="BO24" s="2048"/>
      <c r="BP24" s="2048"/>
      <c r="BQ24" s="2097"/>
      <c r="BR24" s="1499"/>
      <c r="BS24" s="2118"/>
      <c r="BT24" s="2152"/>
      <c r="BU24" s="2048"/>
      <c r="BV24" s="2097"/>
      <c r="BW24" s="2118"/>
      <c r="BX24" s="2048"/>
      <c r="BY24" s="2022"/>
      <c r="BZ24" s="2048"/>
      <c r="CA24" s="2048"/>
      <c r="CB24" s="2048"/>
      <c r="CC24" s="2048"/>
      <c r="CD24" s="2132"/>
      <c r="CE24" s="1386"/>
      <c r="CF24" s="1386"/>
      <c r="CG24" s="1386"/>
      <c r="CH24" s="1386"/>
      <c r="CI24" s="1386"/>
      <c r="CJ24" s="1386"/>
      <c r="CK24" s="1386"/>
      <c r="CL24" s="1386"/>
      <c r="CM24" s="1386"/>
      <c r="CN24" s="1499"/>
      <c r="CO24" s="1499"/>
      <c r="CP24" s="1499"/>
      <c r="CQ24" s="2118"/>
      <c r="CR24" s="2125"/>
      <c r="CS24" s="2097"/>
      <c r="CT24" s="1499"/>
      <c r="CU24" s="1499"/>
      <c r="CV24" s="2118"/>
      <c r="CW24" s="2152"/>
      <c r="CX24" s="2130"/>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15" hidden="1" customHeight="1">
      <c r="A25" s="2046" t="s">
        <v>4800</v>
      </c>
      <c r="B25" s="2093"/>
      <c r="C25" s="2111"/>
      <c r="D25" s="2052"/>
      <c r="E25" s="671"/>
      <c r="F25" s="440"/>
      <c r="G25" s="2007"/>
      <c r="H25" s="2049"/>
      <c r="I25" s="2116"/>
      <c r="J25" s="2128"/>
      <c r="K25" s="2116"/>
      <c r="L25" s="2047"/>
      <c r="M25" s="2156"/>
      <c r="N25" s="2099"/>
      <c r="O25" s="1387"/>
      <c r="P25" s="1387"/>
      <c r="Q25" s="1387"/>
      <c r="R25" s="2119"/>
      <c r="S25" s="2051"/>
      <c r="T25" s="2099"/>
      <c r="U25" s="1387"/>
      <c r="V25" s="2119"/>
      <c r="W25" s="2128"/>
      <c r="X25" s="2099"/>
      <c r="Y25" s="1387"/>
      <c r="Z25" s="1387"/>
      <c r="AA25" s="1387"/>
      <c r="AB25" s="1387"/>
      <c r="AC25" s="1387"/>
      <c r="AD25" s="1387"/>
      <c r="AE25" s="1387"/>
      <c r="AF25" s="1387"/>
      <c r="AG25" s="1387"/>
      <c r="AH25" s="1387"/>
      <c r="AI25" s="1387"/>
      <c r="AJ25" s="1387"/>
      <c r="AK25" s="1387"/>
      <c r="AL25" s="1387"/>
      <c r="AM25" s="2119"/>
      <c r="AN25" s="2051"/>
      <c r="AO25" s="2128"/>
      <c r="AP25" s="2099"/>
      <c r="AQ25" s="1387"/>
      <c r="AR25" s="1387"/>
      <c r="AS25" s="1387"/>
      <c r="AT25" s="1387"/>
      <c r="AU25" s="1387"/>
      <c r="AV25" s="2119"/>
      <c r="AW25" s="2051"/>
      <c r="AX25" s="2128"/>
      <c r="AY25" s="2099"/>
      <c r="AZ25" s="1387"/>
      <c r="BA25" s="1387"/>
      <c r="BB25" s="1387"/>
      <c r="BC25" s="2119"/>
      <c r="BD25" s="2128"/>
      <c r="BE25" s="2099"/>
      <c r="BF25" s="1387"/>
      <c r="BG25" s="1387"/>
      <c r="BH25" s="1387"/>
      <c r="BI25" s="1387"/>
      <c r="BJ25" s="1387"/>
      <c r="BK25" s="1387"/>
      <c r="BL25" s="2119"/>
      <c r="BM25" s="2128"/>
      <c r="BN25" s="2116"/>
      <c r="BO25" s="2128"/>
      <c r="BP25" s="2128"/>
      <c r="BQ25" s="2099"/>
      <c r="BR25" s="1387"/>
      <c r="BS25" s="2119"/>
      <c r="BT25" s="2153"/>
      <c r="BU25" s="2128"/>
      <c r="BV25" s="2099"/>
      <c r="BW25" s="2119"/>
      <c r="BX25" s="2128"/>
      <c r="BY25" s="2116"/>
      <c r="BZ25" s="2128"/>
      <c r="CA25" s="2128"/>
      <c r="CB25" s="2128"/>
      <c r="CC25" s="2128"/>
      <c r="CD25" s="2099"/>
      <c r="CE25" s="1387"/>
      <c r="CF25" s="1387"/>
      <c r="CG25" s="1387"/>
      <c r="CH25" s="1387"/>
      <c r="CI25" s="1387"/>
      <c r="CJ25" s="1387"/>
      <c r="CK25" s="1387"/>
      <c r="CL25" s="1387"/>
      <c r="CM25" s="1387"/>
      <c r="CN25" s="1387"/>
      <c r="CO25" s="1387"/>
      <c r="CP25" s="1387"/>
      <c r="CQ25" s="2119"/>
      <c r="CR25" s="2128"/>
      <c r="CS25" s="2099"/>
      <c r="CT25" s="1387"/>
      <c r="CU25" s="1387"/>
      <c r="CV25" s="2119"/>
      <c r="CW25" s="2153"/>
      <c r="CX25" s="2047"/>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15" hidden="1" customHeight="1">
      <c r="A26" s="2046" t="s">
        <v>4591</v>
      </c>
      <c r="B26" s="2093"/>
      <c r="C26" s="2111"/>
      <c r="D26" s="2052"/>
      <c r="E26" s="671"/>
      <c r="F26" s="440"/>
      <c r="G26" s="2007"/>
      <c r="H26" s="2049"/>
      <c r="I26" s="2116"/>
      <c r="J26" s="2128"/>
      <c r="K26" s="2116"/>
      <c r="L26" s="2047"/>
      <c r="M26" s="2156"/>
      <c r="N26" s="2099"/>
      <c r="O26" s="1387"/>
      <c r="P26" s="1387"/>
      <c r="Q26" s="1387"/>
      <c r="R26" s="2119"/>
      <c r="S26" s="2051"/>
      <c r="T26" s="2099"/>
      <c r="U26" s="1387"/>
      <c r="V26" s="2119"/>
      <c r="W26" s="2128"/>
      <c r="X26" s="2099"/>
      <c r="Y26" s="1387"/>
      <c r="Z26" s="1387"/>
      <c r="AA26" s="1387"/>
      <c r="AB26" s="1387"/>
      <c r="AC26" s="1387"/>
      <c r="AD26" s="1387"/>
      <c r="AE26" s="1387"/>
      <c r="AF26" s="1387"/>
      <c r="AG26" s="1387"/>
      <c r="AH26" s="1387"/>
      <c r="AI26" s="1387"/>
      <c r="AJ26" s="1387"/>
      <c r="AK26" s="1387"/>
      <c r="AL26" s="1387"/>
      <c r="AM26" s="2119"/>
      <c r="AN26" s="2051"/>
      <c r="AO26" s="2128"/>
      <c r="AP26" s="2099"/>
      <c r="AQ26" s="1387"/>
      <c r="AR26" s="1387"/>
      <c r="AS26" s="1387"/>
      <c r="AT26" s="1387"/>
      <c r="AU26" s="1387"/>
      <c r="AV26" s="2119"/>
      <c r="AW26" s="2051"/>
      <c r="AX26" s="2128"/>
      <c r="AY26" s="2099"/>
      <c r="AZ26" s="1387"/>
      <c r="BA26" s="1387"/>
      <c r="BB26" s="1387"/>
      <c r="BC26" s="2119"/>
      <c r="BD26" s="2128"/>
      <c r="BE26" s="2099"/>
      <c r="BF26" s="1387"/>
      <c r="BG26" s="1387"/>
      <c r="BH26" s="1387"/>
      <c r="BI26" s="1387"/>
      <c r="BJ26" s="1387"/>
      <c r="BK26" s="1387"/>
      <c r="BL26" s="2119"/>
      <c r="BM26" s="2128"/>
      <c r="BN26" s="2116"/>
      <c r="BO26" s="2128"/>
      <c r="BP26" s="2128"/>
      <c r="BQ26" s="2099"/>
      <c r="BR26" s="1387"/>
      <c r="BS26" s="2119"/>
      <c r="BT26" s="2153"/>
      <c r="BU26" s="2128"/>
      <c r="BV26" s="2099"/>
      <c r="BW26" s="2119"/>
      <c r="BX26" s="2128"/>
      <c r="BY26" s="2116"/>
      <c r="BZ26" s="2128"/>
      <c r="CA26" s="2128"/>
      <c r="CB26" s="2128"/>
      <c r="CC26" s="2128"/>
      <c r="CD26" s="2099"/>
      <c r="CE26" s="1387"/>
      <c r="CF26" s="1387"/>
      <c r="CG26" s="1387"/>
      <c r="CH26" s="1387"/>
      <c r="CI26" s="1387"/>
      <c r="CJ26" s="1387"/>
      <c r="CK26" s="1387"/>
      <c r="CL26" s="1387"/>
      <c r="CM26" s="1387"/>
      <c r="CN26" s="1387"/>
      <c r="CO26" s="1387"/>
      <c r="CP26" s="1387"/>
      <c r="CQ26" s="2119"/>
      <c r="CR26" s="2128"/>
      <c r="CS26" s="2099"/>
      <c r="CT26" s="1387"/>
      <c r="CU26" s="1387"/>
      <c r="CV26" s="2119"/>
      <c r="CW26" s="2153"/>
      <c r="CX26" s="2056"/>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15" hidden="1" customHeight="1">
      <c r="A27" s="2046" t="s">
        <v>4801</v>
      </c>
      <c r="B27" s="2093"/>
      <c r="C27" s="2111"/>
      <c r="D27" s="2052"/>
      <c r="E27" s="671"/>
      <c r="F27" s="440"/>
      <c r="G27" s="2007"/>
      <c r="H27" s="2049"/>
      <c r="I27" s="2116"/>
      <c r="J27" s="2128"/>
      <c r="K27" s="2116"/>
      <c r="L27" s="2047"/>
      <c r="M27" s="2156"/>
      <c r="N27" s="2099"/>
      <c r="O27" s="1387"/>
      <c r="P27" s="1387"/>
      <c r="Q27" s="1387"/>
      <c r="R27" s="2119"/>
      <c r="S27" s="2051"/>
      <c r="T27" s="2099"/>
      <c r="U27" s="1387"/>
      <c r="V27" s="2119"/>
      <c r="W27" s="2128"/>
      <c r="X27" s="2099"/>
      <c r="Y27" s="1387"/>
      <c r="Z27" s="1387"/>
      <c r="AA27" s="1387"/>
      <c r="AB27" s="1387"/>
      <c r="AC27" s="1387"/>
      <c r="AD27" s="1387"/>
      <c r="AE27" s="1387"/>
      <c r="AF27" s="1387"/>
      <c r="AG27" s="1387"/>
      <c r="AH27" s="1387"/>
      <c r="AI27" s="1387"/>
      <c r="AJ27" s="1387"/>
      <c r="AK27" s="1387"/>
      <c r="AL27" s="1387"/>
      <c r="AM27" s="2119"/>
      <c r="AN27" s="2051"/>
      <c r="AO27" s="2128"/>
      <c r="AP27" s="2099"/>
      <c r="AQ27" s="1387"/>
      <c r="AR27" s="1387"/>
      <c r="AS27" s="1387"/>
      <c r="AT27" s="1387"/>
      <c r="AU27" s="1387"/>
      <c r="AV27" s="2119"/>
      <c r="AW27" s="2051"/>
      <c r="AX27" s="2128"/>
      <c r="AY27" s="2099"/>
      <c r="AZ27" s="1387"/>
      <c r="BA27" s="1387"/>
      <c r="BB27" s="1387"/>
      <c r="BC27" s="2119"/>
      <c r="BD27" s="2128"/>
      <c r="BE27" s="2099"/>
      <c r="BF27" s="1387"/>
      <c r="BG27" s="1387"/>
      <c r="BH27" s="1387"/>
      <c r="BI27" s="1387"/>
      <c r="BJ27" s="1387"/>
      <c r="BK27" s="1387"/>
      <c r="BL27" s="2119"/>
      <c r="BM27" s="2128"/>
      <c r="BN27" s="2116"/>
      <c r="BO27" s="2128"/>
      <c r="BP27" s="2128"/>
      <c r="BQ27" s="2099"/>
      <c r="BR27" s="1387"/>
      <c r="BS27" s="2119"/>
      <c r="BT27" s="2153"/>
      <c r="BU27" s="2128"/>
      <c r="BV27" s="2099"/>
      <c r="BW27" s="2119"/>
      <c r="BX27" s="2128"/>
      <c r="BY27" s="2116"/>
      <c r="BZ27" s="2128"/>
      <c r="CA27" s="2128"/>
      <c r="CB27" s="2128"/>
      <c r="CC27" s="2128"/>
      <c r="CD27" s="2099"/>
      <c r="CE27" s="1387"/>
      <c r="CF27" s="1387"/>
      <c r="CG27" s="1387"/>
      <c r="CH27" s="1387"/>
      <c r="CI27" s="1387"/>
      <c r="CJ27" s="1387"/>
      <c r="CK27" s="1387"/>
      <c r="CL27" s="1387"/>
      <c r="CM27" s="1387"/>
      <c r="CN27" s="1387"/>
      <c r="CO27" s="1387"/>
      <c r="CP27" s="1387"/>
      <c r="CQ27" s="2119"/>
      <c r="CR27" s="2128"/>
      <c r="CS27" s="2099"/>
      <c r="CT27" s="1387"/>
      <c r="CU27" s="1387"/>
      <c r="CV27" s="2119"/>
      <c r="CW27" s="2153"/>
      <c r="CX27" s="2056"/>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5" hidden="1">
      <c r="A28" s="2106"/>
      <c r="B28" s="556"/>
      <c r="C28" s="551"/>
      <c r="D28" s="2042"/>
      <c r="E28" s="551"/>
      <c r="F28" s="440"/>
      <c r="G28" s="441"/>
      <c r="H28" s="557"/>
      <c r="I28" s="1387"/>
      <c r="J28" s="2107"/>
      <c r="K28" s="1387"/>
      <c r="L28" s="2107"/>
      <c r="M28" s="2107"/>
      <c r="N28" s="1387"/>
      <c r="O28" s="1387"/>
      <c r="P28" s="1387"/>
      <c r="Q28" s="1387"/>
      <c r="R28" s="1387"/>
      <c r="S28" s="2107"/>
      <c r="T28" s="1387"/>
      <c r="U28" s="1387"/>
      <c r="V28" s="1387"/>
      <c r="W28" s="2107"/>
      <c r="X28" s="1387"/>
      <c r="Y28" s="1387"/>
      <c r="Z28" s="1387"/>
      <c r="AA28" s="1387"/>
      <c r="AB28" s="1387"/>
      <c r="AC28" s="1387"/>
      <c r="AD28" s="1387"/>
      <c r="AE28" s="1387"/>
      <c r="AF28" s="1387"/>
      <c r="AG28" s="1387"/>
      <c r="AH28" s="1387"/>
      <c r="AI28" s="1387"/>
      <c r="AJ28" s="1387"/>
      <c r="AK28" s="1387"/>
      <c r="AL28" s="1387"/>
      <c r="AM28" s="1387"/>
      <c r="AN28" s="2107"/>
      <c r="AO28" s="2107"/>
      <c r="AP28" s="1387"/>
      <c r="AQ28" s="1387"/>
      <c r="AR28" s="1387"/>
      <c r="AS28" s="1387"/>
      <c r="AT28" s="1387"/>
      <c r="AU28" s="1387"/>
      <c r="AV28" s="1387"/>
      <c r="AW28" s="2107"/>
      <c r="AX28" s="2107"/>
      <c r="AY28" s="1387"/>
      <c r="AZ28" s="1387"/>
      <c r="BA28" s="1387"/>
      <c r="BB28" s="1387"/>
      <c r="BC28" s="1387"/>
      <c r="BD28" s="2107"/>
      <c r="BE28" s="1387"/>
      <c r="BF28" s="1387"/>
      <c r="BG28" s="1387"/>
      <c r="BH28" s="1387"/>
      <c r="BI28" s="1387"/>
      <c r="BJ28" s="1387"/>
      <c r="BK28" s="1387"/>
      <c r="BL28" s="1387"/>
      <c r="BM28" s="2107"/>
      <c r="BN28" s="1387"/>
      <c r="BO28" s="2107"/>
      <c r="BP28" s="2107"/>
      <c r="BQ28" s="1387"/>
      <c r="BR28" s="1387"/>
      <c r="BS28" s="1387"/>
      <c r="BT28" s="2107"/>
      <c r="BU28" s="2107"/>
      <c r="BV28" s="1387"/>
      <c r="BW28" s="1387"/>
      <c r="BX28" s="2107"/>
      <c r="BY28" s="1387"/>
      <c r="BZ28" s="2107"/>
      <c r="CA28" s="2107"/>
      <c r="CB28" s="2107"/>
      <c r="CC28" s="2107"/>
      <c r="CD28" s="1387"/>
      <c r="CE28" s="1387"/>
      <c r="CF28" s="1387"/>
      <c r="CG28" s="1387"/>
      <c r="CH28" s="1387"/>
      <c r="CI28" s="1387"/>
      <c r="CJ28" s="1387"/>
      <c r="CK28" s="1387"/>
      <c r="CL28" s="1387"/>
      <c r="CM28" s="1387"/>
      <c r="CN28" s="1387"/>
      <c r="CO28" s="1387"/>
      <c r="CP28" s="1387"/>
      <c r="CQ28" s="1387"/>
      <c r="CR28" s="2107"/>
      <c r="CS28" s="1387"/>
      <c r="CT28" s="1387"/>
      <c r="CU28" s="1387"/>
      <c r="CV28" s="1387"/>
      <c r="CW28" s="2107"/>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5" hidden="1">
      <c r="A29" s="1502"/>
      <c r="B29" s="551"/>
      <c r="C29" s="551"/>
      <c r="D29" s="1336"/>
      <c r="E29" s="551"/>
      <c r="F29" s="440"/>
      <c r="G29" s="441"/>
      <c r="H29" s="440"/>
      <c r="I29" s="1387"/>
      <c r="J29" s="1387"/>
      <c r="K29" s="1387"/>
      <c r="L29" s="1387"/>
      <c r="M29" s="1387"/>
      <c r="N29" s="1387"/>
      <c r="O29" s="1387"/>
      <c r="P29" s="1387"/>
      <c r="Q29" s="1387"/>
      <c r="R29" s="1387"/>
      <c r="S29" s="1387"/>
      <c r="T29" s="1387"/>
      <c r="U29" s="1387"/>
      <c r="V29" s="1387"/>
      <c r="W29" s="1387"/>
      <c r="X29" s="1387"/>
      <c r="Y29" s="1387"/>
      <c r="Z29" s="1387"/>
      <c r="AA29" s="1387"/>
      <c r="AB29" s="1387"/>
      <c r="AC29" s="1387"/>
      <c r="AD29" s="1387"/>
      <c r="AE29" s="1387"/>
      <c r="AF29" s="1387"/>
      <c r="AG29" s="1387"/>
      <c r="AH29" s="1387"/>
      <c r="AI29" s="1387"/>
      <c r="AJ29" s="1387"/>
      <c r="AK29" s="1387"/>
      <c r="AL29" s="1387"/>
      <c r="AM29" s="1387"/>
      <c r="AN29" s="1387"/>
      <c r="AO29" s="1387"/>
      <c r="AP29" s="1387"/>
      <c r="AQ29" s="1387"/>
      <c r="AR29" s="1387"/>
      <c r="AS29" s="1387"/>
      <c r="AT29" s="1387"/>
      <c r="AU29" s="1387"/>
      <c r="AV29" s="1387"/>
      <c r="AW29" s="1387"/>
      <c r="AX29" s="1387"/>
      <c r="AY29" s="1387"/>
      <c r="AZ29" s="1387"/>
      <c r="BA29" s="1387"/>
      <c r="BB29" s="1387"/>
      <c r="BC29" s="1387"/>
      <c r="BD29" s="1387"/>
      <c r="BE29" s="1387"/>
      <c r="BF29" s="1387"/>
      <c r="BG29" s="1387"/>
      <c r="BH29" s="1387"/>
      <c r="BI29" s="1387"/>
      <c r="BJ29" s="1387"/>
      <c r="BK29" s="1387"/>
      <c r="BL29" s="1387"/>
      <c r="BM29" s="1387"/>
      <c r="BN29" s="1387"/>
      <c r="BO29" s="1387"/>
      <c r="BP29" s="1387"/>
      <c r="BQ29" s="1387"/>
      <c r="BR29" s="1387"/>
      <c r="BS29" s="1387"/>
      <c r="BT29" s="1387"/>
      <c r="BU29" s="1387"/>
      <c r="BV29" s="1387"/>
      <c r="BW29" s="1387"/>
      <c r="BX29" s="1387"/>
      <c r="BY29" s="1387"/>
      <c r="BZ29" s="1387"/>
      <c r="CA29" s="1387"/>
      <c r="CB29" s="1387"/>
      <c r="CC29" s="1387"/>
      <c r="CD29" s="1387"/>
      <c r="CE29" s="1387"/>
      <c r="CF29" s="1387"/>
      <c r="CG29" s="1387"/>
      <c r="CH29" s="1387"/>
      <c r="CI29" s="1387"/>
      <c r="CJ29" s="1387"/>
      <c r="CK29" s="1387"/>
      <c r="CL29" s="1387"/>
      <c r="CM29" s="1387"/>
      <c r="CN29" s="1387"/>
      <c r="CO29" s="1387"/>
      <c r="CP29" s="1387"/>
      <c r="CQ29" s="1387"/>
      <c r="CR29" s="1387"/>
      <c r="CS29" s="1387"/>
      <c r="CT29" s="1387"/>
      <c r="CU29" s="1387"/>
      <c r="CV29" s="1387"/>
      <c r="CW29" s="1387"/>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5" hidden="1">
      <c r="A30" s="1502"/>
      <c r="B30" s="551"/>
      <c r="C30" s="551"/>
      <c r="D30" s="1336"/>
      <c r="E30" s="551"/>
      <c r="F30" s="440"/>
      <c r="G30" s="441"/>
      <c r="H30" s="440"/>
      <c r="I30" s="1387"/>
      <c r="J30" s="1387"/>
      <c r="K30" s="1387"/>
      <c r="L30" s="1387"/>
      <c r="M30" s="1387"/>
      <c r="N30" s="1387"/>
      <c r="O30" s="1387"/>
      <c r="P30" s="1387"/>
      <c r="Q30" s="1387"/>
      <c r="R30" s="1387"/>
      <c r="S30" s="1387"/>
      <c r="T30" s="1387"/>
      <c r="U30" s="1387"/>
      <c r="V30" s="1387"/>
      <c r="W30" s="1387"/>
      <c r="X30" s="1387"/>
      <c r="Y30" s="1387"/>
      <c r="Z30" s="1387"/>
      <c r="AA30" s="1387"/>
      <c r="AB30" s="1387"/>
      <c r="AC30" s="1387"/>
      <c r="AD30" s="1387"/>
      <c r="AE30" s="1387"/>
      <c r="AF30" s="1387"/>
      <c r="AG30" s="1387"/>
      <c r="AH30" s="1387"/>
      <c r="AI30" s="1387"/>
      <c r="AJ30" s="1387"/>
      <c r="AK30" s="1387"/>
      <c r="AL30" s="1387"/>
      <c r="AM30" s="1387"/>
      <c r="AN30" s="1387"/>
      <c r="AO30" s="1387"/>
      <c r="AP30" s="1387"/>
      <c r="AQ30" s="1387"/>
      <c r="AR30" s="1387"/>
      <c r="AS30" s="1387"/>
      <c r="AT30" s="1387"/>
      <c r="AU30" s="1387"/>
      <c r="AV30" s="1387"/>
      <c r="AW30" s="1387"/>
      <c r="AX30" s="1387"/>
      <c r="AY30" s="1387"/>
      <c r="AZ30" s="1387"/>
      <c r="BA30" s="1387"/>
      <c r="BB30" s="1387"/>
      <c r="BC30" s="1387"/>
      <c r="BD30" s="1387"/>
      <c r="BE30" s="1387"/>
      <c r="BF30" s="1387"/>
      <c r="BG30" s="1387"/>
      <c r="BH30" s="1387"/>
      <c r="BI30" s="1387"/>
      <c r="BJ30" s="1387"/>
      <c r="BK30" s="1387"/>
      <c r="BL30" s="1387"/>
      <c r="BM30" s="1387"/>
      <c r="BN30" s="1387"/>
      <c r="BO30" s="1387"/>
      <c r="BP30" s="1387"/>
      <c r="BQ30" s="1387"/>
      <c r="BR30" s="1387"/>
      <c r="BS30" s="1387"/>
      <c r="BT30" s="1387"/>
      <c r="BU30" s="1387"/>
      <c r="BV30" s="1387"/>
      <c r="BW30" s="1387"/>
      <c r="BX30" s="1387"/>
      <c r="BY30" s="1387"/>
      <c r="BZ30" s="1387"/>
      <c r="CA30" s="1387"/>
      <c r="CB30" s="1387"/>
      <c r="CC30" s="1387"/>
      <c r="CD30" s="1387"/>
      <c r="CE30" s="1387"/>
      <c r="CF30" s="1387"/>
      <c r="CG30" s="1387"/>
      <c r="CH30" s="1387"/>
      <c r="CI30" s="1387"/>
      <c r="CJ30" s="1387"/>
      <c r="CK30" s="1387"/>
      <c r="CL30" s="1387"/>
      <c r="CM30" s="1387"/>
      <c r="CN30" s="1387"/>
      <c r="CO30" s="1387"/>
      <c r="CP30" s="1387"/>
      <c r="CQ30" s="1387"/>
      <c r="CR30" s="1387"/>
      <c r="CS30" s="1387"/>
      <c r="CT30" s="1387"/>
      <c r="CU30" s="1387"/>
      <c r="CV30" s="1387"/>
      <c r="CW30" s="1387"/>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5" hidden="1">
      <c r="A31" s="1502"/>
      <c r="B31" s="551"/>
      <c r="C31" s="551"/>
      <c r="D31" s="1336"/>
      <c r="E31" s="551"/>
      <c r="F31" s="440"/>
      <c r="G31" s="441"/>
      <c r="H31" s="440"/>
      <c r="I31" s="1387"/>
      <c r="J31" s="1387"/>
      <c r="K31" s="1387"/>
      <c r="L31" s="1387"/>
      <c r="M31" s="1387"/>
      <c r="N31" s="1387"/>
      <c r="O31" s="1387"/>
      <c r="P31" s="1387"/>
      <c r="Q31" s="1387"/>
      <c r="R31" s="1387"/>
      <c r="S31" s="1387"/>
      <c r="T31" s="1387"/>
      <c r="U31" s="1387"/>
      <c r="V31" s="1387"/>
      <c r="W31" s="1387"/>
      <c r="X31" s="1387"/>
      <c r="Y31" s="1387"/>
      <c r="Z31" s="1387"/>
      <c r="AA31" s="1387"/>
      <c r="AB31" s="1387"/>
      <c r="AC31" s="1387"/>
      <c r="AD31" s="1387"/>
      <c r="AE31" s="1387"/>
      <c r="AF31" s="1387"/>
      <c r="AG31" s="1387"/>
      <c r="AH31" s="1387"/>
      <c r="AI31" s="1387"/>
      <c r="AJ31" s="1387"/>
      <c r="AK31" s="1387"/>
      <c r="AL31" s="1387"/>
      <c r="AM31" s="1387"/>
      <c r="AN31" s="1387"/>
      <c r="AO31" s="1387"/>
      <c r="AP31" s="1387"/>
      <c r="AQ31" s="1387"/>
      <c r="AR31" s="1387"/>
      <c r="AS31" s="1387"/>
      <c r="AT31" s="1387"/>
      <c r="AU31" s="1387"/>
      <c r="AV31" s="1387"/>
      <c r="AW31" s="1387"/>
      <c r="AX31" s="1387"/>
      <c r="AY31" s="1387"/>
      <c r="AZ31" s="1387"/>
      <c r="BA31" s="1387"/>
      <c r="BB31" s="1387"/>
      <c r="BC31" s="1387"/>
      <c r="BD31" s="1387"/>
      <c r="BE31" s="1387"/>
      <c r="BF31" s="1387"/>
      <c r="BG31" s="1387"/>
      <c r="BH31" s="1387"/>
      <c r="BI31" s="1387"/>
      <c r="BJ31" s="1387"/>
      <c r="BK31" s="1387"/>
      <c r="BL31" s="1387"/>
      <c r="BM31" s="1387"/>
      <c r="BN31" s="1387"/>
      <c r="BO31" s="1387"/>
      <c r="BP31" s="1387"/>
      <c r="BQ31" s="1387"/>
      <c r="BR31" s="1387"/>
      <c r="BS31" s="1387"/>
      <c r="BT31" s="1387"/>
      <c r="BU31" s="1387"/>
      <c r="BV31" s="1387"/>
      <c r="BW31" s="1387"/>
      <c r="BX31" s="1387"/>
      <c r="BY31" s="1387"/>
      <c r="BZ31" s="1387"/>
      <c r="CA31" s="1387"/>
      <c r="CB31" s="1387"/>
      <c r="CC31" s="1387"/>
      <c r="CD31" s="1387"/>
      <c r="CE31" s="1387"/>
      <c r="CF31" s="1387"/>
      <c r="CG31" s="1387"/>
      <c r="CH31" s="1387"/>
      <c r="CI31" s="1387"/>
      <c r="CJ31" s="1387"/>
      <c r="CK31" s="1387"/>
      <c r="CL31" s="1387"/>
      <c r="CM31" s="1387"/>
      <c r="CN31" s="1387"/>
      <c r="CO31" s="1387"/>
      <c r="CP31" s="1387"/>
      <c r="CQ31" s="1387"/>
      <c r="CR31" s="1387"/>
      <c r="CS31" s="1387"/>
      <c r="CT31" s="1387"/>
      <c r="CU31" s="1387"/>
      <c r="CV31" s="1387"/>
      <c r="CW31" s="1387"/>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5" hidden="1">
      <c r="A32" s="1502"/>
      <c r="B32" s="551"/>
      <c r="C32" s="551"/>
      <c r="D32" s="1336"/>
      <c r="E32" s="551"/>
      <c r="F32" s="440"/>
      <c r="G32" s="441"/>
      <c r="H32" s="440"/>
      <c r="I32" s="1387"/>
      <c r="J32" s="1387"/>
      <c r="K32" s="1387"/>
      <c r="L32" s="1387"/>
      <c r="M32" s="1387"/>
      <c r="N32" s="1387"/>
      <c r="O32" s="1387"/>
      <c r="P32" s="1387"/>
      <c r="Q32" s="1387"/>
      <c r="R32" s="1387"/>
      <c r="S32" s="1387"/>
      <c r="T32" s="1387"/>
      <c r="U32" s="1387"/>
      <c r="V32" s="1387"/>
      <c r="W32" s="1387"/>
      <c r="X32" s="1387"/>
      <c r="Y32" s="1387"/>
      <c r="Z32" s="1387"/>
      <c r="AA32" s="1387"/>
      <c r="AB32" s="1387"/>
      <c r="AC32" s="1387"/>
      <c r="AD32" s="1387"/>
      <c r="AE32" s="1387"/>
      <c r="AF32" s="1387"/>
      <c r="AG32" s="1387"/>
      <c r="AH32" s="1387"/>
      <c r="AI32" s="1387"/>
      <c r="AJ32" s="1387"/>
      <c r="AK32" s="1387"/>
      <c r="AL32" s="1387"/>
      <c r="AM32" s="1387"/>
      <c r="AN32" s="1387"/>
      <c r="AO32" s="1387"/>
      <c r="AP32" s="1387"/>
      <c r="AQ32" s="1387"/>
      <c r="AR32" s="1387"/>
      <c r="AS32" s="1387"/>
      <c r="AT32" s="1387"/>
      <c r="AU32" s="1387"/>
      <c r="AV32" s="1387"/>
      <c r="AW32" s="1387"/>
      <c r="AX32" s="1387"/>
      <c r="AY32" s="1387"/>
      <c r="AZ32" s="1387"/>
      <c r="BA32" s="1387"/>
      <c r="BB32" s="1387"/>
      <c r="BC32" s="1387"/>
      <c r="BD32" s="1387"/>
      <c r="BE32" s="1387"/>
      <c r="BF32" s="1387"/>
      <c r="BG32" s="1387"/>
      <c r="BH32" s="1387"/>
      <c r="BI32" s="1387"/>
      <c r="BJ32" s="1387"/>
      <c r="BK32" s="1387"/>
      <c r="BL32" s="1387"/>
      <c r="BM32" s="1387"/>
      <c r="BN32" s="1387"/>
      <c r="BO32" s="1387"/>
      <c r="BP32" s="1387"/>
      <c r="BQ32" s="1387"/>
      <c r="BR32" s="1387"/>
      <c r="BS32" s="1387"/>
      <c r="BT32" s="1387"/>
      <c r="BU32" s="1387"/>
      <c r="BV32" s="1387"/>
      <c r="BW32" s="1387"/>
      <c r="BX32" s="1387"/>
      <c r="BY32" s="1387"/>
      <c r="BZ32" s="1387"/>
      <c r="CA32" s="1387"/>
      <c r="CB32" s="1387"/>
      <c r="CC32" s="1387"/>
      <c r="CD32" s="1387"/>
      <c r="CE32" s="1387"/>
      <c r="CF32" s="1387"/>
      <c r="CG32" s="1387"/>
      <c r="CH32" s="1387"/>
      <c r="CI32" s="1387"/>
      <c r="CJ32" s="1387"/>
      <c r="CK32" s="1387"/>
      <c r="CL32" s="1387"/>
      <c r="CM32" s="1387"/>
      <c r="CN32" s="1387"/>
      <c r="CO32" s="1387"/>
      <c r="CP32" s="1387"/>
      <c r="CQ32" s="1387"/>
      <c r="CR32" s="1387"/>
      <c r="CS32" s="1387"/>
      <c r="CT32" s="1387"/>
      <c r="CU32" s="1387"/>
      <c r="CV32" s="1387"/>
      <c r="CW32" s="1387"/>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5" hidden="1">
      <c r="A33" s="1502"/>
      <c r="B33" s="551"/>
      <c r="C33" s="551"/>
      <c r="D33" s="1336"/>
      <c r="E33" s="551"/>
      <c r="F33" s="440"/>
      <c r="G33" s="441"/>
      <c r="H33" s="440"/>
      <c r="I33" s="1387"/>
      <c r="J33" s="1387"/>
      <c r="K33" s="1387"/>
      <c r="L33" s="1387"/>
      <c r="M33" s="1387"/>
      <c r="N33" s="1387"/>
      <c r="O33" s="1387"/>
      <c r="P33" s="1387"/>
      <c r="Q33" s="1387"/>
      <c r="R33" s="1387"/>
      <c r="S33" s="1387"/>
      <c r="T33" s="1387"/>
      <c r="U33" s="1387"/>
      <c r="V33" s="1387"/>
      <c r="W33" s="1387"/>
      <c r="X33" s="1387"/>
      <c r="Y33" s="1387"/>
      <c r="Z33" s="1387"/>
      <c r="AA33" s="1387"/>
      <c r="AB33" s="1387"/>
      <c r="AC33" s="1387"/>
      <c r="AD33" s="1387"/>
      <c r="AE33" s="1387"/>
      <c r="AF33" s="1387"/>
      <c r="AG33" s="1387"/>
      <c r="AH33" s="1387"/>
      <c r="AI33" s="1387"/>
      <c r="AJ33" s="1387"/>
      <c r="AK33" s="1387"/>
      <c r="AL33" s="1387"/>
      <c r="AM33" s="1387"/>
      <c r="AN33" s="1387"/>
      <c r="AO33" s="1387"/>
      <c r="AP33" s="1387"/>
      <c r="AQ33" s="1387"/>
      <c r="AR33" s="1387"/>
      <c r="AS33" s="1387"/>
      <c r="AT33" s="1387"/>
      <c r="AU33" s="1387"/>
      <c r="AV33" s="1387"/>
      <c r="AW33" s="1387"/>
      <c r="AX33" s="1387"/>
      <c r="AY33" s="1387"/>
      <c r="AZ33" s="1387"/>
      <c r="BA33" s="1387"/>
      <c r="BB33" s="1387"/>
      <c r="BC33" s="1387"/>
      <c r="BD33" s="1387"/>
      <c r="BE33" s="1387"/>
      <c r="BF33" s="1387"/>
      <c r="BG33" s="1387"/>
      <c r="BH33" s="1387"/>
      <c r="BI33" s="1387"/>
      <c r="BJ33" s="1387"/>
      <c r="BK33" s="1387"/>
      <c r="BL33" s="1387"/>
      <c r="BM33" s="1387"/>
      <c r="BN33" s="1387"/>
      <c r="BO33" s="1387"/>
      <c r="BP33" s="1387"/>
      <c r="BQ33" s="1387"/>
      <c r="BR33" s="1387"/>
      <c r="BS33" s="1387"/>
      <c r="BT33" s="1387"/>
      <c r="BU33" s="1387"/>
      <c r="BV33" s="1387"/>
      <c r="BW33" s="1387"/>
      <c r="BX33" s="1387"/>
      <c r="BY33" s="1387"/>
      <c r="BZ33" s="1387"/>
      <c r="CA33" s="1387"/>
      <c r="CB33" s="1387"/>
      <c r="CC33" s="1387"/>
      <c r="CD33" s="1387"/>
      <c r="CE33" s="1387"/>
      <c r="CF33" s="1387"/>
      <c r="CG33" s="1387"/>
      <c r="CH33" s="1387"/>
      <c r="CI33" s="1387"/>
      <c r="CJ33" s="1387"/>
      <c r="CK33" s="1387"/>
      <c r="CL33" s="1387"/>
      <c r="CM33" s="1387"/>
      <c r="CN33" s="1387"/>
      <c r="CO33" s="1387"/>
      <c r="CP33" s="1387"/>
      <c r="CQ33" s="1387"/>
      <c r="CR33" s="1387"/>
      <c r="CS33" s="1387"/>
      <c r="CT33" s="1387"/>
      <c r="CU33" s="1387"/>
      <c r="CV33" s="1387"/>
      <c r="CW33" s="1387"/>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5" hidden="1">
      <c r="A34" s="1502"/>
      <c r="B34" s="551"/>
      <c r="C34" s="551"/>
      <c r="D34" s="1336"/>
      <c r="E34" s="551"/>
      <c r="F34" s="440"/>
      <c r="G34" s="441"/>
      <c r="H34" s="440"/>
      <c r="I34" s="1387"/>
      <c r="J34" s="1387"/>
      <c r="K34" s="1387"/>
      <c r="L34" s="1387"/>
      <c r="M34" s="1387"/>
      <c r="N34" s="1387"/>
      <c r="O34" s="1387"/>
      <c r="P34" s="1387"/>
      <c r="Q34" s="1387"/>
      <c r="R34" s="1387"/>
      <c r="S34" s="1387"/>
      <c r="T34" s="1387"/>
      <c r="U34" s="1387"/>
      <c r="V34" s="1387"/>
      <c r="W34" s="1387"/>
      <c r="X34" s="1387"/>
      <c r="Y34" s="1387"/>
      <c r="Z34" s="1387"/>
      <c r="AA34" s="1387"/>
      <c r="AB34" s="1387"/>
      <c r="AC34" s="1387"/>
      <c r="AD34" s="1387"/>
      <c r="AE34" s="1387"/>
      <c r="AF34" s="1387"/>
      <c r="AG34" s="1387"/>
      <c r="AH34" s="1387"/>
      <c r="AI34" s="1387"/>
      <c r="AJ34" s="1387"/>
      <c r="AK34" s="1387"/>
      <c r="AL34" s="1387"/>
      <c r="AM34" s="1387"/>
      <c r="AN34" s="1387"/>
      <c r="AO34" s="1387"/>
      <c r="AP34" s="1387"/>
      <c r="AQ34" s="1387"/>
      <c r="AR34" s="1387"/>
      <c r="AS34" s="1387"/>
      <c r="AT34" s="1387"/>
      <c r="AU34" s="1387"/>
      <c r="AV34" s="1387"/>
      <c r="AW34" s="1387"/>
      <c r="AX34" s="1387"/>
      <c r="AY34" s="1387"/>
      <c r="AZ34" s="1387"/>
      <c r="BA34" s="1387"/>
      <c r="BB34" s="1387"/>
      <c r="BC34" s="1387"/>
      <c r="BD34" s="1387"/>
      <c r="BE34" s="1387"/>
      <c r="BF34" s="1387"/>
      <c r="BG34" s="1387"/>
      <c r="BH34" s="1387"/>
      <c r="BI34" s="1387"/>
      <c r="BJ34" s="1387"/>
      <c r="BK34" s="1387"/>
      <c r="BL34" s="1387"/>
      <c r="BM34" s="1387"/>
      <c r="BN34" s="1387"/>
      <c r="BO34" s="1387"/>
      <c r="BP34" s="1387"/>
      <c r="BQ34" s="1387"/>
      <c r="BR34" s="1387"/>
      <c r="BS34" s="1387"/>
      <c r="BT34" s="1387"/>
      <c r="BU34" s="1387"/>
      <c r="BV34" s="1387"/>
      <c r="BW34" s="1387"/>
      <c r="BX34" s="1387"/>
      <c r="BY34" s="1387"/>
      <c r="BZ34" s="1387"/>
      <c r="CA34" s="1387"/>
      <c r="CB34" s="1387"/>
      <c r="CC34" s="1387"/>
      <c r="CD34" s="1387"/>
      <c r="CE34" s="1387"/>
      <c r="CF34" s="1387"/>
      <c r="CG34" s="1387"/>
      <c r="CH34" s="1387"/>
      <c r="CI34" s="1387"/>
      <c r="CJ34" s="1387"/>
      <c r="CK34" s="1387"/>
      <c r="CL34" s="1387"/>
      <c r="CM34" s="1387"/>
      <c r="CN34" s="1387"/>
      <c r="CO34" s="1387"/>
      <c r="CP34" s="1387"/>
      <c r="CQ34" s="1387"/>
      <c r="CR34" s="1387"/>
      <c r="CS34" s="1387"/>
      <c r="CT34" s="1387"/>
      <c r="CU34" s="1387"/>
      <c r="CV34" s="1387"/>
      <c r="CW34" s="1387"/>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5" hidden="1">
      <c r="A35" s="1502"/>
      <c r="B35" s="551"/>
      <c r="C35" s="551"/>
      <c r="D35" s="1336"/>
      <c r="E35" s="551"/>
      <c r="F35" s="440"/>
      <c r="G35" s="441"/>
      <c r="H35" s="440"/>
      <c r="I35" s="1387"/>
      <c r="J35" s="1387"/>
      <c r="K35" s="1387"/>
      <c r="L35" s="1387"/>
      <c r="M35" s="1387"/>
      <c r="N35" s="1387"/>
      <c r="O35" s="1387"/>
      <c r="P35" s="1387"/>
      <c r="Q35" s="1387"/>
      <c r="R35" s="1387"/>
      <c r="S35" s="1387"/>
      <c r="T35" s="1387"/>
      <c r="U35" s="1387"/>
      <c r="V35" s="1387"/>
      <c r="W35" s="1387"/>
      <c r="X35" s="1387"/>
      <c r="Y35" s="1387"/>
      <c r="Z35" s="1387"/>
      <c r="AA35" s="1387"/>
      <c r="AB35" s="1387"/>
      <c r="AC35" s="1387"/>
      <c r="AD35" s="1387"/>
      <c r="AE35" s="1387"/>
      <c r="AF35" s="1387"/>
      <c r="AG35" s="1387"/>
      <c r="AH35" s="1387"/>
      <c r="AI35" s="1387"/>
      <c r="AJ35" s="1387"/>
      <c r="AK35" s="1387"/>
      <c r="AL35" s="1387"/>
      <c r="AM35" s="1387"/>
      <c r="AN35" s="1387"/>
      <c r="AO35" s="1387"/>
      <c r="AP35" s="1387"/>
      <c r="AQ35" s="1387"/>
      <c r="AR35" s="1387"/>
      <c r="AS35" s="1387"/>
      <c r="AT35" s="1387"/>
      <c r="AU35" s="1387"/>
      <c r="AV35" s="1387"/>
      <c r="AW35" s="1387"/>
      <c r="AX35" s="1387"/>
      <c r="AY35" s="1387"/>
      <c r="AZ35" s="1387"/>
      <c r="BA35" s="1387"/>
      <c r="BB35" s="1387"/>
      <c r="BC35" s="1387"/>
      <c r="BD35" s="1387"/>
      <c r="BE35" s="1387"/>
      <c r="BF35" s="1387"/>
      <c r="BG35" s="1387"/>
      <c r="BH35" s="1387"/>
      <c r="BI35" s="1387"/>
      <c r="BJ35" s="1387"/>
      <c r="BK35" s="1387"/>
      <c r="BL35" s="1387"/>
      <c r="BM35" s="1387"/>
      <c r="BN35" s="1387"/>
      <c r="BO35" s="1387"/>
      <c r="BP35" s="1387"/>
      <c r="BQ35" s="1387"/>
      <c r="BR35" s="1387"/>
      <c r="BS35" s="1387"/>
      <c r="BT35" s="1387"/>
      <c r="BU35" s="1387"/>
      <c r="BV35" s="1387"/>
      <c r="BW35" s="1387"/>
      <c r="BX35" s="1387"/>
      <c r="BY35" s="1387"/>
      <c r="BZ35" s="1387"/>
      <c r="CA35" s="1387"/>
      <c r="CB35" s="1387"/>
      <c r="CC35" s="1387"/>
      <c r="CD35" s="1387"/>
      <c r="CE35" s="1387"/>
      <c r="CF35" s="1387"/>
      <c r="CG35" s="1387"/>
      <c r="CH35" s="1387"/>
      <c r="CI35" s="1387"/>
      <c r="CJ35" s="1387"/>
      <c r="CK35" s="1387"/>
      <c r="CL35" s="1387"/>
      <c r="CM35" s="1387"/>
      <c r="CN35" s="1387"/>
      <c r="CO35" s="1387"/>
      <c r="CP35" s="1387"/>
      <c r="CQ35" s="1387"/>
      <c r="CR35" s="1387"/>
      <c r="CS35" s="1387"/>
      <c r="CT35" s="1387"/>
      <c r="CU35" s="1387"/>
      <c r="CV35" s="1387"/>
      <c r="CW35" s="1387"/>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5" hidden="1">
      <c r="A36" s="1502"/>
      <c r="B36" s="551"/>
      <c r="C36" s="551"/>
      <c r="D36" s="1336"/>
      <c r="E36" s="551"/>
      <c r="F36" s="440"/>
      <c r="G36" s="441"/>
      <c r="H36" s="440"/>
      <c r="I36" s="1387"/>
      <c r="J36" s="1387"/>
      <c r="K36" s="1387"/>
      <c r="L36" s="1387"/>
      <c r="M36" s="1387"/>
      <c r="N36" s="1387"/>
      <c r="O36" s="1387"/>
      <c r="P36" s="1387"/>
      <c r="Q36" s="1387"/>
      <c r="R36" s="1387"/>
      <c r="S36" s="1387"/>
      <c r="T36" s="1387"/>
      <c r="U36" s="1387"/>
      <c r="V36" s="1387"/>
      <c r="W36" s="1387"/>
      <c r="X36" s="1387"/>
      <c r="Y36" s="1387"/>
      <c r="Z36" s="1387"/>
      <c r="AA36" s="1387"/>
      <c r="AB36" s="1387"/>
      <c r="AC36" s="1387"/>
      <c r="AD36" s="1387"/>
      <c r="AE36" s="1387"/>
      <c r="AF36" s="1387"/>
      <c r="AG36" s="1387"/>
      <c r="AH36" s="1387"/>
      <c r="AI36" s="1387"/>
      <c r="AJ36" s="1387"/>
      <c r="AK36" s="1387"/>
      <c r="AL36" s="1387"/>
      <c r="AM36" s="1387"/>
      <c r="AN36" s="1387"/>
      <c r="AO36" s="1387"/>
      <c r="AP36" s="1387"/>
      <c r="AQ36" s="1387"/>
      <c r="AR36" s="1387"/>
      <c r="AS36" s="1387"/>
      <c r="AT36" s="1387"/>
      <c r="AU36" s="1387"/>
      <c r="AV36" s="1387"/>
      <c r="AW36" s="1387"/>
      <c r="AX36" s="1387"/>
      <c r="AY36" s="1387"/>
      <c r="AZ36" s="1387"/>
      <c r="BA36" s="1387"/>
      <c r="BB36" s="1387"/>
      <c r="BC36" s="1387"/>
      <c r="BD36" s="1387"/>
      <c r="BE36" s="1387"/>
      <c r="BF36" s="1387"/>
      <c r="BG36" s="1387"/>
      <c r="BH36" s="1387"/>
      <c r="BI36" s="1387"/>
      <c r="BJ36" s="1387"/>
      <c r="BK36" s="1387"/>
      <c r="BL36" s="1387"/>
      <c r="BM36" s="1387"/>
      <c r="BN36" s="1387"/>
      <c r="BO36" s="1387"/>
      <c r="BP36" s="1387"/>
      <c r="BQ36" s="1387"/>
      <c r="BR36" s="1387"/>
      <c r="BS36" s="1387"/>
      <c r="BT36" s="1387"/>
      <c r="BU36" s="1387"/>
      <c r="BV36" s="1387"/>
      <c r="BW36" s="1387"/>
      <c r="BX36" s="1387"/>
      <c r="BY36" s="1387"/>
      <c r="BZ36" s="1387"/>
      <c r="CA36" s="1387"/>
      <c r="CB36" s="1387"/>
      <c r="CC36" s="1387"/>
      <c r="CD36" s="1387"/>
      <c r="CE36" s="1387"/>
      <c r="CF36" s="1387"/>
      <c r="CG36" s="1387"/>
      <c r="CH36" s="1387"/>
      <c r="CI36" s="1387"/>
      <c r="CJ36" s="1387"/>
      <c r="CK36" s="1387"/>
      <c r="CL36" s="1387"/>
      <c r="CM36" s="1387"/>
      <c r="CN36" s="1387"/>
      <c r="CO36" s="1387"/>
      <c r="CP36" s="1387"/>
      <c r="CQ36" s="1387"/>
      <c r="CR36" s="1387"/>
      <c r="CS36" s="1387"/>
      <c r="CT36" s="1387"/>
      <c r="CU36" s="1387"/>
      <c r="CV36" s="1387"/>
      <c r="CW36" s="1387"/>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5" hidden="1">
      <c r="A37" s="1502"/>
      <c r="B37" s="551"/>
      <c r="C37" s="551"/>
      <c r="D37" s="1336"/>
      <c r="E37" s="551"/>
      <c r="F37" s="440"/>
      <c r="G37" s="441"/>
      <c r="H37" s="440"/>
      <c r="I37" s="1387"/>
      <c r="J37" s="1387"/>
      <c r="K37" s="1387"/>
      <c r="L37" s="1387"/>
      <c r="M37" s="1387"/>
      <c r="N37" s="1387"/>
      <c r="O37" s="1387"/>
      <c r="P37" s="1387"/>
      <c r="Q37" s="1387"/>
      <c r="R37" s="1387"/>
      <c r="S37" s="1387"/>
      <c r="T37" s="1387"/>
      <c r="U37" s="1387"/>
      <c r="V37" s="1387"/>
      <c r="W37" s="1387"/>
      <c r="X37" s="1387"/>
      <c r="Y37" s="1387"/>
      <c r="Z37" s="1387"/>
      <c r="AA37" s="1387"/>
      <c r="AB37" s="1387"/>
      <c r="AC37" s="1387"/>
      <c r="AD37" s="1387"/>
      <c r="AE37" s="1387"/>
      <c r="AF37" s="1387"/>
      <c r="AG37" s="1387"/>
      <c r="AH37" s="1387"/>
      <c r="AI37" s="1387"/>
      <c r="AJ37" s="1387"/>
      <c r="AK37" s="1387"/>
      <c r="AL37" s="1387"/>
      <c r="AM37" s="1387"/>
      <c r="AN37" s="1387"/>
      <c r="AO37" s="1387"/>
      <c r="AP37" s="1387"/>
      <c r="AQ37" s="1387"/>
      <c r="AR37" s="1387"/>
      <c r="AS37" s="1387"/>
      <c r="AT37" s="1387"/>
      <c r="AU37" s="1387"/>
      <c r="AV37" s="1387"/>
      <c r="AW37" s="1387"/>
      <c r="AX37" s="1387"/>
      <c r="AY37" s="1387"/>
      <c r="AZ37" s="1387"/>
      <c r="BA37" s="1387"/>
      <c r="BB37" s="1387"/>
      <c r="BC37" s="1387"/>
      <c r="BD37" s="1387"/>
      <c r="BE37" s="1387"/>
      <c r="BF37" s="1387"/>
      <c r="BG37" s="1387"/>
      <c r="BH37" s="1387"/>
      <c r="BI37" s="1387"/>
      <c r="BJ37" s="1387"/>
      <c r="BK37" s="1387"/>
      <c r="BL37" s="1387"/>
      <c r="BM37" s="1387"/>
      <c r="BN37" s="1387"/>
      <c r="BO37" s="1387"/>
      <c r="BP37" s="1387"/>
      <c r="BQ37" s="1387"/>
      <c r="BR37" s="1387"/>
      <c r="BS37" s="1387"/>
      <c r="BT37" s="1387"/>
      <c r="BU37" s="1387"/>
      <c r="BV37" s="1387"/>
      <c r="BW37" s="1387"/>
      <c r="BX37" s="1387"/>
      <c r="BY37" s="1387"/>
      <c r="BZ37" s="1387"/>
      <c r="CA37" s="1387"/>
      <c r="CB37" s="1387"/>
      <c r="CC37" s="1387"/>
      <c r="CD37" s="1387"/>
      <c r="CE37" s="1387"/>
      <c r="CF37" s="1387"/>
      <c r="CG37" s="1387"/>
      <c r="CH37" s="1387"/>
      <c r="CI37" s="1387"/>
      <c r="CJ37" s="1387"/>
      <c r="CK37" s="1387"/>
      <c r="CL37" s="1387"/>
      <c r="CM37" s="1387"/>
      <c r="CN37" s="1387"/>
      <c r="CO37" s="1387"/>
      <c r="CP37" s="1387"/>
      <c r="CQ37" s="1387"/>
      <c r="CR37" s="1387"/>
      <c r="CS37" s="1387"/>
      <c r="CT37" s="1387"/>
      <c r="CU37" s="1387"/>
      <c r="CV37" s="1387"/>
      <c r="CW37" s="1387"/>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5" hidden="1">
      <c r="A38" s="1502"/>
      <c r="B38" s="551"/>
      <c r="C38" s="551"/>
      <c r="D38" s="1336"/>
      <c r="E38" s="551"/>
      <c r="F38" s="440"/>
      <c r="G38" s="441"/>
      <c r="H38" s="440"/>
      <c r="I38" s="1387"/>
      <c r="J38" s="1387"/>
      <c r="K38" s="1387"/>
      <c r="L38" s="1387"/>
      <c r="M38" s="1387"/>
      <c r="N38" s="1387"/>
      <c r="O38" s="1387"/>
      <c r="P38" s="1387"/>
      <c r="Q38" s="1387"/>
      <c r="R38" s="1387"/>
      <c r="S38" s="1387"/>
      <c r="T38" s="1387"/>
      <c r="U38" s="1387"/>
      <c r="V38" s="1387"/>
      <c r="W38" s="1387"/>
      <c r="X38" s="1387"/>
      <c r="Y38" s="1387"/>
      <c r="Z38" s="1387"/>
      <c r="AA38" s="1387"/>
      <c r="AB38" s="1387"/>
      <c r="AC38" s="1387"/>
      <c r="AD38" s="1387"/>
      <c r="AE38" s="1387"/>
      <c r="AF38" s="1387"/>
      <c r="AG38" s="1387"/>
      <c r="AH38" s="1387"/>
      <c r="AI38" s="1387"/>
      <c r="AJ38" s="1387"/>
      <c r="AK38" s="1387"/>
      <c r="AL38" s="1387"/>
      <c r="AM38" s="1387"/>
      <c r="AN38" s="1387"/>
      <c r="AO38" s="1387"/>
      <c r="AP38" s="1387"/>
      <c r="AQ38" s="1387"/>
      <c r="AR38" s="1387"/>
      <c r="AS38" s="1387"/>
      <c r="AT38" s="1387"/>
      <c r="AU38" s="1387"/>
      <c r="AV38" s="1387"/>
      <c r="AW38" s="1387"/>
      <c r="AX38" s="1387"/>
      <c r="AY38" s="1387"/>
      <c r="AZ38" s="1387"/>
      <c r="BA38" s="1387"/>
      <c r="BB38" s="1387"/>
      <c r="BC38" s="1387"/>
      <c r="BD38" s="1387"/>
      <c r="BE38" s="1387"/>
      <c r="BF38" s="1387"/>
      <c r="BG38" s="1387"/>
      <c r="BH38" s="1387"/>
      <c r="BI38" s="1387"/>
      <c r="BJ38" s="1387"/>
      <c r="BK38" s="1387"/>
      <c r="BL38" s="1387"/>
      <c r="BM38" s="1387"/>
      <c r="BN38" s="1387"/>
      <c r="BO38" s="1387"/>
      <c r="BP38" s="1387"/>
      <c r="BQ38" s="1387"/>
      <c r="BR38" s="1387"/>
      <c r="BS38" s="1387"/>
      <c r="BT38" s="1387"/>
      <c r="BU38" s="1387"/>
      <c r="BV38" s="1387"/>
      <c r="BW38" s="1387"/>
      <c r="BX38" s="1387"/>
      <c r="BY38" s="1387"/>
      <c r="BZ38" s="1387"/>
      <c r="CA38" s="1387"/>
      <c r="CB38" s="1387"/>
      <c r="CC38" s="1387"/>
      <c r="CD38" s="1387"/>
      <c r="CE38" s="1387"/>
      <c r="CF38" s="1387"/>
      <c r="CG38" s="1387"/>
      <c r="CH38" s="1387"/>
      <c r="CI38" s="1387"/>
      <c r="CJ38" s="1387"/>
      <c r="CK38" s="1387"/>
      <c r="CL38" s="1387"/>
      <c r="CM38" s="1387"/>
      <c r="CN38" s="1387"/>
      <c r="CO38" s="1387"/>
      <c r="CP38" s="1387"/>
      <c r="CQ38" s="1387"/>
      <c r="CR38" s="1387"/>
      <c r="CS38" s="1387"/>
      <c r="CT38" s="1387"/>
      <c r="CU38" s="1387"/>
      <c r="CV38" s="1387"/>
      <c r="CW38" s="1387"/>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5" hidden="1">
      <c r="A39" s="1502"/>
      <c r="B39" s="551"/>
      <c r="C39" s="551"/>
      <c r="D39" s="1336"/>
      <c r="E39" s="551"/>
      <c r="F39" s="440"/>
      <c r="G39" s="441"/>
      <c r="H39" s="440"/>
      <c r="I39" s="1387"/>
      <c r="J39" s="1387"/>
      <c r="K39" s="1387"/>
      <c r="L39" s="1387"/>
      <c r="M39" s="1387"/>
      <c r="N39" s="1387"/>
      <c r="O39" s="1387"/>
      <c r="P39" s="1387"/>
      <c r="Q39" s="1387"/>
      <c r="R39" s="1387"/>
      <c r="S39" s="1387"/>
      <c r="T39" s="1387"/>
      <c r="U39" s="1387"/>
      <c r="V39" s="1387"/>
      <c r="W39" s="1387"/>
      <c r="X39" s="1387"/>
      <c r="Y39" s="1387"/>
      <c r="Z39" s="1387"/>
      <c r="AA39" s="1387"/>
      <c r="AB39" s="1387"/>
      <c r="AC39" s="1387"/>
      <c r="AD39" s="1387"/>
      <c r="AE39" s="1387"/>
      <c r="AF39" s="1387"/>
      <c r="AG39" s="1387"/>
      <c r="AH39" s="1387"/>
      <c r="AI39" s="1387"/>
      <c r="AJ39" s="1387"/>
      <c r="AK39" s="1387"/>
      <c r="AL39" s="1387"/>
      <c r="AM39" s="1387"/>
      <c r="AN39" s="1387"/>
      <c r="AO39" s="1387"/>
      <c r="AP39" s="1387"/>
      <c r="AQ39" s="1387"/>
      <c r="AR39" s="1387"/>
      <c r="AS39" s="1387"/>
      <c r="AT39" s="1387"/>
      <c r="AU39" s="1387"/>
      <c r="AV39" s="1387"/>
      <c r="AW39" s="1387"/>
      <c r="AX39" s="1387"/>
      <c r="AY39" s="1387"/>
      <c r="AZ39" s="1387"/>
      <c r="BA39" s="1387"/>
      <c r="BB39" s="1387"/>
      <c r="BC39" s="1387"/>
      <c r="BD39" s="1387"/>
      <c r="BE39" s="1387"/>
      <c r="BF39" s="1387"/>
      <c r="BG39" s="1387"/>
      <c r="BH39" s="1387"/>
      <c r="BI39" s="1387"/>
      <c r="BJ39" s="1387"/>
      <c r="BK39" s="1387"/>
      <c r="BL39" s="1387"/>
      <c r="BM39" s="1387"/>
      <c r="BN39" s="1387"/>
      <c r="BO39" s="1387"/>
      <c r="BP39" s="1387"/>
      <c r="BQ39" s="1387"/>
      <c r="BR39" s="1387"/>
      <c r="BS39" s="1387"/>
      <c r="BT39" s="1387"/>
      <c r="BU39" s="1387"/>
      <c r="BV39" s="1387"/>
      <c r="BW39" s="1387"/>
      <c r="BX39" s="1387"/>
      <c r="BY39" s="1387"/>
      <c r="BZ39" s="1387"/>
      <c r="CA39" s="1387"/>
      <c r="CB39" s="1387"/>
      <c r="CC39" s="1387"/>
      <c r="CD39" s="1387"/>
      <c r="CE39" s="1387"/>
      <c r="CF39" s="1387"/>
      <c r="CG39" s="1387"/>
      <c r="CH39" s="1387"/>
      <c r="CI39" s="1387"/>
      <c r="CJ39" s="1387"/>
      <c r="CK39" s="1387"/>
      <c r="CL39" s="1387"/>
      <c r="CM39" s="1387"/>
      <c r="CN39" s="1387"/>
      <c r="CO39" s="1387"/>
      <c r="CP39" s="1387"/>
      <c r="CQ39" s="1387"/>
      <c r="CR39" s="1387"/>
      <c r="CS39" s="1387"/>
      <c r="CT39" s="1387"/>
      <c r="CU39" s="1387"/>
      <c r="CV39" s="1387"/>
      <c r="CW39" s="1387"/>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5" hidden="1">
      <c r="A40" s="1502"/>
      <c r="B40" s="551"/>
      <c r="C40" s="551"/>
      <c r="D40" s="1336"/>
      <c r="E40" s="551"/>
      <c r="F40" s="440"/>
      <c r="G40" s="441"/>
      <c r="H40" s="440"/>
      <c r="I40" s="1387"/>
      <c r="J40" s="1387"/>
      <c r="K40" s="1387"/>
      <c r="L40" s="1387"/>
      <c r="M40" s="1387"/>
      <c r="N40" s="1387"/>
      <c r="O40" s="1387"/>
      <c r="P40" s="1387"/>
      <c r="Q40" s="1387"/>
      <c r="R40" s="1387"/>
      <c r="S40" s="1387"/>
      <c r="T40" s="1387"/>
      <c r="U40" s="1387"/>
      <c r="V40" s="1387"/>
      <c r="W40" s="1387"/>
      <c r="X40" s="1387"/>
      <c r="Y40" s="1387"/>
      <c r="Z40" s="1387"/>
      <c r="AA40" s="1387"/>
      <c r="AB40" s="1387"/>
      <c r="AC40" s="1387"/>
      <c r="AD40" s="1387"/>
      <c r="AE40" s="1387"/>
      <c r="AF40" s="1387"/>
      <c r="AG40" s="1387"/>
      <c r="AH40" s="1387"/>
      <c r="AI40" s="1387"/>
      <c r="AJ40" s="1387"/>
      <c r="AK40" s="1387"/>
      <c r="AL40" s="1387"/>
      <c r="AM40" s="1387"/>
      <c r="AN40" s="1387"/>
      <c r="AO40" s="1387"/>
      <c r="AP40" s="1387"/>
      <c r="AQ40" s="1387"/>
      <c r="AR40" s="1387"/>
      <c r="AS40" s="1387"/>
      <c r="AT40" s="1387"/>
      <c r="AU40" s="1387"/>
      <c r="AV40" s="1387"/>
      <c r="AW40" s="1387"/>
      <c r="AX40" s="1387"/>
      <c r="AY40" s="1387"/>
      <c r="AZ40" s="1387"/>
      <c r="BA40" s="1387"/>
      <c r="BB40" s="1387"/>
      <c r="BC40" s="1387"/>
      <c r="BD40" s="1387"/>
      <c r="BE40" s="1387"/>
      <c r="BF40" s="1387"/>
      <c r="BG40" s="1387"/>
      <c r="BH40" s="1387"/>
      <c r="BI40" s="1387"/>
      <c r="BJ40" s="1387"/>
      <c r="BK40" s="1387"/>
      <c r="BL40" s="1387"/>
      <c r="BM40" s="1387"/>
      <c r="BN40" s="1387"/>
      <c r="BO40" s="1387"/>
      <c r="BP40" s="1387"/>
      <c r="BQ40" s="1387"/>
      <c r="BR40" s="1387"/>
      <c r="BS40" s="1387"/>
      <c r="BT40" s="1387"/>
      <c r="BU40" s="1387"/>
      <c r="BV40" s="1387"/>
      <c r="BW40" s="1387"/>
      <c r="BX40" s="1387"/>
      <c r="BY40" s="1387"/>
      <c r="BZ40" s="1387"/>
      <c r="CA40" s="1387"/>
      <c r="CB40" s="1387"/>
      <c r="CC40" s="1387"/>
      <c r="CD40" s="1387"/>
      <c r="CE40" s="1387"/>
      <c r="CF40" s="1387"/>
      <c r="CG40" s="1387"/>
      <c r="CH40" s="1387"/>
      <c r="CI40" s="1387"/>
      <c r="CJ40" s="1387"/>
      <c r="CK40" s="1387"/>
      <c r="CL40" s="1387"/>
      <c r="CM40" s="1387"/>
      <c r="CN40" s="1387"/>
      <c r="CO40" s="1387"/>
      <c r="CP40" s="1387"/>
      <c r="CQ40" s="1387"/>
      <c r="CR40" s="1387"/>
      <c r="CS40" s="1387"/>
      <c r="CT40" s="1387"/>
      <c r="CU40" s="1387"/>
      <c r="CV40" s="1387"/>
      <c r="CW40" s="1387"/>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5" hidden="1">
      <c r="A41" s="1502"/>
      <c r="B41" s="551"/>
      <c r="C41" s="551"/>
      <c r="D41" s="1336"/>
      <c r="E41" s="551"/>
      <c r="F41" s="440"/>
      <c r="G41" s="441"/>
      <c r="H41" s="440"/>
      <c r="I41" s="1387"/>
      <c r="J41" s="1387"/>
      <c r="K41" s="1387"/>
      <c r="L41" s="1387"/>
      <c r="M41" s="1387"/>
      <c r="N41" s="1387"/>
      <c r="O41" s="1387"/>
      <c r="P41" s="1387"/>
      <c r="Q41" s="1387"/>
      <c r="R41" s="1387"/>
      <c r="S41" s="1387"/>
      <c r="T41" s="1387"/>
      <c r="U41" s="1387"/>
      <c r="V41" s="1387"/>
      <c r="W41" s="1387"/>
      <c r="X41" s="1387"/>
      <c r="Y41" s="1387"/>
      <c r="Z41" s="1387"/>
      <c r="AA41" s="1387"/>
      <c r="AB41" s="1387"/>
      <c r="AC41" s="1387"/>
      <c r="AD41" s="1387"/>
      <c r="AE41" s="1387"/>
      <c r="AF41" s="1387"/>
      <c r="AG41" s="1387"/>
      <c r="AH41" s="1387"/>
      <c r="AI41" s="1387"/>
      <c r="AJ41" s="1387"/>
      <c r="AK41" s="1387"/>
      <c r="AL41" s="1387"/>
      <c r="AM41" s="1387"/>
      <c r="AN41" s="1387"/>
      <c r="AO41" s="1387"/>
      <c r="AP41" s="1387"/>
      <c r="AQ41" s="1387"/>
      <c r="AR41" s="1387"/>
      <c r="AS41" s="1387"/>
      <c r="AT41" s="1387"/>
      <c r="AU41" s="1387"/>
      <c r="AV41" s="1387"/>
      <c r="AW41" s="1387"/>
      <c r="AX41" s="1387"/>
      <c r="AY41" s="1387"/>
      <c r="AZ41" s="1387"/>
      <c r="BA41" s="1387"/>
      <c r="BB41" s="1387"/>
      <c r="BC41" s="1387"/>
      <c r="BD41" s="1387"/>
      <c r="BE41" s="1387"/>
      <c r="BF41" s="1387"/>
      <c r="BG41" s="1387"/>
      <c r="BH41" s="1387"/>
      <c r="BI41" s="1387"/>
      <c r="BJ41" s="1387"/>
      <c r="BK41" s="1387"/>
      <c r="BL41" s="1387"/>
      <c r="BM41" s="1387"/>
      <c r="BN41" s="1387"/>
      <c r="BO41" s="1387"/>
      <c r="BP41" s="1387"/>
      <c r="BQ41" s="1387"/>
      <c r="BR41" s="1387"/>
      <c r="BS41" s="1387"/>
      <c r="BT41" s="1387"/>
      <c r="BU41" s="1387"/>
      <c r="BV41" s="1387"/>
      <c r="BW41" s="1387"/>
      <c r="BX41" s="1387"/>
      <c r="BY41" s="1387"/>
      <c r="BZ41" s="1387"/>
      <c r="CA41" s="1387"/>
      <c r="CB41" s="1387"/>
      <c r="CC41" s="1387"/>
      <c r="CD41" s="1387"/>
      <c r="CE41" s="1387"/>
      <c r="CF41" s="1387"/>
      <c r="CG41" s="1387"/>
      <c r="CH41" s="1387"/>
      <c r="CI41" s="1387"/>
      <c r="CJ41" s="1387"/>
      <c r="CK41" s="1387"/>
      <c r="CL41" s="1387"/>
      <c r="CM41" s="1387"/>
      <c r="CN41" s="1387"/>
      <c r="CO41" s="1387"/>
      <c r="CP41" s="1387"/>
      <c r="CQ41" s="1387"/>
      <c r="CR41" s="1387"/>
      <c r="CS41" s="1387"/>
      <c r="CT41" s="1387"/>
      <c r="CU41" s="1387"/>
      <c r="CV41" s="1387"/>
      <c r="CW41" s="1387"/>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5" hidden="1">
      <c r="A42" s="1502"/>
      <c r="B42" s="551"/>
      <c r="C42" s="551"/>
      <c r="D42" s="1336"/>
      <c r="E42" s="551"/>
      <c r="F42" s="440"/>
      <c r="G42" s="441"/>
      <c r="H42" s="440"/>
      <c r="I42" s="1387"/>
      <c r="J42" s="1387"/>
      <c r="K42" s="1387"/>
      <c r="L42" s="1387"/>
      <c r="M42" s="1387"/>
      <c r="N42" s="1387"/>
      <c r="O42" s="1387"/>
      <c r="P42" s="1387"/>
      <c r="Q42" s="1387"/>
      <c r="R42" s="1387"/>
      <c r="S42" s="1387"/>
      <c r="T42" s="1387"/>
      <c r="U42" s="1387"/>
      <c r="V42" s="1387"/>
      <c r="W42" s="1387"/>
      <c r="X42" s="1387"/>
      <c r="Y42" s="1387"/>
      <c r="Z42" s="1387"/>
      <c r="AA42" s="1387"/>
      <c r="AB42" s="1387"/>
      <c r="AC42" s="1387"/>
      <c r="AD42" s="1387"/>
      <c r="AE42" s="1387"/>
      <c r="AF42" s="1387"/>
      <c r="AG42" s="1387"/>
      <c r="AH42" s="1387"/>
      <c r="AI42" s="1387"/>
      <c r="AJ42" s="1387"/>
      <c r="AK42" s="1387"/>
      <c r="AL42" s="1387"/>
      <c r="AM42" s="1387"/>
      <c r="AN42" s="1387"/>
      <c r="AO42" s="1387"/>
      <c r="AP42" s="1387"/>
      <c r="AQ42" s="1387"/>
      <c r="AR42" s="1387"/>
      <c r="AS42" s="1387"/>
      <c r="AT42" s="1387"/>
      <c r="AU42" s="1387"/>
      <c r="AV42" s="1387"/>
      <c r="AW42" s="1387"/>
      <c r="AX42" s="1387"/>
      <c r="AY42" s="1387"/>
      <c r="AZ42" s="1387"/>
      <c r="BA42" s="1387"/>
      <c r="BB42" s="1387"/>
      <c r="BC42" s="1387"/>
      <c r="BD42" s="1387"/>
      <c r="BE42" s="1387"/>
      <c r="BF42" s="1387"/>
      <c r="BG42" s="1387"/>
      <c r="BH42" s="1387"/>
      <c r="BI42" s="1387"/>
      <c r="BJ42" s="1387"/>
      <c r="BK42" s="1387"/>
      <c r="BL42" s="1387"/>
      <c r="BM42" s="1387"/>
      <c r="BN42" s="1387"/>
      <c r="BO42" s="1387"/>
      <c r="BP42" s="1387"/>
      <c r="BQ42" s="1387"/>
      <c r="BR42" s="1387"/>
      <c r="BS42" s="1387"/>
      <c r="BT42" s="1387"/>
      <c r="BU42" s="1387"/>
      <c r="BV42" s="1387"/>
      <c r="BW42" s="1387"/>
      <c r="BX42" s="1387"/>
      <c r="BY42" s="1387"/>
      <c r="BZ42" s="1387"/>
      <c r="CA42" s="1387"/>
      <c r="CB42" s="1387"/>
      <c r="CC42" s="1387"/>
      <c r="CD42" s="1387"/>
      <c r="CE42" s="1387"/>
      <c r="CF42" s="1387"/>
      <c r="CG42" s="1387"/>
      <c r="CH42" s="1387"/>
      <c r="CI42" s="1387"/>
      <c r="CJ42" s="1387"/>
      <c r="CK42" s="1387"/>
      <c r="CL42" s="1387"/>
      <c r="CM42" s="1387"/>
      <c r="CN42" s="1387"/>
      <c r="CO42" s="1387"/>
      <c r="CP42" s="1387"/>
      <c r="CQ42" s="1387"/>
      <c r="CR42" s="1387"/>
      <c r="CS42" s="1387"/>
      <c r="CT42" s="1387"/>
      <c r="CU42" s="1387"/>
      <c r="CV42" s="1387"/>
      <c r="CW42" s="1387"/>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5" hidden="1">
      <c r="A43" s="1502"/>
      <c r="B43" s="551"/>
      <c r="C43" s="551"/>
      <c r="D43" s="1336"/>
      <c r="E43" s="551"/>
      <c r="F43" s="440"/>
      <c r="G43" s="441"/>
      <c r="H43" s="440"/>
      <c r="I43" s="1387"/>
      <c r="J43" s="1387"/>
      <c r="K43" s="1387"/>
      <c r="L43" s="1387"/>
      <c r="M43" s="1387"/>
      <c r="N43" s="1387"/>
      <c r="O43" s="1387"/>
      <c r="P43" s="1387"/>
      <c r="Q43" s="1387"/>
      <c r="R43" s="1387"/>
      <c r="S43" s="1387"/>
      <c r="T43" s="1387"/>
      <c r="U43" s="1387"/>
      <c r="V43" s="1387"/>
      <c r="W43" s="1387"/>
      <c r="X43" s="1387"/>
      <c r="Y43" s="1387"/>
      <c r="Z43" s="1387"/>
      <c r="AA43" s="1387"/>
      <c r="AB43" s="1387"/>
      <c r="AC43" s="1387"/>
      <c r="AD43" s="1387"/>
      <c r="AE43" s="1387"/>
      <c r="AF43" s="1387"/>
      <c r="AG43" s="1387"/>
      <c r="AH43" s="1387"/>
      <c r="AI43" s="1387"/>
      <c r="AJ43" s="1387"/>
      <c r="AK43" s="1387"/>
      <c r="AL43" s="1387"/>
      <c r="AM43" s="1387"/>
      <c r="AN43" s="1387"/>
      <c r="AO43" s="1387"/>
      <c r="AP43" s="1387"/>
      <c r="AQ43" s="1387"/>
      <c r="AR43" s="1387"/>
      <c r="AS43" s="1387"/>
      <c r="AT43" s="1387"/>
      <c r="AU43" s="1387"/>
      <c r="AV43" s="1387"/>
      <c r="AW43" s="1387"/>
      <c r="AX43" s="1387"/>
      <c r="AY43" s="1387"/>
      <c r="AZ43" s="1387"/>
      <c r="BA43" s="1387"/>
      <c r="BB43" s="1387"/>
      <c r="BC43" s="1387"/>
      <c r="BD43" s="1387"/>
      <c r="BE43" s="1387"/>
      <c r="BF43" s="1387"/>
      <c r="BG43" s="1387"/>
      <c r="BH43" s="1387"/>
      <c r="BI43" s="1387"/>
      <c r="BJ43" s="1387"/>
      <c r="BK43" s="1387"/>
      <c r="BL43" s="1387"/>
      <c r="BM43" s="1387"/>
      <c r="BN43" s="1387"/>
      <c r="BO43" s="1387"/>
      <c r="BP43" s="1387"/>
      <c r="BQ43" s="1387"/>
      <c r="BR43" s="1387"/>
      <c r="BS43" s="1387"/>
      <c r="BT43" s="1387"/>
      <c r="BU43" s="1387"/>
      <c r="BV43" s="1387"/>
      <c r="BW43" s="1387"/>
      <c r="BX43" s="1387"/>
      <c r="BY43" s="1387"/>
      <c r="BZ43" s="1387"/>
      <c r="CA43" s="1387"/>
      <c r="CB43" s="1387"/>
      <c r="CC43" s="1387"/>
      <c r="CD43" s="1387"/>
      <c r="CE43" s="1387"/>
      <c r="CF43" s="1387"/>
      <c r="CG43" s="1387"/>
      <c r="CH43" s="1387"/>
      <c r="CI43" s="1387"/>
      <c r="CJ43" s="1387"/>
      <c r="CK43" s="1387"/>
      <c r="CL43" s="1387"/>
      <c r="CM43" s="1387"/>
      <c r="CN43" s="1387"/>
      <c r="CO43" s="1387"/>
      <c r="CP43" s="1387"/>
      <c r="CQ43" s="1387"/>
      <c r="CR43" s="1387"/>
      <c r="CS43" s="1387"/>
      <c r="CT43" s="1387"/>
      <c r="CU43" s="1387"/>
      <c r="CV43" s="1387"/>
      <c r="CW43" s="1387"/>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5" hidden="1">
      <c r="A44" s="1502"/>
      <c r="B44" s="551"/>
      <c r="C44" s="551"/>
      <c r="D44" s="1336"/>
      <c r="E44" s="551"/>
      <c r="F44" s="440"/>
      <c r="G44" s="441"/>
      <c r="H44" s="440"/>
      <c r="I44" s="1387"/>
      <c r="J44" s="1387"/>
      <c r="K44" s="1387"/>
      <c r="L44" s="1387"/>
      <c r="M44" s="1387"/>
      <c r="N44" s="1387"/>
      <c r="O44" s="1387"/>
      <c r="P44" s="1387"/>
      <c r="Q44" s="1387"/>
      <c r="R44" s="1387"/>
      <c r="S44" s="1387"/>
      <c r="T44" s="1387"/>
      <c r="U44" s="1387"/>
      <c r="V44" s="1387"/>
      <c r="W44" s="1387"/>
      <c r="X44" s="1387"/>
      <c r="Y44" s="1387"/>
      <c r="Z44" s="1387"/>
      <c r="AA44" s="1387"/>
      <c r="AB44" s="1387"/>
      <c r="AC44" s="1387"/>
      <c r="AD44" s="1387"/>
      <c r="AE44" s="1387"/>
      <c r="AF44" s="1387"/>
      <c r="AG44" s="1387"/>
      <c r="AH44" s="1387"/>
      <c r="AI44" s="1387"/>
      <c r="AJ44" s="1387"/>
      <c r="AK44" s="1387"/>
      <c r="AL44" s="1387"/>
      <c r="AM44" s="1387"/>
      <c r="AN44" s="1387"/>
      <c r="AO44" s="1387"/>
      <c r="AP44" s="1387"/>
      <c r="AQ44" s="1387"/>
      <c r="AR44" s="1387"/>
      <c r="AS44" s="1387"/>
      <c r="AT44" s="1387"/>
      <c r="AU44" s="1387"/>
      <c r="AV44" s="1387"/>
      <c r="AW44" s="1387"/>
      <c r="AX44" s="1387"/>
      <c r="AY44" s="1387"/>
      <c r="AZ44" s="1387"/>
      <c r="BA44" s="1387"/>
      <c r="BB44" s="1387"/>
      <c r="BC44" s="1387"/>
      <c r="BD44" s="1387"/>
      <c r="BE44" s="1387"/>
      <c r="BF44" s="1387"/>
      <c r="BG44" s="1387"/>
      <c r="BH44" s="1387"/>
      <c r="BI44" s="1387"/>
      <c r="BJ44" s="1387"/>
      <c r="BK44" s="1387"/>
      <c r="BL44" s="1387"/>
      <c r="BM44" s="1387"/>
      <c r="BN44" s="1387"/>
      <c r="BO44" s="1387"/>
      <c r="BP44" s="1387"/>
      <c r="BQ44" s="1387"/>
      <c r="BR44" s="1387"/>
      <c r="BS44" s="1387"/>
      <c r="BT44" s="1387"/>
      <c r="BU44" s="1387"/>
      <c r="BV44" s="1387"/>
      <c r="BW44" s="1387"/>
      <c r="BX44" s="1387"/>
      <c r="BY44" s="1387"/>
      <c r="BZ44" s="1387"/>
      <c r="CA44" s="1387"/>
      <c r="CB44" s="1387"/>
      <c r="CC44" s="1387"/>
      <c r="CD44" s="1387"/>
      <c r="CE44" s="1387"/>
      <c r="CF44" s="1387"/>
      <c r="CG44" s="1387"/>
      <c r="CH44" s="1387"/>
      <c r="CI44" s="1387"/>
      <c r="CJ44" s="1387"/>
      <c r="CK44" s="1387"/>
      <c r="CL44" s="1387"/>
      <c r="CM44" s="1387"/>
      <c r="CN44" s="1387"/>
      <c r="CO44" s="1387"/>
      <c r="CP44" s="1387"/>
      <c r="CQ44" s="1387"/>
      <c r="CR44" s="1387"/>
      <c r="CS44" s="1387"/>
      <c r="CT44" s="1387"/>
      <c r="CU44" s="1387"/>
      <c r="CV44" s="1387"/>
      <c r="CW44" s="1387"/>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5" hidden="1">
      <c r="A45" s="1502"/>
      <c r="B45" s="551"/>
      <c r="C45" s="551"/>
      <c r="D45" s="1336"/>
      <c r="E45" s="551"/>
      <c r="F45" s="440"/>
      <c r="G45" s="441"/>
      <c r="H45" s="440"/>
      <c r="I45" s="1387"/>
      <c r="J45" s="1387"/>
      <c r="K45" s="1387"/>
      <c r="L45" s="1387"/>
      <c r="M45" s="1387"/>
      <c r="N45" s="1387"/>
      <c r="O45" s="1387"/>
      <c r="P45" s="1387"/>
      <c r="Q45" s="1387"/>
      <c r="R45" s="1387"/>
      <c r="S45" s="1387"/>
      <c r="T45" s="1387"/>
      <c r="U45" s="1387"/>
      <c r="V45" s="1387"/>
      <c r="W45" s="1387"/>
      <c r="X45" s="1387"/>
      <c r="Y45" s="1387"/>
      <c r="Z45" s="1387"/>
      <c r="AA45" s="1387"/>
      <c r="AB45" s="1387"/>
      <c r="AC45" s="1387"/>
      <c r="AD45" s="1387"/>
      <c r="AE45" s="1387"/>
      <c r="AF45" s="1387"/>
      <c r="AG45" s="1387"/>
      <c r="AH45" s="1387"/>
      <c r="AI45" s="1387"/>
      <c r="AJ45" s="1387"/>
      <c r="AK45" s="1387"/>
      <c r="AL45" s="1387"/>
      <c r="AM45" s="1387"/>
      <c r="AN45" s="1387"/>
      <c r="AO45" s="1387"/>
      <c r="AP45" s="1387"/>
      <c r="AQ45" s="1387"/>
      <c r="AR45" s="1387"/>
      <c r="AS45" s="1387"/>
      <c r="AT45" s="1387"/>
      <c r="AU45" s="1387"/>
      <c r="AV45" s="1387"/>
      <c r="AW45" s="1387"/>
      <c r="AX45" s="1387"/>
      <c r="AY45" s="1387"/>
      <c r="AZ45" s="1387"/>
      <c r="BA45" s="1387"/>
      <c r="BB45" s="1387"/>
      <c r="BC45" s="1387"/>
      <c r="BD45" s="1387"/>
      <c r="BE45" s="1387"/>
      <c r="BF45" s="1387"/>
      <c r="BG45" s="1387"/>
      <c r="BH45" s="1387"/>
      <c r="BI45" s="1387"/>
      <c r="BJ45" s="1387"/>
      <c r="BK45" s="1387"/>
      <c r="BL45" s="1387"/>
      <c r="BM45" s="1387"/>
      <c r="BN45" s="1387"/>
      <c r="BO45" s="1387"/>
      <c r="BP45" s="1387"/>
      <c r="BQ45" s="1387"/>
      <c r="BR45" s="1387"/>
      <c r="BS45" s="1387"/>
      <c r="BT45" s="1387"/>
      <c r="BU45" s="1387"/>
      <c r="BV45" s="1387"/>
      <c r="BW45" s="1387"/>
      <c r="BX45" s="1387"/>
      <c r="BY45" s="1387"/>
      <c r="BZ45" s="1387"/>
      <c r="CA45" s="1387"/>
      <c r="CB45" s="1387"/>
      <c r="CC45" s="1387"/>
      <c r="CD45" s="1387"/>
      <c r="CE45" s="1387"/>
      <c r="CF45" s="1387"/>
      <c r="CG45" s="1387"/>
      <c r="CH45" s="1387"/>
      <c r="CI45" s="1387"/>
      <c r="CJ45" s="1387"/>
      <c r="CK45" s="1387"/>
      <c r="CL45" s="1387"/>
      <c r="CM45" s="1387"/>
      <c r="CN45" s="1387"/>
      <c r="CO45" s="1387"/>
      <c r="CP45" s="1387"/>
      <c r="CQ45" s="1387"/>
      <c r="CR45" s="1387"/>
      <c r="CS45" s="1387"/>
      <c r="CT45" s="1387"/>
      <c r="CU45" s="1387"/>
      <c r="CV45" s="1387"/>
      <c r="CW45" s="1387"/>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5" hidden="1">
      <c r="A46" s="1502"/>
      <c r="B46" s="551"/>
      <c r="C46" s="551"/>
      <c r="D46" s="1336"/>
      <c r="E46" s="551"/>
      <c r="F46" s="440"/>
      <c r="G46" s="441"/>
      <c r="H46" s="440"/>
      <c r="I46" s="1387"/>
      <c r="J46" s="1387"/>
      <c r="K46" s="1387"/>
      <c r="L46" s="1387"/>
      <c r="M46" s="1387"/>
      <c r="N46" s="1387"/>
      <c r="O46" s="1387"/>
      <c r="P46" s="1387"/>
      <c r="Q46" s="1387"/>
      <c r="R46" s="1387"/>
      <c r="S46" s="1387"/>
      <c r="T46" s="1387"/>
      <c r="U46" s="1387"/>
      <c r="V46" s="1387"/>
      <c r="W46" s="1387"/>
      <c r="X46" s="1387"/>
      <c r="Y46" s="1387"/>
      <c r="Z46" s="1387"/>
      <c r="AA46" s="1387"/>
      <c r="AB46" s="1387"/>
      <c r="AC46" s="1387"/>
      <c r="AD46" s="1387"/>
      <c r="AE46" s="1387"/>
      <c r="AF46" s="1387"/>
      <c r="AG46" s="1387"/>
      <c r="AH46" s="1387"/>
      <c r="AI46" s="1387"/>
      <c r="AJ46" s="1387"/>
      <c r="AK46" s="1387"/>
      <c r="AL46" s="1387"/>
      <c r="AM46" s="1387"/>
      <c r="AN46" s="1387"/>
      <c r="AO46" s="1387"/>
      <c r="AP46" s="1387"/>
      <c r="AQ46" s="1387"/>
      <c r="AR46" s="1387"/>
      <c r="AS46" s="1387"/>
      <c r="AT46" s="1387"/>
      <c r="AU46" s="1387"/>
      <c r="AV46" s="1387"/>
      <c r="AW46" s="1387"/>
      <c r="AX46" s="1387"/>
      <c r="AY46" s="1387"/>
      <c r="AZ46" s="1387"/>
      <c r="BA46" s="1387"/>
      <c r="BB46" s="1387"/>
      <c r="BC46" s="1387"/>
      <c r="BD46" s="1387"/>
      <c r="BE46" s="1387"/>
      <c r="BF46" s="1387"/>
      <c r="BG46" s="1387"/>
      <c r="BH46" s="1387"/>
      <c r="BI46" s="1387"/>
      <c r="BJ46" s="1387"/>
      <c r="BK46" s="1387"/>
      <c r="BL46" s="1387"/>
      <c r="BM46" s="1387"/>
      <c r="BN46" s="1387"/>
      <c r="BO46" s="1387"/>
      <c r="BP46" s="1387"/>
      <c r="BQ46" s="1387"/>
      <c r="BR46" s="1387"/>
      <c r="BS46" s="1387"/>
      <c r="BT46" s="1387"/>
      <c r="BU46" s="1387"/>
      <c r="BV46" s="1387"/>
      <c r="BW46" s="1387"/>
      <c r="BX46" s="1387"/>
      <c r="BY46" s="1387"/>
      <c r="BZ46" s="1387"/>
      <c r="CA46" s="1387"/>
      <c r="CB46" s="1387"/>
      <c r="CC46" s="1387"/>
      <c r="CD46" s="1387"/>
      <c r="CE46" s="1387"/>
      <c r="CF46" s="1387"/>
      <c r="CG46" s="1387"/>
      <c r="CH46" s="1387"/>
      <c r="CI46" s="1387"/>
      <c r="CJ46" s="1387"/>
      <c r="CK46" s="1387"/>
      <c r="CL46" s="1387"/>
      <c r="CM46" s="1387"/>
      <c r="CN46" s="1387"/>
      <c r="CO46" s="1387"/>
      <c r="CP46" s="1387"/>
      <c r="CQ46" s="1387"/>
      <c r="CR46" s="1387"/>
      <c r="CS46" s="1387"/>
      <c r="CT46" s="1387"/>
      <c r="CU46" s="1387"/>
      <c r="CV46" s="1387"/>
      <c r="CW46" s="1387"/>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5" hidden="1">
      <c r="A47" s="1502"/>
      <c r="B47" s="551"/>
      <c r="C47" s="551"/>
      <c r="D47" s="1336"/>
      <c r="E47" s="551"/>
      <c r="F47" s="440"/>
      <c r="G47" s="441"/>
      <c r="H47" s="440"/>
      <c r="I47" s="1387"/>
      <c r="J47" s="1387"/>
      <c r="K47" s="1387"/>
      <c r="L47" s="1387"/>
      <c r="M47" s="1387"/>
      <c r="N47" s="1387"/>
      <c r="O47" s="1387"/>
      <c r="P47" s="1387"/>
      <c r="Q47" s="1387"/>
      <c r="R47" s="1387"/>
      <c r="S47" s="1387"/>
      <c r="T47" s="1387"/>
      <c r="U47" s="1387"/>
      <c r="V47" s="1387"/>
      <c r="W47" s="1387"/>
      <c r="X47" s="1387"/>
      <c r="Y47" s="1387"/>
      <c r="Z47" s="1387"/>
      <c r="AA47" s="1387"/>
      <c r="AB47" s="1387"/>
      <c r="AC47" s="1387"/>
      <c r="AD47" s="1387"/>
      <c r="AE47" s="1387"/>
      <c r="AF47" s="1387"/>
      <c r="AG47" s="1387"/>
      <c r="AH47" s="1387"/>
      <c r="AI47" s="1387"/>
      <c r="AJ47" s="1387"/>
      <c r="AK47" s="1387"/>
      <c r="AL47" s="1387"/>
      <c r="AM47" s="1387"/>
      <c r="AN47" s="1387"/>
      <c r="AO47" s="1387"/>
      <c r="AP47" s="1387"/>
      <c r="AQ47" s="1387"/>
      <c r="AR47" s="1387"/>
      <c r="AS47" s="1387"/>
      <c r="AT47" s="1387"/>
      <c r="AU47" s="1387"/>
      <c r="AV47" s="1387"/>
      <c r="AW47" s="1387"/>
      <c r="AX47" s="1387"/>
      <c r="AY47" s="1387"/>
      <c r="AZ47" s="1387"/>
      <c r="BA47" s="1387"/>
      <c r="BB47" s="1387"/>
      <c r="BC47" s="1387"/>
      <c r="BD47" s="1387"/>
      <c r="BE47" s="1387"/>
      <c r="BF47" s="1387"/>
      <c r="BG47" s="1387"/>
      <c r="BH47" s="1387"/>
      <c r="BI47" s="1387"/>
      <c r="BJ47" s="1387"/>
      <c r="BK47" s="1387"/>
      <c r="BL47" s="1387"/>
      <c r="BM47" s="1387"/>
      <c r="BN47" s="1387"/>
      <c r="BO47" s="1387"/>
      <c r="BP47" s="1387"/>
      <c r="BQ47" s="1387"/>
      <c r="BR47" s="1387"/>
      <c r="BS47" s="1387"/>
      <c r="BT47" s="1387"/>
      <c r="BU47" s="1387"/>
      <c r="BV47" s="1387"/>
      <c r="BW47" s="1387"/>
      <c r="BX47" s="1387"/>
      <c r="BY47" s="1387"/>
      <c r="BZ47" s="1387"/>
      <c r="CA47" s="1387"/>
      <c r="CB47" s="1387"/>
      <c r="CC47" s="1387"/>
      <c r="CD47" s="1387"/>
      <c r="CE47" s="1387"/>
      <c r="CF47" s="1387"/>
      <c r="CG47" s="1387"/>
      <c r="CH47" s="1387"/>
      <c r="CI47" s="1387"/>
      <c r="CJ47" s="1387"/>
      <c r="CK47" s="1387"/>
      <c r="CL47" s="1387"/>
      <c r="CM47" s="1387"/>
      <c r="CN47" s="1387"/>
      <c r="CO47" s="1387"/>
      <c r="CP47" s="1387"/>
      <c r="CQ47" s="1387"/>
      <c r="CR47" s="1387"/>
      <c r="CS47" s="1387"/>
      <c r="CT47" s="1387"/>
      <c r="CU47" s="1387"/>
      <c r="CV47" s="1387"/>
      <c r="CW47" s="1387"/>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5" hidden="1">
      <c r="A48" s="1502"/>
      <c r="B48" s="551"/>
      <c r="C48" s="551"/>
      <c r="D48" s="1336"/>
      <c r="E48" s="551"/>
      <c r="F48" s="440"/>
      <c r="G48" s="441"/>
      <c r="H48" s="440"/>
      <c r="I48" s="1387"/>
      <c r="J48" s="1387"/>
      <c r="K48" s="1387"/>
      <c r="L48" s="1387"/>
      <c r="M48" s="1387"/>
      <c r="N48" s="1387"/>
      <c r="O48" s="1387"/>
      <c r="P48" s="1387"/>
      <c r="Q48" s="1387"/>
      <c r="R48" s="1387"/>
      <c r="S48" s="1387"/>
      <c r="T48" s="1387"/>
      <c r="U48" s="1387"/>
      <c r="V48" s="1387"/>
      <c r="W48" s="1387"/>
      <c r="X48" s="1387"/>
      <c r="Y48" s="1387"/>
      <c r="Z48" s="1387"/>
      <c r="AA48" s="1387"/>
      <c r="AB48" s="1387"/>
      <c r="AC48" s="1387"/>
      <c r="AD48" s="1387"/>
      <c r="AE48" s="1387"/>
      <c r="AF48" s="1387"/>
      <c r="AG48" s="1387"/>
      <c r="AH48" s="1387"/>
      <c r="AI48" s="1387"/>
      <c r="AJ48" s="1387"/>
      <c r="AK48" s="1387"/>
      <c r="AL48" s="1387"/>
      <c r="AM48" s="1387"/>
      <c r="AN48" s="1387"/>
      <c r="AO48" s="1387"/>
      <c r="AP48" s="1387"/>
      <c r="AQ48" s="1387"/>
      <c r="AR48" s="1387"/>
      <c r="AS48" s="1387"/>
      <c r="AT48" s="1387"/>
      <c r="AU48" s="1387"/>
      <c r="AV48" s="1387"/>
      <c r="AW48" s="1387"/>
      <c r="AX48" s="1387"/>
      <c r="AY48" s="1387"/>
      <c r="AZ48" s="1387"/>
      <c r="BA48" s="1387"/>
      <c r="BB48" s="1387"/>
      <c r="BC48" s="1387"/>
      <c r="BD48" s="1387"/>
      <c r="BE48" s="1387"/>
      <c r="BF48" s="1387"/>
      <c r="BG48" s="1387"/>
      <c r="BH48" s="1387"/>
      <c r="BI48" s="1387"/>
      <c r="BJ48" s="1387"/>
      <c r="BK48" s="1387"/>
      <c r="BL48" s="1387"/>
      <c r="BM48" s="1387"/>
      <c r="BN48" s="1387"/>
      <c r="BO48" s="1387"/>
      <c r="BP48" s="1387"/>
      <c r="BQ48" s="1387"/>
      <c r="BR48" s="1387"/>
      <c r="BS48" s="1387"/>
      <c r="BT48" s="1387"/>
      <c r="BU48" s="1387"/>
      <c r="BV48" s="1387"/>
      <c r="BW48" s="1387"/>
      <c r="BX48" s="1387"/>
      <c r="BY48" s="1387"/>
      <c r="BZ48" s="1387"/>
      <c r="CA48" s="1387"/>
      <c r="CB48" s="1387"/>
      <c r="CC48" s="1387"/>
      <c r="CD48" s="1387"/>
      <c r="CE48" s="1387"/>
      <c r="CF48" s="1387"/>
      <c r="CG48" s="1387"/>
      <c r="CH48" s="1387"/>
      <c r="CI48" s="1387"/>
      <c r="CJ48" s="1387"/>
      <c r="CK48" s="1387"/>
      <c r="CL48" s="1387"/>
      <c r="CM48" s="1387"/>
      <c r="CN48" s="1387"/>
      <c r="CO48" s="1387"/>
      <c r="CP48" s="1387"/>
      <c r="CQ48" s="1387"/>
      <c r="CR48" s="1387"/>
      <c r="CS48" s="1387"/>
      <c r="CT48" s="1387"/>
      <c r="CU48" s="1387"/>
      <c r="CV48" s="1387"/>
      <c r="CW48" s="1387"/>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5" hidden="1">
      <c r="A49" s="1502"/>
      <c r="B49" s="551"/>
      <c r="C49" s="551"/>
      <c r="D49" s="1336"/>
      <c r="E49" s="551"/>
      <c r="F49" s="440"/>
      <c r="G49" s="441"/>
      <c r="H49" s="440"/>
      <c r="I49" s="1387"/>
      <c r="J49" s="1387"/>
      <c r="K49" s="1387"/>
      <c r="L49" s="1387"/>
      <c r="M49" s="1387"/>
      <c r="N49" s="1387"/>
      <c r="O49" s="1387"/>
      <c r="P49" s="1387"/>
      <c r="Q49" s="1387"/>
      <c r="R49" s="1387"/>
      <c r="S49" s="1387"/>
      <c r="T49" s="1387"/>
      <c r="U49" s="1387"/>
      <c r="V49" s="1387"/>
      <c r="W49" s="1387"/>
      <c r="X49" s="1387"/>
      <c r="Y49" s="1387"/>
      <c r="Z49" s="1387"/>
      <c r="AA49" s="1387"/>
      <c r="AB49" s="1387"/>
      <c r="AC49" s="1387"/>
      <c r="AD49" s="1387"/>
      <c r="AE49" s="1387"/>
      <c r="AF49" s="1387"/>
      <c r="AG49" s="1387"/>
      <c r="AH49" s="1387"/>
      <c r="AI49" s="1387"/>
      <c r="AJ49" s="1387"/>
      <c r="AK49" s="1387"/>
      <c r="AL49" s="1387"/>
      <c r="AM49" s="1387"/>
      <c r="AN49" s="1387"/>
      <c r="AO49" s="1387"/>
      <c r="AP49" s="1387"/>
      <c r="AQ49" s="1387"/>
      <c r="AR49" s="1387"/>
      <c r="AS49" s="1387"/>
      <c r="AT49" s="1387"/>
      <c r="AU49" s="1387"/>
      <c r="AV49" s="1387"/>
      <c r="AW49" s="1387"/>
      <c r="AX49" s="1387"/>
      <c r="AY49" s="1387"/>
      <c r="AZ49" s="1387"/>
      <c r="BA49" s="1387"/>
      <c r="BB49" s="1387"/>
      <c r="BC49" s="1387"/>
      <c r="BD49" s="1387"/>
      <c r="BE49" s="1387"/>
      <c r="BF49" s="1387"/>
      <c r="BG49" s="1387"/>
      <c r="BH49" s="1387"/>
      <c r="BI49" s="1387"/>
      <c r="BJ49" s="1387"/>
      <c r="BK49" s="1387"/>
      <c r="BL49" s="1387"/>
      <c r="BM49" s="1387"/>
      <c r="BN49" s="1387"/>
      <c r="BO49" s="1387"/>
      <c r="BP49" s="1387"/>
      <c r="BQ49" s="1387"/>
      <c r="BR49" s="1387"/>
      <c r="BS49" s="1387"/>
      <c r="BT49" s="1387"/>
      <c r="BU49" s="1387"/>
      <c r="BV49" s="1387"/>
      <c r="BW49" s="1387"/>
      <c r="BX49" s="1387"/>
      <c r="BY49" s="1387"/>
      <c r="BZ49" s="1387"/>
      <c r="CA49" s="1387"/>
      <c r="CB49" s="1387"/>
      <c r="CC49" s="1387"/>
      <c r="CD49" s="1387"/>
      <c r="CE49" s="1387"/>
      <c r="CF49" s="1387"/>
      <c r="CG49" s="1387"/>
      <c r="CH49" s="1387"/>
      <c r="CI49" s="1387"/>
      <c r="CJ49" s="1387"/>
      <c r="CK49" s="1387"/>
      <c r="CL49" s="1387"/>
      <c r="CM49" s="1387"/>
      <c r="CN49" s="1387"/>
      <c r="CO49" s="1387"/>
      <c r="CP49" s="1387"/>
      <c r="CQ49" s="1387"/>
      <c r="CR49" s="1387"/>
      <c r="CS49" s="1387"/>
      <c r="CT49" s="1387"/>
      <c r="CU49" s="1387"/>
      <c r="CV49" s="1387"/>
      <c r="CW49" s="1387"/>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5" hidden="1">
      <c r="A50" s="1502"/>
      <c r="B50" s="551"/>
      <c r="C50" s="551"/>
      <c r="D50" s="1336"/>
      <c r="E50" s="551"/>
      <c r="F50" s="440"/>
      <c r="G50" s="441"/>
      <c r="H50" s="440"/>
      <c r="I50" s="1387"/>
      <c r="J50" s="1387"/>
      <c r="K50" s="1387"/>
      <c r="L50" s="1387"/>
      <c r="M50" s="1387"/>
      <c r="N50" s="1387"/>
      <c r="O50" s="1387"/>
      <c r="P50" s="1387"/>
      <c r="Q50" s="1387"/>
      <c r="R50" s="1387"/>
      <c r="S50" s="1387"/>
      <c r="T50" s="1387"/>
      <c r="U50" s="1387"/>
      <c r="V50" s="1387"/>
      <c r="W50" s="1387"/>
      <c r="X50" s="1387"/>
      <c r="Y50" s="1387"/>
      <c r="Z50" s="1387"/>
      <c r="AA50" s="1387"/>
      <c r="AB50" s="1387"/>
      <c r="AC50" s="1387"/>
      <c r="AD50" s="1387"/>
      <c r="AE50" s="1387"/>
      <c r="AF50" s="1387"/>
      <c r="AG50" s="1387"/>
      <c r="AH50" s="1387"/>
      <c r="AI50" s="1387"/>
      <c r="AJ50" s="1387"/>
      <c r="AK50" s="1387"/>
      <c r="AL50" s="1387"/>
      <c r="AM50" s="1387"/>
      <c r="AN50" s="1387"/>
      <c r="AO50" s="1387"/>
      <c r="AP50" s="1387"/>
      <c r="AQ50" s="1387"/>
      <c r="AR50" s="1387"/>
      <c r="AS50" s="1387"/>
      <c r="AT50" s="1387"/>
      <c r="AU50" s="1387"/>
      <c r="AV50" s="1387"/>
      <c r="AW50" s="1387"/>
      <c r="AX50" s="1387"/>
      <c r="AY50" s="1387"/>
      <c r="AZ50" s="1387"/>
      <c r="BA50" s="1387"/>
      <c r="BB50" s="1387"/>
      <c r="BC50" s="1387"/>
      <c r="BD50" s="1387"/>
      <c r="BE50" s="1387"/>
      <c r="BF50" s="1387"/>
      <c r="BG50" s="1387"/>
      <c r="BH50" s="1387"/>
      <c r="BI50" s="1387"/>
      <c r="BJ50" s="1387"/>
      <c r="BK50" s="1387"/>
      <c r="BL50" s="1387"/>
      <c r="BM50" s="1387"/>
      <c r="BN50" s="1387"/>
      <c r="BO50" s="1387"/>
      <c r="BP50" s="1387"/>
      <c r="BQ50" s="1387"/>
      <c r="BR50" s="1387"/>
      <c r="BS50" s="1387"/>
      <c r="BT50" s="1387"/>
      <c r="BU50" s="1387"/>
      <c r="BV50" s="1387"/>
      <c r="BW50" s="1387"/>
      <c r="BX50" s="1387"/>
      <c r="BY50" s="1387"/>
      <c r="BZ50" s="1387"/>
      <c r="CA50" s="1387"/>
      <c r="CB50" s="1387"/>
      <c r="CC50" s="1387"/>
      <c r="CD50" s="1387"/>
      <c r="CE50" s="1387"/>
      <c r="CF50" s="1387"/>
      <c r="CG50" s="1387"/>
      <c r="CH50" s="1387"/>
      <c r="CI50" s="1387"/>
      <c r="CJ50" s="1387"/>
      <c r="CK50" s="1387"/>
      <c r="CL50" s="1387"/>
      <c r="CM50" s="1387"/>
      <c r="CN50" s="1387"/>
      <c r="CO50" s="1387"/>
      <c r="CP50" s="1387"/>
      <c r="CQ50" s="1387"/>
      <c r="CR50" s="1387"/>
      <c r="CS50" s="1387"/>
      <c r="CT50" s="1387"/>
      <c r="CU50" s="1387"/>
      <c r="CV50" s="1387"/>
      <c r="CW50" s="1387"/>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5" hidden="1">
      <c r="A51" s="1502"/>
      <c r="B51" s="551"/>
      <c r="C51" s="551"/>
      <c r="D51" s="1336"/>
      <c r="E51" s="551"/>
      <c r="F51" s="440"/>
      <c r="G51" s="441"/>
      <c r="H51" s="440"/>
      <c r="I51" s="1387"/>
      <c r="J51" s="1387"/>
      <c r="K51" s="1387"/>
      <c r="L51" s="1387"/>
      <c r="M51" s="1387"/>
      <c r="N51" s="1387"/>
      <c r="O51" s="1387"/>
      <c r="P51" s="1387"/>
      <c r="Q51" s="1387"/>
      <c r="R51" s="1387"/>
      <c r="S51" s="1387"/>
      <c r="T51" s="1387"/>
      <c r="U51" s="1387"/>
      <c r="V51" s="1387"/>
      <c r="W51" s="1387"/>
      <c r="X51" s="1387"/>
      <c r="Y51" s="1387"/>
      <c r="Z51" s="1387"/>
      <c r="AA51" s="1387"/>
      <c r="AB51" s="1387"/>
      <c r="AC51" s="1387"/>
      <c r="AD51" s="1387"/>
      <c r="AE51" s="1387"/>
      <c r="AF51" s="1387"/>
      <c r="AG51" s="1387"/>
      <c r="AH51" s="1387"/>
      <c r="AI51" s="1387"/>
      <c r="AJ51" s="1387"/>
      <c r="AK51" s="1387"/>
      <c r="AL51" s="1387"/>
      <c r="AM51" s="1387"/>
      <c r="AN51" s="1387"/>
      <c r="AO51" s="1387"/>
      <c r="AP51" s="1387"/>
      <c r="AQ51" s="1387"/>
      <c r="AR51" s="1387"/>
      <c r="AS51" s="1387"/>
      <c r="AT51" s="1387"/>
      <c r="AU51" s="1387"/>
      <c r="AV51" s="1387"/>
      <c r="AW51" s="1387"/>
      <c r="AX51" s="1387"/>
      <c r="AY51" s="1387"/>
      <c r="AZ51" s="1387"/>
      <c r="BA51" s="1387"/>
      <c r="BB51" s="1387"/>
      <c r="BC51" s="1387"/>
      <c r="BD51" s="1387"/>
      <c r="BE51" s="1387"/>
      <c r="BF51" s="1387"/>
      <c r="BG51" s="1387"/>
      <c r="BH51" s="1387"/>
      <c r="BI51" s="1387"/>
      <c r="BJ51" s="1387"/>
      <c r="BK51" s="1387"/>
      <c r="BL51" s="1387"/>
      <c r="BM51" s="1387"/>
      <c r="BN51" s="1387"/>
      <c r="BO51" s="1387"/>
      <c r="BP51" s="1387"/>
      <c r="BQ51" s="1387"/>
      <c r="BR51" s="1387"/>
      <c r="BS51" s="1387"/>
      <c r="BT51" s="1387"/>
      <c r="BU51" s="1387"/>
      <c r="BV51" s="1387"/>
      <c r="BW51" s="1387"/>
      <c r="BX51" s="1387"/>
      <c r="BY51" s="1387"/>
      <c r="BZ51" s="1387"/>
      <c r="CA51" s="1387"/>
      <c r="CB51" s="1387"/>
      <c r="CC51" s="1387"/>
      <c r="CD51" s="1387"/>
      <c r="CE51" s="1387"/>
      <c r="CF51" s="1387"/>
      <c r="CG51" s="1387"/>
      <c r="CH51" s="1387"/>
      <c r="CI51" s="1387"/>
      <c r="CJ51" s="1387"/>
      <c r="CK51" s="1387"/>
      <c r="CL51" s="1387"/>
      <c r="CM51" s="1387"/>
      <c r="CN51" s="1387"/>
      <c r="CO51" s="1387"/>
      <c r="CP51" s="1387"/>
      <c r="CQ51" s="1387"/>
      <c r="CR51" s="1387"/>
      <c r="CS51" s="1387"/>
      <c r="CT51" s="1387"/>
      <c r="CU51" s="1387"/>
      <c r="CV51" s="1387"/>
      <c r="CW51" s="1387"/>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5" hidden="1">
      <c r="A52" s="1502"/>
      <c r="B52" s="551"/>
      <c r="C52" s="551"/>
      <c r="D52" s="1336"/>
      <c r="E52" s="551"/>
      <c r="F52" s="440"/>
      <c r="G52" s="441"/>
      <c r="H52" s="440"/>
      <c r="I52" s="1387"/>
      <c r="J52" s="1387"/>
      <c r="K52" s="1387"/>
      <c r="L52" s="1387"/>
      <c r="M52" s="1387"/>
      <c r="N52" s="1387"/>
      <c r="O52" s="1387"/>
      <c r="P52" s="1387"/>
      <c r="Q52" s="1387"/>
      <c r="R52" s="1387"/>
      <c r="S52" s="1387"/>
      <c r="T52" s="1387"/>
      <c r="U52" s="1387"/>
      <c r="V52" s="1387"/>
      <c r="W52" s="1387"/>
      <c r="X52" s="1387"/>
      <c r="Y52" s="1387"/>
      <c r="Z52" s="1387"/>
      <c r="AA52" s="1387"/>
      <c r="AB52" s="1387"/>
      <c r="AC52" s="1387"/>
      <c r="AD52" s="1387"/>
      <c r="AE52" s="1387"/>
      <c r="AF52" s="1387"/>
      <c r="AG52" s="1387"/>
      <c r="AH52" s="1387"/>
      <c r="AI52" s="1387"/>
      <c r="AJ52" s="1387"/>
      <c r="AK52" s="1387"/>
      <c r="AL52" s="1387"/>
      <c r="AM52" s="1387"/>
      <c r="AN52" s="1387"/>
      <c r="AO52" s="1387"/>
      <c r="AP52" s="1387"/>
      <c r="AQ52" s="1387"/>
      <c r="AR52" s="1387"/>
      <c r="AS52" s="1387"/>
      <c r="AT52" s="1387"/>
      <c r="AU52" s="1387"/>
      <c r="AV52" s="1387"/>
      <c r="AW52" s="1387"/>
      <c r="AX52" s="1387"/>
      <c r="AY52" s="1387"/>
      <c r="AZ52" s="1387"/>
      <c r="BA52" s="1387"/>
      <c r="BB52" s="1387"/>
      <c r="BC52" s="1387"/>
      <c r="BD52" s="1387"/>
      <c r="BE52" s="1387"/>
      <c r="BF52" s="1387"/>
      <c r="BG52" s="1387"/>
      <c r="BH52" s="1387"/>
      <c r="BI52" s="1387"/>
      <c r="BJ52" s="1387"/>
      <c r="BK52" s="1387"/>
      <c r="BL52" s="1387"/>
      <c r="BM52" s="1387"/>
      <c r="BN52" s="1387"/>
      <c r="BO52" s="1387"/>
      <c r="BP52" s="1387"/>
      <c r="BQ52" s="1387"/>
      <c r="BR52" s="1387"/>
      <c r="BS52" s="1387"/>
      <c r="BT52" s="1387"/>
      <c r="BU52" s="1387"/>
      <c r="BV52" s="1387"/>
      <c r="BW52" s="1387"/>
      <c r="BX52" s="1387"/>
      <c r="BY52" s="1387"/>
      <c r="BZ52" s="1387"/>
      <c r="CA52" s="1387"/>
      <c r="CB52" s="1387"/>
      <c r="CC52" s="1387"/>
      <c r="CD52" s="1387"/>
      <c r="CE52" s="1387"/>
      <c r="CF52" s="1387"/>
      <c r="CG52" s="1387"/>
      <c r="CH52" s="1387"/>
      <c r="CI52" s="1387"/>
      <c r="CJ52" s="1387"/>
      <c r="CK52" s="1387"/>
      <c r="CL52" s="1387"/>
      <c r="CM52" s="1387"/>
      <c r="CN52" s="1387"/>
      <c r="CO52" s="1387"/>
      <c r="CP52" s="1387"/>
      <c r="CQ52" s="1387"/>
      <c r="CR52" s="1387"/>
      <c r="CS52" s="1387"/>
      <c r="CT52" s="1387"/>
      <c r="CU52" s="1387"/>
      <c r="CV52" s="1387"/>
      <c r="CW52" s="1387"/>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5" hidden="1">
      <c r="A53" s="1502"/>
      <c r="B53" s="551"/>
      <c r="C53" s="551"/>
      <c r="D53" s="1336"/>
      <c r="E53" s="551"/>
      <c r="F53" s="440"/>
      <c r="G53" s="441"/>
      <c r="H53" s="440"/>
      <c r="I53" s="1387"/>
      <c r="J53" s="1387"/>
      <c r="K53" s="1387"/>
      <c r="L53" s="1387"/>
      <c r="M53" s="1387"/>
      <c r="N53" s="1387"/>
      <c r="O53" s="1387"/>
      <c r="P53" s="1387"/>
      <c r="Q53" s="1387"/>
      <c r="R53" s="1387"/>
      <c r="S53" s="1387"/>
      <c r="T53" s="1387"/>
      <c r="U53" s="1387"/>
      <c r="V53" s="1387"/>
      <c r="W53" s="1387"/>
      <c r="X53" s="1387"/>
      <c r="Y53" s="1387"/>
      <c r="Z53" s="1387"/>
      <c r="AA53" s="1387"/>
      <c r="AB53" s="1387"/>
      <c r="AC53" s="1387"/>
      <c r="AD53" s="1387"/>
      <c r="AE53" s="1387"/>
      <c r="AF53" s="1387"/>
      <c r="AG53" s="1387"/>
      <c r="AH53" s="1387"/>
      <c r="AI53" s="1387"/>
      <c r="AJ53" s="1387"/>
      <c r="AK53" s="1387"/>
      <c r="AL53" s="1387"/>
      <c r="AM53" s="1387"/>
      <c r="AN53" s="1387"/>
      <c r="AO53" s="1387"/>
      <c r="AP53" s="1387"/>
      <c r="AQ53" s="1387"/>
      <c r="AR53" s="1387"/>
      <c r="AS53" s="1387"/>
      <c r="AT53" s="1387"/>
      <c r="AU53" s="1387"/>
      <c r="AV53" s="1387"/>
      <c r="AW53" s="1387"/>
      <c r="AX53" s="1387"/>
      <c r="AY53" s="1387"/>
      <c r="AZ53" s="1387"/>
      <c r="BA53" s="1387"/>
      <c r="BB53" s="1387"/>
      <c r="BC53" s="1387"/>
      <c r="BD53" s="1387"/>
      <c r="BE53" s="1387"/>
      <c r="BF53" s="1387"/>
      <c r="BG53" s="1387"/>
      <c r="BH53" s="1387"/>
      <c r="BI53" s="1387"/>
      <c r="BJ53" s="1387"/>
      <c r="BK53" s="1387"/>
      <c r="BL53" s="1387"/>
      <c r="BM53" s="1387"/>
      <c r="BN53" s="1387"/>
      <c r="BO53" s="1387"/>
      <c r="BP53" s="1387"/>
      <c r="BQ53" s="1387"/>
      <c r="BR53" s="1387"/>
      <c r="BS53" s="1387"/>
      <c r="BT53" s="1387"/>
      <c r="BU53" s="1387"/>
      <c r="BV53" s="1387"/>
      <c r="BW53" s="1387"/>
      <c r="BX53" s="1387"/>
      <c r="BY53" s="1387"/>
      <c r="BZ53" s="1387"/>
      <c r="CA53" s="1387"/>
      <c r="CB53" s="1387"/>
      <c r="CC53" s="1387"/>
      <c r="CD53" s="1387"/>
      <c r="CE53" s="1387"/>
      <c r="CF53" s="1387"/>
      <c r="CG53" s="1387"/>
      <c r="CH53" s="1387"/>
      <c r="CI53" s="1387"/>
      <c r="CJ53" s="1387"/>
      <c r="CK53" s="1387"/>
      <c r="CL53" s="1387"/>
      <c r="CM53" s="1387"/>
      <c r="CN53" s="1387"/>
      <c r="CO53" s="1387"/>
      <c r="CP53" s="1387"/>
      <c r="CQ53" s="1387"/>
      <c r="CR53" s="1387"/>
      <c r="CS53" s="1387"/>
      <c r="CT53" s="1387"/>
      <c r="CU53" s="1387"/>
      <c r="CV53" s="1387"/>
      <c r="CW53" s="1387"/>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5" hidden="1">
      <c r="A54" s="1502"/>
      <c r="B54" s="551"/>
      <c r="C54" s="551"/>
      <c r="D54" s="1336"/>
      <c r="E54" s="551"/>
      <c r="F54" s="440"/>
      <c r="G54" s="441"/>
      <c r="H54" s="440"/>
      <c r="I54" s="1387"/>
      <c r="J54" s="1387"/>
      <c r="K54" s="1387"/>
      <c r="L54" s="1387"/>
      <c r="M54" s="1387"/>
      <c r="N54" s="1387"/>
      <c r="O54" s="1387"/>
      <c r="P54" s="1387"/>
      <c r="Q54" s="1387"/>
      <c r="R54" s="1387"/>
      <c r="S54" s="1387"/>
      <c r="T54" s="1387"/>
      <c r="U54" s="1387"/>
      <c r="V54" s="1387"/>
      <c r="W54" s="1387"/>
      <c r="X54" s="1387"/>
      <c r="Y54" s="1387"/>
      <c r="Z54" s="1387"/>
      <c r="AA54" s="1387"/>
      <c r="AB54" s="1387"/>
      <c r="AC54" s="1387"/>
      <c r="AD54" s="1387"/>
      <c r="AE54" s="1387"/>
      <c r="AF54" s="1387"/>
      <c r="AG54" s="1387"/>
      <c r="AH54" s="1387"/>
      <c r="AI54" s="1387"/>
      <c r="AJ54" s="1387"/>
      <c r="AK54" s="1387"/>
      <c r="AL54" s="1387"/>
      <c r="AM54" s="1387"/>
      <c r="AN54" s="1387"/>
      <c r="AO54" s="1387"/>
      <c r="AP54" s="1387"/>
      <c r="AQ54" s="1387"/>
      <c r="AR54" s="1387"/>
      <c r="AS54" s="1387"/>
      <c r="AT54" s="1387"/>
      <c r="AU54" s="1387"/>
      <c r="AV54" s="1387"/>
      <c r="AW54" s="1387"/>
      <c r="AX54" s="1387"/>
      <c r="AY54" s="1387"/>
      <c r="AZ54" s="1387"/>
      <c r="BA54" s="1387"/>
      <c r="BB54" s="1387"/>
      <c r="BC54" s="1387"/>
      <c r="BD54" s="1387"/>
      <c r="BE54" s="1387"/>
      <c r="BF54" s="1387"/>
      <c r="BG54" s="1387"/>
      <c r="BH54" s="1387"/>
      <c r="BI54" s="1387"/>
      <c r="BJ54" s="1387"/>
      <c r="BK54" s="1387"/>
      <c r="BL54" s="1387"/>
      <c r="BM54" s="1387"/>
      <c r="BN54" s="1387"/>
      <c r="BO54" s="1387"/>
      <c r="BP54" s="1387"/>
      <c r="BQ54" s="1387"/>
      <c r="BR54" s="1387"/>
      <c r="BS54" s="1387"/>
      <c r="BT54" s="1387"/>
      <c r="BU54" s="1387"/>
      <c r="BV54" s="1387"/>
      <c r="BW54" s="1387"/>
      <c r="BX54" s="1387"/>
      <c r="BY54" s="1387"/>
      <c r="BZ54" s="1387"/>
      <c r="CA54" s="1387"/>
      <c r="CB54" s="1387"/>
      <c r="CC54" s="1387"/>
      <c r="CD54" s="1387"/>
      <c r="CE54" s="1387"/>
      <c r="CF54" s="1387"/>
      <c r="CG54" s="1387"/>
      <c r="CH54" s="1387"/>
      <c r="CI54" s="1387"/>
      <c r="CJ54" s="1387"/>
      <c r="CK54" s="1387"/>
      <c r="CL54" s="1387"/>
      <c r="CM54" s="1387"/>
      <c r="CN54" s="1387"/>
      <c r="CO54" s="1387"/>
      <c r="CP54" s="1387"/>
      <c r="CQ54" s="1387"/>
      <c r="CR54" s="1387"/>
      <c r="CS54" s="1387"/>
      <c r="CT54" s="1387"/>
      <c r="CU54" s="1387"/>
      <c r="CV54" s="1387"/>
      <c r="CW54" s="1387"/>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5" hidden="1">
      <c r="A55" s="1502"/>
      <c r="B55" s="551"/>
      <c r="C55" s="551"/>
      <c r="D55" s="1336"/>
      <c r="E55" s="551"/>
      <c r="F55" s="440"/>
      <c r="G55" s="441"/>
      <c r="H55" s="440"/>
      <c r="I55" s="1387"/>
      <c r="J55" s="1387"/>
      <c r="K55" s="1387"/>
      <c r="L55" s="1387"/>
      <c r="M55" s="1387"/>
      <c r="N55" s="1387"/>
      <c r="O55" s="1387"/>
      <c r="P55" s="1387"/>
      <c r="Q55" s="1387"/>
      <c r="R55" s="1387"/>
      <c r="S55" s="1387"/>
      <c r="T55" s="1387"/>
      <c r="U55" s="1387"/>
      <c r="V55" s="1387"/>
      <c r="W55" s="1387"/>
      <c r="X55" s="1387"/>
      <c r="Y55" s="1387"/>
      <c r="Z55" s="1387"/>
      <c r="AA55" s="1387"/>
      <c r="AB55" s="1387"/>
      <c r="AC55" s="1387"/>
      <c r="AD55" s="1387"/>
      <c r="AE55" s="1387"/>
      <c r="AF55" s="1387"/>
      <c r="AG55" s="1387"/>
      <c r="AH55" s="1387"/>
      <c r="AI55" s="1387"/>
      <c r="AJ55" s="1387"/>
      <c r="AK55" s="1387"/>
      <c r="AL55" s="1387"/>
      <c r="AM55" s="1387"/>
      <c r="AN55" s="1387"/>
      <c r="AO55" s="1387"/>
      <c r="AP55" s="1387"/>
      <c r="AQ55" s="1387"/>
      <c r="AR55" s="1387"/>
      <c r="AS55" s="1387"/>
      <c r="AT55" s="1387"/>
      <c r="AU55" s="1387"/>
      <c r="AV55" s="1387"/>
      <c r="AW55" s="1387"/>
      <c r="AX55" s="1387"/>
      <c r="AY55" s="1387"/>
      <c r="AZ55" s="1387"/>
      <c r="BA55" s="1387"/>
      <c r="BB55" s="1387"/>
      <c r="BC55" s="1387"/>
      <c r="BD55" s="1387"/>
      <c r="BE55" s="1387"/>
      <c r="BF55" s="1387"/>
      <c r="BG55" s="1387"/>
      <c r="BH55" s="1387"/>
      <c r="BI55" s="1387"/>
      <c r="BJ55" s="1387"/>
      <c r="BK55" s="1387"/>
      <c r="BL55" s="1387"/>
      <c r="BM55" s="1387"/>
      <c r="BN55" s="1387"/>
      <c r="BO55" s="1387"/>
      <c r="BP55" s="1387"/>
      <c r="BQ55" s="1387"/>
      <c r="BR55" s="1387"/>
      <c r="BS55" s="1387"/>
      <c r="BT55" s="1387"/>
      <c r="BU55" s="1387"/>
      <c r="BV55" s="1387"/>
      <c r="BW55" s="1387"/>
      <c r="BX55" s="1387"/>
      <c r="BY55" s="1387"/>
      <c r="BZ55" s="1387"/>
      <c r="CA55" s="1387"/>
      <c r="CB55" s="1387"/>
      <c r="CC55" s="1387"/>
      <c r="CD55" s="1387"/>
      <c r="CE55" s="1387"/>
      <c r="CF55" s="1387"/>
      <c r="CG55" s="1387"/>
      <c r="CH55" s="1387"/>
      <c r="CI55" s="1387"/>
      <c r="CJ55" s="1387"/>
      <c r="CK55" s="1387"/>
      <c r="CL55" s="1387"/>
      <c r="CM55" s="1387"/>
      <c r="CN55" s="1387"/>
      <c r="CO55" s="1387"/>
      <c r="CP55" s="1387"/>
      <c r="CQ55" s="1387"/>
      <c r="CR55" s="1387"/>
      <c r="CS55" s="1387"/>
      <c r="CT55" s="1387"/>
      <c r="CU55" s="1387"/>
      <c r="CV55" s="1387"/>
      <c r="CW55" s="1387"/>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5" hidden="1">
      <c r="A56" s="1502"/>
      <c r="B56" s="551"/>
      <c r="C56" s="551"/>
      <c r="D56" s="1336"/>
      <c r="E56" s="551"/>
      <c r="F56" s="440"/>
      <c r="G56" s="441"/>
      <c r="H56" s="440"/>
      <c r="I56" s="1387"/>
      <c r="J56" s="1387"/>
      <c r="K56" s="1387"/>
      <c r="L56" s="1387"/>
      <c r="M56" s="1387"/>
      <c r="N56" s="1387"/>
      <c r="O56" s="1387"/>
      <c r="P56" s="1387"/>
      <c r="Q56" s="1387"/>
      <c r="R56" s="1387"/>
      <c r="S56" s="1387"/>
      <c r="T56" s="1387"/>
      <c r="U56" s="1387"/>
      <c r="V56" s="1387"/>
      <c r="W56" s="1387"/>
      <c r="X56" s="1387"/>
      <c r="Y56" s="1387"/>
      <c r="Z56" s="1387"/>
      <c r="AA56" s="1387"/>
      <c r="AB56" s="1387"/>
      <c r="AC56" s="1387"/>
      <c r="AD56" s="1387"/>
      <c r="AE56" s="1387"/>
      <c r="AF56" s="1387"/>
      <c r="AG56" s="1387"/>
      <c r="AH56" s="1387"/>
      <c r="AI56" s="1387"/>
      <c r="AJ56" s="1387"/>
      <c r="AK56" s="1387"/>
      <c r="AL56" s="1387"/>
      <c r="AM56" s="1387"/>
      <c r="AN56" s="1387"/>
      <c r="AO56" s="1387"/>
      <c r="AP56" s="1387"/>
      <c r="AQ56" s="1387"/>
      <c r="AR56" s="1387"/>
      <c r="AS56" s="1387"/>
      <c r="AT56" s="1387"/>
      <c r="AU56" s="1387"/>
      <c r="AV56" s="1387"/>
      <c r="AW56" s="1387"/>
      <c r="AX56" s="1387"/>
      <c r="AY56" s="1387"/>
      <c r="AZ56" s="1387"/>
      <c r="BA56" s="1387"/>
      <c r="BB56" s="1387"/>
      <c r="BC56" s="1387"/>
      <c r="BD56" s="1387"/>
      <c r="BE56" s="1387"/>
      <c r="BF56" s="1387"/>
      <c r="BG56" s="1387"/>
      <c r="BH56" s="1387"/>
      <c r="BI56" s="1387"/>
      <c r="BJ56" s="1387"/>
      <c r="BK56" s="1387"/>
      <c r="BL56" s="1387"/>
      <c r="BM56" s="1387"/>
      <c r="BN56" s="1387"/>
      <c r="BO56" s="1387"/>
      <c r="BP56" s="1387"/>
      <c r="BQ56" s="1387"/>
      <c r="BR56" s="1387"/>
      <c r="BS56" s="1387"/>
      <c r="BT56" s="1387"/>
      <c r="BU56" s="1387"/>
      <c r="BV56" s="1387"/>
      <c r="BW56" s="1387"/>
      <c r="BX56" s="1387"/>
      <c r="BY56" s="1387"/>
      <c r="BZ56" s="1387"/>
      <c r="CA56" s="1387"/>
      <c r="CB56" s="1387"/>
      <c r="CC56" s="1387"/>
      <c r="CD56" s="1387"/>
      <c r="CE56" s="1387"/>
      <c r="CF56" s="1387"/>
      <c r="CG56" s="1387"/>
      <c r="CH56" s="1387"/>
      <c r="CI56" s="1387"/>
      <c r="CJ56" s="1387"/>
      <c r="CK56" s="1387"/>
      <c r="CL56" s="1387"/>
      <c r="CM56" s="1387"/>
      <c r="CN56" s="1387"/>
      <c r="CO56" s="1387"/>
      <c r="CP56" s="1387"/>
      <c r="CQ56" s="1387"/>
      <c r="CR56" s="1387"/>
      <c r="CS56" s="1387"/>
      <c r="CT56" s="1387"/>
      <c r="CU56" s="1387"/>
      <c r="CV56" s="1387"/>
      <c r="CW56" s="1387"/>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5" hidden="1">
      <c r="A57" s="1502"/>
      <c r="B57" s="551"/>
      <c r="C57" s="551"/>
      <c r="D57" s="1336"/>
      <c r="E57" s="551"/>
      <c r="F57" s="440"/>
      <c r="G57" s="441"/>
      <c r="H57" s="440"/>
      <c r="I57" s="1387"/>
      <c r="J57" s="1387"/>
      <c r="K57" s="1387"/>
      <c r="L57" s="1387"/>
      <c r="M57" s="1387"/>
      <c r="N57" s="1387"/>
      <c r="O57" s="1387"/>
      <c r="P57" s="1387"/>
      <c r="Q57" s="1387"/>
      <c r="R57" s="1387"/>
      <c r="S57" s="1387"/>
      <c r="T57" s="1387"/>
      <c r="U57" s="1387"/>
      <c r="V57" s="1387"/>
      <c r="W57" s="1387"/>
      <c r="X57" s="1387"/>
      <c r="Y57" s="1387"/>
      <c r="Z57" s="1387"/>
      <c r="AA57" s="1387"/>
      <c r="AB57" s="1387"/>
      <c r="AC57" s="1387"/>
      <c r="AD57" s="1387"/>
      <c r="AE57" s="1387"/>
      <c r="AF57" s="1387"/>
      <c r="AG57" s="1387"/>
      <c r="AH57" s="1387"/>
      <c r="AI57" s="1387"/>
      <c r="AJ57" s="1387"/>
      <c r="AK57" s="1387"/>
      <c r="AL57" s="1387"/>
      <c r="AM57" s="1387"/>
      <c r="AN57" s="1387"/>
      <c r="AO57" s="1387"/>
      <c r="AP57" s="1387"/>
      <c r="AQ57" s="1387"/>
      <c r="AR57" s="1387"/>
      <c r="AS57" s="1387"/>
      <c r="AT57" s="1387"/>
      <c r="AU57" s="1387"/>
      <c r="AV57" s="1387"/>
      <c r="AW57" s="1387"/>
      <c r="AX57" s="1387"/>
      <c r="AY57" s="1387"/>
      <c r="AZ57" s="1387"/>
      <c r="BA57" s="1387"/>
      <c r="BB57" s="1387"/>
      <c r="BC57" s="1387"/>
      <c r="BD57" s="1387"/>
      <c r="BE57" s="1387"/>
      <c r="BF57" s="1387"/>
      <c r="BG57" s="1387"/>
      <c r="BH57" s="1387"/>
      <c r="BI57" s="1387"/>
      <c r="BJ57" s="1387"/>
      <c r="BK57" s="1387"/>
      <c r="BL57" s="1387"/>
      <c r="BM57" s="1387"/>
      <c r="BN57" s="1387"/>
      <c r="BO57" s="1387"/>
      <c r="BP57" s="1387"/>
      <c r="BQ57" s="1387"/>
      <c r="BR57" s="1387"/>
      <c r="BS57" s="1387"/>
      <c r="BT57" s="1387"/>
      <c r="BU57" s="1387"/>
      <c r="BV57" s="1387"/>
      <c r="BW57" s="1387"/>
      <c r="BX57" s="1387"/>
      <c r="BY57" s="1387"/>
      <c r="BZ57" s="1387"/>
      <c r="CA57" s="1387"/>
      <c r="CB57" s="1387"/>
      <c r="CC57" s="1387"/>
      <c r="CD57" s="1387"/>
      <c r="CE57" s="1387"/>
      <c r="CF57" s="1387"/>
      <c r="CG57" s="1387"/>
      <c r="CH57" s="1387"/>
      <c r="CI57" s="1387"/>
      <c r="CJ57" s="1387"/>
      <c r="CK57" s="1387"/>
      <c r="CL57" s="1387"/>
      <c r="CM57" s="1387"/>
      <c r="CN57" s="1387"/>
      <c r="CO57" s="1387"/>
      <c r="CP57" s="1387"/>
      <c r="CQ57" s="1387"/>
      <c r="CR57" s="1387"/>
      <c r="CS57" s="1387"/>
      <c r="CT57" s="1387"/>
      <c r="CU57" s="1387"/>
      <c r="CV57" s="1387"/>
      <c r="CW57" s="1387"/>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5" hidden="1">
      <c r="A58" s="1502"/>
      <c r="B58" s="551"/>
      <c r="C58" s="551"/>
      <c r="D58" s="1336"/>
      <c r="E58" s="551"/>
      <c r="F58" s="440"/>
      <c r="G58" s="441"/>
      <c r="H58" s="440"/>
      <c r="I58" s="1387"/>
      <c r="J58" s="1387"/>
      <c r="K58" s="1387"/>
      <c r="L58" s="1387"/>
      <c r="M58" s="1387"/>
      <c r="N58" s="1387"/>
      <c r="O58" s="1387"/>
      <c r="P58" s="1387"/>
      <c r="Q58" s="1387"/>
      <c r="R58" s="1387"/>
      <c r="S58" s="1387"/>
      <c r="T58" s="1387"/>
      <c r="U58" s="1387"/>
      <c r="V58" s="1387"/>
      <c r="W58" s="1387"/>
      <c r="X58" s="1387"/>
      <c r="Y58" s="1387"/>
      <c r="Z58" s="1387"/>
      <c r="AA58" s="1387"/>
      <c r="AB58" s="1387"/>
      <c r="AC58" s="1387"/>
      <c r="AD58" s="1387"/>
      <c r="AE58" s="1387"/>
      <c r="AF58" s="1387"/>
      <c r="AG58" s="1387"/>
      <c r="AH58" s="1387"/>
      <c r="AI58" s="1387"/>
      <c r="AJ58" s="1387"/>
      <c r="AK58" s="1387"/>
      <c r="AL58" s="1387"/>
      <c r="AM58" s="1387"/>
      <c r="AN58" s="1387"/>
      <c r="AO58" s="1387"/>
      <c r="AP58" s="1387"/>
      <c r="AQ58" s="1387"/>
      <c r="AR58" s="1387"/>
      <c r="AS58" s="1387"/>
      <c r="AT58" s="1387"/>
      <c r="AU58" s="1387"/>
      <c r="AV58" s="1387"/>
      <c r="AW58" s="1387"/>
      <c r="AX58" s="1387"/>
      <c r="AY58" s="1387"/>
      <c r="AZ58" s="1387"/>
      <c r="BA58" s="1387"/>
      <c r="BB58" s="1387"/>
      <c r="BC58" s="1387"/>
      <c r="BD58" s="1387"/>
      <c r="BE58" s="1387"/>
      <c r="BF58" s="1387"/>
      <c r="BG58" s="1387"/>
      <c r="BH58" s="1387"/>
      <c r="BI58" s="1387"/>
      <c r="BJ58" s="1387"/>
      <c r="BK58" s="1387"/>
      <c r="BL58" s="1387"/>
      <c r="BM58" s="1387"/>
      <c r="BN58" s="1387"/>
      <c r="BO58" s="1387"/>
      <c r="BP58" s="1387"/>
      <c r="BQ58" s="1387"/>
      <c r="BR58" s="1387"/>
      <c r="BS58" s="1387"/>
      <c r="BT58" s="1387"/>
      <c r="BU58" s="1387"/>
      <c r="BV58" s="1387"/>
      <c r="BW58" s="1387"/>
      <c r="BX58" s="1387"/>
      <c r="BY58" s="1387"/>
      <c r="BZ58" s="1387"/>
      <c r="CA58" s="1387"/>
      <c r="CB58" s="1387"/>
      <c r="CC58" s="1387"/>
      <c r="CD58" s="1387"/>
      <c r="CE58" s="1387"/>
      <c r="CF58" s="1387"/>
      <c r="CG58" s="1387"/>
      <c r="CH58" s="1387"/>
      <c r="CI58" s="1387"/>
      <c r="CJ58" s="1387"/>
      <c r="CK58" s="1387"/>
      <c r="CL58" s="1387"/>
      <c r="CM58" s="1387"/>
      <c r="CN58" s="1387"/>
      <c r="CO58" s="1387"/>
      <c r="CP58" s="1387"/>
      <c r="CQ58" s="1387"/>
      <c r="CR58" s="1387"/>
      <c r="CS58" s="1387"/>
      <c r="CT58" s="1387"/>
      <c r="CU58" s="1387"/>
      <c r="CV58" s="1387"/>
      <c r="CW58" s="1387"/>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5" hidden="1">
      <c r="A59" s="1502"/>
      <c r="B59" s="551"/>
      <c r="C59" s="551"/>
      <c r="D59" s="1336"/>
      <c r="E59" s="551"/>
      <c r="F59" s="440"/>
      <c r="G59" s="441"/>
      <c r="H59" s="440"/>
      <c r="I59" s="1387"/>
      <c r="J59" s="1387"/>
      <c r="K59" s="1387"/>
      <c r="L59" s="1387"/>
      <c r="M59" s="1387"/>
      <c r="N59" s="1387"/>
      <c r="O59" s="1387"/>
      <c r="P59" s="1387"/>
      <c r="Q59" s="1387"/>
      <c r="R59" s="1387"/>
      <c r="S59" s="1387"/>
      <c r="T59" s="1387"/>
      <c r="U59" s="1387"/>
      <c r="V59" s="1387"/>
      <c r="W59" s="1387"/>
      <c r="X59" s="1387"/>
      <c r="Y59" s="1387"/>
      <c r="Z59" s="1387"/>
      <c r="AA59" s="1387"/>
      <c r="AB59" s="1387"/>
      <c r="AC59" s="1387"/>
      <c r="AD59" s="1387"/>
      <c r="AE59" s="1387"/>
      <c r="AF59" s="1387"/>
      <c r="AG59" s="1387"/>
      <c r="AH59" s="1387"/>
      <c r="AI59" s="1387"/>
      <c r="AJ59" s="1387"/>
      <c r="AK59" s="1387"/>
      <c r="AL59" s="1387"/>
      <c r="AM59" s="1387"/>
      <c r="AN59" s="1387"/>
      <c r="AO59" s="1387"/>
      <c r="AP59" s="1387"/>
      <c r="AQ59" s="1387"/>
      <c r="AR59" s="1387"/>
      <c r="AS59" s="1387"/>
      <c r="AT59" s="1387"/>
      <c r="AU59" s="1387"/>
      <c r="AV59" s="1387"/>
      <c r="AW59" s="1387"/>
      <c r="AX59" s="1387"/>
      <c r="AY59" s="1387"/>
      <c r="AZ59" s="1387"/>
      <c r="BA59" s="1387"/>
      <c r="BB59" s="1387"/>
      <c r="BC59" s="1387"/>
      <c r="BD59" s="1387"/>
      <c r="BE59" s="1387"/>
      <c r="BF59" s="1387"/>
      <c r="BG59" s="1387"/>
      <c r="BH59" s="1387"/>
      <c r="BI59" s="1387"/>
      <c r="BJ59" s="1387"/>
      <c r="BK59" s="1387"/>
      <c r="BL59" s="1387"/>
      <c r="BM59" s="1387"/>
      <c r="BN59" s="1387"/>
      <c r="BO59" s="1387"/>
      <c r="BP59" s="1387"/>
      <c r="BQ59" s="1387"/>
      <c r="BR59" s="1387"/>
      <c r="BS59" s="1387"/>
      <c r="BT59" s="1387"/>
      <c r="BU59" s="1387"/>
      <c r="BV59" s="1387"/>
      <c r="BW59" s="1387"/>
      <c r="BX59" s="1387"/>
      <c r="BY59" s="1387"/>
      <c r="BZ59" s="1387"/>
      <c r="CA59" s="1387"/>
      <c r="CB59" s="1387"/>
      <c r="CC59" s="1387"/>
      <c r="CD59" s="1387"/>
      <c r="CE59" s="1387"/>
      <c r="CF59" s="1387"/>
      <c r="CG59" s="1387"/>
      <c r="CH59" s="1387"/>
      <c r="CI59" s="1387"/>
      <c r="CJ59" s="1387"/>
      <c r="CK59" s="1387"/>
      <c r="CL59" s="1387"/>
      <c r="CM59" s="1387"/>
      <c r="CN59" s="1387"/>
      <c r="CO59" s="1387"/>
      <c r="CP59" s="1387"/>
      <c r="CQ59" s="1387"/>
      <c r="CR59" s="1387"/>
      <c r="CS59" s="1387"/>
      <c r="CT59" s="1387"/>
      <c r="CU59" s="1387"/>
      <c r="CV59" s="1387"/>
      <c r="CW59" s="1387"/>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5" hidden="1">
      <c r="A60" s="1502"/>
      <c r="B60" s="551"/>
      <c r="C60" s="551"/>
      <c r="D60" s="1336"/>
      <c r="E60" s="551"/>
      <c r="F60" s="440"/>
      <c r="G60" s="441"/>
      <c r="H60" s="440"/>
      <c r="I60" s="1387"/>
      <c r="J60" s="1387"/>
      <c r="K60" s="1387"/>
      <c r="L60" s="1387"/>
      <c r="M60" s="1387"/>
      <c r="N60" s="1387"/>
      <c r="O60" s="1387"/>
      <c r="P60" s="1387"/>
      <c r="Q60" s="1387"/>
      <c r="R60" s="1387"/>
      <c r="S60" s="1387"/>
      <c r="T60" s="1387"/>
      <c r="U60" s="1387"/>
      <c r="V60" s="1387"/>
      <c r="W60" s="1387"/>
      <c r="X60" s="1387"/>
      <c r="Y60" s="1387"/>
      <c r="Z60" s="1387"/>
      <c r="AA60" s="1387"/>
      <c r="AB60" s="1387"/>
      <c r="AC60" s="1387"/>
      <c r="AD60" s="1387"/>
      <c r="AE60" s="1387"/>
      <c r="AF60" s="1387"/>
      <c r="AG60" s="1387"/>
      <c r="AH60" s="1387"/>
      <c r="AI60" s="1387"/>
      <c r="AJ60" s="1387"/>
      <c r="AK60" s="1387"/>
      <c r="AL60" s="1387"/>
      <c r="AM60" s="1387"/>
      <c r="AN60" s="1387"/>
      <c r="AO60" s="1387"/>
      <c r="AP60" s="1387"/>
      <c r="AQ60" s="1387"/>
      <c r="AR60" s="1387"/>
      <c r="AS60" s="1387"/>
      <c r="AT60" s="1387"/>
      <c r="AU60" s="1387"/>
      <c r="AV60" s="1387"/>
      <c r="AW60" s="1387"/>
      <c r="AX60" s="1387"/>
      <c r="AY60" s="1387"/>
      <c r="AZ60" s="1387"/>
      <c r="BA60" s="1387"/>
      <c r="BB60" s="1387"/>
      <c r="BC60" s="1387"/>
      <c r="BD60" s="1387"/>
      <c r="BE60" s="1387"/>
      <c r="BF60" s="1387"/>
      <c r="BG60" s="1387"/>
      <c r="BH60" s="1387"/>
      <c r="BI60" s="1387"/>
      <c r="BJ60" s="1387"/>
      <c r="BK60" s="1387"/>
      <c r="BL60" s="1387"/>
      <c r="BM60" s="1387"/>
      <c r="BN60" s="1387"/>
      <c r="BO60" s="1387"/>
      <c r="BP60" s="1387"/>
      <c r="BQ60" s="1387"/>
      <c r="BR60" s="1387"/>
      <c r="BS60" s="1387"/>
      <c r="BT60" s="1387"/>
      <c r="BU60" s="1387"/>
      <c r="BV60" s="1387"/>
      <c r="BW60" s="1387"/>
      <c r="BX60" s="1387"/>
      <c r="BY60" s="1387"/>
      <c r="BZ60" s="1387"/>
      <c r="CA60" s="1387"/>
      <c r="CB60" s="1387"/>
      <c r="CC60" s="1387"/>
      <c r="CD60" s="1387"/>
      <c r="CE60" s="1387"/>
      <c r="CF60" s="1387"/>
      <c r="CG60" s="1387"/>
      <c r="CH60" s="1387"/>
      <c r="CI60" s="1387"/>
      <c r="CJ60" s="1387"/>
      <c r="CK60" s="1387"/>
      <c r="CL60" s="1387"/>
      <c r="CM60" s="1387"/>
      <c r="CN60" s="1387"/>
      <c r="CO60" s="1387"/>
      <c r="CP60" s="1387"/>
      <c r="CQ60" s="1387"/>
      <c r="CR60" s="1387"/>
      <c r="CS60" s="1387"/>
      <c r="CT60" s="1387"/>
      <c r="CU60" s="1387"/>
      <c r="CV60" s="1387"/>
      <c r="CW60" s="1387"/>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5" hidden="1">
      <c r="A61" s="1502"/>
      <c r="B61" s="551"/>
      <c r="C61" s="551"/>
      <c r="D61" s="1336"/>
      <c r="E61" s="551"/>
      <c r="F61" s="440"/>
      <c r="G61" s="441"/>
      <c r="H61" s="440"/>
      <c r="I61" s="1387"/>
      <c r="J61" s="1387"/>
      <c r="K61" s="1387"/>
      <c r="L61" s="1387"/>
      <c r="M61" s="1387"/>
      <c r="N61" s="1387"/>
      <c r="O61" s="1387"/>
      <c r="P61" s="1387"/>
      <c r="Q61" s="1387"/>
      <c r="R61" s="1387"/>
      <c r="S61" s="1387"/>
      <c r="T61" s="1387"/>
      <c r="U61" s="1387"/>
      <c r="V61" s="1387"/>
      <c r="W61" s="1387"/>
      <c r="X61" s="1387"/>
      <c r="Y61" s="1387"/>
      <c r="Z61" s="1387"/>
      <c r="AA61" s="1387"/>
      <c r="AB61" s="1387"/>
      <c r="AC61" s="1387"/>
      <c r="AD61" s="1387"/>
      <c r="AE61" s="1387"/>
      <c r="AF61" s="1387"/>
      <c r="AG61" s="1387"/>
      <c r="AH61" s="1387"/>
      <c r="AI61" s="1387"/>
      <c r="AJ61" s="1387"/>
      <c r="AK61" s="1387"/>
      <c r="AL61" s="1387"/>
      <c r="AM61" s="1387"/>
      <c r="AN61" s="1387"/>
      <c r="AO61" s="1387"/>
      <c r="AP61" s="1387"/>
      <c r="AQ61" s="1387"/>
      <c r="AR61" s="1387"/>
      <c r="AS61" s="1387"/>
      <c r="AT61" s="1387"/>
      <c r="AU61" s="1387"/>
      <c r="AV61" s="1387"/>
      <c r="AW61" s="1387"/>
      <c r="AX61" s="1387"/>
      <c r="AY61" s="1387"/>
      <c r="AZ61" s="1387"/>
      <c r="BA61" s="1387"/>
      <c r="BB61" s="1387"/>
      <c r="BC61" s="1387"/>
      <c r="BD61" s="1387"/>
      <c r="BE61" s="1387"/>
      <c r="BF61" s="1387"/>
      <c r="BG61" s="1387"/>
      <c r="BH61" s="1387"/>
      <c r="BI61" s="1387"/>
      <c r="BJ61" s="1387"/>
      <c r="BK61" s="1387"/>
      <c r="BL61" s="1387"/>
      <c r="BM61" s="1387"/>
      <c r="BN61" s="1387"/>
      <c r="BO61" s="1387"/>
      <c r="BP61" s="1387"/>
      <c r="BQ61" s="1387"/>
      <c r="BR61" s="1387"/>
      <c r="BS61" s="1387"/>
      <c r="BT61" s="1387"/>
      <c r="BU61" s="1387"/>
      <c r="BV61" s="1387"/>
      <c r="BW61" s="1387"/>
      <c r="BX61" s="1387"/>
      <c r="BY61" s="1387"/>
      <c r="BZ61" s="1387"/>
      <c r="CA61" s="1387"/>
      <c r="CB61" s="1387"/>
      <c r="CC61" s="1387"/>
      <c r="CD61" s="1387"/>
      <c r="CE61" s="1387"/>
      <c r="CF61" s="1387"/>
      <c r="CG61" s="1387"/>
      <c r="CH61" s="1387"/>
      <c r="CI61" s="1387"/>
      <c r="CJ61" s="1387"/>
      <c r="CK61" s="1387"/>
      <c r="CL61" s="1387"/>
      <c r="CM61" s="1387"/>
      <c r="CN61" s="1387"/>
      <c r="CO61" s="1387"/>
      <c r="CP61" s="1387"/>
      <c r="CQ61" s="1387"/>
      <c r="CR61" s="1387"/>
      <c r="CS61" s="1387"/>
      <c r="CT61" s="1387"/>
      <c r="CU61" s="1387"/>
      <c r="CV61" s="1387"/>
      <c r="CW61" s="1387"/>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5" hidden="1">
      <c r="A62" s="1495"/>
      <c r="B62" s="1496"/>
      <c r="C62" s="551"/>
      <c r="D62" s="1496"/>
      <c r="E62" s="1380"/>
      <c r="F62" s="1380"/>
      <c r="G62" s="1040"/>
      <c r="H62" s="1380"/>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97"/>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5" hidden="1">
      <c r="A63" s="1498"/>
      <c r="B63" s="1499"/>
      <c r="C63" s="1025"/>
      <c r="D63" s="1025"/>
      <c r="E63" s="1499"/>
      <c r="F63" s="1499"/>
      <c r="G63" s="1500"/>
      <c r="H63" s="1499"/>
      <c r="I63" s="1499"/>
      <c r="J63" s="1499"/>
      <c r="K63" s="1499"/>
      <c r="L63" s="1499"/>
      <c r="M63" s="1499"/>
      <c r="N63" s="1499"/>
      <c r="O63" s="1499"/>
      <c r="P63" s="1499"/>
      <c r="Q63" s="1499"/>
      <c r="R63" s="1499"/>
      <c r="S63" s="1499"/>
      <c r="T63" s="1499"/>
      <c r="U63" s="1499"/>
      <c r="V63" s="1499"/>
      <c r="W63" s="1499"/>
      <c r="X63" s="1499"/>
      <c r="Y63" s="1499"/>
      <c r="Z63" s="1499"/>
      <c r="AA63" s="1499"/>
      <c r="AB63" s="1499"/>
      <c r="AC63" s="1499"/>
      <c r="AD63" s="1499"/>
      <c r="AE63" s="1499"/>
      <c r="AF63" s="1499"/>
      <c r="AG63" s="1499"/>
      <c r="AH63" s="1499"/>
      <c r="AI63" s="1499"/>
      <c r="AJ63" s="1499"/>
      <c r="AK63" s="1499"/>
      <c r="AL63" s="1499"/>
      <c r="AM63" s="1499"/>
      <c r="AN63" s="1499"/>
      <c r="AO63" s="1499"/>
      <c r="AP63" s="1499"/>
      <c r="AQ63" s="1499"/>
      <c r="AR63" s="1499"/>
      <c r="AS63" s="1499"/>
      <c r="AT63" s="1499"/>
      <c r="AU63" s="1499"/>
      <c r="AV63" s="1499"/>
      <c r="AW63" s="1499"/>
      <c r="AX63" s="1499"/>
      <c r="AY63" s="1499"/>
      <c r="AZ63" s="1499"/>
      <c r="BA63" s="1499"/>
      <c r="BB63" s="1499"/>
      <c r="BC63" s="1499"/>
      <c r="BD63" s="1499"/>
      <c r="BE63" s="1499"/>
      <c r="BF63" s="1499"/>
      <c r="BG63" s="1499"/>
      <c r="BH63" s="1499"/>
      <c r="BI63" s="1499"/>
      <c r="BJ63" s="1499"/>
      <c r="BK63" s="1499"/>
      <c r="BL63" s="1499"/>
      <c r="BM63" s="1499"/>
      <c r="BN63" s="1499"/>
      <c r="BO63" s="1499"/>
      <c r="BP63" s="1499"/>
      <c r="BQ63" s="1499"/>
      <c r="BR63" s="1499"/>
      <c r="BS63" s="1499"/>
      <c r="BT63" s="1499"/>
      <c r="BU63" s="1499"/>
      <c r="BV63" s="1499"/>
      <c r="BW63" s="1499"/>
      <c r="BX63" s="1499"/>
      <c r="BY63" s="1499"/>
      <c r="BZ63" s="1499"/>
      <c r="CA63" s="1499"/>
      <c r="CB63" s="1499"/>
      <c r="CC63" s="1499"/>
      <c r="CD63" s="1499"/>
      <c r="CE63" s="1499"/>
      <c r="CF63" s="1499"/>
      <c r="CG63" s="1499"/>
      <c r="CH63" s="1499"/>
      <c r="CI63" s="1499"/>
      <c r="CJ63" s="1499"/>
      <c r="CK63" s="1499"/>
      <c r="CL63" s="1499"/>
      <c r="CM63" s="1499"/>
      <c r="CN63" s="1499"/>
      <c r="CO63" s="1499"/>
      <c r="CP63" s="1499"/>
      <c r="CQ63" s="1499"/>
      <c r="CR63" s="1499"/>
      <c r="CS63" s="1499"/>
      <c r="CT63" s="1499"/>
      <c r="CU63" s="1499"/>
      <c r="CV63" s="1499"/>
      <c r="CW63" s="1499"/>
      <c r="CX63" s="1501"/>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5" hidden="1">
      <c r="A64" s="1502"/>
      <c r="B64" s="1336"/>
      <c r="C64" s="551"/>
      <c r="D64" s="1336"/>
      <c r="E64" s="551"/>
      <c r="F64" s="440"/>
      <c r="G64" s="441"/>
      <c r="H64" s="440"/>
      <c r="I64" s="1387"/>
      <c r="J64" s="1387"/>
      <c r="K64" s="1387"/>
      <c r="L64" s="1387"/>
      <c r="M64" s="1387"/>
      <c r="N64" s="1387"/>
      <c r="O64" s="1387"/>
      <c r="P64" s="1387"/>
      <c r="Q64" s="1387"/>
      <c r="R64" s="1387"/>
      <c r="S64" s="1387"/>
      <c r="T64" s="1387"/>
      <c r="U64" s="1387"/>
      <c r="V64" s="1387"/>
      <c r="W64" s="1387"/>
      <c r="X64" s="1387"/>
      <c r="Y64" s="1387"/>
      <c r="Z64" s="1387"/>
      <c r="AA64" s="1387"/>
      <c r="AB64" s="1387"/>
      <c r="AC64" s="1387"/>
      <c r="AD64" s="1387"/>
      <c r="AE64" s="1387"/>
      <c r="AF64" s="1387"/>
      <c r="AG64" s="1387"/>
      <c r="AH64" s="1387"/>
      <c r="AI64" s="1387"/>
      <c r="AJ64" s="1387"/>
      <c r="AK64" s="1387"/>
      <c r="AL64" s="1387"/>
      <c r="AM64" s="1387"/>
      <c r="AN64" s="1387"/>
      <c r="AO64" s="1387"/>
      <c r="AP64" s="1387"/>
      <c r="AQ64" s="1387"/>
      <c r="AR64" s="1387"/>
      <c r="AS64" s="1387"/>
      <c r="AT64" s="1387"/>
      <c r="AU64" s="1387"/>
      <c r="AV64" s="1387"/>
      <c r="AW64" s="1387"/>
      <c r="AX64" s="1387"/>
      <c r="AY64" s="1387"/>
      <c r="AZ64" s="1387"/>
      <c r="BA64" s="1387"/>
      <c r="BB64" s="1387"/>
      <c r="BC64" s="1387"/>
      <c r="BD64" s="1387"/>
      <c r="BE64" s="1387"/>
      <c r="BF64" s="1387"/>
      <c r="BG64" s="1387"/>
      <c r="BH64" s="1387"/>
      <c r="BI64" s="1387"/>
      <c r="BJ64" s="1387"/>
      <c r="BK64" s="1387"/>
      <c r="BL64" s="1387"/>
      <c r="BM64" s="1387"/>
      <c r="BN64" s="1387"/>
      <c r="BO64" s="1387"/>
      <c r="BP64" s="1387"/>
      <c r="BQ64" s="1387"/>
      <c r="BR64" s="1387"/>
      <c r="BS64" s="1387"/>
      <c r="BT64" s="1387"/>
      <c r="BU64" s="1387"/>
      <c r="BV64" s="1387"/>
      <c r="BW64" s="1387"/>
      <c r="BX64" s="1387"/>
      <c r="BY64" s="1387"/>
      <c r="BZ64" s="1387"/>
      <c r="CA64" s="1387"/>
      <c r="CB64" s="1387"/>
      <c r="CC64" s="1387"/>
      <c r="CD64" s="1387"/>
      <c r="CE64" s="1387"/>
      <c r="CF64" s="1387"/>
      <c r="CG64" s="1387"/>
      <c r="CH64" s="1387"/>
      <c r="CI64" s="1387"/>
      <c r="CJ64" s="1387"/>
      <c r="CK64" s="1387"/>
      <c r="CL64" s="1387"/>
      <c r="CM64" s="1387"/>
      <c r="CN64" s="1387"/>
      <c r="CO64" s="1387"/>
      <c r="CP64" s="1387"/>
      <c r="CQ64" s="1387"/>
      <c r="CR64" s="1387"/>
      <c r="CS64" s="1387"/>
      <c r="CT64" s="1387"/>
      <c r="CU64" s="1387"/>
      <c r="CV64" s="1387"/>
      <c r="CW64" s="1387"/>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5" hidden="1">
      <c r="A65" s="1502"/>
      <c r="B65" s="551"/>
      <c r="C65" s="551"/>
      <c r="D65" s="1336"/>
      <c r="E65" s="551"/>
      <c r="F65" s="440"/>
      <c r="G65" s="441"/>
      <c r="H65" s="440"/>
      <c r="I65" s="1387"/>
      <c r="J65" s="1387"/>
      <c r="K65" s="1387"/>
      <c r="L65" s="1387"/>
      <c r="M65" s="1387"/>
      <c r="N65" s="1387"/>
      <c r="O65" s="1387"/>
      <c r="P65" s="1387"/>
      <c r="Q65" s="1387"/>
      <c r="R65" s="1387"/>
      <c r="S65" s="1387"/>
      <c r="T65" s="1387"/>
      <c r="U65" s="1387"/>
      <c r="V65" s="1387"/>
      <c r="W65" s="1387"/>
      <c r="X65" s="1387"/>
      <c r="Y65" s="1387"/>
      <c r="Z65" s="1387"/>
      <c r="AA65" s="1387"/>
      <c r="AB65" s="1387"/>
      <c r="AC65" s="1387"/>
      <c r="AD65" s="1387"/>
      <c r="AE65" s="1387"/>
      <c r="AF65" s="1387"/>
      <c r="AG65" s="1387"/>
      <c r="AH65" s="1387"/>
      <c r="AI65" s="1387"/>
      <c r="AJ65" s="1387"/>
      <c r="AK65" s="1387"/>
      <c r="AL65" s="1387"/>
      <c r="AM65" s="1387"/>
      <c r="AN65" s="1387"/>
      <c r="AO65" s="1387"/>
      <c r="AP65" s="1387"/>
      <c r="AQ65" s="1387"/>
      <c r="AR65" s="1387"/>
      <c r="AS65" s="1387"/>
      <c r="AT65" s="1387"/>
      <c r="AU65" s="1387"/>
      <c r="AV65" s="1387"/>
      <c r="AW65" s="1387"/>
      <c r="AX65" s="1387"/>
      <c r="AY65" s="1387"/>
      <c r="AZ65" s="1387"/>
      <c r="BA65" s="1387"/>
      <c r="BB65" s="1387"/>
      <c r="BC65" s="1387"/>
      <c r="BD65" s="1387"/>
      <c r="BE65" s="1387"/>
      <c r="BF65" s="1387"/>
      <c r="BG65" s="1387"/>
      <c r="BH65" s="1387"/>
      <c r="BI65" s="1387"/>
      <c r="BJ65" s="1387"/>
      <c r="BK65" s="1387"/>
      <c r="BL65" s="1387"/>
      <c r="BM65" s="1387"/>
      <c r="BN65" s="1387"/>
      <c r="BO65" s="1387"/>
      <c r="BP65" s="1387"/>
      <c r="BQ65" s="1387"/>
      <c r="BR65" s="1387"/>
      <c r="BS65" s="1387"/>
      <c r="BT65" s="1387"/>
      <c r="BU65" s="1387"/>
      <c r="BV65" s="1387"/>
      <c r="BW65" s="1387"/>
      <c r="BX65" s="1387"/>
      <c r="BY65" s="1387"/>
      <c r="BZ65" s="1387"/>
      <c r="CA65" s="1387"/>
      <c r="CB65" s="1387"/>
      <c r="CC65" s="1387"/>
      <c r="CD65" s="1387"/>
      <c r="CE65" s="1387"/>
      <c r="CF65" s="1387"/>
      <c r="CG65" s="1387"/>
      <c r="CH65" s="1387"/>
      <c r="CI65" s="1387"/>
      <c r="CJ65" s="1387"/>
      <c r="CK65" s="1387"/>
      <c r="CL65" s="1387"/>
      <c r="CM65" s="1387"/>
      <c r="CN65" s="1387"/>
      <c r="CO65" s="1387"/>
      <c r="CP65" s="1387"/>
      <c r="CQ65" s="1387"/>
      <c r="CR65" s="1387"/>
      <c r="CS65" s="1387"/>
      <c r="CT65" s="1387"/>
      <c r="CU65" s="1387"/>
      <c r="CV65" s="1387"/>
      <c r="CW65" s="1387"/>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5" hidden="1">
      <c r="A66" s="1502"/>
      <c r="B66" s="551"/>
      <c r="C66" s="551"/>
      <c r="D66" s="1336"/>
      <c r="E66" s="551"/>
      <c r="F66" s="440"/>
      <c r="G66" s="441"/>
      <c r="H66" s="440"/>
      <c r="I66" s="1387"/>
      <c r="J66" s="1387"/>
      <c r="K66" s="1387"/>
      <c r="L66" s="1387"/>
      <c r="M66" s="1387"/>
      <c r="N66" s="1387"/>
      <c r="O66" s="1387"/>
      <c r="P66" s="1387"/>
      <c r="Q66" s="1387"/>
      <c r="R66" s="1387"/>
      <c r="S66" s="1387"/>
      <c r="T66" s="1387"/>
      <c r="U66" s="1387"/>
      <c r="V66" s="1387"/>
      <c r="W66" s="1387"/>
      <c r="X66" s="1387"/>
      <c r="Y66" s="1387"/>
      <c r="Z66" s="1387"/>
      <c r="AA66" s="1387"/>
      <c r="AB66" s="1387"/>
      <c r="AC66" s="1387"/>
      <c r="AD66" s="1387"/>
      <c r="AE66" s="1387"/>
      <c r="AF66" s="1387"/>
      <c r="AG66" s="1387"/>
      <c r="AH66" s="1387"/>
      <c r="AI66" s="1387"/>
      <c r="AJ66" s="1387"/>
      <c r="AK66" s="1387"/>
      <c r="AL66" s="1387"/>
      <c r="AM66" s="1387"/>
      <c r="AN66" s="1387"/>
      <c r="AO66" s="1387"/>
      <c r="AP66" s="1387"/>
      <c r="AQ66" s="1387"/>
      <c r="AR66" s="1387"/>
      <c r="AS66" s="1387"/>
      <c r="AT66" s="1387"/>
      <c r="AU66" s="1387"/>
      <c r="AV66" s="1387"/>
      <c r="AW66" s="1387"/>
      <c r="AX66" s="1387"/>
      <c r="AY66" s="1387"/>
      <c r="AZ66" s="1387"/>
      <c r="BA66" s="1387"/>
      <c r="BB66" s="1387"/>
      <c r="BC66" s="1387"/>
      <c r="BD66" s="1387"/>
      <c r="BE66" s="1387"/>
      <c r="BF66" s="1387"/>
      <c r="BG66" s="1387"/>
      <c r="BH66" s="1387"/>
      <c r="BI66" s="1387"/>
      <c r="BJ66" s="1387"/>
      <c r="BK66" s="1387"/>
      <c r="BL66" s="1387"/>
      <c r="BM66" s="1387"/>
      <c r="BN66" s="1387"/>
      <c r="BO66" s="1387"/>
      <c r="BP66" s="1387"/>
      <c r="BQ66" s="1387"/>
      <c r="BR66" s="1387"/>
      <c r="BS66" s="1387"/>
      <c r="BT66" s="1387"/>
      <c r="BU66" s="1387"/>
      <c r="BV66" s="1387"/>
      <c r="BW66" s="1387"/>
      <c r="BX66" s="1387"/>
      <c r="BY66" s="1387"/>
      <c r="BZ66" s="1387"/>
      <c r="CA66" s="1387"/>
      <c r="CB66" s="1387"/>
      <c r="CC66" s="1387"/>
      <c r="CD66" s="1387"/>
      <c r="CE66" s="1387"/>
      <c r="CF66" s="1387"/>
      <c r="CG66" s="1387"/>
      <c r="CH66" s="1387"/>
      <c r="CI66" s="1387"/>
      <c r="CJ66" s="1387"/>
      <c r="CK66" s="1387"/>
      <c r="CL66" s="1387"/>
      <c r="CM66" s="1387"/>
      <c r="CN66" s="1387"/>
      <c r="CO66" s="1387"/>
      <c r="CP66" s="1387"/>
      <c r="CQ66" s="1387"/>
      <c r="CR66" s="1387"/>
      <c r="CS66" s="1387"/>
      <c r="CT66" s="1387"/>
      <c r="CU66" s="1387"/>
      <c r="CV66" s="1387"/>
      <c r="CW66" s="1387"/>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5" hidden="1">
      <c r="A67" s="1502"/>
      <c r="B67" s="551"/>
      <c r="C67" s="551"/>
      <c r="D67" s="1336"/>
      <c r="E67" s="551"/>
      <c r="F67" s="440"/>
      <c r="G67" s="441"/>
      <c r="H67" s="440"/>
      <c r="I67" s="1387"/>
      <c r="J67" s="1387"/>
      <c r="K67" s="1387"/>
      <c r="L67" s="1387"/>
      <c r="M67" s="1387"/>
      <c r="N67" s="1387"/>
      <c r="O67" s="1387"/>
      <c r="P67" s="1387"/>
      <c r="Q67" s="1387"/>
      <c r="R67" s="1387"/>
      <c r="S67" s="1387"/>
      <c r="T67" s="1387"/>
      <c r="U67" s="1387"/>
      <c r="V67" s="1387"/>
      <c r="W67" s="1387"/>
      <c r="X67" s="1387"/>
      <c r="Y67" s="1387"/>
      <c r="Z67" s="1387"/>
      <c r="AA67" s="1387"/>
      <c r="AB67" s="1387"/>
      <c r="AC67" s="1387"/>
      <c r="AD67" s="1387"/>
      <c r="AE67" s="1387"/>
      <c r="AF67" s="1387"/>
      <c r="AG67" s="1387"/>
      <c r="AH67" s="1387"/>
      <c r="AI67" s="1387"/>
      <c r="AJ67" s="1387"/>
      <c r="AK67" s="1387"/>
      <c r="AL67" s="1387"/>
      <c r="AM67" s="1387"/>
      <c r="AN67" s="1387"/>
      <c r="AO67" s="1387"/>
      <c r="AP67" s="1387"/>
      <c r="AQ67" s="1387"/>
      <c r="AR67" s="1387"/>
      <c r="AS67" s="1387"/>
      <c r="AT67" s="1387"/>
      <c r="AU67" s="1387"/>
      <c r="AV67" s="1387"/>
      <c r="AW67" s="1387"/>
      <c r="AX67" s="1387"/>
      <c r="AY67" s="1387"/>
      <c r="AZ67" s="1387"/>
      <c r="BA67" s="1387"/>
      <c r="BB67" s="1387"/>
      <c r="BC67" s="1387"/>
      <c r="BD67" s="1387"/>
      <c r="BE67" s="1387"/>
      <c r="BF67" s="1387"/>
      <c r="BG67" s="1387"/>
      <c r="BH67" s="1387"/>
      <c r="BI67" s="1387"/>
      <c r="BJ67" s="1387"/>
      <c r="BK67" s="1387"/>
      <c r="BL67" s="1387"/>
      <c r="BM67" s="1387"/>
      <c r="BN67" s="1387"/>
      <c r="BO67" s="1387"/>
      <c r="BP67" s="1387"/>
      <c r="BQ67" s="1387"/>
      <c r="BR67" s="1387"/>
      <c r="BS67" s="1387"/>
      <c r="BT67" s="1387"/>
      <c r="BU67" s="1387"/>
      <c r="BV67" s="1387"/>
      <c r="BW67" s="1387"/>
      <c r="BX67" s="1387"/>
      <c r="BY67" s="1387"/>
      <c r="BZ67" s="1387"/>
      <c r="CA67" s="1387"/>
      <c r="CB67" s="1387"/>
      <c r="CC67" s="1387"/>
      <c r="CD67" s="1387"/>
      <c r="CE67" s="1387"/>
      <c r="CF67" s="1387"/>
      <c r="CG67" s="1387"/>
      <c r="CH67" s="1387"/>
      <c r="CI67" s="1387"/>
      <c r="CJ67" s="1387"/>
      <c r="CK67" s="1387"/>
      <c r="CL67" s="1387"/>
      <c r="CM67" s="1387"/>
      <c r="CN67" s="1387"/>
      <c r="CO67" s="1387"/>
      <c r="CP67" s="1387"/>
      <c r="CQ67" s="1387"/>
      <c r="CR67" s="1387"/>
      <c r="CS67" s="1387"/>
      <c r="CT67" s="1387"/>
      <c r="CU67" s="1387"/>
      <c r="CV67" s="1387"/>
      <c r="CW67" s="1387"/>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5" hidden="1">
      <c r="A68" s="1502"/>
      <c r="B68" s="551"/>
      <c r="C68" s="551"/>
      <c r="D68" s="1336"/>
      <c r="E68" s="551"/>
      <c r="F68" s="440"/>
      <c r="G68" s="441"/>
      <c r="H68" s="440"/>
      <c r="I68" s="1387"/>
      <c r="J68" s="1387"/>
      <c r="K68" s="1387"/>
      <c r="L68" s="1387"/>
      <c r="M68" s="1387"/>
      <c r="N68" s="1387"/>
      <c r="O68" s="1387"/>
      <c r="P68" s="1387"/>
      <c r="Q68" s="1387"/>
      <c r="R68" s="1387"/>
      <c r="S68" s="1387"/>
      <c r="T68" s="1387"/>
      <c r="U68" s="1387"/>
      <c r="V68" s="1387"/>
      <c r="W68" s="1387"/>
      <c r="X68" s="1387"/>
      <c r="Y68" s="1387"/>
      <c r="Z68" s="1387"/>
      <c r="AA68" s="1387"/>
      <c r="AB68" s="1387"/>
      <c r="AC68" s="1387"/>
      <c r="AD68" s="1387"/>
      <c r="AE68" s="1387"/>
      <c r="AF68" s="1387"/>
      <c r="AG68" s="1387"/>
      <c r="AH68" s="1387"/>
      <c r="AI68" s="1387"/>
      <c r="AJ68" s="1387"/>
      <c r="AK68" s="1387"/>
      <c r="AL68" s="1387"/>
      <c r="AM68" s="1387"/>
      <c r="AN68" s="1387"/>
      <c r="AO68" s="1387"/>
      <c r="AP68" s="1387"/>
      <c r="AQ68" s="1387"/>
      <c r="AR68" s="1387"/>
      <c r="AS68" s="1387"/>
      <c r="AT68" s="1387"/>
      <c r="AU68" s="1387"/>
      <c r="AV68" s="1387"/>
      <c r="AW68" s="1387"/>
      <c r="AX68" s="1387"/>
      <c r="AY68" s="1387"/>
      <c r="AZ68" s="1387"/>
      <c r="BA68" s="1387"/>
      <c r="BB68" s="1387"/>
      <c r="BC68" s="1387"/>
      <c r="BD68" s="1387"/>
      <c r="BE68" s="1387"/>
      <c r="BF68" s="1387"/>
      <c r="BG68" s="1387"/>
      <c r="BH68" s="1387"/>
      <c r="BI68" s="1387"/>
      <c r="BJ68" s="1387"/>
      <c r="BK68" s="1387"/>
      <c r="BL68" s="1387"/>
      <c r="BM68" s="1387"/>
      <c r="BN68" s="1387"/>
      <c r="BO68" s="1387"/>
      <c r="BP68" s="1387"/>
      <c r="BQ68" s="1387"/>
      <c r="BR68" s="1387"/>
      <c r="BS68" s="1387"/>
      <c r="BT68" s="1387"/>
      <c r="BU68" s="1387"/>
      <c r="BV68" s="1387"/>
      <c r="BW68" s="1387"/>
      <c r="BX68" s="1387"/>
      <c r="BY68" s="1387"/>
      <c r="BZ68" s="1387"/>
      <c r="CA68" s="1387"/>
      <c r="CB68" s="1387"/>
      <c r="CC68" s="1387"/>
      <c r="CD68" s="1387"/>
      <c r="CE68" s="1387"/>
      <c r="CF68" s="1387"/>
      <c r="CG68" s="1387"/>
      <c r="CH68" s="1387"/>
      <c r="CI68" s="1387"/>
      <c r="CJ68" s="1387"/>
      <c r="CK68" s="1387"/>
      <c r="CL68" s="1387"/>
      <c r="CM68" s="1387"/>
      <c r="CN68" s="1387"/>
      <c r="CO68" s="1387"/>
      <c r="CP68" s="1387"/>
      <c r="CQ68" s="1387"/>
      <c r="CR68" s="1387"/>
      <c r="CS68" s="1387"/>
      <c r="CT68" s="1387"/>
      <c r="CU68" s="1387"/>
      <c r="CV68" s="1387"/>
      <c r="CW68" s="1387"/>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5" hidden="1">
      <c r="A69" s="1502"/>
      <c r="B69" s="551"/>
      <c r="C69" s="551"/>
      <c r="D69" s="1336"/>
      <c r="E69" s="551"/>
      <c r="F69" s="440"/>
      <c r="G69" s="441"/>
      <c r="H69" s="440"/>
      <c r="I69" s="1387"/>
      <c r="J69" s="1387"/>
      <c r="K69" s="1387"/>
      <c r="L69" s="1387"/>
      <c r="M69" s="1387"/>
      <c r="N69" s="1387"/>
      <c r="O69" s="1387"/>
      <c r="P69" s="1387"/>
      <c r="Q69" s="1387"/>
      <c r="R69" s="1387"/>
      <c r="S69" s="1387"/>
      <c r="T69" s="1387"/>
      <c r="U69" s="1387"/>
      <c r="V69" s="1387"/>
      <c r="W69" s="1387"/>
      <c r="X69" s="1387"/>
      <c r="Y69" s="1387"/>
      <c r="Z69" s="1387"/>
      <c r="AA69" s="1387"/>
      <c r="AB69" s="1387"/>
      <c r="AC69" s="1387"/>
      <c r="AD69" s="1387"/>
      <c r="AE69" s="1387"/>
      <c r="AF69" s="1387"/>
      <c r="AG69" s="1387"/>
      <c r="AH69" s="1387"/>
      <c r="AI69" s="1387"/>
      <c r="AJ69" s="1387"/>
      <c r="AK69" s="1387"/>
      <c r="AL69" s="1387"/>
      <c r="AM69" s="1387"/>
      <c r="AN69" s="1387"/>
      <c r="AO69" s="1387"/>
      <c r="AP69" s="1387"/>
      <c r="AQ69" s="1387"/>
      <c r="AR69" s="1387"/>
      <c r="AS69" s="1387"/>
      <c r="AT69" s="1387"/>
      <c r="AU69" s="1387"/>
      <c r="AV69" s="1387"/>
      <c r="AW69" s="1387"/>
      <c r="AX69" s="1387"/>
      <c r="AY69" s="1387"/>
      <c r="AZ69" s="1387"/>
      <c r="BA69" s="1387"/>
      <c r="BB69" s="1387"/>
      <c r="BC69" s="1387"/>
      <c r="BD69" s="1387"/>
      <c r="BE69" s="1387"/>
      <c r="BF69" s="1387"/>
      <c r="BG69" s="1387"/>
      <c r="BH69" s="1387"/>
      <c r="BI69" s="1387"/>
      <c r="BJ69" s="1387"/>
      <c r="BK69" s="1387"/>
      <c r="BL69" s="1387"/>
      <c r="BM69" s="1387"/>
      <c r="BN69" s="1387"/>
      <c r="BO69" s="1387"/>
      <c r="BP69" s="1387"/>
      <c r="BQ69" s="1387"/>
      <c r="BR69" s="1387"/>
      <c r="BS69" s="1387"/>
      <c r="BT69" s="1387"/>
      <c r="BU69" s="1387"/>
      <c r="BV69" s="1387"/>
      <c r="BW69" s="1387"/>
      <c r="BX69" s="1387"/>
      <c r="BY69" s="1387"/>
      <c r="BZ69" s="1387"/>
      <c r="CA69" s="1387"/>
      <c r="CB69" s="1387"/>
      <c r="CC69" s="1387"/>
      <c r="CD69" s="1387"/>
      <c r="CE69" s="1387"/>
      <c r="CF69" s="1387"/>
      <c r="CG69" s="1387"/>
      <c r="CH69" s="1387"/>
      <c r="CI69" s="1387"/>
      <c r="CJ69" s="1387"/>
      <c r="CK69" s="1387"/>
      <c r="CL69" s="1387"/>
      <c r="CM69" s="1387"/>
      <c r="CN69" s="1387"/>
      <c r="CO69" s="1387"/>
      <c r="CP69" s="1387"/>
      <c r="CQ69" s="1387"/>
      <c r="CR69" s="1387"/>
      <c r="CS69" s="1387"/>
      <c r="CT69" s="1387"/>
      <c r="CU69" s="1387"/>
      <c r="CV69" s="1387"/>
      <c r="CW69" s="1387"/>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5" hidden="1">
      <c r="A70" s="1502"/>
      <c r="B70" s="551"/>
      <c r="C70" s="551"/>
      <c r="D70" s="1336"/>
      <c r="E70" s="551"/>
      <c r="F70" s="440"/>
      <c r="G70" s="441"/>
      <c r="H70" s="440"/>
      <c r="I70" s="1387"/>
      <c r="J70" s="1387"/>
      <c r="K70" s="1387"/>
      <c r="L70" s="1387"/>
      <c r="M70" s="1387"/>
      <c r="N70" s="1387"/>
      <c r="O70" s="1387"/>
      <c r="P70" s="1387"/>
      <c r="Q70" s="1387"/>
      <c r="R70" s="1387"/>
      <c r="S70" s="1387"/>
      <c r="T70" s="1387"/>
      <c r="U70" s="1387"/>
      <c r="V70" s="1387"/>
      <c r="W70" s="1387"/>
      <c r="X70" s="1387"/>
      <c r="Y70" s="1387"/>
      <c r="Z70" s="1387"/>
      <c r="AA70" s="1387"/>
      <c r="AB70" s="1387"/>
      <c r="AC70" s="1387"/>
      <c r="AD70" s="1387"/>
      <c r="AE70" s="1387"/>
      <c r="AF70" s="1387"/>
      <c r="AG70" s="1387"/>
      <c r="AH70" s="1387"/>
      <c r="AI70" s="1387"/>
      <c r="AJ70" s="1387"/>
      <c r="AK70" s="1387"/>
      <c r="AL70" s="1387"/>
      <c r="AM70" s="1387"/>
      <c r="AN70" s="1387"/>
      <c r="AO70" s="1387"/>
      <c r="AP70" s="1387"/>
      <c r="AQ70" s="1387"/>
      <c r="AR70" s="1387"/>
      <c r="AS70" s="1387"/>
      <c r="AT70" s="1387"/>
      <c r="AU70" s="1387"/>
      <c r="AV70" s="1387"/>
      <c r="AW70" s="1387"/>
      <c r="AX70" s="1387"/>
      <c r="AY70" s="1387"/>
      <c r="AZ70" s="1387"/>
      <c r="BA70" s="1387"/>
      <c r="BB70" s="1387"/>
      <c r="BC70" s="1387"/>
      <c r="BD70" s="1387"/>
      <c r="BE70" s="1387"/>
      <c r="BF70" s="1387"/>
      <c r="BG70" s="1387"/>
      <c r="BH70" s="1387"/>
      <c r="BI70" s="1387"/>
      <c r="BJ70" s="1387"/>
      <c r="BK70" s="1387"/>
      <c r="BL70" s="1387"/>
      <c r="BM70" s="1387"/>
      <c r="BN70" s="1387"/>
      <c r="BO70" s="1387"/>
      <c r="BP70" s="1387"/>
      <c r="BQ70" s="1387"/>
      <c r="BR70" s="1387"/>
      <c r="BS70" s="1387"/>
      <c r="BT70" s="1387"/>
      <c r="BU70" s="1387"/>
      <c r="BV70" s="1387"/>
      <c r="BW70" s="1387"/>
      <c r="BX70" s="1387"/>
      <c r="BY70" s="1387"/>
      <c r="BZ70" s="1387"/>
      <c r="CA70" s="1387"/>
      <c r="CB70" s="1387"/>
      <c r="CC70" s="1387"/>
      <c r="CD70" s="1387"/>
      <c r="CE70" s="1387"/>
      <c r="CF70" s="1387"/>
      <c r="CG70" s="1387"/>
      <c r="CH70" s="1387"/>
      <c r="CI70" s="1387"/>
      <c r="CJ70" s="1387"/>
      <c r="CK70" s="1387"/>
      <c r="CL70" s="1387"/>
      <c r="CM70" s="1387"/>
      <c r="CN70" s="1387"/>
      <c r="CO70" s="1387"/>
      <c r="CP70" s="1387"/>
      <c r="CQ70" s="1387"/>
      <c r="CR70" s="1387"/>
      <c r="CS70" s="1387"/>
      <c r="CT70" s="1387"/>
      <c r="CU70" s="1387"/>
      <c r="CV70" s="1387"/>
      <c r="CW70" s="1387"/>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5" hidden="1">
      <c r="A71" s="1502"/>
      <c r="B71" s="551"/>
      <c r="C71" s="551"/>
      <c r="D71" s="1336"/>
      <c r="E71" s="551"/>
      <c r="F71" s="440"/>
      <c r="G71" s="441"/>
      <c r="H71" s="440"/>
      <c r="I71" s="1387"/>
      <c r="J71" s="1387"/>
      <c r="K71" s="1387"/>
      <c r="L71" s="1387"/>
      <c r="M71" s="1387"/>
      <c r="N71" s="1387"/>
      <c r="O71" s="1387"/>
      <c r="P71" s="1387"/>
      <c r="Q71" s="1387"/>
      <c r="R71" s="1387"/>
      <c r="S71" s="1387"/>
      <c r="T71" s="1387"/>
      <c r="U71" s="1387"/>
      <c r="V71" s="1387"/>
      <c r="W71" s="1387"/>
      <c r="X71" s="1387"/>
      <c r="Y71" s="1387"/>
      <c r="Z71" s="1387"/>
      <c r="AA71" s="1387"/>
      <c r="AB71" s="1387"/>
      <c r="AC71" s="1387"/>
      <c r="AD71" s="1387"/>
      <c r="AE71" s="1387"/>
      <c r="AF71" s="1387"/>
      <c r="AG71" s="1387"/>
      <c r="AH71" s="1387"/>
      <c r="AI71" s="1387"/>
      <c r="AJ71" s="1387"/>
      <c r="AK71" s="1387"/>
      <c r="AL71" s="1387"/>
      <c r="AM71" s="1387"/>
      <c r="AN71" s="1387"/>
      <c r="AO71" s="1387"/>
      <c r="AP71" s="1387"/>
      <c r="AQ71" s="1387"/>
      <c r="AR71" s="1387"/>
      <c r="AS71" s="1387"/>
      <c r="AT71" s="1387"/>
      <c r="AU71" s="1387"/>
      <c r="AV71" s="1387"/>
      <c r="AW71" s="1387"/>
      <c r="AX71" s="1387"/>
      <c r="AY71" s="1387"/>
      <c r="AZ71" s="1387"/>
      <c r="BA71" s="1387"/>
      <c r="BB71" s="1387"/>
      <c r="BC71" s="1387"/>
      <c r="BD71" s="1387"/>
      <c r="BE71" s="1387"/>
      <c r="BF71" s="1387"/>
      <c r="BG71" s="1387"/>
      <c r="BH71" s="1387"/>
      <c r="BI71" s="1387"/>
      <c r="BJ71" s="1387"/>
      <c r="BK71" s="1387"/>
      <c r="BL71" s="1387"/>
      <c r="BM71" s="1387"/>
      <c r="BN71" s="1387"/>
      <c r="BO71" s="1387"/>
      <c r="BP71" s="1387"/>
      <c r="BQ71" s="1387"/>
      <c r="BR71" s="1387"/>
      <c r="BS71" s="1387"/>
      <c r="BT71" s="1387"/>
      <c r="BU71" s="1387"/>
      <c r="BV71" s="1387"/>
      <c r="BW71" s="1387"/>
      <c r="BX71" s="1387"/>
      <c r="BY71" s="1387"/>
      <c r="BZ71" s="1387"/>
      <c r="CA71" s="1387"/>
      <c r="CB71" s="1387"/>
      <c r="CC71" s="1387"/>
      <c r="CD71" s="1387"/>
      <c r="CE71" s="1387"/>
      <c r="CF71" s="1387"/>
      <c r="CG71" s="1387"/>
      <c r="CH71" s="1387"/>
      <c r="CI71" s="1387"/>
      <c r="CJ71" s="1387"/>
      <c r="CK71" s="1387"/>
      <c r="CL71" s="1387"/>
      <c r="CM71" s="1387"/>
      <c r="CN71" s="1387"/>
      <c r="CO71" s="1387"/>
      <c r="CP71" s="1387"/>
      <c r="CQ71" s="1387"/>
      <c r="CR71" s="1387"/>
      <c r="CS71" s="1387"/>
      <c r="CT71" s="1387"/>
      <c r="CU71" s="1387"/>
      <c r="CV71" s="1387"/>
      <c r="CW71" s="1387"/>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5" hidden="1">
      <c r="A72" s="1502"/>
      <c r="B72" s="551"/>
      <c r="C72" s="551"/>
      <c r="D72" s="1336"/>
      <c r="E72" s="551"/>
      <c r="F72" s="440"/>
      <c r="G72" s="441"/>
      <c r="H72" s="440"/>
      <c r="I72" s="1387"/>
      <c r="J72" s="1387"/>
      <c r="K72" s="1387"/>
      <c r="L72" s="1387"/>
      <c r="M72" s="1387"/>
      <c r="N72" s="1387"/>
      <c r="O72" s="1387"/>
      <c r="P72" s="1387"/>
      <c r="Q72" s="1387"/>
      <c r="R72" s="1387"/>
      <c r="S72" s="1387"/>
      <c r="T72" s="1387"/>
      <c r="U72" s="1387"/>
      <c r="V72" s="1387"/>
      <c r="W72" s="1387"/>
      <c r="X72" s="1387"/>
      <c r="Y72" s="1387"/>
      <c r="Z72" s="1387"/>
      <c r="AA72" s="1387"/>
      <c r="AB72" s="1387"/>
      <c r="AC72" s="1387"/>
      <c r="AD72" s="1387"/>
      <c r="AE72" s="1387"/>
      <c r="AF72" s="1387"/>
      <c r="AG72" s="1387"/>
      <c r="AH72" s="1387"/>
      <c r="AI72" s="1387"/>
      <c r="AJ72" s="1387"/>
      <c r="AK72" s="1387"/>
      <c r="AL72" s="1387"/>
      <c r="AM72" s="1387"/>
      <c r="AN72" s="1387"/>
      <c r="AO72" s="1387"/>
      <c r="AP72" s="1387"/>
      <c r="AQ72" s="1387"/>
      <c r="AR72" s="1387"/>
      <c r="AS72" s="1387"/>
      <c r="AT72" s="1387"/>
      <c r="AU72" s="1387"/>
      <c r="AV72" s="1387"/>
      <c r="AW72" s="1387"/>
      <c r="AX72" s="1387"/>
      <c r="AY72" s="1387"/>
      <c r="AZ72" s="1387"/>
      <c r="BA72" s="1387"/>
      <c r="BB72" s="1387"/>
      <c r="BC72" s="1387"/>
      <c r="BD72" s="1387"/>
      <c r="BE72" s="1387"/>
      <c r="BF72" s="1387"/>
      <c r="BG72" s="1387"/>
      <c r="BH72" s="1387"/>
      <c r="BI72" s="1387"/>
      <c r="BJ72" s="1387"/>
      <c r="BK72" s="1387"/>
      <c r="BL72" s="1387"/>
      <c r="BM72" s="1387"/>
      <c r="BN72" s="1387"/>
      <c r="BO72" s="1387"/>
      <c r="BP72" s="1387"/>
      <c r="BQ72" s="1387"/>
      <c r="BR72" s="1387"/>
      <c r="BS72" s="1387"/>
      <c r="BT72" s="1387"/>
      <c r="BU72" s="1387"/>
      <c r="BV72" s="1387"/>
      <c r="BW72" s="1387"/>
      <c r="BX72" s="1387"/>
      <c r="BY72" s="1387"/>
      <c r="BZ72" s="1387"/>
      <c r="CA72" s="1387"/>
      <c r="CB72" s="1387"/>
      <c r="CC72" s="1387"/>
      <c r="CD72" s="1387"/>
      <c r="CE72" s="1387"/>
      <c r="CF72" s="1387"/>
      <c r="CG72" s="1387"/>
      <c r="CH72" s="1387"/>
      <c r="CI72" s="1387"/>
      <c r="CJ72" s="1387"/>
      <c r="CK72" s="1387"/>
      <c r="CL72" s="1387"/>
      <c r="CM72" s="1387"/>
      <c r="CN72" s="1387"/>
      <c r="CO72" s="1387"/>
      <c r="CP72" s="1387"/>
      <c r="CQ72" s="1387"/>
      <c r="CR72" s="1387"/>
      <c r="CS72" s="1387"/>
      <c r="CT72" s="1387"/>
      <c r="CU72" s="1387"/>
      <c r="CV72" s="1387"/>
      <c r="CW72" s="1387"/>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5" hidden="1">
      <c r="A73" s="1502"/>
      <c r="B73" s="551"/>
      <c r="C73" s="551"/>
      <c r="D73" s="1336"/>
      <c r="E73" s="551"/>
      <c r="F73" s="440"/>
      <c r="G73" s="441"/>
      <c r="H73" s="440"/>
      <c r="I73" s="1387"/>
      <c r="J73" s="1387"/>
      <c r="K73" s="1387"/>
      <c r="L73" s="1387"/>
      <c r="M73" s="1387"/>
      <c r="N73" s="1387"/>
      <c r="O73" s="1387"/>
      <c r="P73" s="1387"/>
      <c r="Q73" s="1387"/>
      <c r="R73" s="1387"/>
      <c r="S73" s="1387"/>
      <c r="T73" s="1387"/>
      <c r="U73" s="1387"/>
      <c r="V73" s="1387"/>
      <c r="W73" s="1387"/>
      <c r="X73" s="1387"/>
      <c r="Y73" s="1387"/>
      <c r="Z73" s="1387"/>
      <c r="AA73" s="1387"/>
      <c r="AB73" s="1387"/>
      <c r="AC73" s="1387"/>
      <c r="AD73" s="1387"/>
      <c r="AE73" s="1387"/>
      <c r="AF73" s="1387"/>
      <c r="AG73" s="1387"/>
      <c r="AH73" s="1387"/>
      <c r="AI73" s="1387"/>
      <c r="AJ73" s="1387"/>
      <c r="AK73" s="1387"/>
      <c r="AL73" s="1387"/>
      <c r="AM73" s="1387"/>
      <c r="AN73" s="1387"/>
      <c r="AO73" s="1387"/>
      <c r="AP73" s="1387"/>
      <c r="AQ73" s="1387"/>
      <c r="AR73" s="1387"/>
      <c r="AS73" s="1387"/>
      <c r="AT73" s="1387"/>
      <c r="AU73" s="1387"/>
      <c r="AV73" s="1387"/>
      <c r="AW73" s="1387"/>
      <c r="AX73" s="1387"/>
      <c r="AY73" s="1387"/>
      <c r="AZ73" s="1387"/>
      <c r="BA73" s="1387"/>
      <c r="BB73" s="1387"/>
      <c r="BC73" s="1387"/>
      <c r="BD73" s="1387"/>
      <c r="BE73" s="1387"/>
      <c r="BF73" s="1387"/>
      <c r="BG73" s="1387"/>
      <c r="BH73" s="1387"/>
      <c r="BI73" s="1387"/>
      <c r="BJ73" s="1387"/>
      <c r="BK73" s="1387"/>
      <c r="BL73" s="1387"/>
      <c r="BM73" s="1387"/>
      <c r="BN73" s="1387"/>
      <c r="BO73" s="1387"/>
      <c r="BP73" s="1387"/>
      <c r="BQ73" s="1387"/>
      <c r="BR73" s="1387"/>
      <c r="BS73" s="1387"/>
      <c r="BT73" s="1387"/>
      <c r="BU73" s="1387"/>
      <c r="BV73" s="1387"/>
      <c r="BW73" s="1387"/>
      <c r="BX73" s="1387"/>
      <c r="BY73" s="1387"/>
      <c r="BZ73" s="1387"/>
      <c r="CA73" s="1387"/>
      <c r="CB73" s="1387"/>
      <c r="CC73" s="1387"/>
      <c r="CD73" s="1387"/>
      <c r="CE73" s="1387"/>
      <c r="CF73" s="1387"/>
      <c r="CG73" s="1387"/>
      <c r="CH73" s="1387"/>
      <c r="CI73" s="1387"/>
      <c r="CJ73" s="1387"/>
      <c r="CK73" s="1387"/>
      <c r="CL73" s="1387"/>
      <c r="CM73" s="1387"/>
      <c r="CN73" s="1387"/>
      <c r="CO73" s="1387"/>
      <c r="CP73" s="1387"/>
      <c r="CQ73" s="1387"/>
      <c r="CR73" s="1387"/>
      <c r="CS73" s="1387"/>
      <c r="CT73" s="1387"/>
      <c r="CU73" s="1387"/>
      <c r="CV73" s="1387"/>
      <c r="CW73" s="1387"/>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5" hidden="1">
      <c r="A74" s="1502"/>
      <c r="B74" s="551"/>
      <c r="C74" s="551"/>
      <c r="D74" s="1336"/>
      <c r="E74" s="551"/>
      <c r="F74" s="440"/>
      <c r="G74" s="441"/>
      <c r="H74" s="440"/>
      <c r="I74" s="1387"/>
      <c r="J74" s="1387"/>
      <c r="K74" s="1387"/>
      <c r="L74" s="1387"/>
      <c r="M74" s="1387"/>
      <c r="N74" s="1387"/>
      <c r="O74" s="1387"/>
      <c r="P74" s="1387"/>
      <c r="Q74" s="1387"/>
      <c r="R74" s="1387"/>
      <c r="S74" s="1387"/>
      <c r="T74" s="1387"/>
      <c r="U74" s="1387"/>
      <c r="V74" s="1387"/>
      <c r="W74" s="1387"/>
      <c r="X74" s="1387"/>
      <c r="Y74" s="1387"/>
      <c r="Z74" s="1387"/>
      <c r="AA74" s="1387"/>
      <c r="AB74" s="1387"/>
      <c r="AC74" s="1387"/>
      <c r="AD74" s="1387"/>
      <c r="AE74" s="1387"/>
      <c r="AF74" s="1387"/>
      <c r="AG74" s="1387"/>
      <c r="AH74" s="1387"/>
      <c r="AI74" s="1387"/>
      <c r="AJ74" s="1387"/>
      <c r="AK74" s="1387"/>
      <c r="AL74" s="1387"/>
      <c r="AM74" s="1387"/>
      <c r="AN74" s="1387"/>
      <c r="AO74" s="1387"/>
      <c r="AP74" s="1387"/>
      <c r="AQ74" s="1387"/>
      <c r="AR74" s="1387"/>
      <c r="AS74" s="1387"/>
      <c r="AT74" s="1387"/>
      <c r="AU74" s="1387"/>
      <c r="AV74" s="1387"/>
      <c r="AW74" s="1387"/>
      <c r="AX74" s="1387"/>
      <c r="AY74" s="1387"/>
      <c r="AZ74" s="1387"/>
      <c r="BA74" s="1387"/>
      <c r="BB74" s="1387"/>
      <c r="BC74" s="1387"/>
      <c r="BD74" s="1387"/>
      <c r="BE74" s="1387"/>
      <c r="BF74" s="1387"/>
      <c r="BG74" s="1387"/>
      <c r="BH74" s="1387"/>
      <c r="BI74" s="1387"/>
      <c r="BJ74" s="1387"/>
      <c r="BK74" s="1387"/>
      <c r="BL74" s="1387"/>
      <c r="BM74" s="1387"/>
      <c r="BN74" s="1387"/>
      <c r="BO74" s="1387"/>
      <c r="BP74" s="1387"/>
      <c r="BQ74" s="1387"/>
      <c r="BR74" s="1387"/>
      <c r="BS74" s="1387"/>
      <c r="BT74" s="1387"/>
      <c r="BU74" s="1387"/>
      <c r="BV74" s="1387"/>
      <c r="BW74" s="1387"/>
      <c r="BX74" s="1387"/>
      <c r="BY74" s="1387"/>
      <c r="BZ74" s="1387"/>
      <c r="CA74" s="1387"/>
      <c r="CB74" s="1387"/>
      <c r="CC74" s="1387"/>
      <c r="CD74" s="1387"/>
      <c r="CE74" s="1387"/>
      <c r="CF74" s="1387"/>
      <c r="CG74" s="1387"/>
      <c r="CH74" s="1387"/>
      <c r="CI74" s="1387"/>
      <c r="CJ74" s="1387"/>
      <c r="CK74" s="1387"/>
      <c r="CL74" s="1387"/>
      <c r="CM74" s="1387"/>
      <c r="CN74" s="1387"/>
      <c r="CO74" s="1387"/>
      <c r="CP74" s="1387"/>
      <c r="CQ74" s="1387"/>
      <c r="CR74" s="1387"/>
      <c r="CS74" s="1387"/>
      <c r="CT74" s="1387"/>
      <c r="CU74" s="1387"/>
      <c r="CV74" s="1387"/>
      <c r="CW74" s="1387"/>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5" hidden="1">
      <c r="A75" s="1502"/>
      <c r="B75" s="551"/>
      <c r="C75" s="551"/>
      <c r="D75" s="1336"/>
      <c r="E75" s="551"/>
      <c r="F75" s="440"/>
      <c r="G75" s="441"/>
      <c r="H75" s="440"/>
      <c r="I75" s="1387"/>
      <c r="J75" s="1387"/>
      <c r="K75" s="1387"/>
      <c r="L75" s="1387"/>
      <c r="M75" s="1387"/>
      <c r="N75" s="1387"/>
      <c r="O75" s="1387"/>
      <c r="P75" s="1387"/>
      <c r="Q75" s="1387"/>
      <c r="R75" s="1387"/>
      <c r="S75" s="1387"/>
      <c r="T75" s="1387"/>
      <c r="U75" s="1387"/>
      <c r="V75" s="1387"/>
      <c r="W75" s="1387"/>
      <c r="X75" s="1387"/>
      <c r="Y75" s="1387"/>
      <c r="Z75" s="1387"/>
      <c r="AA75" s="1387"/>
      <c r="AB75" s="1387"/>
      <c r="AC75" s="1387"/>
      <c r="AD75" s="1387"/>
      <c r="AE75" s="1387"/>
      <c r="AF75" s="1387"/>
      <c r="AG75" s="1387"/>
      <c r="AH75" s="1387"/>
      <c r="AI75" s="1387"/>
      <c r="AJ75" s="1387"/>
      <c r="AK75" s="1387"/>
      <c r="AL75" s="1387"/>
      <c r="AM75" s="1387"/>
      <c r="AN75" s="1387"/>
      <c r="AO75" s="1387"/>
      <c r="AP75" s="1387"/>
      <c r="AQ75" s="1387"/>
      <c r="AR75" s="1387"/>
      <c r="AS75" s="1387"/>
      <c r="AT75" s="1387"/>
      <c r="AU75" s="1387"/>
      <c r="AV75" s="1387"/>
      <c r="AW75" s="1387"/>
      <c r="AX75" s="1387"/>
      <c r="AY75" s="1387"/>
      <c r="AZ75" s="1387"/>
      <c r="BA75" s="1387"/>
      <c r="BB75" s="1387"/>
      <c r="BC75" s="1387"/>
      <c r="BD75" s="1387"/>
      <c r="BE75" s="1387"/>
      <c r="BF75" s="1387"/>
      <c r="BG75" s="1387"/>
      <c r="BH75" s="1387"/>
      <c r="BI75" s="1387"/>
      <c r="BJ75" s="1387"/>
      <c r="BK75" s="1387"/>
      <c r="BL75" s="1387"/>
      <c r="BM75" s="1387"/>
      <c r="BN75" s="1387"/>
      <c r="BO75" s="1387"/>
      <c r="BP75" s="1387"/>
      <c r="BQ75" s="1387"/>
      <c r="BR75" s="1387"/>
      <c r="BS75" s="1387"/>
      <c r="BT75" s="1387"/>
      <c r="BU75" s="1387"/>
      <c r="BV75" s="1387"/>
      <c r="BW75" s="1387"/>
      <c r="BX75" s="1387"/>
      <c r="BY75" s="1387"/>
      <c r="BZ75" s="1387"/>
      <c r="CA75" s="1387"/>
      <c r="CB75" s="1387"/>
      <c r="CC75" s="1387"/>
      <c r="CD75" s="1387"/>
      <c r="CE75" s="1387"/>
      <c r="CF75" s="1387"/>
      <c r="CG75" s="1387"/>
      <c r="CH75" s="1387"/>
      <c r="CI75" s="1387"/>
      <c r="CJ75" s="1387"/>
      <c r="CK75" s="1387"/>
      <c r="CL75" s="1387"/>
      <c r="CM75" s="1387"/>
      <c r="CN75" s="1387"/>
      <c r="CO75" s="1387"/>
      <c r="CP75" s="1387"/>
      <c r="CQ75" s="1387"/>
      <c r="CR75" s="1387"/>
      <c r="CS75" s="1387"/>
      <c r="CT75" s="1387"/>
      <c r="CU75" s="1387"/>
      <c r="CV75" s="1387"/>
      <c r="CW75" s="1387"/>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5" hidden="1">
      <c r="A76" s="1502"/>
      <c r="B76" s="551"/>
      <c r="C76" s="551"/>
      <c r="D76" s="1336"/>
      <c r="E76" s="551"/>
      <c r="F76" s="440"/>
      <c r="G76" s="441"/>
      <c r="H76" s="440"/>
      <c r="I76" s="1387"/>
      <c r="J76" s="1387"/>
      <c r="K76" s="1387"/>
      <c r="L76" s="1387"/>
      <c r="M76" s="1387"/>
      <c r="N76" s="1387"/>
      <c r="O76" s="1387"/>
      <c r="P76" s="1387"/>
      <c r="Q76" s="1387"/>
      <c r="R76" s="1387"/>
      <c r="S76" s="1387"/>
      <c r="T76" s="1387"/>
      <c r="U76" s="1387"/>
      <c r="V76" s="1387"/>
      <c r="W76" s="1387"/>
      <c r="X76" s="1387"/>
      <c r="Y76" s="1387"/>
      <c r="Z76" s="1387"/>
      <c r="AA76" s="1387"/>
      <c r="AB76" s="1387"/>
      <c r="AC76" s="1387"/>
      <c r="AD76" s="1387"/>
      <c r="AE76" s="1387"/>
      <c r="AF76" s="1387"/>
      <c r="AG76" s="1387"/>
      <c r="AH76" s="1387"/>
      <c r="AI76" s="1387"/>
      <c r="AJ76" s="1387"/>
      <c r="AK76" s="1387"/>
      <c r="AL76" s="1387"/>
      <c r="AM76" s="1387"/>
      <c r="AN76" s="1387"/>
      <c r="AO76" s="1387"/>
      <c r="AP76" s="1387"/>
      <c r="AQ76" s="1387"/>
      <c r="AR76" s="1387"/>
      <c r="AS76" s="1387"/>
      <c r="AT76" s="1387"/>
      <c r="AU76" s="1387"/>
      <c r="AV76" s="1387"/>
      <c r="AW76" s="1387"/>
      <c r="AX76" s="1387"/>
      <c r="AY76" s="1387"/>
      <c r="AZ76" s="1387"/>
      <c r="BA76" s="1387"/>
      <c r="BB76" s="1387"/>
      <c r="BC76" s="1387"/>
      <c r="BD76" s="1387"/>
      <c r="BE76" s="1387"/>
      <c r="BF76" s="1387"/>
      <c r="BG76" s="1387"/>
      <c r="BH76" s="1387"/>
      <c r="BI76" s="1387"/>
      <c r="BJ76" s="1387"/>
      <c r="BK76" s="1387"/>
      <c r="BL76" s="1387"/>
      <c r="BM76" s="1387"/>
      <c r="BN76" s="1387"/>
      <c r="BO76" s="1387"/>
      <c r="BP76" s="1387"/>
      <c r="BQ76" s="1387"/>
      <c r="BR76" s="1387"/>
      <c r="BS76" s="1387"/>
      <c r="BT76" s="1387"/>
      <c r="BU76" s="1387"/>
      <c r="BV76" s="1387"/>
      <c r="BW76" s="1387"/>
      <c r="BX76" s="1387"/>
      <c r="BY76" s="1387"/>
      <c r="BZ76" s="1387"/>
      <c r="CA76" s="1387"/>
      <c r="CB76" s="1387"/>
      <c r="CC76" s="1387"/>
      <c r="CD76" s="1387"/>
      <c r="CE76" s="1387"/>
      <c r="CF76" s="1387"/>
      <c r="CG76" s="1387"/>
      <c r="CH76" s="1387"/>
      <c r="CI76" s="1387"/>
      <c r="CJ76" s="1387"/>
      <c r="CK76" s="1387"/>
      <c r="CL76" s="1387"/>
      <c r="CM76" s="1387"/>
      <c r="CN76" s="1387"/>
      <c r="CO76" s="1387"/>
      <c r="CP76" s="1387"/>
      <c r="CQ76" s="1387"/>
      <c r="CR76" s="1387"/>
      <c r="CS76" s="1387"/>
      <c r="CT76" s="1387"/>
      <c r="CU76" s="1387"/>
      <c r="CV76" s="1387"/>
      <c r="CW76" s="1387"/>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5" hidden="1">
      <c r="A77" s="1502"/>
      <c r="B77" s="551"/>
      <c r="C77" s="551"/>
      <c r="D77" s="1336"/>
      <c r="E77" s="551"/>
      <c r="F77" s="440"/>
      <c r="G77" s="441"/>
      <c r="H77" s="440"/>
      <c r="I77" s="1387"/>
      <c r="J77" s="1387"/>
      <c r="K77" s="1387"/>
      <c r="L77" s="1387"/>
      <c r="M77" s="1387"/>
      <c r="N77" s="1387"/>
      <c r="O77" s="1387"/>
      <c r="P77" s="1387"/>
      <c r="Q77" s="1387"/>
      <c r="R77" s="1387"/>
      <c r="S77" s="1387"/>
      <c r="T77" s="1387"/>
      <c r="U77" s="1387"/>
      <c r="V77" s="1387"/>
      <c r="W77" s="1387"/>
      <c r="X77" s="1387"/>
      <c r="Y77" s="1387"/>
      <c r="Z77" s="1387"/>
      <c r="AA77" s="1387"/>
      <c r="AB77" s="1387"/>
      <c r="AC77" s="1387"/>
      <c r="AD77" s="1387"/>
      <c r="AE77" s="1387"/>
      <c r="AF77" s="1387"/>
      <c r="AG77" s="1387"/>
      <c r="AH77" s="1387"/>
      <c r="AI77" s="1387"/>
      <c r="AJ77" s="1387"/>
      <c r="AK77" s="1387"/>
      <c r="AL77" s="1387"/>
      <c r="AM77" s="1387"/>
      <c r="AN77" s="1387"/>
      <c r="AO77" s="1387"/>
      <c r="AP77" s="1387"/>
      <c r="AQ77" s="1387"/>
      <c r="AR77" s="1387"/>
      <c r="AS77" s="1387"/>
      <c r="AT77" s="1387"/>
      <c r="AU77" s="1387"/>
      <c r="AV77" s="1387"/>
      <c r="AW77" s="1387"/>
      <c r="AX77" s="1387"/>
      <c r="AY77" s="1387"/>
      <c r="AZ77" s="1387"/>
      <c r="BA77" s="1387"/>
      <c r="BB77" s="1387"/>
      <c r="BC77" s="1387"/>
      <c r="BD77" s="1387"/>
      <c r="BE77" s="1387"/>
      <c r="BF77" s="1387"/>
      <c r="BG77" s="1387"/>
      <c r="BH77" s="1387"/>
      <c r="BI77" s="1387"/>
      <c r="BJ77" s="1387"/>
      <c r="BK77" s="1387"/>
      <c r="BL77" s="1387"/>
      <c r="BM77" s="1387"/>
      <c r="BN77" s="1387"/>
      <c r="BO77" s="1387"/>
      <c r="BP77" s="1387"/>
      <c r="BQ77" s="1387"/>
      <c r="BR77" s="1387"/>
      <c r="BS77" s="1387"/>
      <c r="BT77" s="1387"/>
      <c r="BU77" s="1387"/>
      <c r="BV77" s="1387"/>
      <c r="BW77" s="1387"/>
      <c r="BX77" s="1387"/>
      <c r="BY77" s="1387"/>
      <c r="BZ77" s="1387"/>
      <c r="CA77" s="1387"/>
      <c r="CB77" s="1387"/>
      <c r="CC77" s="1387"/>
      <c r="CD77" s="1387"/>
      <c r="CE77" s="1387"/>
      <c r="CF77" s="1387"/>
      <c r="CG77" s="1387"/>
      <c r="CH77" s="1387"/>
      <c r="CI77" s="1387"/>
      <c r="CJ77" s="1387"/>
      <c r="CK77" s="1387"/>
      <c r="CL77" s="1387"/>
      <c r="CM77" s="1387"/>
      <c r="CN77" s="1387"/>
      <c r="CO77" s="1387"/>
      <c r="CP77" s="1387"/>
      <c r="CQ77" s="1387"/>
      <c r="CR77" s="1387"/>
      <c r="CS77" s="1387"/>
      <c r="CT77" s="1387"/>
      <c r="CU77" s="1387"/>
      <c r="CV77" s="1387"/>
      <c r="CW77" s="1387"/>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5" hidden="1">
      <c r="A78" s="1502"/>
      <c r="B78" s="551"/>
      <c r="C78" s="551"/>
      <c r="D78" s="1336"/>
      <c r="E78" s="551"/>
      <c r="F78" s="440"/>
      <c r="G78" s="441"/>
      <c r="H78" s="440"/>
      <c r="I78" s="1387"/>
      <c r="J78" s="1387"/>
      <c r="K78" s="1387"/>
      <c r="L78" s="1387"/>
      <c r="M78" s="1387"/>
      <c r="N78" s="1387"/>
      <c r="O78" s="1387"/>
      <c r="P78" s="1387"/>
      <c r="Q78" s="1387"/>
      <c r="R78" s="1387"/>
      <c r="S78" s="1387"/>
      <c r="T78" s="1387"/>
      <c r="U78" s="1387"/>
      <c r="V78" s="1387"/>
      <c r="W78" s="1387"/>
      <c r="X78" s="1387"/>
      <c r="Y78" s="1387"/>
      <c r="Z78" s="1387"/>
      <c r="AA78" s="1387"/>
      <c r="AB78" s="1387"/>
      <c r="AC78" s="1387"/>
      <c r="AD78" s="1387"/>
      <c r="AE78" s="1387"/>
      <c r="AF78" s="1387"/>
      <c r="AG78" s="1387"/>
      <c r="AH78" s="1387"/>
      <c r="AI78" s="1387"/>
      <c r="AJ78" s="1387"/>
      <c r="AK78" s="1387"/>
      <c r="AL78" s="1387"/>
      <c r="AM78" s="1387"/>
      <c r="AN78" s="1387"/>
      <c r="AO78" s="1387"/>
      <c r="AP78" s="1387"/>
      <c r="AQ78" s="1387"/>
      <c r="AR78" s="1387"/>
      <c r="AS78" s="1387"/>
      <c r="AT78" s="1387"/>
      <c r="AU78" s="1387"/>
      <c r="AV78" s="1387"/>
      <c r="AW78" s="1387"/>
      <c r="AX78" s="1387"/>
      <c r="AY78" s="1387"/>
      <c r="AZ78" s="1387"/>
      <c r="BA78" s="1387"/>
      <c r="BB78" s="1387"/>
      <c r="BC78" s="1387"/>
      <c r="BD78" s="1387"/>
      <c r="BE78" s="1387"/>
      <c r="BF78" s="1387"/>
      <c r="BG78" s="1387"/>
      <c r="BH78" s="1387"/>
      <c r="BI78" s="1387"/>
      <c r="BJ78" s="1387"/>
      <c r="BK78" s="1387"/>
      <c r="BL78" s="1387"/>
      <c r="BM78" s="1387"/>
      <c r="BN78" s="1387"/>
      <c r="BO78" s="1387"/>
      <c r="BP78" s="1387"/>
      <c r="BQ78" s="1387"/>
      <c r="BR78" s="1387"/>
      <c r="BS78" s="1387"/>
      <c r="BT78" s="1387"/>
      <c r="BU78" s="1387"/>
      <c r="BV78" s="1387"/>
      <c r="BW78" s="1387"/>
      <c r="BX78" s="1387"/>
      <c r="BY78" s="1387"/>
      <c r="BZ78" s="1387"/>
      <c r="CA78" s="1387"/>
      <c r="CB78" s="1387"/>
      <c r="CC78" s="1387"/>
      <c r="CD78" s="1387"/>
      <c r="CE78" s="1387"/>
      <c r="CF78" s="1387"/>
      <c r="CG78" s="1387"/>
      <c r="CH78" s="1387"/>
      <c r="CI78" s="1387"/>
      <c r="CJ78" s="1387"/>
      <c r="CK78" s="1387"/>
      <c r="CL78" s="1387"/>
      <c r="CM78" s="1387"/>
      <c r="CN78" s="1387"/>
      <c r="CO78" s="1387"/>
      <c r="CP78" s="1387"/>
      <c r="CQ78" s="1387"/>
      <c r="CR78" s="1387"/>
      <c r="CS78" s="1387"/>
      <c r="CT78" s="1387"/>
      <c r="CU78" s="1387"/>
      <c r="CV78" s="1387"/>
      <c r="CW78" s="1387"/>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5" hidden="1">
      <c r="A79" s="1502"/>
      <c r="B79" s="551"/>
      <c r="C79" s="551"/>
      <c r="D79" s="1336"/>
      <c r="E79" s="551"/>
      <c r="F79" s="440"/>
      <c r="G79" s="441"/>
      <c r="H79" s="440"/>
      <c r="I79" s="1387"/>
      <c r="J79" s="1387"/>
      <c r="K79" s="1387"/>
      <c r="L79" s="1387"/>
      <c r="M79" s="1387"/>
      <c r="N79" s="1387"/>
      <c r="O79" s="1387"/>
      <c r="P79" s="1387"/>
      <c r="Q79" s="1387"/>
      <c r="R79" s="1387"/>
      <c r="S79" s="1387"/>
      <c r="T79" s="1387"/>
      <c r="U79" s="1387"/>
      <c r="V79" s="1387"/>
      <c r="W79" s="1387"/>
      <c r="X79" s="1387"/>
      <c r="Y79" s="1387"/>
      <c r="Z79" s="1387"/>
      <c r="AA79" s="1387"/>
      <c r="AB79" s="1387"/>
      <c r="AC79" s="1387"/>
      <c r="AD79" s="1387"/>
      <c r="AE79" s="1387"/>
      <c r="AF79" s="1387"/>
      <c r="AG79" s="1387"/>
      <c r="AH79" s="1387"/>
      <c r="AI79" s="1387"/>
      <c r="AJ79" s="1387"/>
      <c r="AK79" s="1387"/>
      <c r="AL79" s="1387"/>
      <c r="AM79" s="1387"/>
      <c r="AN79" s="1387"/>
      <c r="AO79" s="1387"/>
      <c r="AP79" s="1387"/>
      <c r="AQ79" s="1387"/>
      <c r="AR79" s="1387"/>
      <c r="AS79" s="1387"/>
      <c r="AT79" s="1387"/>
      <c r="AU79" s="1387"/>
      <c r="AV79" s="1387"/>
      <c r="AW79" s="1387"/>
      <c r="AX79" s="1387"/>
      <c r="AY79" s="1387"/>
      <c r="AZ79" s="1387"/>
      <c r="BA79" s="1387"/>
      <c r="BB79" s="1387"/>
      <c r="BC79" s="1387"/>
      <c r="BD79" s="1387"/>
      <c r="BE79" s="1387"/>
      <c r="BF79" s="1387"/>
      <c r="BG79" s="1387"/>
      <c r="BH79" s="1387"/>
      <c r="BI79" s="1387"/>
      <c r="BJ79" s="1387"/>
      <c r="BK79" s="1387"/>
      <c r="BL79" s="1387"/>
      <c r="BM79" s="1387"/>
      <c r="BN79" s="1387"/>
      <c r="BO79" s="1387"/>
      <c r="BP79" s="1387"/>
      <c r="BQ79" s="1387"/>
      <c r="BR79" s="1387"/>
      <c r="BS79" s="1387"/>
      <c r="BT79" s="1387"/>
      <c r="BU79" s="1387"/>
      <c r="BV79" s="1387"/>
      <c r="BW79" s="1387"/>
      <c r="BX79" s="1387"/>
      <c r="BY79" s="1387"/>
      <c r="BZ79" s="1387"/>
      <c r="CA79" s="1387"/>
      <c r="CB79" s="1387"/>
      <c r="CC79" s="1387"/>
      <c r="CD79" s="1387"/>
      <c r="CE79" s="1387"/>
      <c r="CF79" s="1387"/>
      <c r="CG79" s="1387"/>
      <c r="CH79" s="1387"/>
      <c r="CI79" s="1387"/>
      <c r="CJ79" s="1387"/>
      <c r="CK79" s="1387"/>
      <c r="CL79" s="1387"/>
      <c r="CM79" s="1387"/>
      <c r="CN79" s="1387"/>
      <c r="CO79" s="1387"/>
      <c r="CP79" s="1387"/>
      <c r="CQ79" s="1387"/>
      <c r="CR79" s="1387"/>
      <c r="CS79" s="1387"/>
      <c r="CT79" s="1387"/>
      <c r="CU79" s="1387"/>
      <c r="CV79" s="1387"/>
      <c r="CW79" s="1387"/>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5" hidden="1">
      <c r="A80" s="1502"/>
      <c r="B80" s="551"/>
      <c r="C80" s="551"/>
      <c r="D80" s="1336"/>
      <c r="E80" s="551"/>
      <c r="F80" s="440"/>
      <c r="G80" s="441"/>
      <c r="H80" s="440"/>
      <c r="I80" s="1387"/>
      <c r="J80" s="1387"/>
      <c r="K80" s="1387"/>
      <c r="L80" s="1387"/>
      <c r="M80" s="1387"/>
      <c r="N80" s="1387"/>
      <c r="O80" s="1387"/>
      <c r="P80" s="1387"/>
      <c r="Q80" s="1387"/>
      <c r="R80" s="1387"/>
      <c r="S80" s="1387"/>
      <c r="T80" s="1387"/>
      <c r="U80" s="1387"/>
      <c r="V80" s="1387"/>
      <c r="W80" s="1387"/>
      <c r="X80" s="1387"/>
      <c r="Y80" s="1387"/>
      <c r="Z80" s="1387"/>
      <c r="AA80" s="1387"/>
      <c r="AB80" s="1387"/>
      <c r="AC80" s="1387"/>
      <c r="AD80" s="1387"/>
      <c r="AE80" s="1387"/>
      <c r="AF80" s="1387"/>
      <c r="AG80" s="1387"/>
      <c r="AH80" s="1387"/>
      <c r="AI80" s="1387"/>
      <c r="AJ80" s="1387"/>
      <c r="AK80" s="1387"/>
      <c r="AL80" s="1387"/>
      <c r="AM80" s="1387"/>
      <c r="AN80" s="1387"/>
      <c r="AO80" s="1387"/>
      <c r="AP80" s="1387"/>
      <c r="AQ80" s="1387"/>
      <c r="AR80" s="1387"/>
      <c r="AS80" s="1387"/>
      <c r="AT80" s="1387"/>
      <c r="AU80" s="1387"/>
      <c r="AV80" s="1387"/>
      <c r="AW80" s="1387"/>
      <c r="AX80" s="1387"/>
      <c r="AY80" s="1387"/>
      <c r="AZ80" s="1387"/>
      <c r="BA80" s="1387"/>
      <c r="BB80" s="1387"/>
      <c r="BC80" s="1387"/>
      <c r="BD80" s="1387"/>
      <c r="BE80" s="1387"/>
      <c r="BF80" s="1387"/>
      <c r="BG80" s="1387"/>
      <c r="BH80" s="1387"/>
      <c r="BI80" s="1387"/>
      <c r="BJ80" s="1387"/>
      <c r="BK80" s="1387"/>
      <c r="BL80" s="1387"/>
      <c r="BM80" s="1387"/>
      <c r="BN80" s="1387"/>
      <c r="BO80" s="1387"/>
      <c r="BP80" s="1387"/>
      <c r="BQ80" s="1387"/>
      <c r="BR80" s="1387"/>
      <c r="BS80" s="1387"/>
      <c r="BT80" s="1387"/>
      <c r="BU80" s="1387"/>
      <c r="BV80" s="1387"/>
      <c r="BW80" s="1387"/>
      <c r="BX80" s="1387"/>
      <c r="BY80" s="1387"/>
      <c r="BZ80" s="1387"/>
      <c r="CA80" s="1387"/>
      <c r="CB80" s="1387"/>
      <c r="CC80" s="1387"/>
      <c r="CD80" s="1387"/>
      <c r="CE80" s="1387"/>
      <c r="CF80" s="1387"/>
      <c r="CG80" s="1387"/>
      <c r="CH80" s="1387"/>
      <c r="CI80" s="1387"/>
      <c r="CJ80" s="1387"/>
      <c r="CK80" s="1387"/>
      <c r="CL80" s="1387"/>
      <c r="CM80" s="1387"/>
      <c r="CN80" s="1387"/>
      <c r="CO80" s="1387"/>
      <c r="CP80" s="1387"/>
      <c r="CQ80" s="1387"/>
      <c r="CR80" s="1387"/>
      <c r="CS80" s="1387"/>
      <c r="CT80" s="1387"/>
      <c r="CU80" s="1387"/>
      <c r="CV80" s="1387"/>
      <c r="CW80" s="1387"/>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5" hidden="1">
      <c r="A81" s="1502"/>
      <c r="B81" s="551"/>
      <c r="C81" s="551"/>
      <c r="D81" s="1336"/>
      <c r="E81" s="551"/>
      <c r="F81" s="440"/>
      <c r="G81" s="441"/>
      <c r="H81" s="440"/>
      <c r="I81" s="1387"/>
      <c r="J81" s="1387"/>
      <c r="K81" s="1387"/>
      <c r="L81" s="1387"/>
      <c r="M81" s="1387"/>
      <c r="N81" s="1387"/>
      <c r="O81" s="1387"/>
      <c r="P81" s="1387"/>
      <c r="Q81" s="1387"/>
      <c r="R81" s="1387"/>
      <c r="S81" s="1387"/>
      <c r="T81" s="1387"/>
      <c r="U81" s="1387"/>
      <c r="V81" s="1387"/>
      <c r="W81" s="1387"/>
      <c r="X81" s="1387"/>
      <c r="Y81" s="1387"/>
      <c r="Z81" s="1387"/>
      <c r="AA81" s="1387"/>
      <c r="AB81" s="1387"/>
      <c r="AC81" s="1387"/>
      <c r="AD81" s="1387"/>
      <c r="AE81" s="1387"/>
      <c r="AF81" s="1387"/>
      <c r="AG81" s="1387"/>
      <c r="AH81" s="1387"/>
      <c r="AI81" s="1387"/>
      <c r="AJ81" s="1387"/>
      <c r="AK81" s="1387"/>
      <c r="AL81" s="1387"/>
      <c r="AM81" s="1387"/>
      <c r="AN81" s="1387"/>
      <c r="AO81" s="1387"/>
      <c r="AP81" s="1387"/>
      <c r="AQ81" s="1387"/>
      <c r="AR81" s="1387"/>
      <c r="AS81" s="1387"/>
      <c r="AT81" s="1387"/>
      <c r="AU81" s="1387"/>
      <c r="AV81" s="1387"/>
      <c r="AW81" s="1387"/>
      <c r="AX81" s="1387"/>
      <c r="AY81" s="1387"/>
      <c r="AZ81" s="1387"/>
      <c r="BA81" s="1387"/>
      <c r="BB81" s="1387"/>
      <c r="BC81" s="1387"/>
      <c r="BD81" s="1387"/>
      <c r="BE81" s="1387"/>
      <c r="BF81" s="1387"/>
      <c r="BG81" s="1387"/>
      <c r="BH81" s="1387"/>
      <c r="BI81" s="1387"/>
      <c r="BJ81" s="1387"/>
      <c r="BK81" s="1387"/>
      <c r="BL81" s="1387"/>
      <c r="BM81" s="1387"/>
      <c r="BN81" s="1387"/>
      <c r="BO81" s="1387"/>
      <c r="BP81" s="1387"/>
      <c r="BQ81" s="1387"/>
      <c r="BR81" s="1387"/>
      <c r="BS81" s="1387"/>
      <c r="BT81" s="1387"/>
      <c r="BU81" s="1387"/>
      <c r="BV81" s="1387"/>
      <c r="BW81" s="1387"/>
      <c r="BX81" s="1387"/>
      <c r="BY81" s="1387"/>
      <c r="BZ81" s="1387"/>
      <c r="CA81" s="1387"/>
      <c r="CB81" s="1387"/>
      <c r="CC81" s="1387"/>
      <c r="CD81" s="1387"/>
      <c r="CE81" s="1387"/>
      <c r="CF81" s="1387"/>
      <c r="CG81" s="1387"/>
      <c r="CH81" s="1387"/>
      <c r="CI81" s="1387"/>
      <c r="CJ81" s="1387"/>
      <c r="CK81" s="1387"/>
      <c r="CL81" s="1387"/>
      <c r="CM81" s="1387"/>
      <c r="CN81" s="1387"/>
      <c r="CO81" s="1387"/>
      <c r="CP81" s="1387"/>
      <c r="CQ81" s="1387"/>
      <c r="CR81" s="1387"/>
      <c r="CS81" s="1387"/>
      <c r="CT81" s="1387"/>
      <c r="CU81" s="1387"/>
      <c r="CV81" s="1387"/>
      <c r="CW81" s="1387"/>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5" hidden="1">
      <c r="A82" s="1502"/>
      <c r="B82" s="551"/>
      <c r="C82" s="551"/>
      <c r="D82" s="1336"/>
      <c r="E82" s="551"/>
      <c r="F82" s="440"/>
      <c r="G82" s="441"/>
      <c r="H82" s="440"/>
      <c r="I82" s="1387"/>
      <c r="J82" s="1387"/>
      <c r="K82" s="1387"/>
      <c r="L82" s="1387"/>
      <c r="M82" s="1387"/>
      <c r="N82" s="1387"/>
      <c r="O82" s="1387"/>
      <c r="P82" s="1387"/>
      <c r="Q82" s="1387"/>
      <c r="R82" s="1387"/>
      <c r="S82" s="1387"/>
      <c r="T82" s="1387"/>
      <c r="U82" s="1387"/>
      <c r="V82" s="1387"/>
      <c r="W82" s="1387"/>
      <c r="X82" s="1387"/>
      <c r="Y82" s="1387"/>
      <c r="Z82" s="1387"/>
      <c r="AA82" s="1387"/>
      <c r="AB82" s="1387"/>
      <c r="AC82" s="1387"/>
      <c r="AD82" s="1387"/>
      <c r="AE82" s="1387"/>
      <c r="AF82" s="1387"/>
      <c r="AG82" s="1387"/>
      <c r="AH82" s="1387"/>
      <c r="AI82" s="1387"/>
      <c r="AJ82" s="1387"/>
      <c r="AK82" s="1387"/>
      <c r="AL82" s="1387"/>
      <c r="AM82" s="1387"/>
      <c r="AN82" s="1387"/>
      <c r="AO82" s="1387"/>
      <c r="AP82" s="1387"/>
      <c r="AQ82" s="1387"/>
      <c r="AR82" s="1387"/>
      <c r="AS82" s="1387"/>
      <c r="AT82" s="1387"/>
      <c r="AU82" s="1387"/>
      <c r="AV82" s="1387"/>
      <c r="AW82" s="1387"/>
      <c r="AX82" s="1387"/>
      <c r="AY82" s="1387"/>
      <c r="AZ82" s="1387"/>
      <c r="BA82" s="1387"/>
      <c r="BB82" s="1387"/>
      <c r="BC82" s="1387"/>
      <c r="BD82" s="1387"/>
      <c r="BE82" s="1387"/>
      <c r="BF82" s="1387"/>
      <c r="BG82" s="1387"/>
      <c r="BH82" s="1387"/>
      <c r="BI82" s="1387"/>
      <c r="BJ82" s="1387"/>
      <c r="BK82" s="1387"/>
      <c r="BL82" s="1387"/>
      <c r="BM82" s="1387"/>
      <c r="BN82" s="1387"/>
      <c r="BO82" s="1387"/>
      <c r="BP82" s="1387"/>
      <c r="BQ82" s="1387"/>
      <c r="BR82" s="1387"/>
      <c r="BS82" s="1387"/>
      <c r="BT82" s="1387"/>
      <c r="BU82" s="1387"/>
      <c r="BV82" s="1387"/>
      <c r="BW82" s="1387"/>
      <c r="BX82" s="1387"/>
      <c r="BY82" s="1387"/>
      <c r="BZ82" s="1387"/>
      <c r="CA82" s="1387"/>
      <c r="CB82" s="1387"/>
      <c r="CC82" s="1387"/>
      <c r="CD82" s="1387"/>
      <c r="CE82" s="1387"/>
      <c r="CF82" s="1387"/>
      <c r="CG82" s="1387"/>
      <c r="CH82" s="1387"/>
      <c r="CI82" s="1387"/>
      <c r="CJ82" s="1387"/>
      <c r="CK82" s="1387"/>
      <c r="CL82" s="1387"/>
      <c r="CM82" s="1387"/>
      <c r="CN82" s="1387"/>
      <c r="CO82" s="1387"/>
      <c r="CP82" s="1387"/>
      <c r="CQ82" s="1387"/>
      <c r="CR82" s="1387"/>
      <c r="CS82" s="1387"/>
      <c r="CT82" s="1387"/>
      <c r="CU82" s="1387"/>
      <c r="CV82" s="1387"/>
      <c r="CW82" s="1387"/>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5" hidden="1">
      <c r="A83" s="1502"/>
      <c r="B83" s="551"/>
      <c r="C83" s="551"/>
      <c r="D83" s="1336"/>
      <c r="E83" s="551"/>
      <c r="F83" s="440"/>
      <c r="G83" s="441"/>
      <c r="H83" s="440"/>
      <c r="I83" s="1387"/>
      <c r="J83" s="1387"/>
      <c r="K83" s="1387"/>
      <c r="L83" s="1387"/>
      <c r="M83" s="1387"/>
      <c r="N83" s="1387"/>
      <c r="O83" s="1387"/>
      <c r="P83" s="1387"/>
      <c r="Q83" s="1387"/>
      <c r="R83" s="1387"/>
      <c r="S83" s="1387"/>
      <c r="T83" s="1387"/>
      <c r="U83" s="1387"/>
      <c r="V83" s="1387"/>
      <c r="W83" s="1387"/>
      <c r="X83" s="1387"/>
      <c r="Y83" s="1387"/>
      <c r="Z83" s="1387"/>
      <c r="AA83" s="1387"/>
      <c r="AB83" s="1387"/>
      <c r="AC83" s="1387"/>
      <c r="AD83" s="1387"/>
      <c r="AE83" s="1387"/>
      <c r="AF83" s="1387"/>
      <c r="AG83" s="1387"/>
      <c r="AH83" s="1387"/>
      <c r="AI83" s="1387"/>
      <c r="AJ83" s="1387"/>
      <c r="AK83" s="1387"/>
      <c r="AL83" s="1387"/>
      <c r="AM83" s="1387"/>
      <c r="AN83" s="1387"/>
      <c r="AO83" s="1387"/>
      <c r="AP83" s="1387"/>
      <c r="AQ83" s="1387"/>
      <c r="AR83" s="1387"/>
      <c r="AS83" s="1387"/>
      <c r="AT83" s="1387"/>
      <c r="AU83" s="1387"/>
      <c r="AV83" s="1387"/>
      <c r="AW83" s="1387"/>
      <c r="AX83" s="1387"/>
      <c r="AY83" s="1387"/>
      <c r="AZ83" s="1387"/>
      <c r="BA83" s="1387"/>
      <c r="BB83" s="1387"/>
      <c r="BC83" s="1387"/>
      <c r="BD83" s="1387"/>
      <c r="BE83" s="1387"/>
      <c r="BF83" s="1387"/>
      <c r="BG83" s="1387"/>
      <c r="BH83" s="1387"/>
      <c r="BI83" s="1387"/>
      <c r="BJ83" s="1387"/>
      <c r="BK83" s="1387"/>
      <c r="BL83" s="1387"/>
      <c r="BM83" s="1387"/>
      <c r="BN83" s="1387"/>
      <c r="BO83" s="1387"/>
      <c r="BP83" s="1387"/>
      <c r="BQ83" s="1387"/>
      <c r="BR83" s="1387"/>
      <c r="BS83" s="1387"/>
      <c r="BT83" s="1387"/>
      <c r="BU83" s="1387"/>
      <c r="BV83" s="1387"/>
      <c r="BW83" s="1387"/>
      <c r="BX83" s="1387"/>
      <c r="BY83" s="1387"/>
      <c r="BZ83" s="1387"/>
      <c r="CA83" s="1387"/>
      <c r="CB83" s="1387"/>
      <c r="CC83" s="1387"/>
      <c r="CD83" s="1387"/>
      <c r="CE83" s="1387"/>
      <c r="CF83" s="1387"/>
      <c r="CG83" s="1387"/>
      <c r="CH83" s="1387"/>
      <c r="CI83" s="1387"/>
      <c r="CJ83" s="1387"/>
      <c r="CK83" s="1387"/>
      <c r="CL83" s="1387"/>
      <c r="CM83" s="1387"/>
      <c r="CN83" s="1387"/>
      <c r="CO83" s="1387"/>
      <c r="CP83" s="1387"/>
      <c r="CQ83" s="1387"/>
      <c r="CR83" s="1387"/>
      <c r="CS83" s="1387"/>
      <c r="CT83" s="1387"/>
      <c r="CU83" s="1387"/>
      <c r="CV83" s="1387"/>
      <c r="CW83" s="1387"/>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5" hidden="1">
      <c r="A84" s="1502"/>
      <c r="B84" s="551"/>
      <c r="C84" s="551"/>
      <c r="D84" s="1336"/>
      <c r="E84" s="551"/>
      <c r="F84" s="440"/>
      <c r="G84" s="441"/>
      <c r="H84" s="440"/>
      <c r="I84" s="1387"/>
      <c r="J84" s="1387"/>
      <c r="K84" s="1387"/>
      <c r="L84" s="1387"/>
      <c r="M84" s="1387"/>
      <c r="N84" s="1387"/>
      <c r="O84" s="1387"/>
      <c r="P84" s="1387"/>
      <c r="Q84" s="1387"/>
      <c r="R84" s="1387"/>
      <c r="S84" s="1387"/>
      <c r="T84" s="1387"/>
      <c r="U84" s="1387"/>
      <c r="V84" s="1387"/>
      <c r="W84" s="1387"/>
      <c r="X84" s="1387"/>
      <c r="Y84" s="1387"/>
      <c r="Z84" s="1387"/>
      <c r="AA84" s="1387"/>
      <c r="AB84" s="1387"/>
      <c r="AC84" s="1387"/>
      <c r="AD84" s="1387"/>
      <c r="AE84" s="1387"/>
      <c r="AF84" s="1387"/>
      <c r="AG84" s="1387"/>
      <c r="AH84" s="1387"/>
      <c r="AI84" s="1387"/>
      <c r="AJ84" s="1387"/>
      <c r="AK84" s="1387"/>
      <c r="AL84" s="1387"/>
      <c r="AM84" s="1387"/>
      <c r="AN84" s="1387"/>
      <c r="AO84" s="1387"/>
      <c r="AP84" s="1387"/>
      <c r="AQ84" s="1387"/>
      <c r="AR84" s="1387"/>
      <c r="AS84" s="1387"/>
      <c r="AT84" s="1387"/>
      <c r="AU84" s="1387"/>
      <c r="AV84" s="1387"/>
      <c r="AW84" s="1387"/>
      <c r="AX84" s="1387"/>
      <c r="AY84" s="1387"/>
      <c r="AZ84" s="1387"/>
      <c r="BA84" s="1387"/>
      <c r="BB84" s="1387"/>
      <c r="BC84" s="1387"/>
      <c r="BD84" s="1387"/>
      <c r="BE84" s="1387"/>
      <c r="BF84" s="1387"/>
      <c r="BG84" s="1387"/>
      <c r="BH84" s="1387"/>
      <c r="BI84" s="1387"/>
      <c r="BJ84" s="1387"/>
      <c r="BK84" s="1387"/>
      <c r="BL84" s="1387"/>
      <c r="BM84" s="1387"/>
      <c r="BN84" s="1387"/>
      <c r="BO84" s="1387"/>
      <c r="BP84" s="1387"/>
      <c r="BQ84" s="1387"/>
      <c r="BR84" s="1387"/>
      <c r="BS84" s="1387"/>
      <c r="BT84" s="1387"/>
      <c r="BU84" s="1387"/>
      <c r="BV84" s="1387"/>
      <c r="BW84" s="1387"/>
      <c r="BX84" s="1387"/>
      <c r="BY84" s="1387"/>
      <c r="BZ84" s="1387"/>
      <c r="CA84" s="1387"/>
      <c r="CB84" s="1387"/>
      <c r="CC84" s="1387"/>
      <c r="CD84" s="1387"/>
      <c r="CE84" s="1387"/>
      <c r="CF84" s="1387"/>
      <c r="CG84" s="1387"/>
      <c r="CH84" s="1387"/>
      <c r="CI84" s="1387"/>
      <c r="CJ84" s="1387"/>
      <c r="CK84" s="1387"/>
      <c r="CL84" s="1387"/>
      <c r="CM84" s="1387"/>
      <c r="CN84" s="1387"/>
      <c r="CO84" s="1387"/>
      <c r="CP84" s="1387"/>
      <c r="CQ84" s="1387"/>
      <c r="CR84" s="1387"/>
      <c r="CS84" s="1387"/>
      <c r="CT84" s="1387"/>
      <c r="CU84" s="1387"/>
      <c r="CV84" s="1387"/>
      <c r="CW84" s="1387"/>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5" hidden="1">
      <c r="A85" s="1502"/>
      <c r="B85" s="551"/>
      <c r="C85" s="551"/>
      <c r="D85" s="1336"/>
      <c r="E85" s="551"/>
      <c r="F85" s="440"/>
      <c r="G85" s="441"/>
      <c r="H85" s="440"/>
      <c r="I85" s="1387"/>
      <c r="J85" s="1387"/>
      <c r="K85" s="1387"/>
      <c r="L85" s="1387"/>
      <c r="M85" s="1387"/>
      <c r="N85" s="1387"/>
      <c r="O85" s="1387"/>
      <c r="P85" s="1387"/>
      <c r="Q85" s="1387"/>
      <c r="R85" s="1387"/>
      <c r="S85" s="1387"/>
      <c r="T85" s="1387"/>
      <c r="U85" s="1387"/>
      <c r="V85" s="1387"/>
      <c r="W85" s="1387"/>
      <c r="X85" s="1387"/>
      <c r="Y85" s="1387"/>
      <c r="Z85" s="1387"/>
      <c r="AA85" s="1387"/>
      <c r="AB85" s="1387"/>
      <c r="AC85" s="1387"/>
      <c r="AD85" s="1387"/>
      <c r="AE85" s="1387"/>
      <c r="AF85" s="1387"/>
      <c r="AG85" s="1387"/>
      <c r="AH85" s="1387"/>
      <c r="AI85" s="1387"/>
      <c r="AJ85" s="1387"/>
      <c r="AK85" s="1387"/>
      <c r="AL85" s="1387"/>
      <c r="AM85" s="1387"/>
      <c r="AN85" s="1387"/>
      <c r="AO85" s="1387"/>
      <c r="AP85" s="1387"/>
      <c r="AQ85" s="1387"/>
      <c r="AR85" s="1387"/>
      <c r="AS85" s="1387"/>
      <c r="AT85" s="1387"/>
      <c r="AU85" s="1387"/>
      <c r="AV85" s="1387"/>
      <c r="AW85" s="1387"/>
      <c r="AX85" s="1387"/>
      <c r="AY85" s="1387"/>
      <c r="AZ85" s="1387"/>
      <c r="BA85" s="1387"/>
      <c r="BB85" s="1387"/>
      <c r="BC85" s="1387"/>
      <c r="BD85" s="1387"/>
      <c r="BE85" s="1387"/>
      <c r="BF85" s="1387"/>
      <c r="BG85" s="1387"/>
      <c r="BH85" s="1387"/>
      <c r="BI85" s="1387"/>
      <c r="BJ85" s="1387"/>
      <c r="BK85" s="1387"/>
      <c r="BL85" s="1387"/>
      <c r="BM85" s="1387"/>
      <c r="BN85" s="1387"/>
      <c r="BO85" s="1387"/>
      <c r="BP85" s="1387"/>
      <c r="BQ85" s="1387"/>
      <c r="BR85" s="1387"/>
      <c r="BS85" s="1387"/>
      <c r="BT85" s="1387"/>
      <c r="BU85" s="1387"/>
      <c r="BV85" s="1387"/>
      <c r="BW85" s="1387"/>
      <c r="BX85" s="1387"/>
      <c r="BY85" s="1387"/>
      <c r="BZ85" s="1387"/>
      <c r="CA85" s="1387"/>
      <c r="CB85" s="1387"/>
      <c r="CC85" s="1387"/>
      <c r="CD85" s="1387"/>
      <c r="CE85" s="1387"/>
      <c r="CF85" s="1387"/>
      <c r="CG85" s="1387"/>
      <c r="CH85" s="1387"/>
      <c r="CI85" s="1387"/>
      <c r="CJ85" s="1387"/>
      <c r="CK85" s="1387"/>
      <c r="CL85" s="1387"/>
      <c r="CM85" s="1387"/>
      <c r="CN85" s="1387"/>
      <c r="CO85" s="1387"/>
      <c r="CP85" s="1387"/>
      <c r="CQ85" s="1387"/>
      <c r="CR85" s="1387"/>
      <c r="CS85" s="1387"/>
      <c r="CT85" s="1387"/>
      <c r="CU85" s="1387"/>
      <c r="CV85" s="1387"/>
      <c r="CW85" s="1387"/>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5" hidden="1">
      <c r="A86" s="1502"/>
      <c r="B86" s="551"/>
      <c r="C86" s="551"/>
      <c r="D86" s="1336"/>
      <c r="E86" s="551"/>
      <c r="F86" s="440"/>
      <c r="G86" s="441"/>
      <c r="H86" s="440"/>
      <c r="I86" s="1387"/>
      <c r="J86" s="1387"/>
      <c r="K86" s="1387"/>
      <c r="L86" s="1387"/>
      <c r="M86" s="1387"/>
      <c r="N86" s="1387"/>
      <c r="O86" s="1387"/>
      <c r="P86" s="1387"/>
      <c r="Q86" s="1387"/>
      <c r="R86" s="1387"/>
      <c r="S86" s="1387"/>
      <c r="T86" s="1387"/>
      <c r="U86" s="1387"/>
      <c r="V86" s="1387"/>
      <c r="W86" s="1387"/>
      <c r="X86" s="1387"/>
      <c r="Y86" s="1387"/>
      <c r="Z86" s="1387"/>
      <c r="AA86" s="1387"/>
      <c r="AB86" s="1387"/>
      <c r="AC86" s="1387"/>
      <c r="AD86" s="1387"/>
      <c r="AE86" s="1387"/>
      <c r="AF86" s="1387"/>
      <c r="AG86" s="1387"/>
      <c r="AH86" s="1387"/>
      <c r="AI86" s="1387"/>
      <c r="AJ86" s="1387"/>
      <c r="AK86" s="1387"/>
      <c r="AL86" s="1387"/>
      <c r="AM86" s="1387"/>
      <c r="AN86" s="1387"/>
      <c r="AO86" s="1387"/>
      <c r="AP86" s="1387"/>
      <c r="AQ86" s="1387"/>
      <c r="AR86" s="1387"/>
      <c r="AS86" s="1387"/>
      <c r="AT86" s="1387"/>
      <c r="AU86" s="1387"/>
      <c r="AV86" s="1387"/>
      <c r="AW86" s="1387"/>
      <c r="AX86" s="1387"/>
      <c r="AY86" s="1387"/>
      <c r="AZ86" s="1387"/>
      <c r="BA86" s="1387"/>
      <c r="BB86" s="1387"/>
      <c r="BC86" s="1387"/>
      <c r="BD86" s="1387"/>
      <c r="BE86" s="1387"/>
      <c r="BF86" s="1387"/>
      <c r="BG86" s="1387"/>
      <c r="BH86" s="1387"/>
      <c r="BI86" s="1387"/>
      <c r="BJ86" s="1387"/>
      <c r="BK86" s="1387"/>
      <c r="BL86" s="1387"/>
      <c r="BM86" s="1387"/>
      <c r="BN86" s="1387"/>
      <c r="BO86" s="1387"/>
      <c r="BP86" s="1387"/>
      <c r="BQ86" s="1387"/>
      <c r="BR86" s="1387"/>
      <c r="BS86" s="1387"/>
      <c r="BT86" s="1387"/>
      <c r="BU86" s="1387"/>
      <c r="BV86" s="1387"/>
      <c r="BW86" s="1387"/>
      <c r="BX86" s="1387"/>
      <c r="BY86" s="1387"/>
      <c r="BZ86" s="1387"/>
      <c r="CA86" s="1387"/>
      <c r="CB86" s="1387"/>
      <c r="CC86" s="1387"/>
      <c r="CD86" s="1387"/>
      <c r="CE86" s="1387"/>
      <c r="CF86" s="1387"/>
      <c r="CG86" s="1387"/>
      <c r="CH86" s="1387"/>
      <c r="CI86" s="1387"/>
      <c r="CJ86" s="1387"/>
      <c r="CK86" s="1387"/>
      <c r="CL86" s="1387"/>
      <c r="CM86" s="1387"/>
      <c r="CN86" s="1387"/>
      <c r="CO86" s="1387"/>
      <c r="CP86" s="1387"/>
      <c r="CQ86" s="1387"/>
      <c r="CR86" s="1387"/>
      <c r="CS86" s="1387"/>
      <c r="CT86" s="1387"/>
      <c r="CU86" s="1387"/>
      <c r="CV86" s="1387"/>
      <c r="CW86" s="1387"/>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5" hidden="1">
      <c r="A87" s="1502"/>
      <c r="B87" s="551"/>
      <c r="C87" s="551"/>
      <c r="D87" s="1336"/>
      <c r="E87" s="551"/>
      <c r="F87" s="440"/>
      <c r="G87" s="441"/>
      <c r="H87" s="440"/>
      <c r="I87" s="1387"/>
      <c r="J87" s="1387"/>
      <c r="K87" s="1387"/>
      <c r="L87" s="1387"/>
      <c r="M87" s="1387"/>
      <c r="N87" s="1387"/>
      <c r="O87" s="1387"/>
      <c r="P87" s="1387"/>
      <c r="Q87" s="1387"/>
      <c r="R87" s="1387"/>
      <c r="S87" s="1387"/>
      <c r="T87" s="1387"/>
      <c r="U87" s="1387"/>
      <c r="V87" s="1387"/>
      <c r="W87" s="1387"/>
      <c r="X87" s="1387"/>
      <c r="Y87" s="1387"/>
      <c r="Z87" s="1387"/>
      <c r="AA87" s="1387"/>
      <c r="AB87" s="1387"/>
      <c r="AC87" s="1387"/>
      <c r="AD87" s="1387"/>
      <c r="AE87" s="1387"/>
      <c r="AF87" s="1387"/>
      <c r="AG87" s="1387"/>
      <c r="AH87" s="1387"/>
      <c r="AI87" s="1387"/>
      <c r="AJ87" s="1387"/>
      <c r="AK87" s="1387"/>
      <c r="AL87" s="1387"/>
      <c r="AM87" s="1387"/>
      <c r="AN87" s="1387"/>
      <c r="AO87" s="1387"/>
      <c r="AP87" s="1387"/>
      <c r="AQ87" s="1387"/>
      <c r="AR87" s="1387"/>
      <c r="AS87" s="1387"/>
      <c r="AT87" s="1387"/>
      <c r="AU87" s="1387"/>
      <c r="AV87" s="1387"/>
      <c r="AW87" s="1387"/>
      <c r="AX87" s="1387"/>
      <c r="AY87" s="1387"/>
      <c r="AZ87" s="1387"/>
      <c r="BA87" s="1387"/>
      <c r="BB87" s="1387"/>
      <c r="BC87" s="1387"/>
      <c r="BD87" s="1387"/>
      <c r="BE87" s="1387"/>
      <c r="BF87" s="1387"/>
      <c r="BG87" s="1387"/>
      <c r="BH87" s="1387"/>
      <c r="BI87" s="1387"/>
      <c r="BJ87" s="1387"/>
      <c r="BK87" s="1387"/>
      <c r="BL87" s="1387"/>
      <c r="BM87" s="1387"/>
      <c r="BN87" s="1387"/>
      <c r="BO87" s="1387"/>
      <c r="BP87" s="1387"/>
      <c r="BQ87" s="1387"/>
      <c r="BR87" s="1387"/>
      <c r="BS87" s="1387"/>
      <c r="BT87" s="1387"/>
      <c r="BU87" s="1387"/>
      <c r="BV87" s="1387"/>
      <c r="BW87" s="1387"/>
      <c r="BX87" s="1387"/>
      <c r="BY87" s="1387"/>
      <c r="BZ87" s="1387"/>
      <c r="CA87" s="1387"/>
      <c r="CB87" s="1387"/>
      <c r="CC87" s="1387"/>
      <c r="CD87" s="1387"/>
      <c r="CE87" s="1387"/>
      <c r="CF87" s="1387"/>
      <c r="CG87" s="1387"/>
      <c r="CH87" s="1387"/>
      <c r="CI87" s="1387"/>
      <c r="CJ87" s="1387"/>
      <c r="CK87" s="1387"/>
      <c r="CL87" s="1387"/>
      <c r="CM87" s="1387"/>
      <c r="CN87" s="1387"/>
      <c r="CO87" s="1387"/>
      <c r="CP87" s="1387"/>
      <c r="CQ87" s="1387"/>
      <c r="CR87" s="1387"/>
      <c r="CS87" s="1387"/>
      <c r="CT87" s="1387"/>
      <c r="CU87" s="1387"/>
      <c r="CV87" s="1387"/>
      <c r="CW87" s="1387"/>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5" hidden="1">
      <c r="A88" s="1502"/>
      <c r="B88" s="551"/>
      <c r="C88" s="551"/>
      <c r="D88" s="1336"/>
      <c r="E88" s="551"/>
      <c r="F88" s="440"/>
      <c r="G88" s="441"/>
      <c r="H88" s="440"/>
      <c r="I88" s="1387"/>
      <c r="J88" s="1387"/>
      <c r="K88" s="1387"/>
      <c r="L88" s="1387"/>
      <c r="M88" s="1387"/>
      <c r="N88" s="1387"/>
      <c r="O88" s="1387"/>
      <c r="P88" s="1387"/>
      <c r="Q88" s="1387"/>
      <c r="R88" s="1387"/>
      <c r="S88" s="1387"/>
      <c r="T88" s="1387"/>
      <c r="U88" s="1387"/>
      <c r="V88" s="1387"/>
      <c r="W88" s="1387"/>
      <c r="X88" s="1387"/>
      <c r="Y88" s="1387"/>
      <c r="Z88" s="1387"/>
      <c r="AA88" s="1387"/>
      <c r="AB88" s="1387"/>
      <c r="AC88" s="1387"/>
      <c r="AD88" s="1387"/>
      <c r="AE88" s="1387"/>
      <c r="AF88" s="1387"/>
      <c r="AG88" s="1387"/>
      <c r="AH88" s="1387"/>
      <c r="AI88" s="1387"/>
      <c r="AJ88" s="1387"/>
      <c r="AK88" s="1387"/>
      <c r="AL88" s="1387"/>
      <c r="AM88" s="1387"/>
      <c r="AN88" s="1387"/>
      <c r="AO88" s="1387"/>
      <c r="AP88" s="1387"/>
      <c r="AQ88" s="1387"/>
      <c r="AR88" s="1387"/>
      <c r="AS88" s="1387"/>
      <c r="AT88" s="1387"/>
      <c r="AU88" s="1387"/>
      <c r="AV88" s="1387"/>
      <c r="AW88" s="1387"/>
      <c r="AX88" s="1387"/>
      <c r="AY88" s="1387"/>
      <c r="AZ88" s="1387"/>
      <c r="BA88" s="1387"/>
      <c r="BB88" s="1387"/>
      <c r="BC88" s="1387"/>
      <c r="BD88" s="1387"/>
      <c r="BE88" s="1387"/>
      <c r="BF88" s="1387"/>
      <c r="BG88" s="1387"/>
      <c r="BH88" s="1387"/>
      <c r="BI88" s="1387"/>
      <c r="BJ88" s="1387"/>
      <c r="BK88" s="1387"/>
      <c r="BL88" s="1387"/>
      <c r="BM88" s="1387"/>
      <c r="BN88" s="1387"/>
      <c r="BO88" s="1387"/>
      <c r="BP88" s="1387"/>
      <c r="BQ88" s="1387"/>
      <c r="BR88" s="1387"/>
      <c r="BS88" s="1387"/>
      <c r="BT88" s="1387"/>
      <c r="BU88" s="1387"/>
      <c r="BV88" s="1387"/>
      <c r="BW88" s="1387"/>
      <c r="BX88" s="1387"/>
      <c r="BY88" s="1387"/>
      <c r="BZ88" s="1387"/>
      <c r="CA88" s="1387"/>
      <c r="CB88" s="1387"/>
      <c r="CC88" s="1387"/>
      <c r="CD88" s="1387"/>
      <c r="CE88" s="1387"/>
      <c r="CF88" s="1387"/>
      <c r="CG88" s="1387"/>
      <c r="CH88" s="1387"/>
      <c r="CI88" s="1387"/>
      <c r="CJ88" s="1387"/>
      <c r="CK88" s="1387"/>
      <c r="CL88" s="1387"/>
      <c r="CM88" s="1387"/>
      <c r="CN88" s="1387"/>
      <c r="CO88" s="1387"/>
      <c r="CP88" s="1387"/>
      <c r="CQ88" s="1387"/>
      <c r="CR88" s="1387"/>
      <c r="CS88" s="1387"/>
      <c r="CT88" s="1387"/>
      <c r="CU88" s="1387"/>
      <c r="CV88" s="1387"/>
      <c r="CW88" s="1387"/>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5" hidden="1">
      <c r="A89" s="1502"/>
      <c r="B89" s="551"/>
      <c r="C89" s="551"/>
      <c r="D89" s="1336"/>
      <c r="E89" s="551"/>
      <c r="F89" s="440"/>
      <c r="G89" s="441"/>
      <c r="H89" s="440"/>
      <c r="I89" s="1387"/>
      <c r="J89" s="1387"/>
      <c r="K89" s="1387"/>
      <c r="L89" s="1387"/>
      <c r="M89" s="1387"/>
      <c r="N89" s="1387"/>
      <c r="O89" s="1387"/>
      <c r="P89" s="1387"/>
      <c r="Q89" s="1387"/>
      <c r="R89" s="1387"/>
      <c r="S89" s="1387"/>
      <c r="T89" s="1387"/>
      <c r="U89" s="1387"/>
      <c r="V89" s="1387"/>
      <c r="W89" s="1387"/>
      <c r="X89" s="1387"/>
      <c r="Y89" s="1387"/>
      <c r="Z89" s="1387"/>
      <c r="AA89" s="1387"/>
      <c r="AB89" s="1387"/>
      <c r="AC89" s="1387"/>
      <c r="AD89" s="1387"/>
      <c r="AE89" s="1387"/>
      <c r="AF89" s="1387"/>
      <c r="AG89" s="1387"/>
      <c r="AH89" s="1387"/>
      <c r="AI89" s="1387"/>
      <c r="AJ89" s="1387"/>
      <c r="AK89" s="1387"/>
      <c r="AL89" s="1387"/>
      <c r="AM89" s="1387"/>
      <c r="AN89" s="1387"/>
      <c r="AO89" s="1387"/>
      <c r="AP89" s="1387"/>
      <c r="AQ89" s="1387"/>
      <c r="AR89" s="1387"/>
      <c r="AS89" s="1387"/>
      <c r="AT89" s="1387"/>
      <c r="AU89" s="1387"/>
      <c r="AV89" s="1387"/>
      <c r="AW89" s="1387"/>
      <c r="AX89" s="1387"/>
      <c r="AY89" s="1387"/>
      <c r="AZ89" s="1387"/>
      <c r="BA89" s="1387"/>
      <c r="BB89" s="1387"/>
      <c r="BC89" s="1387"/>
      <c r="BD89" s="1387"/>
      <c r="BE89" s="1387"/>
      <c r="BF89" s="1387"/>
      <c r="BG89" s="1387"/>
      <c r="BH89" s="1387"/>
      <c r="BI89" s="1387"/>
      <c r="BJ89" s="1387"/>
      <c r="BK89" s="1387"/>
      <c r="BL89" s="1387"/>
      <c r="BM89" s="1387"/>
      <c r="BN89" s="1387"/>
      <c r="BO89" s="1387"/>
      <c r="BP89" s="1387"/>
      <c r="BQ89" s="1387"/>
      <c r="BR89" s="1387"/>
      <c r="BS89" s="1387"/>
      <c r="BT89" s="1387"/>
      <c r="BU89" s="1387"/>
      <c r="BV89" s="1387"/>
      <c r="BW89" s="1387"/>
      <c r="BX89" s="1387"/>
      <c r="BY89" s="1387"/>
      <c r="BZ89" s="1387"/>
      <c r="CA89" s="1387"/>
      <c r="CB89" s="1387"/>
      <c r="CC89" s="1387"/>
      <c r="CD89" s="1387"/>
      <c r="CE89" s="1387"/>
      <c r="CF89" s="1387"/>
      <c r="CG89" s="1387"/>
      <c r="CH89" s="1387"/>
      <c r="CI89" s="1387"/>
      <c r="CJ89" s="1387"/>
      <c r="CK89" s="1387"/>
      <c r="CL89" s="1387"/>
      <c r="CM89" s="1387"/>
      <c r="CN89" s="1387"/>
      <c r="CO89" s="1387"/>
      <c r="CP89" s="1387"/>
      <c r="CQ89" s="1387"/>
      <c r="CR89" s="1387"/>
      <c r="CS89" s="1387"/>
      <c r="CT89" s="1387"/>
      <c r="CU89" s="1387"/>
      <c r="CV89" s="1387"/>
      <c r="CW89" s="1387"/>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5" hidden="1">
      <c r="A90" s="1502"/>
      <c r="B90" s="551"/>
      <c r="C90" s="551"/>
      <c r="D90" s="1336"/>
      <c r="E90" s="551"/>
      <c r="F90" s="440"/>
      <c r="G90" s="441"/>
      <c r="H90" s="440"/>
      <c r="I90" s="1387"/>
      <c r="J90" s="1387"/>
      <c r="K90" s="1387"/>
      <c r="L90" s="1387"/>
      <c r="M90" s="1387"/>
      <c r="N90" s="1387"/>
      <c r="O90" s="1387"/>
      <c r="P90" s="1387"/>
      <c r="Q90" s="1387"/>
      <c r="R90" s="1387"/>
      <c r="S90" s="1387"/>
      <c r="T90" s="1387"/>
      <c r="U90" s="1387"/>
      <c r="V90" s="1387"/>
      <c r="W90" s="1387"/>
      <c r="X90" s="1387"/>
      <c r="Y90" s="1387"/>
      <c r="Z90" s="1387"/>
      <c r="AA90" s="1387"/>
      <c r="AB90" s="1387"/>
      <c r="AC90" s="1387"/>
      <c r="AD90" s="1387"/>
      <c r="AE90" s="1387"/>
      <c r="AF90" s="1387"/>
      <c r="AG90" s="1387"/>
      <c r="AH90" s="1387"/>
      <c r="AI90" s="1387"/>
      <c r="AJ90" s="1387"/>
      <c r="AK90" s="1387"/>
      <c r="AL90" s="1387"/>
      <c r="AM90" s="1387"/>
      <c r="AN90" s="1387"/>
      <c r="AO90" s="1387"/>
      <c r="AP90" s="1387"/>
      <c r="AQ90" s="1387"/>
      <c r="AR90" s="1387"/>
      <c r="AS90" s="1387"/>
      <c r="AT90" s="1387"/>
      <c r="AU90" s="1387"/>
      <c r="AV90" s="1387"/>
      <c r="AW90" s="1387"/>
      <c r="AX90" s="1387"/>
      <c r="AY90" s="1387"/>
      <c r="AZ90" s="1387"/>
      <c r="BA90" s="1387"/>
      <c r="BB90" s="1387"/>
      <c r="BC90" s="1387"/>
      <c r="BD90" s="1387"/>
      <c r="BE90" s="1387"/>
      <c r="BF90" s="1387"/>
      <c r="BG90" s="1387"/>
      <c r="BH90" s="1387"/>
      <c r="BI90" s="1387"/>
      <c r="BJ90" s="1387"/>
      <c r="BK90" s="1387"/>
      <c r="BL90" s="1387"/>
      <c r="BM90" s="1387"/>
      <c r="BN90" s="1387"/>
      <c r="BO90" s="1387"/>
      <c r="BP90" s="1387"/>
      <c r="BQ90" s="1387"/>
      <c r="BR90" s="1387"/>
      <c r="BS90" s="1387"/>
      <c r="BT90" s="1387"/>
      <c r="BU90" s="1387"/>
      <c r="BV90" s="1387"/>
      <c r="BW90" s="1387"/>
      <c r="BX90" s="1387"/>
      <c r="BY90" s="1387"/>
      <c r="BZ90" s="1387"/>
      <c r="CA90" s="1387"/>
      <c r="CB90" s="1387"/>
      <c r="CC90" s="1387"/>
      <c r="CD90" s="1387"/>
      <c r="CE90" s="1387"/>
      <c r="CF90" s="1387"/>
      <c r="CG90" s="1387"/>
      <c r="CH90" s="1387"/>
      <c r="CI90" s="1387"/>
      <c r="CJ90" s="1387"/>
      <c r="CK90" s="1387"/>
      <c r="CL90" s="1387"/>
      <c r="CM90" s="1387"/>
      <c r="CN90" s="1387"/>
      <c r="CO90" s="1387"/>
      <c r="CP90" s="1387"/>
      <c r="CQ90" s="1387"/>
      <c r="CR90" s="1387"/>
      <c r="CS90" s="1387"/>
      <c r="CT90" s="1387"/>
      <c r="CU90" s="1387"/>
      <c r="CV90" s="1387"/>
      <c r="CW90" s="1387"/>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5" hidden="1">
      <c r="A91" s="1502"/>
      <c r="B91" s="551"/>
      <c r="C91" s="551"/>
      <c r="D91" s="1336"/>
      <c r="E91" s="551"/>
      <c r="F91" s="440"/>
      <c r="G91" s="441"/>
      <c r="H91" s="440"/>
      <c r="I91" s="1387"/>
      <c r="J91" s="1387"/>
      <c r="K91" s="1387"/>
      <c r="L91" s="1387"/>
      <c r="M91" s="1387"/>
      <c r="N91" s="1387"/>
      <c r="O91" s="1387"/>
      <c r="P91" s="1387"/>
      <c r="Q91" s="1387"/>
      <c r="R91" s="1387"/>
      <c r="S91" s="1387"/>
      <c r="T91" s="1387"/>
      <c r="U91" s="1387"/>
      <c r="V91" s="1387"/>
      <c r="W91" s="1387"/>
      <c r="X91" s="1387"/>
      <c r="Y91" s="1387"/>
      <c r="Z91" s="1387"/>
      <c r="AA91" s="1387"/>
      <c r="AB91" s="1387"/>
      <c r="AC91" s="1387"/>
      <c r="AD91" s="1387"/>
      <c r="AE91" s="1387"/>
      <c r="AF91" s="1387"/>
      <c r="AG91" s="1387"/>
      <c r="AH91" s="1387"/>
      <c r="AI91" s="1387"/>
      <c r="AJ91" s="1387"/>
      <c r="AK91" s="1387"/>
      <c r="AL91" s="1387"/>
      <c r="AM91" s="1387"/>
      <c r="AN91" s="1387"/>
      <c r="AO91" s="1387"/>
      <c r="AP91" s="1387"/>
      <c r="AQ91" s="1387"/>
      <c r="AR91" s="1387"/>
      <c r="AS91" s="1387"/>
      <c r="AT91" s="1387"/>
      <c r="AU91" s="1387"/>
      <c r="AV91" s="1387"/>
      <c r="AW91" s="1387"/>
      <c r="AX91" s="1387"/>
      <c r="AY91" s="1387"/>
      <c r="AZ91" s="1387"/>
      <c r="BA91" s="1387"/>
      <c r="BB91" s="1387"/>
      <c r="BC91" s="1387"/>
      <c r="BD91" s="1387"/>
      <c r="BE91" s="1387"/>
      <c r="BF91" s="1387"/>
      <c r="BG91" s="1387"/>
      <c r="BH91" s="1387"/>
      <c r="BI91" s="1387"/>
      <c r="BJ91" s="1387"/>
      <c r="BK91" s="1387"/>
      <c r="BL91" s="1387"/>
      <c r="BM91" s="1387"/>
      <c r="BN91" s="1387"/>
      <c r="BO91" s="1387"/>
      <c r="BP91" s="1387"/>
      <c r="BQ91" s="1387"/>
      <c r="BR91" s="1387"/>
      <c r="BS91" s="1387"/>
      <c r="BT91" s="1387"/>
      <c r="BU91" s="1387"/>
      <c r="BV91" s="1387"/>
      <c r="BW91" s="1387"/>
      <c r="BX91" s="1387"/>
      <c r="BY91" s="1387"/>
      <c r="BZ91" s="1387"/>
      <c r="CA91" s="1387"/>
      <c r="CB91" s="1387"/>
      <c r="CC91" s="1387"/>
      <c r="CD91" s="1387"/>
      <c r="CE91" s="1387"/>
      <c r="CF91" s="1387"/>
      <c r="CG91" s="1387"/>
      <c r="CH91" s="1387"/>
      <c r="CI91" s="1387"/>
      <c r="CJ91" s="1387"/>
      <c r="CK91" s="1387"/>
      <c r="CL91" s="1387"/>
      <c r="CM91" s="1387"/>
      <c r="CN91" s="1387"/>
      <c r="CO91" s="1387"/>
      <c r="CP91" s="1387"/>
      <c r="CQ91" s="1387"/>
      <c r="CR91" s="1387"/>
      <c r="CS91" s="1387"/>
      <c r="CT91" s="1387"/>
      <c r="CU91" s="1387"/>
      <c r="CV91" s="1387"/>
      <c r="CW91" s="1387"/>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5" hidden="1">
      <c r="A92" s="2035"/>
      <c r="B92" s="2036"/>
      <c r="C92" s="551"/>
      <c r="D92" s="2036"/>
      <c r="E92" s="1380"/>
      <c r="F92" s="1380"/>
      <c r="G92" s="1040"/>
      <c r="H92" s="2037"/>
      <c r="I92" s="626"/>
      <c r="J92" s="2038"/>
      <c r="K92" s="626"/>
      <c r="L92" s="2038"/>
      <c r="M92" s="2038"/>
      <c r="N92" s="626"/>
      <c r="O92" s="626"/>
      <c r="P92" s="626"/>
      <c r="Q92" s="626"/>
      <c r="R92" s="626"/>
      <c r="S92" s="2038"/>
      <c r="T92" s="626"/>
      <c r="U92" s="626"/>
      <c r="V92" s="626"/>
      <c r="W92" s="2038"/>
      <c r="X92" s="626"/>
      <c r="Y92" s="626"/>
      <c r="Z92" s="626"/>
      <c r="AA92" s="626"/>
      <c r="AB92" s="626"/>
      <c r="AC92" s="626"/>
      <c r="AD92" s="626"/>
      <c r="AE92" s="626"/>
      <c r="AF92" s="626"/>
      <c r="AG92" s="626"/>
      <c r="AH92" s="626"/>
      <c r="AI92" s="626"/>
      <c r="AJ92" s="626"/>
      <c r="AK92" s="626"/>
      <c r="AL92" s="626"/>
      <c r="AM92" s="626"/>
      <c r="AN92" s="2038"/>
      <c r="AO92" s="2038"/>
      <c r="AP92" s="626"/>
      <c r="AQ92" s="626"/>
      <c r="AR92" s="626"/>
      <c r="AS92" s="626"/>
      <c r="AT92" s="626"/>
      <c r="AU92" s="626"/>
      <c r="AV92" s="626"/>
      <c r="AW92" s="2038"/>
      <c r="AX92" s="2038"/>
      <c r="AY92" s="626"/>
      <c r="AZ92" s="626"/>
      <c r="BA92" s="626"/>
      <c r="BB92" s="626"/>
      <c r="BC92" s="626"/>
      <c r="BD92" s="2038"/>
      <c r="BE92" s="626"/>
      <c r="BF92" s="626"/>
      <c r="BG92" s="626"/>
      <c r="BH92" s="626"/>
      <c r="BI92" s="626"/>
      <c r="BJ92" s="626"/>
      <c r="BK92" s="626"/>
      <c r="BL92" s="626"/>
      <c r="BM92" s="2038"/>
      <c r="BN92" s="626"/>
      <c r="BO92" s="2038"/>
      <c r="BP92" s="2038"/>
      <c r="BQ92" s="626"/>
      <c r="BR92" s="626"/>
      <c r="BS92" s="626"/>
      <c r="BT92" s="2038"/>
      <c r="BU92" s="2038"/>
      <c r="BV92" s="2038"/>
      <c r="BW92" s="2038"/>
      <c r="BX92" s="2038"/>
      <c r="BY92" s="626"/>
      <c r="BZ92" s="2038"/>
      <c r="CA92" s="2038"/>
      <c r="CB92" s="2038"/>
      <c r="CC92" s="2038"/>
      <c r="CD92" s="626"/>
      <c r="CE92" s="626"/>
      <c r="CF92" s="626"/>
      <c r="CG92" s="626"/>
      <c r="CH92" s="626"/>
      <c r="CI92" s="626"/>
      <c r="CJ92" s="626"/>
      <c r="CK92" s="626"/>
      <c r="CL92" s="626"/>
      <c r="CM92" s="626"/>
      <c r="CN92" s="626"/>
      <c r="CO92" s="626"/>
      <c r="CP92" s="626"/>
      <c r="CQ92" s="626"/>
      <c r="CR92" s="2038"/>
      <c r="CS92" s="2038"/>
      <c r="CT92" s="2038"/>
      <c r="CU92" s="2038"/>
      <c r="CV92" s="2038"/>
      <c r="CW92" s="2038"/>
      <c r="CX92" s="2039"/>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 customHeight="1">
      <c r="A93" s="2047"/>
      <c r="B93" s="2047"/>
      <c r="C93" s="2029"/>
      <c r="D93" s="2047"/>
      <c r="E93" s="2031"/>
      <c r="F93" s="615"/>
      <c r="G93" s="2013"/>
      <c r="H93" s="2050"/>
      <c r="I93" s="2029"/>
      <c r="J93" s="2047"/>
      <c r="K93" s="2029"/>
      <c r="L93" s="2047"/>
      <c r="M93" s="2101"/>
      <c r="N93" s="2031"/>
      <c r="O93" s="614"/>
      <c r="P93" s="614"/>
      <c r="Q93" s="614"/>
      <c r="R93" s="2011"/>
      <c r="S93" s="2047"/>
      <c r="T93" s="2031"/>
      <c r="U93" s="614"/>
      <c r="V93" s="2011"/>
      <c r="W93" s="2047"/>
      <c r="X93" s="2031"/>
      <c r="Y93" s="614"/>
      <c r="Z93" s="614"/>
      <c r="AA93" s="614"/>
      <c r="AB93" s="614"/>
      <c r="AC93" s="614"/>
      <c r="AD93" s="614"/>
      <c r="AE93" s="614"/>
      <c r="AF93" s="614"/>
      <c r="AG93" s="614"/>
      <c r="AH93" s="614"/>
      <c r="AI93" s="614"/>
      <c r="AJ93" s="614"/>
      <c r="AK93" s="614"/>
      <c r="AL93" s="614"/>
      <c r="AM93" s="2011"/>
      <c r="AN93" s="2047"/>
      <c r="AO93" s="2047"/>
      <c r="AP93" s="2031"/>
      <c r="AQ93" s="614"/>
      <c r="AR93" s="614"/>
      <c r="AS93" s="614"/>
      <c r="AT93" s="614"/>
      <c r="AU93" s="614"/>
      <c r="AV93" s="2011"/>
      <c r="AW93" s="2047"/>
      <c r="AX93" s="2047"/>
      <c r="AY93" s="2031"/>
      <c r="AZ93" s="614"/>
      <c r="BA93" s="614"/>
      <c r="BB93" s="614"/>
      <c r="BC93" s="2011"/>
      <c r="BD93" s="2047"/>
      <c r="BE93" s="2031"/>
      <c r="BF93" s="614"/>
      <c r="BG93" s="614"/>
      <c r="BH93" s="614"/>
      <c r="BI93" s="614"/>
      <c r="BJ93" s="614"/>
      <c r="BK93" s="614"/>
      <c r="BL93" s="2011"/>
      <c r="BM93" s="2047"/>
      <c r="BN93" s="2029"/>
      <c r="BO93" s="2047"/>
      <c r="BP93" s="2047"/>
      <c r="BQ93" s="2031"/>
      <c r="BR93" s="614"/>
      <c r="BS93" s="2011"/>
      <c r="BT93" s="2120"/>
      <c r="BU93" s="2047"/>
      <c r="BV93" s="2101"/>
      <c r="BW93" s="2120"/>
      <c r="BX93" s="2047"/>
      <c r="BY93" s="2029"/>
      <c r="BZ93" s="2047"/>
      <c r="CA93" s="2047"/>
      <c r="CB93" s="2047"/>
      <c r="CC93" s="2047"/>
      <c r="CD93" s="2031"/>
      <c r="CE93" s="614"/>
      <c r="CF93" s="614"/>
      <c r="CG93" s="614"/>
      <c r="CH93" s="614"/>
      <c r="CI93" s="614"/>
      <c r="CJ93" s="614"/>
      <c r="CK93" s="614"/>
      <c r="CL93" s="614"/>
      <c r="CM93" s="614"/>
      <c r="CN93" s="614"/>
      <c r="CO93" s="614"/>
      <c r="CP93" s="614"/>
      <c r="CQ93" s="2011"/>
      <c r="CR93" s="2047"/>
      <c r="CS93" s="2101"/>
      <c r="CT93" s="2047"/>
      <c r="CU93" s="2047"/>
      <c r="CV93" s="2120"/>
      <c r="CW93" s="2120"/>
      <c r="CX93" s="2056"/>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2053" t="s">
        <v>3925</v>
      </c>
      <c r="B94" s="2054">
        <f>SUM(B11:B93)</f>
        <v>0</v>
      </c>
      <c r="C94" s="2030"/>
      <c r="D94" s="2055">
        <f>B94</f>
        <v>0</v>
      </c>
      <c r="E94" s="2032"/>
      <c r="F94" s="562"/>
      <c r="G94" s="2012"/>
      <c r="H94" s="2055"/>
      <c r="I94" s="2030"/>
      <c r="J94" s="2054">
        <f>SUM(J11:J93)</f>
        <v>0</v>
      </c>
      <c r="K94" s="2033">
        <f t="shared" ref="K94:BW94" si="10">SUM(K11:K93)</f>
        <v>0</v>
      </c>
      <c r="L94" s="2054">
        <f t="shared" si="10"/>
        <v>0</v>
      </c>
      <c r="M94" s="2105">
        <f t="shared" si="10"/>
        <v>0</v>
      </c>
      <c r="N94" s="2034">
        <f t="shared" si="10"/>
        <v>0</v>
      </c>
      <c r="O94" s="561">
        <f t="shared" si="10"/>
        <v>0</v>
      </c>
      <c r="P94" s="561">
        <f t="shared" si="10"/>
        <v>0</v>
      </c>
      <c r="Q94" s="561">
        <f t="shared" si="10"/>
        <v>0</v>
      </c>
      <c r="R94" s="2014">
        <f t="shared" si="10"/>
        <v>0</v>
      </c>
      <c r="S94" s="2054">
        <f t="shared" si="10"/>
        <v>0</v>
      </c>
      <c r="T94" s="2034">
        <f t="shared" si="10"/>
        <v>0</v>
      </c>
      <c r="U94" s="561">
        <f t="shared" si="10"/>
        <v>0</v>
      </c>
      <c r="V94" s="2014">
        <f t="shared" si="10"/>
        <v>0</v>
      </c>
      <c r="W94" s="2054">
        <f t="shared" si="10"/>
        <v>0</v>
      </c>
      <c r="X94" s="2034">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2014">
        <f t="shared" si="10"/>
        <v>0</v>
      </c>
      <c r="AN94" s="2054">
        <f t="shared" si="10"/>
        <v>0</v>
      </c>
      <c r="AO94" s="2054">
        <f t="shared" si="10"/>
        <v>0</v>
      </c>
      <c r="AP94" s="2034">
        <f t="shared" si="10"/>
        <v>0</v>
      </c>
      <c r="AQ94" s="561">
        <f t="shared" si="10"/>
        <v>0</v>
      </c>
      <c r="AR94" s="561">
        <f t="shared" si="10"/>
        <v>0</v>
      </c>
      <c r="AS94" s="561">
        <f t="shared" si="10"/>
        <v>0</v>
      </c>
      <c r="AT94" s="561">
        <f t="shared" si="10"/>
        <v>0</v>
      </c>
      <c r="AU94" s="561">
        <f t="shared" si="10"/>
        <v>0</v>
      </c>
      <c r="AV94" s="2014">
        <f t="shared" si="10"/>
        <v>0</v>
      </c>
      <c r="AW94" s="2054">
        <f t="shared" si="10"/>
        <v>0</v>
      </c>
      <c r="AX94" s="2054">
        <f t="shared" si="10"/>
        <v>0</v>
      </c>
      <c r="AY94" s="2034">
        <f t="shared" si="10"/>
        <v>0</v>
      </c>
      <c r="AZ94" s="561">
        <f t="shared" si="10"/>
        <v>0</v>
      </c>
      <c r="BA94" s="561">
        <f t="shared" si="10"/>
        <v>0</v>
      </c>
      <c r="BB94" s="561">
        <f t="shared" si="10"/>
        <v>0</v>
      </c>
      <c r="BC94" s="2014">
        <f t="shared" si="10"/>
        <v>0</v>
      </c>
      <c r="BD94" s="2054">
        <f t="shared" si="10"/>
        <v>0</v>
      </c>
      <c r="BE94" s="2034">
        <f t="shared" si="10"/>
        <v>0</v>
      </c>
      <c r="BF94" s="561">
        <f t="shared" si="10"/>
        <v>0</v>
      </c>
      <c r="BG94" s="561">
        <f t="shared" si="10"/>
        <v>0</v>
      </c>
      <c r="BH94" s="561">
        <f t="shared" si="10"/>
        <v>0</v>
      </c>
      <c r="BI94" s="561">
        <f t="shared" si="10"/>
        <v>0</v>
      </c>
      <c r="BJ94" s="561">
        <f t="shared" si="10"/>
        <v>0</v>
      </c>
      <c r="BK94" s="561">
        <f t="shared" si="10"/>
        <v>0</v>
      </c>
      <c r="BL94" s="2014">
        <f t="shared" si="10"/>
        <v>0</v>
      </c>
      <c r="BM94" s="2054">
        <f t="shared" si="10"/>
        <v>0</v>
      </c>
      <c r="BN94" s="2033">
        <f t="shared" si="10"/>
        <v>0</v>
      </c>
      <c r="BO94" s="2054">
        <f t="shared" si="10"/>
        <v>0</v>
      </c>
      <c r="BP94" s="2054">
        <f t="shared" si="10"/>
        <v>0</v>
      </c>
      <c r="BQ94" s="2034">
        <f t="shared" si="10"/>
        <v>0</v>
      </c>
      <c r="BR94" s="561">
        <f t="shared" si="10"/>
        <v>0</v>
      </c>
      <c r="BS94" s="2014">
        <f t="shared" si="10"/>
        <v>0</v>
      </c>
      <c r="BT94" s="2123">
        <f t="shared" si="10"/>
        <v>0</v>
      </c>
      <c r="BU94" s="2054">
        <f t="shared" si="10"/>
        <v>0</v>
      </c>
      <c r="BV94" s="2105">
        <f t="shared" si="10"/>
        <v>0</v>
      </c>
      <c r="BW94" s="2123">
        <f t="shared" si="10"/>
        <v>0</v>
      </c>
      <c r="BX94" s="2054">
        <f t="shared" ref="BX94:CW94" si="11">SUM(BX11:BX93)</f>
        <v>0</v>
      </c>
      <c r="BY94" s="2033">
        <f t="shared" si="11"/>
        <v>0</v>
      </c>
      <c r="BZ94" s="2054">
        <f t="shared" si="11"/>
        <v>0</v>
      </c>
      <c r="CA94" s="2054">
        <f t="shared" si="11"/>
        <v>0</v>
      </c>
      <c r="CB94" s="2054"/>
      <c r="CC94" s="2054">
        <f t="shared" si="11"/>
        <v>0</v>
      </c>
      <c r="CD94" s="2034">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2014">
        <f t="shared" si="11"/>
        <v>0</v>
      </c>
      <c r="CR94" s="2054">
        <f t="shared" si="11"/>
        <v>0</v>
      </c>
      <c r="CS94" s="2105">
        <f t="shared" si="11"/>
        <v>0</v>
      </c>
      <c r="CT94" s="2054">
        <f t="shared" si="11"/>
        <v>0</v>
      </c>
      <c r="CU94" s="2054">
        <f t="shared" si="11"/>
        <v>0</v>
      </c>
      <c r="CV94" s="2123">
        <f t="shared" si="11"/>
        <v>0</v>
      </c>
      <c r="CW94" s="2123">
        <f t="shared" si="11"/>
        <v>0</v>
      </c>
      <c r="CX94" s="2057"/>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95" hidden="1" customHeight="1" thickTop="1">
      <c r="BC95" s="1624"/>
      <c r="BD95" s="1624"/>
      <c r="BE95" s="1624"/>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5.75" hidden="1" thickTop="1">
      <c r="G96" s="1631" t="s">
        <v>3940</v>
      </c>
      <c r="BC96" s="1624"/>
      <c r="BD96" s="1624"/>
      <c r="BE96" s="1624"/>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5" hidden="1" thickTop="1">
      <c r="A97" s="1632" t="s">
        <v>1244</v>
      </c>
      <c r="B97" s="1633"/>
      <c r="C97" s="1634"/>
      <c r="D97" s="1634"/>
      <c r="E97" s="1635" t="s">
        <v>1829</v>
      </c>
      <c r="F97" s="1633"/>
      <c r="G97" s="1636"/>
      <c r="H97" s="1637"/>
      <c r="I97" s="1633"/>
      <c r="J97" s="1638">
        <f>B97*1.03</f>
        <v>0</v>
      </c>
      <c r="K97" s="1638">
        <f>B97*1.03</f>
        <v>0</v>
      </c>
      <c r="L97" s="1638">
        <f>C97*1.03</f>
        <v>0</v>
      </c>
      <c r="M97" s="1639"/>
      <c r="N97" s="1624" t="s">
        <v>1829</v>
      </c>
      <c r="BC97" s="1624"/>
      <c r="BD97" s="1624"/>
      <c r="BE97" s="1624"/>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32" t="s">
        <v>88</v>
      </c>
      <c r="B98" s="1633"/>
      <c r="C98" s="1640">
        <f>2*C94+D94</f>
        <v>0</v>
      </c>
      <c r="D98" s="1634">
        <f>D94</f>
        <v>0</v>
      </c>
      <c r="E98" s="1635" t="s">
        <v>1829</v>
      </c>
      <c r="F98" s="1633"/>
      <c r="G98" s="1636"/>
      <c r="H98" s="1637"/>
      <c r="I98" s="1633"/>
      <c r="J98" s="1641">
        <f>B98*1.03</f>
        <v>0</v>
      </c>
      <c r="K98" s="1641"/>
      <c r="L98" s="2575">
        <f>D94</f>
        <v>0</v>
      </c>
      <c r="M98" s="2575"/>
      <c r="N98" s="2575"/>
      <c r="O98" s="2575"/>
      <c r="P98" s="2575"/>
      <c r="Q98" s="2575"/>
      <c r="R98" s="2575"/>
      <c r="S98" s="2575"/>
      <c r="T98" s="2575"/>
      <c r="U98" s="2575"/>
      <c r="BC98" s="1624"/>
      <c r="BD98" s="1624"/>
      <c r="BE98" s="1624"/>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95" hidden="1" customHeight="1">
      <c r="A99" s="1642" t="s">
        <v>268</v>
      </c>
      <c r="B99" s="1633"/>
      <c r="C99" s="1643"/>
      <c r="D99" s="1643"/>
      <c r="E99" s="1635" t="s">
        <v>1829</v>
      </c>
      <c r="F99" s="1633"/>
      <c r="G99" s="1644"/>
      <c r="H99" s="1637"/>
      <c r="I99" s="1633"/>
      <c r="J99" s="1638">
        <f>B99*1.03</f>
        <v>0</v>
      </c>
      <c r="K99" s="1638">
        <f>B99*1.03</f>
        <v>0</v>
      </c>
      <c r="L99" s="1638">
        <f>C99*1.03</f>
        <v>0</v>
      </c>
      <c r="M99" s="1639"/>
      <c r="N99" s="1624" t="s">
        <v>1829</v>
      </c>
      <c r="BC99" s="1624"/>
      <c r="BD99" s="1624"/>
      <c r="BE99" s="1624"/>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95" hidden="1" customHeight="1">
      <c r="A100" s="1642" t="s">
        <v>267</v>
      </c>
      <c r="B100" s="1633"/>
      <c r="C100" s="1634"/>
      <c r="D100" s="1634"/>
      <c r="E100" s="1635" t="s">
        <v>1829</v>
      </c>
      <c r="F100" s="1633"/>
      <c r="G100" s="1636"/>
      <c r="H100" s="1637"/>
      <c r="I100" s="1633"/>
      <c r="J100" s="1638">
        <f>B100*1.03</f>
        <v>0</v>
      </c>
      <c r="K100" s="1638">
        <f>B100*1.03</f>
        <v>0</v>
      </c>
      <c r="L100" s="1638">
        <f>C100*1.03</f>
        <v>0</v>
      </c>
      <c r="M100" s="1639"/>
      <c r="N100" s="1624" t="s">
        <v>1829</v>
      </c>
      <c r="BC100" s="1624"/>
      <c r="BD100" s="1624"/>
      <c r="BE100" s="1624"/>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95" hidden="1" customHeight="1">
      <c r="A101" s="1632" t="s">
        <v>360</v>
      </c>
      <c r="B101" s="1633"/>
      <c r="C101" s="1643">
        <f>D94</f>
        <v>0</v>
      </c>
      <c r="D101" s="1643">
        <f>D94</f>
        <v>0</v>
      </c>
      <c r="E101" s="1635" t="s">
        <v>1829</v>
      </c>
      <c r="F101" s="1633"/>
      <c r="G101" s="1644"/>
      <c r="H101" s="1637"/>
      <c r="I101" s="1633"/>
      <c r="J101" s="1638">
        <f>B101*1.03</f>
        <v>0</v>
      </c>
      <c r="K101" s="1638"/>
      <c r="L101" s="2575">
        <f>D94</f>
        <v>0</v>
      </c>
      <c r="M101" s="2575"/>
      <c r="N101" s="2575"/>
      <c r="O101" s="2575"/>
      <c r="P101" s="2575"/>
      <c r="Q101" s="2575"/>
      <c r="R101" s="2575"/>
      <c r="S101" s="2575"/>
      <c r="T101" s="2575"/>
      <c r="U101" s="2575"/>
      <c r="BC101" s="1624"/>
      <c r="BD101" s="1624"/>
      <c r="BE101" s="1624"/>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95" customHeight="1" thickTop="1">
      <c r="BC102" s="1624"/>
      <c r="BD102" s="1624"/>
      <c r="BE102" s="1624"/>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95" customHeight="1">
      <c r="BC103" s="1624"/>
      <c r="BD103" s="1624"/>
      <c r="BE103" s="1624"/>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95" customHeight="1">
      <c r="BC104" s="1624"/>
      <c r="BD104" s="1624"/>
      <c r="BE104" s="1624"/>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95" customHeight="1">
      <c r="BC105" s="1624"/>
      <c r="BD105" s="1624"/>
      <c r="BE105" s="1624"/>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95" customHeight="1">
      <c r="AW106" s="1624" t="s">
        <v>4845</v>
      </c>
      <c r="BC106" s="1624"/>
      <c r="BD106" s="1624"/>
      <c r="BE106" s="1624"/>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95" customHeight="1">
      <c r="BC107" s="1624"/>
      <c r="BD107" s="1624"/>
      <c r="BE107" s="1624"/>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95" customHeight="1">
      <c r="BC108" s="1624"/>
      <c r="BD108" s="1624"/>
      <c r="BE108" s="1624"/>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95" customHeight="1">
      <c r="BC109" s="1624"/>
      <c r="BD109" s="1624"/>
      <c r="BE109" s="1624"/>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95" customHeight="1">
      <c r="BC110" s="1624"/>
      <c r="BD110" s="1624"/>
      <c r="BE110" s="1624"/>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95" hidden="1" customHeight="1" thickBot="1">
      <c r="BC111" s="1624"/>
      <c r="BD111" s="1624"/>
      <c r="BE111" s="1624"/>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95" hidden="1" customHeight="1">
      <c r="H112" s="1645" t="s">
        <v>1256</v>
      </c>
      <c r="I112" s="1387"/>
      <c r="J112" s="1387"/>
      <c r="K112" s="1387"/>
      <c r="L112" s="1387"/>
      <c r="M112" s="1387"/>
      <c r="N112" s="1387" t="e">
        <f>VLOOKUP($H112,pp_1XDM,N$125,0)</f>
        <v>#NAME?</v>
      </c>
      <c r="O112" s="1387" t="e">
        <f t="shared" ref="O112:CW112" si="12">VLOOKUP($H112,pp_1XDM,O$125,0)</f>
        <v>#NAME?</v>
      </c>
      <c r="P112" s="1387" t="e">
        <f t="shared" si="12"/>
        <v>#NAME?</v>
      </c>
      <c r="Q112" s="1387" t="e">
        <f t="shared" si="12"/>
        <v>#NAME?</v>
      </c>
      <c r="R112" s="1387" t="e">
        <f t="shared" si="12"/>
        <v>#NAME?</v>
      </c>
      <c r="S112" s="1387" t="e">
        <f t="shared" si="12"/>
        <v>#NAME?</v>
      </c>
      <c r="T112" s="1387" t="e">
        <f t="shared" si="12"/>
        <v>#NAME?</v>
      </c>
      <c r="U112" s="1387" t="e">
        <f t="shared" si="12"/>
        <v>#NAME?</v>
      </c>
      <c r="V112" s="1387" t="e">
        <f t="shared" si="12"/>
        <v>#NAME?</v>
      </c>
      <c r="W112" s="1387" t="e">
        <f t="shared" si="12"/>
        <v>#NAME?</v>
      </c>
      <c r="X112" s="1387" t="e">
        <f t="shared" si="12"/>
        <v>#NAME?</v>
      </c>
      <c r="Y112" s="1387" t="e">
        <f t="shared" si="12"/>
        <v>#NAME?</v>
      </c>
      <c r="Z112" s="1387" t="e">
        <f t="shared" si="12"/>
        <v>#NAME?</v>
      </c>
      <c r="AA112" s="1387" t="e">
        <f t="shared" si="12"/>
        <v>#NAME?</v>
      </c>
      <c r="AB112" s="1387" t="e">
        <f t="shared" si="12"/>
        <v>#NAME?</v>
      </c>
      <c r="AC112" s="1387" t="e">
        <f t="shared" si="12"/>
        <v>#NAME?</v>
      </c>
      <c r="AD112" s="1387" t="e">
        <f t="shared" si="12"/>
        <v>#NAME?</v>
      </c>
      <c r="AE112" s="1387" t="e">
        <f t="shared" si="12"/>
        <v>#NAME?</v>
      </c>
      <c r="AF112" s="1387" t="e">
        <f t="shared" si="12"/>
        <v>#NAME?</v>
      </c>
      <c r="AG112" s="1387" t="e">
        <f t="shared" si="12"/>
        <v>#NAME?</v>
      </c>
      <c r="AH112" s="1387" t="e">
        <f t="shared" si="12"/>
        <v>#NAME?</v>
      </c>
      <c r="AI112" s="1387" t="e">
        <f t="shared" si="12"/>
        <v>#NAME?</v>
      </c>
      <c r="AJ112" s="1387" t="e">
        <f t="shared" si="12"/>
        <v>#NAME?</v>
      </c>
      <c r="AK112" s="1387" t="e">
        <f t="shared" si="12"/>
        <v>#NAME?</v>
      </c>
      <c r="AL112" s="1387" t="e">
        <f t="shared" si="12"/>
        <v>#NAME?</v>
      </c>
      <c r="AM112" s="1387" t="e">
        <f t="shared" si="12"/>
        <v>#NAME?</v>
      </c>
      <c r="AN112" s="1387" t="e">
        <f t="shared" si="12"/>
        <v>#NAME?</v>
      </c>
      <c r="AO112" s="1387" t="e">
        <f t="shared" si="12"/>
        <v>#NAME?</v>
      </c>
      <c r="AP112" s="1387" t="e">
        <f t="shared" si="12"/>
        <v>#NAME?</v>
      </c>
      <c r="AQ112" s="1387" t="e">
        <f t="shared" si="12"/>
        <v>#NAME?</v>
      </c>
      <c r="AR112" s="1387" t="e">
        <f t="shared" si="12"/>
        <v>#NAME?</v>
      </c>
      <c r="AS112" s="1387" t="e">
        <f t="shared" si="12"/>
        <v>#NAME?</v>
      </c>
      <c r="AT112" s="1387" t="e">
        <f t="shared" si="12"/>
        <v>#NAME?</v>
      </c>
      <c r="AU112" s="1387" t="e">
        <f t="shared" si="12"/>
        <v>#NAME?</v>
      </c>
      <c r="AV112" s="1387" t="e">
        <f t="shared" si="12"/>
        <v>#NAME?</v>
      </c>
      <c r="AW112" s="1387" t="e">
        <f t="shared" si="12"/>
        <v>#NAME?</v>
      </c>
      <c r="AX112" s="1387" t="e">
        <f t="shared" si="12"/>
        <v>#NAME?</v>
      </c>
      <c r="AY112" s="1387" t="e">
        <f t="shared" si="12"/>
        <v>#NAME?</v>
      </c>
      <c r="AZ112" s="1387" t="e">
        <f t="shared" si="12"/>
        <v>#NAME?</v>
      </c>
      <c r="BA112" s="1387" t="e">
        <f t="shared" si="12"/>
        <v>#NAME?</v>
      </c>
      <c r="BB112" s="1387" t="e">
        <f t="shared" si="12"/>
        <v>#NAME?</v>
      </c>
      <c r="BC112" s="1387" t="e">
        <f t="shared" si="12"/>
        <v>#NAME?</v>
      </c>
      <c r="BD112" s="1387" t="e">
        <f t="shared" si="12"/>
        <v>#NAME?</v>
      </c>
      <c r="BE112" s="1387" t="e">
        <f t="shared" si="12"/>
        <v>#NAME?</v>
      </c>
      <c r="BF112" s="1387" t="e">
        <f t="shared" si="12"/>
        <v>#NAME?</v>
      </c>
      <c r="BG112" s="1387" t="e">
        <f t="shared" si="12"/>
        <v>#NAME?</v>
      </c>
      <c r="BH112" s="1387" t="e">
        <f t="shared" si="12"/>
        <v>#NAME?</v>
      </c>
      <c r="BI112" s="1387" t="e">
        <f t="shared" si="12"/>
        <v>#NAME?</v>
      </c>
      <c r="BJ112" s="1387" t="e">
        <f t="shared" si="12"/>
        <v>#NAME?</v>
      </c>
      <c r="BK112" s="1387" t="e">
        <f t="shared" si="12"/>
        <v>#NAME?</v>
      </c>
      <c r="BL112" s="1387" t="e">
        <f t="shared" si="12"/>
        <v>#NAME?</v>
      </c>
      <c r="BM112" s="1387"/>
      <c r="BN112" s="1387" t="e">
        <f t="shared" si="12"/>
        <v>#NAME?</v>
      </c>
      <c r="BO112" s="1387" t="e">
        <f t="shared" si="12"/>
        <v>#NAME?</v>
      </c>
      <c r="BP112" s="1387" t="e">
        <f t="shared" si="12"/>
        <v>#NAME?</v>
      </c>
      <c r="BQ112" s="1387"/>
      <c r="BR112" s="1387"/>
      <c r="BS112" s="1387" t="e">
        <f t="shared" si="12"/>
        <v>#NAME?</v>
      </c>
      <c r="BT112" s="1387"/>
      <c r="BU112" s="1387"/>
      <c r="BV112" s="1387" t="e">
        <f t="shared" si="12"/>
        <v>#NAME?</v>
      </c>
      <c r="BW112" s="1387" t="e">
        <f t="shared" si="12"/>
        <v>#NAME?</v>
      </c>
      <c r="BX112" s="1387" t="e">
        <f t="shared" si="12"/>
        <v>#NAME?</v>
      </c>
      <c r="BY112" s="1387" t="e">
        <f t="shared" si="12"/>
        <v>#NAME?</v>
      </c>
      <c r="BZ112" s="1387" t="e">
        <f t="shared" si="12"/>
        <v>#NAME?</v>
      </c>
      <c r="CA112" s="1387"/>
      <c r="CB112" s="1387"/>
      <c r="CC112" s="1387" t="e">
        <f t="shared" si="12"/>
        <v>#NAME?</v>
      </c>
      <c r="CD112" s="1387" t="e">
        <f t="shared" si="12"/>
        <v>#NAME?</v>
      </c>
      <c r="CE112" s="1387" t="e">
        <f t="shared" si="12"/>
        <v>#NAME?</v>
      </c>
      <c r="CF112" s="1387" t="e">
        <f t="shared" si="12"/>
        <v>#NAME?</v>
      </c>
      <c r="CG112" s="1387" t="e">
        <f t="shared" si="12"/>
        <v>#NAME?</v>
      </c>
      <c r="CH112" s="1387" t="e">
        <f t="shared" si="12"/>
        <v>#NAME?</v>
      </c>
      <c r="CI112" s="1387" t="e">
        <f t="shared" si="12"/>
        <v>#NAME?</v>
      </c>
      <c r="CJ112" s="1387" t="e">
        <f t="shared" si="12"/>
        <v>#NAME?</v>
      </c>
      <c r="CK112" s="1387" t="e">
        <f t="shared" si="12"/>
        <v>#NAME?</v>
      </c>
      <c r="CL112" s="1387" t="e">
        <f t="shared" si="12"/>
        <v>#NAME?</v>
      </c>
      <c r="CM112" s="1387" t="e">
        <f t="shared" si="12"/>
        <v>#NAME?</v>
      </c>
      <c r="CN112" s="1387" t="e">
        <f t="shared" si="12"/>
        <v>#NAME?</v>
      </c>
      <c r="CO112" s="1387" t="e">
        <f t="shared" si="12"/>
        <v>#NAME?</v>
      </c>
      <c r="CP112" s="1387" t="e">
        <f t="shared" si="12"/>
        <v>#NAME?</v>
      </c>
      <c r="CQ112" s="1387" t="e">
        <f t="shared" si="12"/>
        <v>#NAME?</v>
      </c>
      <c r="CR112" s="1387" t="e">
        <f t="shared" si="12"/>
        <v>#NAME?</v>
      </c>
      <c r="CS112" s="1387"/>
      <c r="CT112" s="1387"/>
      <c r="CU112" s="1387"/>
      <c r="CV112" s="1387"/>
      <c r="CW112" s="1387" t="e">
        <f t="shared" si="12"/>
        <v>#NAME?</v>
      </c>
      <c r="CX112" s="1646"/>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95" hidden="1" customHeight="1">
      <c r="H113" s="563" t="s">
        <v>1779</v>
      </c>
      <c r="I113" s="1647"/>
      <c r="J113" s="1647"/>
      <c r="K113" s="1647"/>
      <c r="L113" s="1647"/>
      <c r="M113" s="1647"/>
      <c r="N113" s="1647"/>
      <c r="O113" s="1648"/>
      <c r="P113" s="1648"/>
      <c r="Q113" s="1648"/>
      <c r="R113" s="1648"/>
      <c r="S113" s="1648"/>
      <c r="T113" s="1648">
        <v>1</v>
      </c>
      <c r="U113" s="1647"/>
      <c r="V113" s="1648"/>
      <c r="W113" s="1648"/>
      <c r="X113" s="1648"/>
      <c r="Y113" s="1648"/>
      <c r="Z113" s="1648"/>
      <c r="AA113" s="1648">
        <v>1</v>
      </c>
      <c r="AB113" s="1648"/>
      <c r="AC113" s="1648"/>
      <c r="AD113" s="1648"/>
      <c r="AE113" s="1648"/>
      <c r="AF113" s="1648"/>
      <c r="AG113" s="1648"/>
      <c r="AH113" s="1648"/>
      <c r="AI113" s="1648"/>
      <c r="AJ113" s="1648"/>
      <c r="AK113" s="1647"/>
      <c r="AL113" s="1647"/>
      <c r="AM113" s="1647"/>
      <c r="AN113" s="1647"/>
      <c r="AO113" s="1647"/>
      <c r="AP113" s="1647"/>
      <c r="AQ113" s="1647"/>
      <c r="AR113" s="1647"/>
      <c r="AS113" s="1647"/>
      <c r="AT113" s="1647"/>
      <c r="AU113" s="1647"/>
      <c r="AV113" s="1647"/>
      <c r="AW113" s="1648"/>
      <c r="AX113" s="1648"/>
      <c r="AY113" s="1648"/>
      <c r="AZ113" s="1648"/>
      <c r="BA113" s="1648"/>
      <c r="BB113" s="1648"/>
      <c r="BC113" s="1647"/>
      <c r="BD113" s="1647"/>
      <c r="BE113" s="1647"/>
      <c r="BF113" s="1648"/>
      <c r="BG113" s="1648"/>
      <c r="BH113" s="1648"/>
      <c r="BI113" s="1648"/>
      <c r="BJ113" s="1648"/>
      <c r="BK113" s="1648"/>
      <c r="BL113" s="1648"/>
      <c r="BM113" s="1648"/>
      <c r="BN113" s="1648"/>
      <c r="BO113" s="1647">
        <v>1</v>
      </c>
      <c r="BP113" s="1647"/>
      <c r="BQ113" s="1647"/>
      <c r="BR113" s="1647"/>
      <c r="BS113" s="1647"/>
      <c r="BT113" s="1647"/>
      <c r="BU113" s="1647"/>
      <c r="BV113" s="1647"/>
      <c r="BW113" s="1647"/>
      <c r="BX113" s="1647">
        <v>1</v>
      </c>
      <c r="BY113" s="1647"/>
      <c r="BZ113" s="1649"/>
      <c r="CA113" s="1649"/>
      <c r="CB113" s="1649"/>
      <c r="CC113" s="1647"/>
      <c r="CD113" s="1647"/>
      <c r="CE113" s="1647"/>
      <c r="CF113" s="1647"/>
      <c r="CG113" s="1647"/>
      <c r="CH113" s="1647"/>
      <c r="CI113" s="1647"/>
      <c r="CJ113" s="1647"/>
      <c r="CK113" s="1647"/>
      <c r="CL113" s="1647"/>
      <c r="CM113" s="1647"/>
      <c r="CN113" s="1647"/>
      <c r="CO113" s="1647"/>
      <c r="CP113" s="1647"/>
      <c r="CQ113" s="1647"/>
      <c r="CR113" s="1647"/>
      <c r="CS113" s="1647"/>
      <c r="CT113" s="1647"/>
      <c r="CU113" s="1647"/>
      <c r="CV113" s="1647"/>
      <c r="CW113" s="1647"/>
      <c r="CX113" s="1650"/>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95" hidden="1" customHeight="1">
      <c r="H114" s="564" t="s">
        <v>2202</v>
      </c>
      <c r="I114" s="1651"/>
      <c r="J114" s="1651"/>
      <c r="K114" s="1651"/>
      <c r="L114" s="1651"/>
      <c r="M114" s="1651"/>
      <c r="N114" s="1651"/>
      <c r="O114" s="1652"/>
      <c r="P114" s="1652"/>
      <c r="Q114" s="1652"/>
      <c r="R114" s="1652"/>
      <c r="S114" s="1652"/>
      <c r="T114" s="1652"/>
      <c r="U114" s="1651">
        <v>1</v>
      </c>
      <c r="V114" s="1652">
        <v>1</v>
      </c>
      <c r="W114" s="1652">
        <v>1</v>
      </c>
      <c r="X114" s="1652"/>
      <c r="Y114" s="1652"/>
      <c r="Z114" s="1652"/>
      <c r="AA114" s="1652"/>
      <c r="AB114" s="1652">
        <v>1</v>
      </c>
      <c r="AC114" s="1652"/>
      <c r="AD114" s="1652"/>
      <c r="AE114" s="1652"/>
      <c r="AF114" s="1652"/>
      <c r="AG114" s="1652"/>
      <c r="AH114" s="1652"/>
      <c r="AI114" s="1652"/>
      <c r="AJ114" s="1652"/>
      <c r="AK114" s="1651"/>
      <c r="AL114" s="1651"/>
      <c r="AM114" s="1651"/>
      <c r="AN114" s="1651">
        <v>1</v>
      </c>
      <c r="AO114" s="1651"/>
      <c r="AP114" s="1651"/>
      <c r="AQ114" s="1651"/>
      <c r="AR114" s="1651"/>
      <c r="AS114" s="1651"/>
      <c r="AT114" s="1651"/>
      <c r="AU114" s="1651"/>
      <c r="AV114" s="1651"/>
      <c r="AW114" s="1652"/>
      <c r="AX114" s="1652"/>
      <c r="AY114" s="1652">
        <v>1</v>
      </c>
      <c r="AZ114" s="1652"/>
      <c r="BA114" s="1652">
        <v>1</v>
      </c>
      <c r="BB114" s="1652"/>
      <c r="BC114" s="1651"/>
      <c r="BD114" s="1651"/>
      <c r="BE114" s="1651"/>
      <c r="BF114" s="1652"/>
      <c r="BG114" s="1652"/>
      <c r="BH114" s="1652">
        <v>1</v>
      </c>
      <c r="BI114" s="1652"/>
      <c r="BJ114" s="1652">
        <v>1</v>
      </c>
      <c r="BK114" s="1652"/>
      <c r="BL114" s="1652">
        <v>1</v>
      </c>
      <c r="BM114" s="1652"/>
      <c r="BN114" s="1652"/>
      <c r="BO114" s="1651"/>
      <c r="BP114" s="1651">
        <v>1</v>
      </c>
      <c r="BQ114" s="1651"/>
      <c r="BR114" s="1651"/>
      <c r="BS114" s="1651">
        <v>1</v>
      </c>
      <c r="BT114" s="1651"/>
      <c r="BU114" s="1651"/>
      <c r="BV114" s="1651"/>
      <c r="BW114" s="1651"/>
      <c r="BX114" s="1651">
        <v>1</v>
      </c>
      <c r="BY114" s="1651"/>
      <c r="BZ114" s="1653"/>
      <c r="CA114" s="1653"/>
      <c r="CB114" s="1653"/>
      <c r="CC114" s="1651"/>
      <c r="CD114" s="1651"/>
      <c r="CE114" s="1651"/>
      <c r="CF114" s="1651"/>
      <c r="CG114" s="1651"/>
      <c r="CH114" s="1651"/>
      <c r="CI114" s="1651"/>
      <c r="CJ114" s="1651"/>
      <c r="CK114" s="1651"/>
      <c r="CL114" s="1651"/>
      <c r="CM114" s="1651"/>
      <c r="CN114" s="1651"/>
      <c r="CO114" s="1651"/>
      <c r="CP114" s="1651"/>
      <c r="CQ114" s="1651"/>
      <c r="CR114" s="1651"/>
      <c r="CS114" s="1651"/>
      <c r="CT114" s="1651"/>
      <c r="CU114" s="1651"/>
      <c r="CV114" s="1651"/>
      <c r="CW114" s="1651"/>
      <c r="CX114" s="1654"/>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95" hidden="1" customHeight="1">
      <c r="H115" s="563" t="s">
        <v>1875</v>
      </c>
      <c r="I115" s="1651"/>
      <c r="J115" s="1651"/>
      <c r="K115" s="1651"/>
      <c r="L115" s="1651"/>
      <c r="M115" s="1651"/>
      <c r="N115" s="1651"/>
      <c r="O115" s="1652"/>
      <c r="P115" s="1652"/>
      <c r="Q115" s="1652"/>
      <c r="R115" s="1652"/>
      <c r="S115" s="1652"/>
      <c r="T115" s="1652"/>
      <c r="U115" s="1651"/>
      <c r="V115" s="1652"/>
      <c r="W115" s="1652"/>
      <c r="X115" s="1652"/>
      <c r="Y115" s="1652"/>
      <c r="Z115" s="1652"/>
      <c r="AA115" s="1652"/>
      <c r="AB115" s="1652"/>
      <c r="AC115" s="1652"/>
      <c r="AD115" s="1652"/>
      <c r="AE115" s="1652"/>
      <c r="AF115" s="1652"/>
      <c r="AG115" s="1652"/>
      <c r="AH115" s="1652"/>
      <c r="AI115" s="1652"/>
      <c r="AJ115" s="1652"/>
      <c r="AK115" s="1651"/>
      <c r="AL115" s="1651"/>
      <c r="AM115" s="1651"/>
      <c r="AN115" s="1651"/>
      <c r="AO115" s="1651"/>
      <c r="AP115" s="1651"/>
      <c r="AQ115" s="1651"/>
      <c r="AR115" s="1651"/>
      <c r="AS115" s="1651"/>
      <c r="AT115" s="1651"/>
      <c r="AU115" s="1651"/>
      <c r="AV115" s="1651"/>
      <c r="AW115" s="1652"/>
      <c r="AX115" s="1652"/>
      <c r="AY115" s="1652"/>
      <c r="AZ115" s="1652"/>
      <c r="BA115" s="1652"/>
      <c r="BB115" s="1652"/>
      <c r="BC115" s="1651"/>
      <c r="BD115" s="1651"/>
      <c r="BE115" s="1651"/>
      <c r="BF115" s="1652"/>
      <c r="BG115" s="1652"/>
      <c r="BH115" s="1652"/>
      <c r="BI115" s="1652"/>
      <c r="BJ115" s="1652"/>
      <c r="BK115" s="1652"/>
      <c r="BL115" s="1652"/>
      <c r="BM115" s="1652"/>
      <c r="BN115" s="1652"/>
      <c r="BO115" s="1651"/>
      <c r="BP115" s="1651"/>
      <c r="BQ115" s="1651"/>
      <c r="BR115" s="1651"/>
      <c r="BS115" s="1651"/>
      <c r="BT115" s="1651"/>
      <c r="BU115" s="1651"/>
      <c r="BV115" s="1651"/>
      <c r="BW115" s="1651"/>
      <c r="BX115" s="1651"/>
      <c r="BY115" s="1651"/>
      <c r="BZ115" s="1653"/>
      <c r="CA115" s="1653"/>
      <c r="CB115" s="1653"/>
      <c r="CC115" s="1651"/>
      <c r="CD115" s="1651"/>
      <c r="CE115" s="1651"/>
      <c r="CF115" s="1651"/>
      <c r="CG115" s="1651"/>
      <c r="CH115" s="1651"/>
      <c r="CI115" s="1651"/>
      <c r="CJ115" s="1651"/>
      <c r="CK115" s="1651"/>
      <c r="CL115" s="1651"/>
      <c r="CM115" s="1651"/>
      <c r="CN115" s="1651"/>
      <c r="CO115" s="1651"/>
      <c r="CP115" s="1651"/>
      <c r="CQ115" s="1651"/>
      <c r="CR115" s="1651"/>
      <c r="CS115" s="1651"/>
      <c r="CT115" s="1651"/>
      <c r="CU115" s="1651"/>
      <c r="CV115" s="1651"/>
      <c r="CW115" s="1651"/>
      <c r="CX115" s="1654"/>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95" hidden="1" customHeight="1">
      <c r="H116" s="563" t="s">
        <v>1876</v>
      </c>
      <c r="I116" s="1651"/>
      <c r="J116" s="1651"/>
      <c r="K116" s="1651"/>
      <c r="L116" s="1651"/>
      <c r="M116" s="1651"/>
      <c r="N116" s="1651"/>
      <c r="O116" s="1652"/>
      <c r="P116" s="1652"/>
      <c r="Q116" s="1652"/>
      <c r="R116" s="1652"/>
      <c r="S116" s="1652"/>
      <c r="T116" s="1652"/>
      <c r="U116" s="1651"/>
      <c r="V116" s="1652"/>
      <c r="W116" s="1652"/>
      <c r="X116" s="1652"/>
      <c r="Y116" s="1652"/>
      <c r="Z116" s="1652"/>
      <c r="AA116" s="1652"/>
      <c r="AB116" s="1652"/>
      <c r="AC116" s="1652"/>
      <c r="AD116" s="1652"/>
      <c r="AE116" s="1652"/>
      <c r="AF116" s="1652"/>
      <c r="AG116" s="1652"/>
      <c r="AH116" s="1652"/>
      <c r="AI116" s="1652"/>
      <c r="AJ116" s="1652"/>
      <c r="AK116" s="1651"/>
      <c r="AL116" s="1651"/>
      <c r="AM116" s="1651"/>
      <c r="AN116" s="1651"/>
      <c r="AO116" s="1651"/>
      <c r="AP116" s="1651"/>
      <c r="AQ116" s="1651"/>
      <c r="AR116" s="1651"/>
      <c r="AS116" s="1651"/>
      <c r="AT116" s="1651"/>
      <c r="AU116" s="1651"/>
      <c r="AV116" s="1651"/>
      <c r="AW116" s="1652"/>
      <c r="AX116" s="1652"/>
      <c r="AY116" s="1652"/>
      <c r="AZ116" s="1652"/>
      <c r="BA116" s="1652"/>
      <c r="BB116" s="1652"/>
      <c r="BC116" s="1651"/>
      <c r="BD116" s="1651"/>
      <c r="BE116" s="1651"/>
      <c r="BF116" s="1652"/>
      <c r="BG116" s="1652"/>
      <c r="BH116" s="1652"/>
      <c r="BI116" s="1652"/>
      <c r="BJ116" s="1652"/>
      <c r="BK116" s="1652"/>
      <c r="BL116" s="1652"/>
      <c r="BM116" s="1652"/>
      <c r="BN116" s="1652"/>
      <c r="BO116" s="1651"/>
      <c r="BP116" s="1651"/>
      <c r="BQ116" s="1651"/>
      <c r="BR116" s="1651"/>
      <c r="BS116" s="1651"/>
      <c r="BT116" s="1651"/>
      <c r="BU116" s="1651"/>
      <c r="BV116" s="1651"/>
      <c r="BW116" s="1651"/>
      <c r="BX116" s="1651"/>
      <c r="BY116" s="1651"/>
      <c r="BZ116" s="1653"/>
      <c r="CA116" s="1653"/>
      <c r="CB116" s="1653"/>
      <c r="CC116" s="1651"/>
      <c r="CD116" s="1651"/>
      <c r="CE116" s="1651"/>
      <c r="CF116" s="1651"/>
      <c r="CG116" s="1651"/>
      <c r="CH116" s="1651"/>
      <c r="CI116" s="1651"/>
      <c r="CJ116" s="1651"/>
      <c r="CK116" s="1651"/>
      <c r="CL116" s="1651"/>
      <c r="CM116" s="1651"/>
      <c r="CN116" s="1651"/>
      <c r="CO116" s="1651"/>
      <c r="CP116" s="1651"/>
      <c r="CQ116" s="1651"/>
      <c r="CR116" s="1651"/>
      <c r="CS116" s="1651"/>
      <c r="CT116" s="1651"/>
      <c r="CU116" s="1651"/>
      <c r="CV116" s="1651"/>
      <c r="CW116" s="1651"/>
      <c r="CX116" s="1654"/>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95" hidden="1" customHeight="1">
      <c r="H117" s="563" t="s">
        <v>1877</v>
      </c>
      <c r="I117" s="1651"/>
      <c r="J117" s="1651"/>
      <c r="K117" s="1651"/>
      <c r="L117" s="1651"/>
      <c r="M117" s="1651"/>
      <c r="N117" s="1651"/>
      <c r="O117" s="1652"/>
      <c r="P117" s="1652"/>
      <c r="Q117" s="1652"/>
      <c r="R117" s="1652"/>
      <c r="S117" s="1652"/>
      <c r="T117" s="1652"/>
      <c r="U117" s="1651"/>
      <c r="V117" s="1652"/>
      <c r="W117" s="1652"/>
      <c r="X117" s="1652"/>
      <c r="Y117" s="1652"/>
      <c r="Z117" s="1652"/>
      <c r="AA117" s="1652"/>
      <c r="AB117" s="1652"/>
      <c r="AC117" s="1652"/>
      <c r="AD117" s="1652"/>
      <c r="AE117" s="1652"/>
      <c r="AF117" s="1652"/>
      <c r="AG117" s="1652"/>
      <c r="AH117" s="1652"/>
      <c r="AI117" s="1652"/>
      <c r="AJ117" s="1652"/>
      <c r="AK117" s="1651"/>
      <c r="AL117" s="1651"/>
      <c r="AM117" s="1651"/>
      <c r="AN117" s="1651"/>
      <c r="AO117" s="1651"/>
      <c r="AP117" s="1651"/>
      <c r="AQ117" s="1651"/>
      <c r="AR117" s="1651"/>
      <c r="AS117" s="1651"/>
      <c r="AT117" s="1651"/>
      <c r="AU117" s="1651"/>
      <c r="AV117" s="1651"/>
      <c r="AW117" s="1652"/>
      <c r="AX117" s="1652"/>
      <c r="AY117" s="1652"/>
      <c r="AZ117" s="1652"/>
      <c r="BA117" s="1652"/>
      <c r="BB117" s="1652"/>
      <c r="BC117" s="1651"/>
      <c r="BD117" s="1651"/>
      <c r="BE117" s="1651"/>
      <c r="BF117" s="1652"/>
      <c r="BG117" s="1652"/>
      <c r="BH117" s="1652"/>
      <c r="BI117" s="1652"/>
      <c r="BJ117" s="1652"/>
      <c r="BK117" s="1652"/>
      <c r="BL117" s="1652"/>
      <c r="BM117" s="1652"/>
      <c r="BN117" s="1652"/>
      <c r="BO117" s="1651"/>
      <c r="BP117" s="1651"/>
      <c r="BQ117" s="1651"/>
      <c r="BR117" s="1651"/>
      <c r="BS117" s="1651"/>
      <c r="BT117" s="1651"/>
      <c r="BU117" s="1651"/>
      <c r="BV117" s="1651"/>
      <c r="BW117" s="1651"/>
      <c r="BX117" s="1651"/>
      <c r="BY117" s="1651"/>
      <c r="BZ117" s="1653"/>
      <c r="CA117" s="1653"/>
      <c r="CB117" s="1653"/>
      <c r="CC117" s="1651"/>
      <c r="CD117" s="1651"/>
      <c r="CE117" s="1651"/>
      <c r="CF117" s="1651"/>
      <c r="CG117" s="1651"/>
      <c r="CH117" s="1651"/>
      <c r="CI117" s="1651"/>
      <c r="CJ117" s="1651"/>
      <c r="CK117" s="1651"/>
      <c r="CL117" s="1651"/>
      <c r="CM117" s="1651"/>
      <c r="CN117" s="1651"/>
      <c r="CO117" s="1651"/>
      <c r="CP117" s="1651"/>
      <c r="CQ117" s="1651"/>
      <c r="CR117" s="1651"/>
      <c r="CS117" s="1651"/>
      <c r="CT117" s="1651"/>
      <c r="CU117" s="1651"/>
      <c r="CV117" s="1651"/>
      <c r="CW117" s="1651"/>
      <c r="CX117" s="1654"/>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95" hidden="1" customHeight="1">
      <c r="H118" s="563" t="s">
        <v>1372</v>
      </c>
      <c r="I118" s="1651"/>
      <c r="J118" s="1651"/>
      <c r="K118" s="1651"/>
      <c r="L118" s="1651"/>
      <c r="M118" s="1651"/>
      <c r="N118" s="1651"/>
      <c r="O118" s="1652"/>
      <c r="P118" s="1652"/>
      <c r="Q118" s="1652"/>
      <c r="R118" s="1652"/>
      <c r="S118" s="1652"/>
      <c r="T118" s="1652"/>
      <c r="U118" s="1651">
        <v>1</v>
      </c>
      <c r="V118" s="1652">
        <v>1</v>
      </c>
      <c r="W118" s="1652">
        <v>1</v>
      </c>
      <c r="X118" s="1652"/>
      <c r="Y118" s="1652"/>
      <c r="Z118" s="1652"/>
      <c r="AA118" s="1652"/>
      <c r="AB118" s="1652">
        <v>1</v>
      </c>
      <c r="AC118" s="1652"/>
      <c r="AD118" s="1652"/>
      <c r="AE118" s="1652"/>
      <c r="AF118" s="1652"/>
      <c r="AG118" s="1652"/>
      <c r="AH118" s="1652"/>
      <c r="AI118" s="1652"/>
      <c r="AJ118" s="1652"/>
      <c r="AK118" s="1651"/>
      <c r="AL118" s="1651"/>
      <c r="AM118" s="1651"/>
      <c r="AN118" s="1651">
        <v>2</v>
      </c>
      <c r="AO118" s="1651"/>
      <c r="AP118" s="1651"/>
      <c r="AQ118" s="1651"/>
      <c r="AR118" s="1651"/>
      <c r="AS118" s="1651"/>
      <c r="AT118" s="1651"/>
      <c r="AU118" s="1651"/>
      <c r="AV118" s="1651"/>
      <c r="AW118" s="1652"/>
      <c r="AX118" s="1652"/>
      <c r="AY118" s="1652">
        <v>2</v>
      </c>
      <c r="AZ118" s="1652"/>
      <c r="BA118" s="1652">
        <v>2</v>
      </c>
      <c r="BB118" s="1652"/>
      <c r="BC118" s="1651"/>
      <c r="BD118" s="1651"/>
      <c r="BE118" s="1651"/>
      <c r="BF118" s="1652"/>
      <c r="BG118" s="1652"/>
      <c r="BH118" s="1652">
        <v>2</v>
      </c>
      <c r="BI118" s="1652"/>
      <c r="BJ118" s="1652">
        <v>2</v>
      </c>
      <c r="BK118" s="1652"/>
      <c r="BL118" s="1652">
        <v>2</v>
      </c>
      <c r="BM118" s="1652"/>
      <c r="BN118" s="1652"/>
      <c r="BO118" s="1651">
        <v>1</v>
      </c>
      <c r="BP118" s="1651"/>
      <c r="BQ118" s="1651"/>
      <c r="BR118" s="1651"/>
      <c r="BS118" s="1651"/>
      <c r="BT118" s="1651"/>
      <c r="BU118" s="1651"/>
      <c r="BV118" s="1651">
        <v>2</v>
      </c>
      <c r="BW118" s="1651">
        <v>2</v>
      </c>
      <c r="BX118" s="1651"/>
      <c r="BY118" s="1651">
        <v>2</v>
      </c>
      <c r="BZ118" s="1653"/>
      <c r="CA118" s="1653"/>
      <c r="CB118" s="1653"/>
      <c r="CC118" s="1651">
        <v>2</v>
      </c>
      <c r="CD118" s="1651">
        <v>2</v>
      </c>
      <c r="CE118" s="1651">
        <v>2</v>
      </c>
      <c r="CF118" s="1651">
        <v>2</v>
      </c>
      <c r="CG118" s="1651">
        <v>2</v>
      </c>
      <c r="CH118" s="1651">
        <v>2</v>
      </c>
      <c r="CI118" s="1651">
        <v>2</v>
      </c>
      <c r="CJ118" s="1651">
        <v>2</v>
      </c>
      <c r="CK118" s="1651">
        <v>2</v>
      </c>
      <c r="CL118" s="1651">
        <v>2</v>
      </c>
      <c r="CM118" s="1651">
        <v>2</v>
      </c>
      <c r="CN118" s="1651">
        <v>2</v>
      </c>
      <c r="CO118" s="1651">
        <v>2</v>
      </c>
      <c r="CP118" s="1651">
        <v>1</v>
      </c>
      <c r="CQ118" s="1651">
        <v>2</v>
      </c>
      <c r="CR118" s="1651">
        <v>2</v>
      </c>
      <c r="CS118" s="1651"/>
      <c r="CT118" s="1651"/>
      <c r="CU118" s="1651"/>
      <c r="CV118" s="1651"/>
      <c r="CW118" s="1651">
        <v>2</v>
      </c>
      <c r="CX118" s="1654"/>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95" hidden="1" customHeight="1">
      <c r="H119" s="563" t="s">
        <v>1449</v>
      </c>
      <c r="I119" s="1651"/>
      <c r="J119" s="1651"/>
      <c r="K119" s="1651"/>
      <c r="L119" s="1651"/>
      <c r="M119" s="1651"/>
      <c r="N119" s="1651"/>
      <c r="O119" s="1652"/>
      <c r="P119" s="1652"/>
      <c r="Q119" s="1652"/>
      <c r="R119" s="1652"/>
      <c r="S119" s="1652"/>
      <c r="T119" s="1652"/>
      <c r="U119" s="1651">
        <v>1</v>
      </c>
      <c r="V119" s="1652">
        <v>1</v>
      </c>
      <c r="W119" s="1652">
        <v>1</v>
      </c>
      <c r="X119" s="1652"/>
      <c r="Y119" s="1652"/>
      <c r="Z119" s="1652"/>
      <c r="AA119" s="1652"/>
      <c r="AB119" s="1652">
        <v>1</v>
      </c>
      <c r="AC119" s="1652"/>
      <c r="AD119" s="1652"/>
      <c r="AE119" s="1652"/>
      <c r="AF119" s="1652"/>
      <c r="AG119" s="1652"/>
      <c r="AH119" s="1652"/>
      <c r="AI119" s="1652"/>
      <c r="AJ119" s="1652"/>
      <c r="AK119" s="1651"/>
      <c r="AL119" s="1651"/>
      <c r="AM119" s="1651"/>
      <c r="AN119" s="1651">
        <v>2</v>
      </c>
      <c r="AO119" s="1651"/>
      <c r="AP119" s="1651"/>
      <c r="AQ119" s="1651"/>
      <c r="AR119" s="1651"/>
      <c r="AS119" s="1651"/>
      <c r="AT119" s="1651"/>
      <c r="AU119" s="1651"/>
      <c r="AV119" s="1651"/>
      <c r="AW119" s="1652"/>
      <c r="AX119" s="1652"/>
      <c r="AY119" s="1652">
        <v>2</v>
      </c>
      <c r="AZ119" s="1652"/>
      <c r="BA119" s="1652">
        <v>2</v>
      </c>
      <c r="BB119" s="1652"/>
      <c r="BC119" s="1651"/>
      <c r="BD119" s="1651"/>
      <c r="BE119" s="1651"/>
      <c r="BF119" s="1652"/>
      <c r="BG119" s="1652"/>
      <c r="BH119" s="1652">
        <v>2</v>
      </c>
      <c r="BI119" s="1652"/>
      <c r="BJ119" s="1652">
        <v>2</v>
      </c>
      <c r="BK119" s="1652"/>
      <c r="BL119" s="1652">
        <v>2</v>
      </c>
      <c r="BM119" s="1652"/>
      <c r="BN119" s="1652"/>
      <c r="BO119" s="1651"/>
      <c r="BP119" s="1651"/>
      <c r="BQ119" s="1651"/>
      <c r="BR119" s="1651"/>
      <c r="BS119" s="1651"/>
      <c r="BT119" s="1651"/>
      <c r="BU119" s="1651"/>
      <c r="BV119" s="1651">
        <v>2</v>
      </c>
      <c r="BW119" s="1651">
        <v>2</v>
      </c>
      <c r="BX119" s="1651"/>
      <c r="BY119" s="1651">
        <v>2</v>
      </c>
      <c r="BZ119" s="1653"/>
      <c r="CA119" s="1653"/>
      <c r="CB119" s="1653"/>
      <c r="CC119" s="1651">
        <v>2</v>
      </c>
      <c r="CD119" s="1651">
        <v>2</v>
      </c>
      <c r="CE119" s="1651">
        <v>2</v>
      </c>
      <c r="CF119" s="1651">
        <v>2</v>
      </c>
      <c r="CG119" s="1651">
        <v>2</v>
      </c>
      <c r="CH119" s="1651">
        <v>2</v>
      </c>
      <c r="CI119" s="1651">
        <v>2</v>
      </c>
      <c r="CJ119" s="1651">
        <v>2</v>
      </c>
      <c r="CK119" s="1651">
        <v>2</v>
      </c>
      <c r="CL119" s="1651">
        <v>2</v>
      </c>
      <c r="CM119" s="1651">
        <v>2</v>
      </c>
      <c r="CN119" s="1651">
        <v>2</v>
      </c>
      <c r="CO119" s="1651">
        <v>2</v>
      </c>
      <c r="CP119" s="1651">
        <v>1</v>
      </c>
      <c r="CQ119" s="1651">
        <v>2</v>
      </c>
      <c r="CR119" s="1651">
        <v>2</v>
      </c>
      <c r="CS119" s="1651"/>
      <c r="CT119" s="1651"/>
      <c r="CU119" s="1651"/>
      <c r="CV119" s="1651"/>
      <c r="CW119" s="1651">
        <v>2</v>
      </c>
      <c r="CX119" s="1654"/>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95" hidden="1" customHeight="1">
      <c r="H120" s="563" t="s">
        <v>1448</v>
      </c>
      <c r="I120" s="1651"/>
      <c r="J120" s="1651"/>
      <c r="K120" s="1651"/>
      <c r="L120" s="1651"/>
      <c r="M120" s="1651"/>
      <c r="N120" s="1651"/>
      <c r="O120" s="1652"/>
      <c r="P120" s="1652"/>
      <c r="Q120" s="1652"/>
      <c r="R120" s="1652"/>
      <c r="S120" s="1652"/>
      <c r="T120" s="1652"/>
      <c r="U120" s="1651">
        <v>1</v>
      </c>
      <c r="V120" s="1652">
        <v>1</v>
      </c>
      <c r="W120" s="1652">
        <v>1</v>
      </c>
      <c r="X120" s="1652"/>
      <c r="Y120" s="1652"/>
      <c r="Z120" s="1652"/>
      <c r="AA120" s="1652"/>
      <c r="AB120" s="1652">
        <v>1</v>
      </c>
      <c r="AC120" s="1652"/>
      <c r="AD120" s="1652"/>
      <c r="AE120" s="1652"/>
      <c r="AF120" s="1652"/>
      <c r="AG120" s="1652"/>
      <c r="AH120" s="1652"/>
      <c r="AI120" s="1652"/>
      <c r="AJ120" s="1652"/>
      <c r="AK120" s="1651"/>
      <c r="AL120" s="1651"/>
      <c r="AM120" s="1651"/>
      <c r="AN120" s="1651"/>
      <c r="AO120" s="1651"/>
      <c r="AP120" s="1651">
        <v>2</v>
      </c>
      <c r="AQ120" s="1651"/>
      <c r="AR120" s="1651"/>
      <c r="AS120" s="1651"/>
      <c r="AT120" s="1651"/>
      <c r="AU120" s="1651"/>
      <c r="AV120" s="1651"/>
      <c r="AW120" s="1652"/>
      <c r="AX120" s="1652"/>
      <c r="AY120" s="1652">
        <v>2</v>
      </c>
      <c r="AZ120" s="1652"/>
      <c r="BA120" s="1652">
        <v>2</v>
      </c>
      <c r="BB120" s="1652"/>
      <c r="BC120" s="1651"/>
      <c r="BD120" s="1651"/>
      <c r="BE120" s="1651"/>
      <c r="BF120" s="1652"/>
      <c r="BG120" s="1652"/>
      <c r="BH120" s="1652">
        <v>2</v>
      </c>
      <c r="BI120" s="1652"/>
      <c r="BJ120" s="1652">
        <v>2</v>
      </c>
      <c r="BK120" s="1652"/>
      <c r="BL120" s="1652">
        <v>2</v>
      </c>
      <c r="BM120" s="1652"/>
      <c r="BN120" s="1652"/>
      <c r="BO120" s="1651"/>
      <c r="BP120" s="1651"/>
      <c r="BQ120" s="1651"/>
      <c r="BR120" s="1651"/>
      <c r="BS120" s="1651"/>
      <c r="BT120" s="1651"/>
      <c r="BU120" s="1651"/>
      <c r="BV120" s="1651">
        <v>2</v>
      </c>
      <c r="BW120" s="1651">
        <v>2</v>
      </c>
      <c r="BX120" s="1651"/>
      <c r="BY120" s="1651">
        <v>2</v>
      </c>
      <c r="BZ120" s="1653"/>
      <c r="CA120" s="1653"/>
      <c r="CB120" s="1653"/>
      <c r="CC120" s="1651">
        <v>2</v>
      </c>
      <c r="CD120" s="1651">
        <v>2</v>
      </c>
      <c r="CE120" s="1651">
        <v>2</v>
      </c>
      <c r="CF120" s="1651">
        <v>2</v>
      </c>
      <c r="CG120" s="1651">
        <v>2</v>
      </c>
      <c r="CH120" s="1651">
        <v>2</v>
      </c>
      <c r="CI120" s="1651">
        <v>2</v>
      </c>
      <c r="CJ120" s="1651">
        <v>2</v>
      </c>
      <c r="CK120" s="1651">
        <v>2</v>
      </c>
      <c r="CL120" s="1651">
        <v>2</v>
      </c>
      <c r="CM120" s="1651">
        <v>2</v>
      </c>
      <c r="CN120" s="1651">
        <v>2</v>
      </c>
      <c r="CO120" s="1651">
        <v>2</v>
      </c>
      <c r="CP120" s="1651">
        <v>1</v>
      </c>
      <c r="CQ120" s="1651">
        <v>2</v>
      </c>
      <c r="CR120" s="1651">
        <v>2</v>
      </c>
      <c r="CS120" s="1651"/>
      <c r="CT120" s="1651"/>
      <c r="CU120" s="1651"/>
      <c r="CV120" s="1651"/>
      <c r="CW120" s="1651">
        <v>2</v>
      </c>
      <c r="CX120" s="1654"/>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95" hidden="1" customHeight="1">
      <c r="H121" s="563" t="s">
        <v>1256</v>
      </c>
      <c r="I121" s="1651"/>
      <c r="J121" s="1651"/>
      <c r="K121" s="1651"/>
      <c r="L121" s="1651"/>
      <c r="M121" s="1651"/>
      <c r="N121" s="1651"/>
      <c r="O121" s="1652"/>
      <c r="P121" s="1652"/>
      <c r="Q121" s="1652"/>
      <c r="R121" s="1652"/>
      <c r="S121" s="1652"/>
      <c r="T121" s="1652"/>
      <c r="U121" s="1651">
        <v>1</v>
      </c>
      <c r="V121" s="1652">
        <v>1</v>
      </c>
      <c r="W121" s="1652">
        <v>1</v>
      </c>
      <c r="X121" s="1652"/>
      <c r="Y121" s="1652"/>
      <c r="Z121" s="1652"/>
      <c r="AA121" s="1652"/>
      <c r="AB121" s="1652">
        <v>1</v>
      </c>
      <c r="AC121" s="1652"/>
      <c r="AD121" s="1652"/>
      <c r="AE121" s="1652"/>
      <c r="AF121" s="1652"/>
      <c r="AG121" s="1652"/>
      <c r="AH121" s="1652"/>
      <c r="AI121" s="1652"/>
      <c r="AJ121" s="1652"/>
      <c r="AK121" s="1651"/>
      <c r="AL121" s="1651"/>
      <c r="AM121" s="1651"/>
      <c r="AN121" s="1651">
        <v>2</v>
      </c>
      <c r="AO121" s="1651"/>
      <c r="AP121" s="1651"/>
      <c r="AQ121" s="1651"/>
      <c r="AR121" s="1651"/>
      <c r="AS121" s="1651"/>
      <c r="AT121" s="1651"/>
      <c r="AU121" s="1651"/>
      <c r="AV121" s="1651"/>
      <c r="AW121" s="1652"/>
      <c r="AX121" s="1652"/>
      <c r="AY121" s="1652">
        <v>2</v>
      </c>
      <c r="AZ121" s="1652"/>
      <c r="BA121" s="1652">
        <v>2</v>
      </c>
      <c r="BB121" s="1652"/>
      <c r="BC121" s="1651"/>
      <c r="BD121" s="1651"/>
      <c r="BE121" s="1651"/>
      <c r="BF121" s="1652"/>
      <c r="BG121" s="1652"/>
      <c r="BH121" s="1652">
        <v>2</v>
      </c>
      <c r="BI121" s="1652"/>
      <c r="BJ121" s="1652">
        <v>2</v>
      </c>
      <c r="BK121" s="1652"/>
      <c r="BL121" s="1652">
        <v>2</v>
      </c>
      <c r="BM121" s="1652"/>
      <c r="BN121" s="1652"/>
      <c r="BO121" s="1651"/>
      <c r="BP121" s="1651"/>
      <c r="BQ121" s="1651"/>
      <c r="BR121" s="1651"/>
      <c r="BS121" s="1651"/>
      <c r="BT121" s="1651"/>
      <c r="BU121" s="1651"/>
      <c r="BV121" s="1651">
        <v>2</v>
      </c>
      <c r="BW121" s="1651">
        <v>2</v>
      </c>
      <c r="BX121" s="1651"/>
      <c r="BY121" s="1651">
        <v>2</v>
      </c>
      <c r="BZ121" s="1653"/>
      <c r="CA121" s="1653"/>
      <c r="CB121" s="1653"/>
      <c r="CC121" s="1651"/>
      <c r="CD121" s="1651"/>
      <c r="CE121" s="1651"/>
      <c r="CF121" s="1651"/>
      <c r="CG121" s="1651"/>
      <c r="CH121" s="1651"/>
      <c r="CI121" s="1651"/>
      <c r="CJ121" s="1651"/>
      <c r="CK121" s="1651"/>
      <c r="CL121" s="1651"/>
      <c r="CM121" s="1651"/>
      <c r="CN121" s="1651"/>
      <c r="CO121" s="1651"/>
      <c r="CP121" s="1651"/>
      <c r="CQ121" s="1651"/>
      <c r="CR121" s="1651"/>
      <c r="CS121" s="1651"/>
      <c r="CT121" s="1651"/>
      <c r="CU121" s="1651"/>
      <c r="CV121" s="1651"/>
      <c r="CW121" s="1651"/>
      <c r="CX121" s="1654"/>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95" hidden="1" customHeight="1">
      <c r="H122" s="563" t="s">
        <v>1450</v>
      </c>
      <c r="I122" s="1651"/>
      <c r="J122" s="1651"/>
      <c r="K122" s="1651"/>
      <c r="L122" s="1651"/>
      <c r="M122" s="1651"/>
      <c r="N122" s="1651"/>
      <c r="O122" s="1652"/>
      <c r="P122" s="1652"/>
      <c r="Q122" s="1652"/>
      <c r="R122" s="1652"/>
      <c r="S122" s="1652"/>
      <c r="T122" s="1652"/>
      <c r="U122" s="1651">
        <v>1</v>
      </c>
      <c r="V122" s="1652">
        <v>1</v>
      </c>
      <c r="W122" s="1652">
        <v>1</v>
      </c>
      <c r="X122" s="1652"/>
      <c r="Y122" s="1652"/>
      <c r="Z122" s="1652"/>
      <c r="AA122" s="1652"/>
      <c r="AB122" s="1652">
        <v>1</v>
      </c>
      <c r="AC122" s="1652"/>
      <c r="AD122" s="1652"/>
      <c r="AE122" s="1652"/>
      <c r="AF122" s="1652"/>
      <c r="AG122" s="1652"/>
      <c r="AH122" s="1652"/>
      <c r="AI122" s="1652"/>
      <c r="AJ122" s="1652"/>
      <c r="AK122" s="1651"/>
      <c r="AL122" s="1651"/>
      <c r="AM122" s="1651"/>
      <c r="AN122" s="1651"/>
      <c r="AO122" s="1651"/>
      <c r="AP122" s="1651">
        <v>1</v>
      </c>
      <c r="AQ122" s="1651"/>
      <c r="AR122" s="1651"/>
      <c r="AS122" s="1651"/>
      <c r="AT122" s="1651"/>
      <c r="AU122" s="1651"/>
      <c r="AV122" s="1651"/>
      <c r="AW122" s="1652"/>
      <c r="AX122" s="1652"/>
      <c r="AY122" s="1652">
        <v>1</v>
      </c>
      <c r="AZ122" s="1652"/>
      <c r="BA122" s="1652">
        <v>1</v>
      </c>
      <c r="BB122" s="1652"/>
      <c r="BC122" s="1651"/>
      <c r="BD122" s="1651"/>
      <c r="BE122" s="1651"/>
      <c r="BF122" s="1652"/>
      <c r="BG122" s="1652"/>
      <c r="BH122" s="1652">
        <v>1</v>
      </c>
      <c r="BI122" s="1652"/>
      <c r="BJ122" s="1652">
        <v>1</v>
      </c>
      <c r="BK122" s="1652"/>
      <c r="BL122" s="1652">
        <v>1</v>
      </c>
      <c r="BM122" s="1652"/>
      <c r="BN122" s="1652"/>
      <c r="BO122" s="1651"/>
      <c r="BP122" s="1651"/>
      <c r="BQ122" s="1651"/>
      <c r="BR122" s="1651"/>
      <c r="BS122" s="1651"/>
      <c r="BT122" s="1651"/>
      <c r="BU122" s="1651"/>
      <c r="BV122" s="1651">
        <v>1</v>
      </c>
      <c r="BW122" s="1651">
        <v>1</v>
      </c>
      <c r="BX122" s="1651"/>
      <c r="BY122" s="1651">
        <v>1</v>
      </c>
      <c r="BZ122" s="1653"/>
      <c r="CA122" s="1653"/>
      <c r="CB122" s="1653"/>
      <c r="CC122" s="1651">
        <v>1</v>
      </c>
      <c r="CD122" s="1651">
        <v>1</v>
      </c>
      <c r="CE122" s="1651">
        <v>1</v>
      </c>
      <c r="CF122" s="1651">
        <v>1</v>
      </c>
      <c r="CG122" s="1651">
        <v>1</v>
      </c>
      <c r="CH122" s="1651">
        <v>1</v>
      </c>
      <c r="CI122" s="1651">
        <v>1</v>
      </c>
      <c r="CJ122" s="1651">
        <v>1</v>
      </c>
      <c r="CK122" s="1651">
        <v>1</v>
      </c>
      <c r="CL122" s="1651">
        <v>1</v>
      </c>
      <c r="CM122" s="1651">
        <v>1</v>
      </c>
      <c r="CN122" s="1651">
        <v>1</v>
      </c>
      <c r="CO122" s="1651">
        <v>1</v>
      </c>
      <c r="CP122" s="1651">
        <v>0</v>
      </c>
      <c r="CQ122" s="1651">
        <v>1</v>
      </c>
      <c r="CR122" s="1651">
        <v>1</v>
      </c>
      <c r="CS122" s="1651"/>
      <c r="CT122" s="1651"/>
      <c r="CU122" s="1651"/>
      <c r="CV122" s="1651"/>
      <c r="CW122" s="1651">
        <v>1</v>
      </c>
      <c r="CX122" s="1654"/>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95" hidden="1" customHeight="1">
      <c r="H123" s="563" t="s">
        <v>1778</v>
      </c>
      <c r="I123" s="1651"/>
      <c r="J123" s="1651"/>
      <c r="K123" s="1651"/>
      <c r="L123" s="1651"/>
      <c r="M123" s="1651"/>
      <c r="N123" s="1651"/>
      <c r="O123" s="1652"/>
      <c r="P123" s="1652"/>
      <c r="Q123" s="1652"/>
      <c r="R123" s="1652"/>
      <c r="S123" s="1652"/>
      <c r="T123" s="1652"/>
      <c r="U123" s="1651"/>
      <c r="V123" s="1652"/>
      <c r="W123" s="1652"/>
      <c r="X123" s="1652"/>
      <c r="Y123" s="1652"/>
      <c r="Z123" s="1652"/>
      <c r="AA123" s="1652"/>
      <c r="AB123" s="1652"/>
      <c r="AC123" s="1652"/>
      <c r="AD123" s="1652"/>
      <c r="AE123" s="1652"/>
      <c r="AF123" s="1652"/>
      <c r="AG123" s="1652"/>
      <c r="AH123" s="1652"/>
      <c r="AI123" s="1652"/>
      <c r="AJ123" s="1652"/>
      <c r="AK123" s="1651"/>
      <c r="AL123" s="1651"/>
      <c r="AM123" s="1651"/>
      <c r="AN123" s="1651"/>
      <c r="AO123" s="1651"/>
      <c r="AP123" s="1651"/>
      <c r="AQ123" s="1651"/>
      <c r="AR123" s="1651"/>
      <c r="AS123" s="1651"/>
      <c r="AT123" s="1651"/>
      <c r="AU123" s="1651"/>
      <c r="AV123" s="1651"/>
      <c r="AW123" s="1652"/>
      <c r="AX123" s="1652"/>
      <c r="AY123" s="1652"/>
      <c r="AZ123" s="1652"/>
      <c r="BA123" s="1652"/>
      <c r="BB123" s="1652"/>
      <c r="BC123" s="1651"/>
      <c r="BD123" s="1651"/>
      <c r="BE123" s="1651"/>
      <c r="BF123" s="1652"/>
      <c r="BG123" s="1652"/>
      <c r="BH123" s="1652"/>
      <c r="BI123" s="1652"/>
      <c r="BJ123" s="1652"/>
      <c r="BK123" s="1652"/>
      <c r="BL123" s="1652"/>
      <c r="BM123" s="1652"/>
      <c r="BN123" s="1652"/>
      <c r="BO123" s="1651"/>
      <c r="BP123" s="1651"/>
      <c r="BQ123" s="1651"/>
      <c r="BR123" s="1651"/>
      <c r="BS123" s="1651"/>
      <c r="BT123" s="1651"/>
      <c r="BU123" s="1651"/>
      <c r="BV123" s="1651"/>
      <c r="BW123" s="1651"/>
      <c r="BX123" s="1651"/>
      <c r="BY123" s="1651"/>
      <c r="BZ123" s="1653"/>
      <c r="CA123" s="1653"/>
      <c r="CB123" s="1653"/>
      <c r="CC123" s="1651"/>
      <c r="CD123" s="1651"/>
      <c r="CE123" s="1651"/>
      <c r="CF123" s="1651"/>
      <c r="CG123" s="1651"/>
      <c r="CH123" s="1651"/>
      <c r="CI123" s="1651"/>
      <c r="CJ123" s="1651"/>
      <c r="CK123" s="1651"/>
      <c r="CL123" s="1651"/>
      <c r="CM123" s="1651"/>
      <c r="CN123" s="1651"/>
      <c r="CO123" s="1651"/>
      <c r="CP123" s="1651"/>
      <c r="CQ123" s="1651"/>
      <c r="CR123" s="1651"/>
      <c r="CS123" s="1651"/>
      <c r="CT123" s="1651"/>
      <c r="CU123" s="1651"/>
      <c r="CV123" s="1651"/>
      <c r="CW123" s="1651"/>
      <c r="CX123" s="1654"/>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95" hidden="1" customHeight="1">
      <c r="H124" s="1655"/>
      <c r="I124" s="1656"/>
      <c r="J124" s="1656"/>
      <c r="K124" s="1656"/>
      <c r="L124" s="1656"/>
      <c r="M124" s="1656"/>
      <c r="N124" s="1656"/>
      <c r="O124" s="1657"/>
      <c r="P124" s="1657"/>
      <c r="Q124" s="1657"/>
      <c r="R124" s="1657"/>
      <c r="S124" s="1657"/>
      <c r="T124" s="1657"/>
      <c r="U124" s="1656"/>
      <c r="V124" s="1657"/>
      <c r="W124" s="1657"/>
      <c r="X124" s="1657"/>
      <c r="Y124" s="1657"/>
      <c r="Z124" s="1657"/>
      <c r="AA124" s="1657"/>
      <c r="AB124" s="1657"/>
      <c r="AC124" s="1657"/>
      <c r="AD124" s="1657"/>
      <c r="AE124" s="1657"/>
      <c r="AF124" s="1657"/>
      <c r="AG124" s="1657"/>
      <c r="AH124" s="1657"/>
      <c r="AI124" s="1657"/>
      <c r="AJ124" s="1657"/>
      <c r="AK124" s="1656"/>
      <c r="AL124" s="1656"/>
      <c r="AM124" s="1656"/>
      <c r="AN124" s="1656"/>
      <c r="AO124" s="1656"/>
      <c r="AP124" s="1656"/>
      <c r="AQ124" s="1656"/>
      <c r="AR124" s="1656"/>
      <c r="AS124" s="1656"/>
      <c r="AT124" s="1656"/>
      <c r="AU124" s="1656"/>
      <c r="AV124" s="1656"/>
      <c r="AW124" s="1657"/>
      <c r="AX124" s="1657"/>
      <c r="AY124" s="1657"/>
      <c r="AZ124" s="1657"/>
      <c r="BA124" s="1657"/>
      <c r="BB124" s="1657"/>
      <c r="BC124" s="1656"/>
      <c r="BD124" s="1656"/>
      <c r="BE124" s="1656"/>
      <c r="BF124" s="1657"/>
      <c r="BG124" s="1657"/>
      <c r="BH124" s="1657"/>
      <c r="BI124" s="1657"/>
      <c r="BJ124" s="1657"/>
      <c r="BK124" s="1657"/>
      <c r="BL124" s="1657"/>
      <c r="BM124" s="1657"/>
      <c r="BN124" s="1657"/>
      <c r="BO124" s="1656"/>
      <c r="BP124" s="1656"/>
      <c r="BQ124" s="1656"/>
      <c r="BR124" s="1656"/>
      <c r="BS124" s="1656"/>
      <c r="BT124" s="1656"/>
      <c r="BU124" s="1656"/>
      <c r="BV124" s="1656"/>
      <c r="BW124" s="1656"/>
      <c r="BX124" s="1656"/>
      <c r="BY124" s="1656"/>
      <c r="BZ124" s="1658"/>
      <c r="CA124" s="1658"/>
      <c r="CB124" s="1658"/>
      <c r="CC124" s="1656"/>
      <c r="CD124" s="1656"/>
      <c r="CE124" s="1656"/>
      <c r="CF124" s="1656"/>
      <c r="CG124" s="1656"/>
      <c r="CH124" s="1656"/>
      <c r="CI124" s="1656"/>
      <c r="CJ124" s="1656"/>
      <c r="CK124" s="1656"/>
      <c r="CL124" s="1656"/>
      <c r="CM124" s="1656"/>
      <c r="CN124" s="1656"/>
      <c r="CO124" s="1656"/>
      <c r="CP124" s="1656"/>
      <c r="CQ124" s="1656"/>
      <c r="CR124" s="1656"/>
      <c r="CS124" s="1656"/>
      <c r="CT124" s="1656"/>
      <c r="CU124" s="1656"/>
      <c r="CV124" s="1656"/>
      <c r="CW124" s="1656"/>
      <c r="CX124" s="1659"/>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95" hidden="1" customHeight="1" thickBot="1">
      <c r="H125" s="1660">
        <v>1</v>
      </c>
      <c r="I125" s="1661">
        <v>4</v>
      </c>
      <c r="J125" s="1661">
        <v>4</v>
      </c>
      <c r="K125" s="1661">
        <v>4</v>
      </c>
      <c r="L125" s="1661">
        <v>4</v>
      </c>
      <c r="M125" s="1661">
        <v>5</v>
      </c>
      <c r="N125" s="1661">
        <v>6</v>
      </c>
      <c r="O125" s="1662">
        <v>7</v>
      </c>
      <c r="P125" s="1662">
        <v>8</v>
      </c>
      <c r="Q125" s="1662">
        <v>9</v>
      </c>
      <c r="R125" s="1662">
        <v>10</v>
      </c>
      <c r="S125" s="1662">
        <v>11</v>
      </c>
      <c r="T125" s="1662">
        <v>12</v>
      </c>
      <c r="U125" s="1661">
        <v>13</v>
      </c>
      <c r="V125" s="1662">
        <v>13</v>
      </c>
      <c r="W125" s="1662">
        <v>13</v>
      </c>
      <c r="X125" s="1662">
        <v>14</v>
      </c>
      <c r="Y125" s="1662">
        <v>15</v>
      </c>
      <c r="Z125" s="1662">
        <v>16</v>
      </c>
      <c r="AA125" s="1662">
        <v>12</v>
      </c>
      <c r="AB125" s="1662">
        <v>13</v>
      </c>
      <c r="AC125" s="1662">
        <v>14</v>
      </c>
      <c r="AD125" s="1662">
        <v>15</v>
      </c>
      <c r="AE125" s="1662">
        <v>16</v>
      </c>
      <c r="AF125" s="1662">
        <v>17</v>
      </c>
      <c r="AG125" s="1662">
        <v>18</v>
      </c>
      <c r="AH125" s="1662">
        <v>19</v>
      </c>
      <c r="AI125" s="1662">
        <v>20</v>
      </c>
      <c r="AJ125" s="1662">
        <v>19</v>
      </c>
      <c r="AK125" s="1661">
        <v>22</v>
      </c>
      <c r="AL125" s="1661">
        <v>23</v>
      </c>
      <c r="AM125" s="1661">
        <v>24</v>
      </c>
      <c r="AN125" s="1661">
        <v>25</v>
      </c>
      <c r="AO125" s="1661">
        <v>26</v>
      </c>
      <c r="AP125" s="1661">
        <v>27</v>
      </c>
      <c r="AQ125" s="1661">
        <v>28</v>
      </c>
      <c r="AR125" s="1661">
        <v>29</v>
      </c>
      <c r="AS125" s="1661">
        <v>30</v>
      </c>
      <c r="AT125" s="1661">
        <v>31</v>
      </c>
      <c r="AU125" s="1661">
        <v>32</v>
      </c>
      <c r="AV125" s="1661">
        <v>33</v>
      </c>
      <c r="AW125" s="1662">
        <v>34</v>
      </c>
      <c r="AX125" s="1662">
        <v>35</v>
      </c>
      <c r="AY125" s="1662">
        <v>36</v>
      </c>
      <c r="AZ125" s="1662">
        <v>37</v>
      </c>
      <c r="BA125" s="1662">
        <v>36</v>
      </c>
      <c r="BB125" s="1662">
        <v>37</v>
      </c>
      <c r="BC125" s="1661">
        <v>40</v>
      </c>
      <c r="BD125" s="1661">
        <v>41</v>
      </c>
      <c r="BE125" s="1661">
        <v>41</v>
      </c>
      <c r="BF125" s="1662">
        <v>34</v>
      </c>
      <c r="BG125" s="1662">
        <v>35</v>
      </c>
      <c r="BH125" s="1662">
        <v>36</v>
      </c>
      <c r="BI125" s="1662">
        <v>37</v>
      </c>
      <c r="BJ125" s="1662">
        <v>36</v>
      </c>
      <c r="BK125" s="1662">
        <v>37</v>
      </c>
      <c r="BL125" s="1662">
        <v>36</v>
      </c>
      <c r="BM125" s="1662"/>
      <c r="BN125" s="1662">
        <v>37</v>
      </c>
      <c r="BO125" s="1661">
        <v>42</v>
      </c>
      <c r="BP125" s="1661">
        <v>43</v>
      </c>
      <c r="BQ125" s="1661"/>
      <c r="BR125" s="1661"/>
      <c r="BS125" s="1661">
        <v>43</v>
      </c>
      <c r="BT125" s="1661"/>
      <c r="BU125" s="1661"/>
      <c r="BV125" s="1661">
        <v>44</v>
      </c>
      <c r="BW125" s="1661">
        <v>44</v>
      </c>
      <c r="BX125" s="1661">
        <v>45</v>
      </c>
      <c r="BY125" s="1661">
        <v>46</v>
      </c>
      <c r="BZ125" s="1661">
        <v>47</v>
      </c>
      <c r="CA125" s="1661"/>
      <c r="CB125" s="1661"/>
      <c r="CC125" s="1661">
        <v>48</v>
      </c>
      <c r="CD125" s="1661">
        <v>48</v>
      </c>
      <c r="CE125" s="1661">
        <v>48</v>
      </c>
      <c r="CF125" s="1661">
        <v>48</v>
      </c>
      <c r="CG125" s="1661">
        <v>48</v>
      </c>
      <c r="CH125" s="1661">
        <v>48</v>
      </c>
      <c r="CI125" s="1661">
        <v>48</v>
      </c>
      <c r="CJ125" s="1661">
        <v>48</v>
      </c>
      <c r="CK125" s="1661">
        <v>48</v>
      </c>
      <c r="CL125" s="1661">
        <v>48</v>
      </c>
      <c r="CM125" s="1661">
        <v>48</v>
      </c>
      <c r="CN125" s="1661">
        <v>48</v>
      </c>
      <c r="CO125" s="1661">
        <v>48</v>
      </c>
      <c r="CP125" s="1661">
        <v>48</v>
      </c>
      <c r="CQ125" s="1661">
        <v>49</v>
      </c>
      <c r="CR125" s="1661">
        <v>49</v>
      </c>
      <c r="CS125" s="1661"/>
      <c r="CT125" s="1661"/>
      <c r="CU125" s="1661"/>
      <c r="CV125" s="1661"/>
      <c r="CW125" s="1661">
        <v>49</v>
      </c>
      <c r="CX125" s="1663">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95" hidden="1" customHeight="1">
      <c r="BC126" s="1624"/>
      <c r="BD126" s="1624"/>
      <c r="BE126" s="1624"/>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95" customHeight="1">
      <c r="BC127" s="1624"/>
      <c r="BD127" s="1624"/>
      <c r="BE127" s="1624"/>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95" customHeight="1">
      <c r="BC128" s="1624"/>
      <c r="BD128" s="1624"/>
      <c r="BE128" s="1624"/>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95" customHeight="1">
      <c r="BC129" s="1624"/>
      <c r="BD129" s="1624"/>
      <c r="BE129" s="1624"/>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95" customHeight="1">
      <c r="BC130" s="1624"/>
      <c r="BD130" s="1624"/>
      <c r="BE130" s="1624"/>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95" customHeight="1">
      <c r="BC131" s="1624"/>
      <c r="BD131" s="1624"/>
      <c r="BE131" s="1624"/>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95" customHeight="1">
      <c r="BC132" s="1624"/>
      <c r="BD132" s="1624"/>
      <c r="BE132" s="1624"/>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95" customHeight="1">
      <c r="BC133" s="1624"/>
      <c r="BD133" s="1624"/>
      <c r="BE133" s="1624"/>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95" customHeight="1">
      <c r="BC134" s="1624"/>
      <c r="BD134" s="1624"/>
      <c r="BE134" s="1624"/>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95" customHeight="1">
      <c r="BC135" s="1624"/>
      <c r="BD135" s="1624"/>
      <c r="BE135" s="1624"/>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95" customHeight="1">
      <c r="BC136" s="1624"/>
      <c r="BD136" s="1624"/>
      <c r="BE136" s="1624"/>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95" customHeight="1">
      <c r="BC137" s="1624"/>
      <c r="BD137" s="1624"/>
      <c r="BE137" s="1624"/>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95" customHeight="1">
      <c r="BC138" s="1624"/>
      <c r="BD138" s="1624"/>
      <c r="BE138" s="1624"/>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95" customHeight="1">
      <c r="BC139" s="1624"/>
      <c r="BD139" s="1624"/>
      <c r="BE139" s="1624"/>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95" customHeight="1">
      <c r="BC140" s="1624"/>
      <c r="BD140" s="1624"/>
      <c r="BE140" s="1624"/>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95" customHeight="1">
      <c r="BC141" s="1624"/>
      <c r="BD141" s="1624"/>
      <c r="BE141" s="1624"/>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95" customHeight="1">
      <c r="BC142" s="1624"/>
      <c r="BD142" s="1624"/>
      <c r="BE142" s="1624"/>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95" customHeight="1">
      <c r="BC143" s="1624"/>
      <c r="BD143" s="1624"/>
      <c r="BE143" s="1624"/>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95" customHeight="1">
      <c r="BC144" s="1624"/>
      <c r="BD144" s="1624"/>
      <c r="BE144" s="1624"/>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95" customHeight="1">
      <c r="BC145" s="1624"/>
      <c r="BD145" s="1624"/>
      <c r="BE145" s="1624"/>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95" customHeight="1">
      <c r="BC146" s="1624"/>
      <c r="BD146" s="1624"/>
      <c r="BE146" s="1624"/>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95" customHeight="1">
      <c r="BC147" s="1624"/>
      <c r="BD147" s="1624"/>
      <c r="BE147" s="1624"/>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95" customHeight="1">
      <c r="BC148" s="1624"/>
      <c r="BD148" s="1624"/>
      <c r="BE148" s="1624"/>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95" customHeight="1">
      <c r="BC149" s="1624"/>
      <c r="BD149" s="1624"/>
      <c r="BE149" s="1624"/>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95" customHeight="1">
      <c r="BC150" s="1624"/>
      <c r="BD150" s="1624"/>
      <c r="BE150" s="1624"/>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95" customHeight="1">
      <c r="BC151" s="1624"/>
      <c r="BD151" s="1624"/>
      <c r="BE151" s="1624"/>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95" customHeight="1">
      <c r="BC152" s="1624"/>
      <c r="BD152" s="1624"/>
      <c r="BE152" s="1624"/>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95" customHeight="1">
      <c r="BC153" s="1624"/>
      <c r="BD153" s="1624"/>
      <c r="BE153" s="1624"/>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95" customHeight="1">
      <c r="BC154" s="1624"/>
      <c r="BD154" s="1624"/>
      <c r="BE154" s="1624"/>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95" customHeight="1">
      <c r="BC155" s="1624"/>
      <c r="BD155" s="1624"/>
      <c r="BE155" s="1624"/>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95" customHeight="1">
      <c r="BC156" s="1624"/>
      <c r="BD156" s="1624"/>
      <c r="BE156" s="1624"/>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95" customHeight="1">
      <c r="BC157" s="1624"/>
      <c r="BD157" s="1624"/>
      <c r="BE157" s="1624"/>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95" customHeight="1">
      <c r="BC158" s="1624"/>
      <c r="BD158" s="1624"/>
      <c r="BE158" s="1624"/>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95" customHeight="1">
      <c r="BC159" s="1624"/>
      <c r="BD159" s="1624"/>
      <c r="BE159" s="1624"/>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95" customHeight="1">
      <c r="BC160" s="1624"/>
      <c r="BD160" s="1624"/>
      <c r="BE160" s="1624"/>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95" customHeight="1">
      <c r="BC161" s="1624"/>
      <c r="BD161" s="1624"/>
      <c r="BE161" s="1624"/>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95" customHeight="1">
      <c r="BC162" s="1624"/>
      <c r="BD162" s="1624"/>
      <c r="BE162" s="1624"/>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95" customHeight="1">
      <c r="BC163" s="1624"/>
      <c r="BD163" s="1624"/>
      <c r="BE163" s="1624"/>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95" customHeight="1">
      <c r="BC164" s="1624"/>
      <c r="BD164" s="1624"/>
      <c r="BE164" s="1624"/>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95" customHeight="1">
      <c r="BC165" s="1624"/>
      <c r="BD165" s="1624"/>
      <c r="BE165" s="1624"/>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95" customHeight="1">
      <c r="BC166" s="1624"/>
      <c r="BD166" s="1624"/>
      <c r="BE166" s="1624"/>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95" customHeight="1">
      <c r="BC167" s="1624"/>
      <c r="BD167" s="1624"/>
      <c r="BE167" s="1624"/>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95" customHeight="1">
      <c r="BC168" s="1624"/>
      <c r="BD168" s="1624"/>
      <c r="BE168" s="1624"/>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95" customHeight="1">
      <c r="BC169" s="1624"/>
      <c r="BD169" s="1624"/>
      <c r="BE169" s="1624"/>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95" customHeight="1">
      <c r="BC170" s="1624"/>
      <c r="BD170" s="1624"/>
      <c r="BE170" s="1624"/>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95" customHeight="1">
      <c r="BC171" s="1624"/>
      <c r="BD171" s="1624"/>
      <c r="BE171" s="1624"/>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95" customHeight="1">
      <c r="BC172" s="1624"/>
      <c r="BD172" s="1624"/>
      <c r="BE172" s="1624"/>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95" customHeight="1">
      <c r="BC173" s="1624"/>
      <c r="BD173" s="1624"/>
      <c r="BE173" s="1624"/>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95" customHeight="1">
      <c r="BC174" s="1624"/>
      <c r="BD174" s="1624"/>
      <c r="BE174" s="1624"/>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95" customHeight="1">
      <c r="BC175" s="1624"/>
      <c r="BD175" s="1624"/>
      <c r="BE175" s="1624"/>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95" customHeight="1">
      <c r="BC176" s="1624"/>
      <c r="BD176" s="1624"/>
      <c r="BE176" s="1624"/>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95" customHeight="1">
      <c r="BC177" s="1624"/>
      <c r="BD177" s="1624"/>
      <c r="BE177" s="1624"/>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95" customHeight="1">
      <c r="BC178" s="1624"/>
      <c r="BD178" s="1624"/>
      <c r="BE178" s="1624"/>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95" customHeight="1">
      <c r="BC179" s="1624"/>
      <c r="BD179" s="1624"/>
      <c r="BE179" s="1624"/>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95" customHeight="1">
      <c r="BC180" s="1624"/>
      <c r="BD180" s="1624"/>
      <c r="BE180" s="1624"/>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95" customHeight="1">
      <c r="BC181" s="1624"/>
      <c r="BD181" s="1624"/>
      <c r="BE181" s="1624"/>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95" customHeight="1">
      <c r="BC182" s="1624"/>
      <c r="BD182" s="1624"/>
      <c r="BE182" s="1624"/>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95" customHeight="1">
      <c r="BC183" s="1624"/>
      <c r="BD183" s="1624"/>
      <c r="BE183" s="1624"/>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95" customHeight="1">
      <c r="BC184" s="1624"/>
      <c r="BD184" s="1624"/>
      <c r="BE184" s="1624"/>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95" customHeight="1">
      <c r="BC185" s="1624"/>
      <c r="BD185" s="1624"/>
      <c r="BE185" s="1624"/>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95" customHeight="1">
      <c r="BC186" s="1624"/>
      <c r="BD186" s="1624"/>
      <c r="BE186" s="1624"/>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95" customHeight="1">
      <c r="BC187" s="1624"/>
      <c r="BD187" s="1624"/>
      <c r="BE187" s="1624"/>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95" customHeight="1">
      <c r="BC188" s="1624"/>
      <c r="BD188" s="1624"/>
      <c r="BE188" s="1624"/>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95" customHeight="1">
      <c r="BC189" s="1624"/>
      <c r="BD189" s="1624"/>
      <c r="BE189" s="1624"/>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95" customHeight="1">
      <c r="BC190" s="1624"/>
      <c r="BD190" s="1624"/>
      <c r="BE190" s="1624"/>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95" customHeight="1">
      <c r="BC191" s="1624"/>
      <c r="BD191" s="1624"/>
      <c r="BE191" s="1624"/>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95" customHeight="1">
      <c r="BC192" s="1624"/>
      <c r="BD192" s="1624"/>
      <c r="BE192" s="1624"/>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95" customHeight="1">
      <c r="BC193" s="1624"/>
      <c r="BD193" s="1624"/>
      <c r="BE193" s="1624"/>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95" customHeight="1">
      <c r="BC194" s="1624"/>
      <c r="BD194" s="1624"/>
      <c r="BE194" s="1624"/>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95" customHeight="1">
      <c r="BC195" s="1624"/>
      <c r="BD195" s="1624"/>
      <c r="BE195" s="1624"/>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95" customHeight="1">
      <c r="BC196" s="1624"/>
      <c r="BD196" s="1624"/>
      <c r="BE196" s="1624"/>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95" customHeight="1">
      <c r="BC197" s="1624"/>
      <c r="BD197" s="1624"/>
      <c r="BE197" s="1624"/>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95" customHeight="1">
      <c r="BC198" s="1624"/>
      <c r="BD198" s="1624"/>
      <c r="BE198" s="1624"/>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95" customHeight="1">
      <c r="BC199" s="1624"/>
      <c r="BD199" s="1624"/>
      <c r="BE199" s="1624"/>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95" customHeight="1">
      <c r="BC200" s="1624"/>
      <c r="BD200" s="1624"/>
      <c r="BE200" s="1624"/>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95" customHeight="1">
      <c r="BC201" s="1624"/>
      <c r="BD201" s="1624"/>
      <c r="BE201" s="1624"/>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95" customHeight="1">
      <c r="BC202" s="1624"/>
      <c r="BD202" s="1624"/>
      <c r="BE202" s="1624"/>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95" customHeight="1">
      <c r="BC203" s="1624"/>
      <c r="BD203" s="1624"/>
      <c r="BE203" s="1624"/>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95" customHeight="1">
      <c r="BC204" s="1624"/>
      <c r="BD204" s="1624"/>
      <c r="BE204" s="1624"/>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95" customHeight="1">
      <c r="BC205" s="1624"/>
      <c r="BD205" s="1624"/>
      <c r="BE205" s="1624"/>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95" customHeight="1">
      <c r="BC206" s="1624"/>
      <c r="BD206" s="1624"/>
      <c r="BE206" s="1624"/>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95" customHeight="1">
      <c r="BC207" s="1624"/>
      <c r="BD207" s="1624"/>
      <c r="BE207" s="1624"/>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95" customHeight="1">
      <c r="BC208" s="1624"/>
      <c r="BD208" s="1624"/>
      <c r="BE208" s="1624"/>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95" customHeight="1">
      <c r="BC209" s="1624"/>
      <c r="BD209" s="1624"/>
      <c r="BE209" s="1624"/>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95" customHeight="1">
      <c r="BC210" s="1624"/>
      <c r="BD210" s="1624"/>
      <c r="BE210" s="1624"/>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95" customHeight="1">
      <c r="BC211" s="1624"/>
      <c r="BD211" s="1624"/>
      <c r="BE211" s="1624"/>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95" customHeight="1">
      <c r="BC212" s="1624"/>
      <c r="BD212" s="1624"/>
      <c r="BE212" s="1624"/>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95" customHeight="1">
      <c r="BC213" s="1624"/>
      <c r="BD213" s="1624"/>
      <c r="BE213" s="1624"/>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95" customHeight="1">
      <c r="BC214" s="1624"/>
      <c r="BD214" s="1624"/>
      <c r="BE214" s="1624"/>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95" customHeight="1">
      <c r="BC215" s="1624"/>
      <c r="BD215" s="1624"/>
      <c r="BE215" s="1624"/>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95" customHeight="1">
      <c r="BC216" s="1624"/>
      <c r="BD216" s="1624"/>
      <c r="BE216" s="1624"/>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95" customHeight="1">
      <c r="BC217" s="1624"/>
      <c r="BD217" s="1624"/>
      <c r="BE217" s="1624"/>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95" customHeight="1">
      <c r="BC218" s="1624"/>
      <c r="BD218" s="1624"/>
      <c r="BE218" s="1624"/>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95" customHeight="1">
      <c r="BC219" s="1624"/>
      <c r="BD219" s="1624"/>
      <c r="BE219" s="1624"/>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95" customHeight="1">
      <c r="BC220" s="1624"/>
      <c r="BD220" s="1624"/>
      <c r="BE220" s="1624"/>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95" customHeight="1">
      <c r="BC221" s="1624"/>
      <c r="BD221" s="1624"/>
      <c r="BE221" s="1624"/>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95" customHeight="1">
      <c r="BC222" s="1624"/>
      <c r="BD222" s="1624"/>
      <c r="BE222" s="1624"/>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95" customHeight="1">
      <c r="BC223" s="1624"/>
      <c r="BD223" s="1624"/>
      <c r="BE223" s="1624"/>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95"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95"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95"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95"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95"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95"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95"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95"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95"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95"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95"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95"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95"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95"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95"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95"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95"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95"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95"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95"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95"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95"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95"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95"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95"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95"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95"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95"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95"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95"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95"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95"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95"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95"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95"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95"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95"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95"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95"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95"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95"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95"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95"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95"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95"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95"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95"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95"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95"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95"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95"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95"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95"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95"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95"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95"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95"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95"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95"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95"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95"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95"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95"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95"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95"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95"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95"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95"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95"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95"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95"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95"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95"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95"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95"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95"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95"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95"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95"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95"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95"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95"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95"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95"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95"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95"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95"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95"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95"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95"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95"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95"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95"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95"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95"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95"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95"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95"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95"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95"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95"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95"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95"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95"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95"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95"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95"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95"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95"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95"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95"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95"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95"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95"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95"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95"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95"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95"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95"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95"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95"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95"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95"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95"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95"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95"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95"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95"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95"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95"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95"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95"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95"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95"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95"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95"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95"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95"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95"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95"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95"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95"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95"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95"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95"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95"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95"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95"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95"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95"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95"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95"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95"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95"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95"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95"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95"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95"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95"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95"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95"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95"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95"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95"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95"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95"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95"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95"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95"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95"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95"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95"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95"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95"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95"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95"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95"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95"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95"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95"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95"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95"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95"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95"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95"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95"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95"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95"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95"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95"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95"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95"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95"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95"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95"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95"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95"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95"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95"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95"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95"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95"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95"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95"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95"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95"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95"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95"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95"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95"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95"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95"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95"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95"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95"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95"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95"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95"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95"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95"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95"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95"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95"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95"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95"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95"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95"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95"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95"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95"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95"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95"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95"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95"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95"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95"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95"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95"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95"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95"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95"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95"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95"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95"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95"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95"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95"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95"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95"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95"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95"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95"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95"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95"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95"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95"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95"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95"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95"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95"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95"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95"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95"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95"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95"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95"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95"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95"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95"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95"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95"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95"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95"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95"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95"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95"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95"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95"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95"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95"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95"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95"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95"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95"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95"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95"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95"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95"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95"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95"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95"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95"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95"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95"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95"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95"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95"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95"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95"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95"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3941</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603" t="s">
        <v>3942</v>
      </c>
      <c r="B4" s="2605" t="s">
        <v>3943</v>
      </c>
      <c r="C4" s="2605" t="s">
        <v>3788</v>
      </c>
      <c r="D4" s="2571" t="s">
        <v>2027</v>
      </c>
      <c r="E4" s="2571" t="s">
        <v>507</v>
      </c>
      <c r="F4" s="2571" t="s">
        <v>505</v>
      </c>
      <c r="G4" s="2571" t="s">
        <v>832</v>
      </c>
      <c r="H4" s="2571" t="s">
        <v>506</v>
      </c>
      <c r="I4" s="2571" t="s">
        <v>1151</v>
      </c>
      <c r="J4" s="2571" t="s">
        <v>3796</v>
      </c>
      <c r="K4" s="2571" t="s">
        <v>3929</v>
      </c>
      <c r="L4" s="2617" t="s">
        <v>3944</v>
      </c>
      <c r="M4" s="2619" t="s">
        <v>2285</v>
      </c>
      <c r="N4" s="2584"/>
      <c r="O4" s="2584"/>
      <c r="P4" s="2584"/>
      <c r="Q4" s="2584"/>
      <c r="R4" s="2620" t="s">
        <v>3900</v>
      </c>
      <c r="S4" s="2621"/>
      <c r="T4" s="2621"/>
      <c r="U4" s="2621"/>
      <c r="V4" s="2621"/>
      <c r="W4" s="2621"/>
      <c r="X4" s="2621"/>
      <c r="Y4" s="2621"/>
      <c r="Z4" s="566" t="s">
        <v>2606</v>
      </c>
      <c r="AA4" s="577"/>
      <c r="AB4" s="577"/>
      <c r="AC4" s="578"/>
      <c r="AD4" s="2571" t="s">
        <v>3945</v>
      </c>
      <c r="AE4" s="2571" t="s">
        <v>2393</v>
      </c>
      <c r="AF4" s="2571" t="s">
        <v>2396</v>
      </c>
      <c r="AG4" s="2571" t="s">
        <v>2399</v>
      </c>
      <c r="AH4" s="2571" t="s">
        <v>2400</v>
      </c>
      <c r="AI4" s="2614" t="s">
        <v>3946</v>
      </c>
      <c r="AJ4" s="579" t="s">
        <v>2183</v>
      </c>
      <c r="AK4" s="580"/>
      <c r="AL4" s="2608" t="s">
        <v>3947</v>
      </c>
      <c r="AM4" s="2608" t="s">
        <v>3948</v>
      </c>
      <c r="AN4" s="2608" t="s">
        <v>3949</v>
      </c>
      <c r="AO4" s="2608" t="s">
        <v>3950</v>
      </c>
      <c r="AP4" s="2608" t="s">
        <v>3951</v>
      </c>
      <c r="AQ4" s="2608" t="s">
        <v>3952</v>
      </c>
      <c r="AR4" s="2610" t="s">
        <v>3953</v>
      </c>
      <c r="AS4" s="2611"/>
      <c r="AT4" s="2611"/>
      <c r="AU4" s="2611"/>
      <c r="AV4" s="2611"/>
      <c r="AW4" s="2612"/>
      <c r="AX4" s="2613" t="s">
        <v>3954</v>
      </c>
      <c r="AY4" s="2613"/>
      <c r="AZ4" s="2613"/>
      <c r="BA4" s="2613"/>
      <c r="BB4" s="567" t="s">
        <v>3955</v>
      </c>
      <c r="BC4" s="581"/>
      <c r="BD4" s="567"/>
      <c r="BE4" s="568" t="s">
        <v>2605</v>
      </c>
      <c r="BF4" s="581"/>
      <c r="BG4" s="567"/>
      <c r="BH4" s="2608" t="s">
        <v>3956</v>
      </c>
      <c r="BI4" s="2608" t="s">
        <v>3957</v>
      </c>
      <c r="BJ4" s="2608" t="s">
        <v>3958</v>
      </c>
      <c r="BK4" s="2608" t="s">
        <v>2862</v>
      </c>
      <c r="BL4" s="2605" t="s">
        <v>3959</v>
      </c>
      <c r="BM4" s="2605" t="s">
        <v>3960</v>
      </c>
      <c r="BN4" s="2606" t="s">
        <v>2610</v>
      </c>
    </row>
    <row r="5" spans="1:209" s="543" customFormat="1" ht="142.5" customHeight="1">
      <c r="A5" s="2604"/>
      <c r="B5" s="2563"/>
      <c r="C5" s="2563"/>
      <c r="D5" s="2593"/>
      <c r="E5" s="2593"/>
      <c r="F5" s="2593"/>
      <c r="G5" s="2593"/>
      <c r="H5" s="2593"/>
      <c r="I5" s="2593"/>
      <c r="J5" s="2593"/>
      <c r="K5" s="2593"/>
      <c r="L5" s="2618"/>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3961</v>
      </c>
      <c r="AA5" s="569" t="s">
        <v>3962</v>
      </c>
      <c r="AB5" s="569" t="s">
        <v>3963</v>
      </c>
      <c r="AC5" s="569" t="s">
        <v>3964</v>
      </c>
      <c r="AD5" s="2593"/>
      <c r="AE5" s="2593"/>
      <c r="AF5" s="2593"/>
      <c r="AG5" s="2593"/>
      <c r="AH5" s="2593"/>
      <c r="AI5" s="2615"/>
      <c r="AJ5" s="570" t="s">
        <v>3965</v>
      </c>
      <c r="AK5" s="570" t="s">
        <v>3966</v>
      </c>
      <c r="AL5" s="2591"/>
      <c r="AM5" s="2591"/>
      <c r="AN5" s="2591"/>
      <c r="AO5" s="2591"/>
      <c r="AP5" s="2591"/>
      <c r="AQ5" s="2591"/>
      <c r="AR5" s="571" t="s">
        <v>3967</v>
      </c>
      <c r="AS5" s="571" t="s">
        <v>3968</v>
      </c>
      <c r="AT5" s="571" t="s">
        <v>3969</v>
      </c>
      <c r="AU5" s="571" t="s">
        <v>3970</v>
      </c>
      <c r="AV5" s="571" t="s">
        <v>3971</v>
      </c>
      <c r="AW5" s="571" t="s">
        <v>3972</v>
      </c>
      <c r="AX5" s="571" t="s">
        <v>3973</v>
      </c>
      <c r="AY5" s="571" t="s">
        <v>3974</v>
      </c>
      <c r="AZ5" s="571" t="s">
        <v>3975</v>
      </c>
      <c r="BA5" s="571" t="s">
        <v>3976</v>
      </c>
      <c r="BB5" s="571" t="s">
        <v>3977</v>
      </c>
      <c r="BC5" s="571" t="s">
        <v>3978</v>
      </c>
      <c r="BD5" s="571" t="s">
        <v>3979</v>
      </c>
      <c r="BE5" s="571" t="s">
        <v>3980</v>
      </c>
      <c r="BF5" s="571" t="s">
        <v>3981</v>
      </c>
      <c r="BG5" s="571" t="s">
        <v>3982</v>
      </c>
      <c r="BH5" s="2591"/>
      <c r="BI5" s="2591"/>
      <c r="BJ5" s="2591"/>
      <c r="BK5" s="2591"/>
      <c r="BL5" s="2609"/>
      <c r="BM5" s="2609"/>
      <c r="BN5" s="260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599" t="s">
        <v>3983</v>
      </c>
      <c r="B35" s="2600"/>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599" t="s">
        <v>3983</v>
      </c>
      <c r="B67" s="2600"/>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601" t="s">
        <v>3925</v>
      </c>
      <c r="B69" s="2602"/>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616" t="s">
        <v>3984</v>
      </c>
      <c r="B71" s="2616"/>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616" t="s">
        <v>3985</v>
      </c>
      <c r="B72" s="2616"/>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616" t="s">
        <v>3986</v>
      </c>
      <c r="B73" s="2616"/>
      <c r="C73" s="645">
        <f>E69</f>
        <v>0</v>
      </c>
      <c r="D73" s="646"/>
      <c r="E73" s="646"/>
      <c r="F73" s="646"/>
      <c r="G73" s="646"/>
      <c r="H73" s="646"/>
      <c r="R73" s="647"/>
      <c r="U73" s="641"/>
      <c r="W73" s="641"/>
      <c r="AE73" s="531"/>
      <c r="AF73" s="531"/>
      <c r="AG73" s="531"/>
      <c r="AH73" s="531"/>
    </row>
    <row r="74" spans="1:209" ht="18.95" customHeight="1">
      <c r="A74" s="2616" t="s">
        <v>3987</v>
      </c>
      <c r="B74" s="2616"/>
      <c r="C74" s="645">
        <f>F69</f>
        <v>0</v>
      </c>
      <c r="D74" s="646"/>
      <c r="E74" s="646"/>
      <c r="F74" s="646"/>
      <c r="G74" s="646"/>
      <c r="H74" s="646"/>
      <c r="R74" s="647"/>
      <c r="U74" s="641"/>
      <c r="W74" s="641"/>
      <c r="AE74" s="531"/>
      <c r="AF74" s="531"/>
      <c r="AG74" s="531"/>
      <c r="AH74" s="531"/>
    </row>
    <row r="75" spans="1:209" ht="18.95" customHeight="1">
      <c r="A75" s="2616" t="s">
        <v>3988</v>
      </c>
      <c r="B75" s="2616"/>
      <c r="C75" s="645">
        <f>G69</f>
        <v>0</v>
      </c>
      <c r="D75" s="646"/>
      <c r="E75" s="646"/>
      <c r="F75" s="646"/>
      <c r="G75" s="646"/>
      <c r="H75" s="646"/>
      <c r="R75" s="647"/>
      <c r="U75" s="641"/>
      <c r="W75" s="641"/>
      <c r="AE75" s="531"/>
      <c r="AF75" s="531"/>
      <c r="AG75" s="531"/>
      <c r="AH75" s="531"/>
    </row>
    <row r="76" spans="1:209" ht="18.95" customHeight="1">
      <c r="A76" s="2616" t="s">
        <v>3989</v>
      </c>
      <c r="B76" s="2616"/>
      <c r="C76" s="643">
        <f>H69</f>
        <v>0</v>
      </c>
      <c r="D76" s="640"/>
      <c r="E76" s="640"/>
      <c r="F76" s="640"/>
      <c r="G76" s="640"/>
      <c r="H76" s="640"/>
      <c r="K76" s="648"/>
      <c r="M76" s="554"/>
      <c r="N76" s="554"/>
      <c r="O76" s="554"/>
      <c r="R76" s="649"/>
      <c r="U76" s="641"/>
      <c r="W76" s="641"/>
      <c r="AE76" s="531"/>
      <c r="AF76" s="531"/>
      <c r="AG76" s="531"/>
      <c r="AH76" s="531"/>
    </row>
    <row r="77" spans="1:209" ht="18.95" customHeight="1">
      <c r="A77" s="2616" t="s">
        <v>3990</v>
      </c>
      <c r="B77" s="2616"/>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3991</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7.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7.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7.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7.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7.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7.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7.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7.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7.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7.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7.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7.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7.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7.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7.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7.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7.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7.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7.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7.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7.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7.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7.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7.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7.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7.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7.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7.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7.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7.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7.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7.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7.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7.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7.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7.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7.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7.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7.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7.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7.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8.75" hidden="1">
      <c r="A68" s="9" t="str">
        <f>chitiet!B2050</f>
        <v>AV95</v>
      </c>
      <c r="B68" s="25"/>
      <c r="C68" s="16" t="e">
        <f>VLOOKUP($A68,DSPKhtdl,4,)</f>
        <v>#NAME?</v>
      </c>
      <c r="D68" s="19" t="e">
        <f>VLOOKUP($A68,DSPKhtdl,5,)</f>
        <v>#NAME?</v>
      </c>
      <c r="E68" s="24" t="e">
        <f>VLOOKUP($A68,DSPKhtdl,6,)</f>
        <v>#NAME?</v>
      </c>
      <c r="F68" s="10">
        <f>chitiet!E2050</f>
        <v>0</v>
      </c>
      <c r="G68" s="7" t="e">
        <f>IF(E68&lt;&gt;0,1,0)</f>
        <v>#NAME?</v>
      </c>
      <c r="H68" s="4"/>
      <c r="I68" s="4"/>
      <c r="J68" s="4"/>
    </row>
    <row r="69" spans="1:10" s="1" customFormat="1" ht="17.25" hidden="1">
      <c r="A69" s="9" t="str">
        <f>chitiet!B2051</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chitiet!E2052</f>
        <v>0</v>
      </c>
      <c r="G69" s="7" t="e">
        <f t="shared" ref="G69:G137" si="12">IF(E69&lt;&gt;0,1,0)</f>
        <v>#NAME?</v>
      </c>
      <c r="H69" s="4"/>
      <c r="I69" s="4"/>
      <c r="J69" s="4"/>
    </row>
    <row r="70" spans="1:10" s="1" customFormat="1" ht="17.25" hidden="1">
      <c r="A70" s="9" t="str">
        <f>chitiet!B2052</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7.25" hidden="1">
      <c r="A71" s="9" t="str">
        <f>chitiet!B2053</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chitiet!B2054</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7.25" hidden="1">
      <c r="A73" s="9" t="str">
        <f>chitiet!B2055</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chitiet!B2056</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7.25" hidden="1">
      <c r="A75" s="9" t="str">
        <f>chitiet!B2057</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7.25" hidden="1">
      <c r="A76" s="9" t="str">
        <f>chitiet!B2058</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7.25" hidden="1">
      <c r="A77" s="9" t="str">
        <f>chitiet!B2059</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7.25" hidden="1">
      <c r="A78" s="9" t="str">
        <f>chitiet!B2061</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7.25" hidden="1">
      <c r="A79" s="9" t="str">
        <f>chitiet!B2062</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7.25" hidden="1">
      <c r="A80" s="9" t="str">
        <f>chitiet!B2063</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7.25" hidden="1">
      <c r="A81" s="9" t="str">
        <f>chitiet!B2064</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7.25" hidden="1">
      <c r="A82" s="9" t="str">
        <f>chitiet!B2065</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7.25" hidden="1">
      <c r="A83" s="9" t="str">
        <f>chitiet!B2066</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chitiet!B2069</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chitiet!B2070</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7.25" hidden="1">
      <c r="A86" s="9" t="str">
        <f>chitiet!B2071</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7.25" hidden="1">
      <c r="A87" s="9" t="str">
        <f>chitiet!B2072</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7.25" hidden="1">
      <c r="A88" s="9" t="str">
        <f>chitiet!B2073</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7.25" hidden="1">
      <c r="A89" s="9" t="str">
        <f>chitiet!B2076</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chitiet!B2077</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7.25" hidden="1">
      <c r="A91" s="9" t="str">
        <f>chitiet!B2074</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7.25" hidden="1">
      <c r="A92" s="9" t="str">
        <f>chitiet!B2078</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chitiet!B2083</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7.25" hidden="1">
      <c r="A94" s="9" t="str">
        <f>chitiet!B2081</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chitiet!B2082</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7.25" hidden="1">
      <c r="A96" s="9" t="str">
        <f>chitiet!B2084</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7.25" hidden="1">
      <c r="A97" s="9" t="str">
        <f>chitiet!B2085</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chitiet!B2086</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7.25" hidden="1">
      <c r="A99" s="9" t="str">
        <f>chitiet!B2087</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chitiet!B2088</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7.25" hidden="1">
      <c r="A101" s="9" t="str">
        <f>chitiet!B2089</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7.25" hidden="1">
      <c r="A102" s="9" t="str">
        <f>chitiet!B2090</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chitiet!B2091</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7.25" hidden="1">
      <c r="A104" s="9" t="str">
        <f>chitiet!B2092</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7.25" hidden="1">
      <c r="A105" s="9" t="str">
        <f>chitiet!B2093</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7.25" hidden="1">
      <c r="A106" s="9" t="str">
        <f>chitiet!B2094</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chitiet!B2095</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chitiet!B2097</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7.25" hidden="1">
      <c r="A109" s="9" t="str">
        <f>chitiet!B2105</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7.25" hidden="1">
      <c r="A110" s="9" t="str">
        <f>chitiet!B2106</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7.25" hidden="1">
      <c r="A111" s="9" t="str">
        <f>chitiet!B2107</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7.25" hidden="1">
      <c r="A112" s="9" t="str">
        <f>chitiet!B2108</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7.25" hidden="1">
      <c r="A113" s="9" t="str">
        <f>chitiet!B2109</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7.25" hidden="1">
      <c r="A114" s="9" t="str">
        <f>chitiet!B2110</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7.25" hidden="1">
      <c r="A115" s="9" t="str">
        <f>chitiet!B2111</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7.25" hidden="1">
      <c r="A116" s="9" t="str">
        <f>chitiet!B2112</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7.25" hidden="1">
      <c r="A117" s="9" t="str">
        <f>chitiet!B2113</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7.25" hidden="1">
      <c r="A118" s="9" t="str">
        <f>chitiet!B2114</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7.25" hidden="1">
      <c r="A119" s="9" t="str">
        <f>chitiet!B2115</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7.25" hidden="1">
      <c r="A120" s="9" t="str">
        <f>chitiet!B2116</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7.25" hidden="1">
      <c r="A121" s="9" t="str">
        <f>chitiet!B2117</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chitiet!B2118</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chitiet!B2119</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7.25" hidden="1">
      <c r="A124" s="9" t="str">
        <f>chitiet!B2120</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chitiet!B2123</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chitiet!B2122</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chitiet!B2121</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chitiet!B2122</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7.25" hidden="1">
      <c r="A129" s="9" t="str">
        <f>chitiet!B2124</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7.25" hidden="1">
      <c r="A130" s="9" t="str">
        <f>chitiet!B2103</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7.25" hidden="1">
      <c r="A131" s="9" t="str">
        <f>chitiet!B2104</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7.25" hidden="1">
      <c r="A132" s="9" t="str">
        <f>chitiet!B2125</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7.25" hidden="1">
      <c r="A133" s="9" t="str">
        <f>chitiet!B2126</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7.25" hidden="1">
      <c r="A134" s="9" t="str">
        <f>chitiet!B2127</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7.25" hidden="1">
      <c r="A135" s="9" t="str">
        <f>chitiet!B2128</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7.25" hidden="1">
      <c r="A136" s="9" t="str">
        <f>chitiet!B2129</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7.25" hidden="1">
      <c r="A137" s="9" t="str">
        <f>chitiet!B2131</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7.25" hidden="1">
      <c r="A139" s="4"/>
      <c r="B139" s="4"/>
      <c r="C139" s="4"/>
      <c r="D139" s="4"/>
      <c r="E139" s="4"/>
      <c r="F139" s="4"/>
      <c r="G139" s="5"/>
      <c r="H139" s="4"/>
      <c r="I139" s="4"/>
      <c r="J139" s="4"/>
    </row>
    <row r="140" spans="1:10" s="1" customFormat="1" ht="17.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3992</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603" t="s">
        <v>3942</v>
      </c>
      <c r="B4" s="2605" t="s">
        <v>3993</v>
      </c>
      <c r="C4" s="2605" t="s">
        <v>3788</v>
      </c>
      <c r="D4" s="2571" t="s">
        <v>3994</v>
      </c>
      <c r="E4" s="2571" t="s">
        <v>3995</v>
      </c>
      <c r="F4" s="2571" t="s">
        <v>2027</v>
      </c>
      <c r="G4" s="2571" t="s">
        <v>2210</v>
      </c>
      <c r="H4" s="2571" t="s">
        <v>116</v>
      </c>
      <c r="I4" s="2571" t="s">
        <v>1153</v>
      </c>
      <c r="J4" s="2571" t="s">
        <v>1152</v>
      </c>
      <c r="K4" s="2571" t="s">
        <v>1151</v>
      </c>
      <c r="L4" s="2571" t="s">
        <v>2270</v>
      </c>
      <c r="M4" s="2571" t="s">
        <v>2269</v>
      </c>
      <c r="N4" s="2571" t="s">
        <v>2268</v>
      </c>
      <c r="O4" s="2571" t="s">
        <v>3796</v>
      </c>
      <c r="P4" s="2571" t="s">
        <v>3929</v>
      </c>
      <c r="Q4" s="2617" t="s">
        <v>3798</v>
      </c>
      <c r="R4" s="2619" t="s">
        <v>3996</v>
      </c>
      <c r="S4" s="2584"/>
      <c r="T4" s="2584"/>
      <c r="U4" s="2624"/>
      <c r="V4" s="2620" t="s">
        <v>3900</v>
      </c>
      <c r="W4" s="2621"/>
      <c r="X4" s="2621"/>
      <c r="Y4" s="2621"/>
      <c r="Z4" s="2621"/>
      <c r="AA4" s="2621"/>
      <c r="AB4" s="2621"/>
      <c r="AC4" s="2621"/>
      <c r="AD4" s="2621"/>
      <c r="AE4" s="2621"/>
      <c r="AF4" s="2621"/>
      <c r="AG4" s="2621"/>
      <c r="AH4" s="2621"/>
      <c r="AI4" s="2621"/>
      <c r="AJ4" s="2621"/>
      <c r="AK4" s="2621"/>
      <c r="AL4" s="2621"/>
      <c r="AM4" s="2621"/>
      <c r="AN4" s="2621"/>
      <c r="AO4" s="2621"/>
      <c r="AP4" s="2621"/>
      <c r="AQ4" s="2621"/>
      <c r="AR4" s="2621"/>
      <c r="AS4" s="2621"/>
      <c r="AT4" s="2621"/>
      <c r="AU4" s="2625"/>
      <c r="AV4" s="665"/>
      <c r="AW4" s="525" t="s">
        <v>3997</v>
      </c>
      <c r="AX4" s="665"/>
      <c r="AY4" s="665"/>
      <c r="AZ4" s="665"/>
      <c r="BA4" s="542"/>
      <c r="BB4" s="665"/>
      <c r="BC4" s="542"/>
      <c r="BD4" s="665"/>
      <c r="BE4" s="665"/>
      <c r="BF4" s="653" t="s">
        <v>3903</v>
      </c>
      <c r="BG4" s="665"/>
      <c r="BH4" s="665"/>
      <c r="BI4" s="665"/>
      <c r="BJ4" s="665"/>
      <c r="BK4" s="665"/>
      <c r="BL4" s="665"/>
      <c r="BM4" s="665"/>
      <c r="BN4" s="665"/>
      <c r="BO4" s="665"/>
      <c r="BP4" s="2571" t="s">
        <v>2393</v>
      </c>
      <c r="BQ4" s="2571" t="s">
        <v>2398</v>
      </c>
      <c r="BR4" s="2571" t="s">
        <v>2397</v>
      </c>
      <c r="BS4" s="2571" t="s">
        <v>2396</v>
      </c>
      <c r="BT4" s="2571" t="s">
        <v>3998</v>
      </c>
      <c r="BU4" s="2571" t="s">
        <v>3999</v>
      </c>
      <c r="BV4" s="2614" t="s">
        <v>3946</v>
      </c>
      <c r="BW4" s="579" t="s">
        <v>4000</v>
      </c>
      <c r="BX4" s="666"/>
      <c r="BY4" s="666"/>
      <c r="BZ4" s="580"/>
      <c r="CA4" s="2622" t="s">
        <v>4001</v>
      </c>
      <c r="CB4" s="2622" t="s">
        <v>3948</v>
      </c>
      <c r="CC4" s="2627" t="s">
        <v>3953</v>
      </c>
      <c r="CD4" s="2628"/>
      <c r="CE4" s="2628"/>
      <c r="CF4" s="2628"/>
      <c r="CG4" s="2628"/>
      <c r="CH4" s="2628"/>
      <c r="CI4" s="2628"/>
      <c r="CJ4" s="2628"/>
      <c r="CK4" s="2628"/>
      <c r="CL4" s="667" t="s">
        <v>475</v>
      </c>
      <c r="CM4" s="668"/>
      <c r="CN4" s="2608" t="s">
        <v>4002</v>
      </c>
      <c r="CO4" s="2608" t="s">
        <v>3956</v>
      </c>
      <c r="CP4" s="2608" t="s">
        <v>3957</v>
      </c>
      <c r="CQ4" s="2608" t="s">
        <v>3958</v>
      </c>
      <c r="CR4" s="2608" t="s">
        <v>2862</v>
      </c>
      <c r="CS4" s="2605" t="s">
        <v>3959</v>
      </c>
      <c r="CT4" s="2605" t="s">
        <v>4003</v>
      </c>
      <c r="CU4" s="2605" t="s">
        <v>3419</v>
      </c>
      <c r="CV4" s="2605" t="s">
        <v>4004</v>
      </c>
      <c r="CW4" s="2605" t="s">
        <v>4005</v>
      </c>
      <c r="CX4" s="2626" t="s">
        <v>4006</v>
      </c>
      <c r="CY4" s="2606" t="s">
        <v>2610</v>
      </c>
    </row>
    <row r="5" spans="1:234" s="543" customFormat="1" ht="142.5" customHeight="1">
      <c r="A5" s="2604"/>
      <c r="B5" s="2563"/>
      <c r="C5" s="2563"/>
      <c r="D5" s="2593"/>
      <c r="E5" s="2593"/>
      <c r="F5" s="2593"/>
      <c r="G5" s="2593"/>
      <c r="H5" s="2593"/>
      <c r="I5" s="2593"/>
      <c r="J5" s="2593"/>
      <c r="K5" s="2593"/>
      <c r="L5" s="2593"/>
      <c r="M5" s="2593"/>
      <c r="N5" s="2593"/>
      <c r="O5" s="2593"/>
      <c r="P5" s="2593"/>
      <c r="Q5" s="2618"/>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4007</v>
      </c>
      <c r="BF5" s="669" t="s">
        <v>1497</v>
      </c>
      <c r="BG5" s="669" t="s">
        <v>1498</v>
      </c>
      <c r="BH5" s="669" t="s">
        <v>1577</v>
      </c>
      <c r="BI5" s="669" t="s">
        <v>1093</v>
      </c>
      <c r="BJ5" s="669" t="s">
        <v>2154</v>
      </c>
      <c r="BK5" s="669" t="s">
        <v>1094</v>
      </c>
      <c r="BL5" s="669" t="s">
        <v>2155</v>
      </c>
      <c r="BM5" s="669" t="s">
        <v>1095</v>
      </c>
      <c r="BN5" s="669" t="s">
        <v>2052</v>
      </c>
      <c r="BO5" s="669" t="s">
        <v>1096</v>
      </c>
      <c r="BP5" s="2593"/>
      <c r="BQ5" s="2593"/>
      <c r="BR5" s="2593"/>
      <c r="BS5" s="2593"/>
      <c r="BT5" s="2593"/>
      <c r="BU5" s="2593"/>
      <c r="BV5" s="2615"/>
      <c r="BW5" s="570" t="s">
        <v>4008</v>
      </c>
      <c r="BX5" s="570" t="s">
        <v>4009</v>
      </c>
      <c r="BY5" s="570" t="s">
        <v>2040</v>
      </c>
      <c r="BZ5" s="570" t="s">
        <v>1452</v>
      </c>
      <c r="CA5" s="2623"/>
      <c r="CB5" s="2623"/>
      <c r="CC5" s="571" t="s">
        <v>3967</v>
      </c>
      <c r="CD5" s="571" t="s">
        <v>4010</v>
      </c>
      <c r="CE5" s="571" t="s">
        <v>3968</v>
      </c>
      <c r="CF5" s="571" t="s">
        <v>4011</v>
      </c>
      <c r="CG5" s="571" t="s">
        <v>4012</v>
      </c>
      <c r="CH5" s="571" t="s">
        <v>3969</v>
      </c>
      <c r="CI5" s="571" t="s">
        <v>3970</v>
      </c>
      <c r="CJ5" s="571" t="s">
        <v>4013</v>
      </c>
      <c r="CK5" s="571" t="s">
        <v>4014</v>
      </c>
      <c r="CL5" s="571" t="s">
        <v>4015</v>
      </c>
      <c r="CM5" s="571" t="s">
        <v>4016</v>
      </c>
      <c r="CN5" s="2591"/>
      <c r="CO5" s="2591"/>
      <c r="CP5" s="2591"/>
      <c r="CQ5" s="2591"/>
      <c r="CR5" s="2591"/>
      <c r="CS5" s="2609"/>
      <c r="CT5" s="2609"/>
      <c r="CU5" s="2609"/>
      <c r="CV5" s="2609"/>
      <c r="CW5" s="2609"/>
      <c r="CX5" s="2570"/>
      <c r="CY5" s="2607"/>
    </row>
    <row r="6" spans="1:234" s="546" customFormat="1" ht="18" customHeight="1">
      <c r="A6" s="655" t="s">
        <v>4017</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4018</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4019</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4020</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4021</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4022</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4023</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4019</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4024</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4025</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4026</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4027</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4028</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4029</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4030</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4031</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4032</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4033</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4034</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4035</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4033</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4036</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4037</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4033</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4022</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4038</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4019</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4039</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4025</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4040</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4027</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4041</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4042</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4033</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4033</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4043</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4044</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4045</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4033</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4046</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4047</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4048</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4049</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4050</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4034</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4051</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4036</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4052</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4053</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4033</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4022</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4054</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4053</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4019</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4055</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4056</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4025</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4057</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4058</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4027</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4059</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4058</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4043</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4060</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4061</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616" t="s">
        <v>3984</v>
      </c>
      <c r="B316" s="2616"/>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616" t="s">
        <v>4062</v>
      </c>
      <c r="B317" s="2616"/>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616" t="s">
        <v>3986</v>
      </c>
      <c r="B318" s="2616"/>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616" t="s">
        <v>4063</v>
      </c>
      <c r="B319" s="2616"/>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616" t="s">
        <v>4064</v>
      </c>
      <c r="B320" s="2616"/>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616" t="s">
        <v>3990</v>
      </c>
      <c r="B321" s="2616"/>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4065</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4066</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E20" sqref="E20"/>
    </sheetView>
  </sheetViews>
  <sheetFormatPr defaultColWidth="8.88671875" defaultRowHeight="18.95" customHeight="1"/>
  <cols>
    <col min="1" max="1" width="12.21875" style="573" customWidth="1"/>
    <col min="2" max="2" width="13.109375" style="531" customWidth="1"/>
    <col min="3" max="3" width="5" style="531" customWidth="1"/>
    <col min="4" max="9" width="6.44140625" style="531" customWidth="1"/>
    <col min="10" max="10" width="4.88671875" style="531" customWidth="1"/>
    <col min="11" max="13" width="6.44140625" style="531" customWidth="1"/>
    <col min="14" max="14" width="6.33203125" style="531" customWidth="1"/>
    <col min="15" max="15" width="3.88671875" style="531" customWidth="1"/>
    <col min="16" max="16" width="6.44140625" style="531" customWidth="1"/>
    <col min="17" max="18" width="4.77734375" style="531" customWidth="1"/>
    <col min="19" max="20" width="4.44140625" style="531" customWidth="1"/>
    <col min="21" max="22" width="3.88671875" style="531" customWidth="1"/>
    <col min="23" max="23" width="6.6640625" style="531" customWidth="1"/>
    <col min="24" max="24" width="4.44140625" style="531" customWidth="1"/>
    <col min="25" max="28" width="4.33203125" style="531" customWidth="1"/>
    <col min="29" max="29" width="3.88671875" style="531" customWidth="1"/>
    <col min="30" max="30" width="4.6640625" style="531" customWidth="1"/>
    <col min="31" max="49" width="4.33203125" style="531" customWidth="1"/>
    <col min="50" max="50" width="5.109375" style="531" customWidth="1"/>
    <col min="51" max="58" width="3.88671875" style="531" customWidth="1"/>
    <col min="59" max="59" width="5.21875" style="531" customWidth="1"/>
    <col min="60" max="68" width="3.88671875" style="531" customWidth="1"/>
    <col min="69" max="69" width="3.88671875" style="532" customWidth="1"/>
    <col min="70" max="70" width="6.44140625" style="532" customWidth="1"/>
    <col min="71" max="71" width="3.77734375" style="532" customWidth="1"/>
    <col min="72" max="74" width="4.33203125" style="532" customWidth="1"/>
    <col min="75" max="75" width="4.33203125" style="531" customWidth="1"/>
    <col min="76" max="76" width="4.77734375" style="531" customWidth="1"/>
    <col min="77" max="77" width="4.33203125" style="531" customWidth="1"/>
    <col min="78" max="78" width="4.44140625" style="531" customWidth="1"/>
    <col min="79" max="79" width="4.33203125" style="531" customWidth="1"/>
    <col min="80" max="80" width="4.77734375" style="531" customWidth="1"/>
    <col min="81" max="82" width="4.33203125" style="531" customWidth="1"/>
    <col min="83" max="83" width="4.77734375" style="531" customWidth="1"/>
    <col min="84" max="84" width="4.109375" style="531" customWidth="1"/>
    <col min="85" max="85" width="4.88671875" style="531" customWidth="1"/>
    <col min="86" max="86" width="3.88671875" style="531" customWidth="1"/>
    <col min="87" max="87" width="5.44140625" style="531" customWidth="1"/>
    <col min="88" max="88" width="3.88671875" style="531" customWidth="1"/>
    <col min="89" max="94" width="4.109375" style="531" customWidth="1"/>
    <col min="95" max="95" width="6.6640625" style="531" customWidth="1"/>
    <col min="96" max="97" width="4.44140625" style="531" customWidth="1"/>
    <col min="98" max="98" width="4.109375" style="531" customWidth="1"/>
    <col min="99" max="99" width="4.44140625" style="531" customWidth="1"/>
    <col min="100" max="100" width="4.109375" style="531" customWidth="1"/>
    <col min="101" max="101" width="6.44140625" style="531" customWidth="1"/>
    <col min="102" max="102" width="4.21875" style="531" customWidth="1"/>
    <col min="103" max="103" width="6.21875" style="824" customWidth="1"/>
    <col min="104" max="104" width="4.44140625" style="531" customWidth="1"/>
    <col min="105" max="105" width="3.88671875" style="531" customWidth="1"/>
    <col min="106" max="106" width="4.77734375" style="531" customWidth="1"/>
    <col min="107" max="107" width="6.6640625" style="531" customWidth="1"/>
    <col min="108" max="108" width="4.44140625" style="531" customWidth="1"/>
    <col min="109" max="109" width="4.109375" style="531" customWidth="1"/>
    <col min="110" max="110" width="5.88671875" style="531" customWidth="1"/>
    <col min="111" max="111" width="4.77734375" style="531" customWidth="1"/>
    <col min="112" max="112" width="4.109375" style="531" customWidth="1"/>
    <col min="113" max="113" width="6.33203125" style="531" customWidth="1"/>
    <col min="114" max="114" width="4.109375" style="531" customWidth="1"/>
    <col min="115" max="115" width="4.77734375" style="531" customWidth="1"/>
    <col min="116" max="116" width="5.77734375" style="531" customWidth="1"/>
    <col min="117" max="117" width="3.33203125" style="531" customWidth="1"/>
    <col min="118" max="118" width="5.77734375" style="531" customWidth="1"/>
    <col min="119" max="119" width="4.21875" style="531" customWidth="1"/>
    <col min="120" max="124" width="4.33203125" style="531" customWidth="1"/>
    <col min="125" max="125" width="5.44140625" style="531" customWidth="1"/>
    <col min="126" max="126" width="6" style="533" customWidth="1"/>
    <col min="127" max="16384" width="8.88671875" style="531"/>
  </cols>
  <sheetData>
    <row r="2" spans="1:256" s="539" customFormat="1" ht="18.75">
      <c r="A2" s="565" t="s">
        <v>4067</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644" t="s">
        <v>3942</v>
      </c>
      <c r="B4" s="2636" t="s">
        <v>3993</v>
      </c>
      <c r="C4" s="2636" t="s">
        <v>3788</v>
      </c>
      <c r="D4" s="2629" t="s">
        <v>1036</v>
      </c>
      <c r="E4" s="2629" t="s">
        <v>187</v>
      </c>
      <c r="F4" s="2629" t="s">
        <v>2027</v>
      </c>
      <c r="G4" s="2629" t="s">
        <v>2210</v>
      </c>
      <c r="H4" s="2629" t="s">
        <v>116</v>
      </c>
      <c r="I4" s="2629" t="s">
        <v>1153</v>
      </c>
      <c r="J4" s="2629" t="s">
        <v>1152</v>
      </c>
      <c r="K4" s="2629" t="s">
        <v>1151</v>
      </c>
      <c r="L4" s="2629" t="s">
        <v>2270</v>
      </c>
      <c r="M4" s="2629" t="s">
        <v>2269</v>
      </c>
      <c r="N4" s="2629" t="s">
        <v>2268</v>
      </c>
      <c r="O4" s="2629" t="s">
        <v>3796</v>
      </c>
      <c r="P4" s="2629" t="s">
        <v>3929</v>
      </c>
      <c r="Q4" s="2629" t="s">
        <v>3798</v>
      </c>
      <c r="R4" s="2631" t="s">
        <v>3996</v>
      </c>
      <c r="S4" s="2632"/>
      <c r="T4" s="2632"/>
      <c r="U4" s="2632"/>
      <c r="V4" s="2633"/>
      <c r="W4" s="2631" t="s">
        <v>3900</v>
      </c>
      <c r="X4" s="2632"/>
      <c r="Y4" s="2632"/>
      <c r="Z4" s="2632"/>
      <c r="AA4" s="2632"/>
      <c r="AB4" s="2632"/>
      <c r="AC4" s="2632"/>
      <c r="AD4" s="2632"/>
      <c r="AE4" s="2632"/>
      <c r="AF4" s="2632"/>
      <c r="AG4" s="2632"/>
      <c r="AH4" s="2632"/>
      <c r="AI4" s="2632"/>
      <c r="AJ4" s="2632"/>
      <c r="AK4" s="2632"/>
      <c r="AL4" s="2632"/>
      <c r="AM4" s="2632"/>
      <c r="AN4" s="2632"/>
      <c r="AO4" s="2632"/>
      <c r="AP4" s="2632"/>
      <c r="AQ4" s="2632"/>
      <c r="AR4" s="2632"/>
      <c r="AS4" s="2632"/>
      <c r="AT4" s="2632"/>
      <c r="AU4" s="2632"/>
      <c r="AV4" s="2633"/>
      <c r="AW4" s="945"/>
      <c r="AX4" s="948" t="s">
        <v>3800</v>
      </c>
      <c r="AY4" s="945"/>
      <c r="AZ4" s="945"/>
      <c r="BA4" s="945"/>
      <c r="BB4" s="945"/>
      <c r="BC4" s="945"/>
      <c r="BD4" s="945"/>
      <c r="BE4" s="945"/>
      <c r="BF4" s="945"/>
      <c r="BG4" s="945" t="s">
        <v>3903</v>
      </c>
      <c r="BH4" s="653"/>
      <c r="BI4" s="653"/>
      <c r="BJ4" s="653"/>
      <c r="BK4" s="653"/>
      <c r="BL4" s="653"/>
      <c r="BM4" s="653"/>
      <c r="BN4" s="653"/>
      <c r="BO4" s="653"/>
      <c r="BP4" s="653"/>
      <c r="BQ4" s="2629" t="s">
        <v>2393</v>
      </c>
      <c r="BR4" s="2629" t="s">
        <v>2398</v>
      </c>
      <c r="BS4" s="2629" t="s">
        <v>4586</v>
      </c>
      <c r="BT4" s="2629" t="s">
        <v>2393</v>
      </c>
      <c r="BU4" s="2629" t="s">
        <v>2399</v>
      </c>
      <c r="BV4" s="2629" t="s">
        <v>2400</v>
      </c>
      <c r="BW4" s="2636" t="s">
        <v>3946</v>
      </c>
      <c r="BX4" s="566" t="s">
        <v>2183</v>
      </c>
      <c r="BY4" s="577"/>
      <c r="BZ4" s="577"/>
      <c r="CA4" s="578"/>
      <c r="CB4" s="2641" t="s">
        <v>4001</v>
      </c>
      <c r="CC4" s="2641" t="s">
        <v>3948</v>
      </c>
      <c r="CD4" s="2641" t="s">
        <v>3949</v>
      </c>
      <c r="CE4" s="2641" t="s">
        <v>3950</v>
      </c>
      <c r="CF4" s="2641" t="s">
        <v>3951</v>
      </c>
      <c r="CG4" s="2641" t="s">
        <v>4068</v>
      </c>
      <c r="CH4" s="2638" t="s">
        <v>3953</v>
      </c>
      <c r="CI4" s="2639"/>
      <c r="CJ4" s="2639"/>
      <c r="CK4" s="2639"/>
      <c r="CL4" s="2639"/>
      <c r="CM4" s="2639"/>
      <c r="CN4" s="2639"/>
      <c r="CO4" s="2639"/>
      <c r="CP4" s="2639"/>
      <c r="CQ4" s="2639"/>
      <c r="CR4" s="2639"/>
      <c r="CS4" s="2639"/>
      <c r="CT4" s="2639"/>
      <c r="CU4" s="2640"/>
      <c r="CV4" s="2638" t="s">
        <v>3954</v>
      </c>
      <c r="CW4" s="2639"/>
      <c r="CX4" s="2639"/>
      <c r="CY4" s="2639"/>
      <c r="CZ4" s="2640"/>
      <c r="DA4" s="2638" t="s">
        <v>3955</v>
      </c>
      <c r="DB4" s="2639"/>
      <c r="DC4" s="2639"/>
      <c r="DD4" s="2640"/>
      <c r="DE4" s="2638" t="s">
        <v>2605</v>
      </c>
      <c r="DF4" s="2639"/>
      <c r="DG4" s="2639"/>
      <c r="DH4" s="2640"/>
      <c r="DI4" s="2638" t="s">
        <v>475</v>
      </c>
      <c r="DJ4" s="2640"/>
      <c r="DK4" s="2641" t="s">
        <v>4002</v>
      </c>
      <c r="DL4" s="2641" t="s">
        <v>3956</v>
      </c>
      <c r="DM4" s="2641" t="s">
        <v>3957</v>
      </c>
      <c r="DN4" s="2641" t="s">
        <v>3958</v>
      </c>
      <c r="DO4" s="2641" t="s">
        <v>2862</v>
      </c>
      <c r="DP4" s="2636" t="s">
        <v>4069</v>
      </c>
      <c r="DQ4" s="2636" t="s">
        <v>4582</v>
      </c>
      <c r="DR4" s="2636" t="s">
        <v>4583</v>
      </c>
      <c r="DS4" s="2636" t="s">
        <v>4584</v>
      </c>
      <c r="DT4" s="2636" t="s">
        <v>4005</v>
      </c>
      <c r="DU4" s="2636" t="s">
        <v>4158</v>
      </c>
      <c r="DV4" s="2634" t="s">
        <v>2610</v>
      </c>
    </row>
    <row r="5" spans="1:256" s="543" customFormat="1" ht="96.75">
      <c r="A5" s="2645"/>
      <c r="B5" s="2646"/>
      <c r="C5" s="2646"/>
      <c r="D5" s="2630"/>
      <c r="E5" s="2630"/>
      <c r="F5" s="2630"/>
      <c r="G5" s="2630"/>
      <c r="H5" s="2630"/>
      <c r="I5" s="2630"/>
      <c r="J5" s="2630"/>
      <c r="K5" s="2630"/>
      <c r="L5" s="2630"/>
      <c r="M5" s="2630"/>
      <c r="N5" s="2630"/>
      <c r="O5" s="2630"/>
      <c r="P5" s="2630"/>
      <c r="Q5" s="2630"/>
      <c r="R5" s="826" t="s">
        <v>301</v>
      </c>
      <c r="S5" s="826" t="s">
        <v>232</v>
      </c>
      <c r="T5" s="826" t="s">
        <v>185</v>
      </c>
      <c r="U5" s="826" t="s">
        <v>300</v>
      </c>
      <c r="V5" s="946" t="s">
        <v>4348</v>
      </c>
      <c r="W5" s="814" t="s">
        <v>87</v>
      </c>
      <c r="X5" s="814" t="s">
        <v>960</v>
      </c>
      <c r="Y5" s="814" t="s">
        <v>764</v>
      </c>
      <c r="Z5" s="814" t="s">
        <v>102</v>
      </c>
      <c r="AA5" s="814" t="s">
        <v>2184</v>
      </c>
      <c r="AB5" s="814" t="s">
        <v>234</v>
      </c>
      <c r="AC5" s="826" t="s">
        <v>2323</v>
      </c>
      <c r="AD5" s="826" t="s">
        <v>4157</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4007</v>
      </c>
      <c r="BG5" s="826" t="s">
        <v>1497</v>
      </c>
      <c r="BH5" s="826" t="s">
        <v>1498</v>
      </c>
      <c r="BI5" s="826" t="s">
        <v>1577</v>
      </c>
      <c r="BJ5" s="826" t="s">
        <v>1093</v>
      </c>
      <c r="BK5" s="826" t="s">
        <v>2154</v>
      </c>
      <c r="BL5" s="826" t="s">
        <v>1094</v>
      </c>
      <c r="BM5" s="826" t="s">
        <v>2155</v>
      </c>
      <c r="BN5" s="826" t="s">
        <v>1095</v>
      </c>
      <c r="BO5" s="826" t="s">
        <v>2052</v>
      </c>
      <c r="BP5" s="826" t="s">
        <v>1096</v>
      </c>
      <c r="BQ5" s="2630"/>
      <c r="BR5" s="2630"/>
      <c r="BS5" s="2630"/>
      <c r="BT5" s="2630"/>
      <c r="BU5" s="2630"/>
      <c r="BV5" s="2630"/>
      <c r="BW5" s="2637"/>
      <c r="BX5" s="826" t="s">
        <v>4008</v>
      </c>
      <c r="BY5" s="826" t="s">
        <v>4009</v>
      </c>
      <c r="BZ5" s="826" t="s">
        <v>3965</v>
      </c>
      <c r="CA5" s="826" t="s">
        <v>4580</v>
      </c>
      <c r="CB5" s="2642"/>
      <c r="CC5" s="2642"/>
      <c r="CD5" s="2642"/>
      <c r="CE5" s="2642"/>
      <c r="CF5" s="2642"/>
      <c r="CG5" s="2642"/>
      <c r="CH5" s="815" t="s">
        <v>3967</v>
      </c>
      <c r="CI5" s="815" t="s">
        <v>3972</v>
      </c>
      <c r="CJ5" s="815" t="s">
        <v>3968</v>
      </c>
      <c r="CK5" s="815" t="s">
        <v>4011</v>
      </c>
      <c r="CL5" s="815" t="s">
        <v>4012</v>
      </c>
      <c r="CM5" s="815" t="s">
        <v>4349</v>
      </c>
      <c r="CN5" s="815" t="s">
        <v>3970</v>
      </c>
      <c r="CO5" s="815" t="s">
        <v>4013</v>
      </c>
      <c r="CP5" s="815" t="s">
        <v>4014</v>
      </c>
      <c r="CQ5" s="815" t="s">
        <v>4070</v>
      </c>
      <c r="CR5" s="815" t="s">
        <v>4071</v>
      </c>
      <c r="CS5" s="815" t="s">
        <v>4072</v>
      </c>
      <c r="CT5" s="815" t="s">
        <v>3971</v>
      </c>
      <c r="CU5" s="815" t="s">
        <v>3972</v>
      </c>
      <c r="CV5" s="815" t="s">
        <v>3973</v>
      </c>
      <c r="CW5" s="815" t="s">
        <v>3974</v>
      </c>
      <c r="CX5" s="815" t="s">
        <v>3975</v>
      </c>
      <c r="CY5" s="815" t="s">
        <v>4321</v>
      </c>
      <c r="CZ5" s="815" t="s">
        <v>3976</v>
      </c>
      <c r="DA5" s="815" t="s">
        <v>4073</v>
      </c>
      <c r="DB5" s="815" t="s">
        <v>4074</v>
      </c>
      <c r="DC5" s="815" t="s">
        <v>3979</v>
      </c>
      <c r="DD5" s="815" t="s">
        <v>3978</v>
      </c>
      <c r="DE5" s="815" t="s">
        <v>4075</v>
      </c>
      <c r="DF5" s="815" t="s">
        <v>4076</v>
      </c>
      <c r="DG5" s="815" t="s">
        <v>3982</v>
      </c>
      <c r="DH5" s="815" t="s">
        <v>3981</v>
      </c>
      <c r="DI5" s="815" t="s">
        <v>4159</v>
      </c>
      <c r="DJ5" s="815" t="s">
        <v>4581</v>
      </c>
      <c r="DK5" s="2642"/>
      <c r="DL5" s="2642"/>
      <c r="DM5" s="2642"/>
      <c r="DN5" s="2642"/>
      <c r="DO5" s="2642"/>
      <c r="DP5" s="2637"/>
      <c r="DQ5" s="2637"/>
      <c r="DR5" s="2637"/>
      <c r="DS5" s="2637"/>
      <c r="DT5" s="2637"/>
      <c r="DU5" s="2637"/>
      <c r="DV5" s="2635"/>
    </row>
    <row r="6" spans="1:256" s="546" customFormat="1" ht="24.6"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5" hidden="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5">
      <c r="A8" s="943" t="s">
        <v>4797</v>
      </c>
      <c r="B8" s="1672"/>
      <c r="C8" s="1672"/>
      <c r="D8" s="1673"/>
      <c r="E8" s="1672"/>
      <c r="F8" s="1672"/>
      <c r="G8" s="1672"/>
      <c r="H8" s="1673"/>
      <c r="I8" s="1672"/>
      <c r="J8" s="1672"/>
      <c r="K8" s="1672"/>
      <c r="L8" s="1673"/>
      <c r="M8" s="1674"/>
      <c r="N8" s="1674"/>
      <c r="O8" s="1672"/>
      <c r="P8" s="1672"/>
      <c r="Q8" s="1672"/>
      <c r="R8" s="1673"/>
      <c r="S8" s="1673"/>
      <c r="T8" s="1673"/>
      <c r="U8" s="1673"/>
      <c r="V8" s="1673"/>
      <c r="W8" s="1673"/>
      <c r="X8" s="1673"/>
      <c r="Y8" s="1673"/>
      <c r="Z8" s="1673"/>
      <c r="AA8" s="1673"/>
      <c r="AB8" s="1673"/>
      <c r="AC8" s="1673"/>
      <c r="AD8" s="1673"/>
      <c r="AE8" s="1673"/>
      <c r="AF8" s="1673"/>
      <c r="AG8" s="1673"/>
      <c r="AH8" s="1673"/>
      <c r="AI8" s="1673"/>
      <c r="AJ8" s="1673"/>
      <c r="AK8" s="1673"/>
      <c r="AL8" s="1673"/>
      <c r="AM8" s="1673"/>
      <c r="AN8" s="1673"/>
      <c r="AO8" s="1673"/>
      <c r="AP8" s="1673"/>
      <c r="AQ8" s="1673"/>
      <c r="AR8" s="1673"/>
      <c r="AS8" s="1673"/>
      <c r="AT8" s="1673"/>
      <c r="AU8" s="1673"/>
      <c r="AV8" s="1673"/>
      <c r="AW8" s="1673"/>
      <c r="AX8" s="1673"/>
      <c r="AY8" s="1673"/>
      <c r="AZ8" s="1673"/>
      <c r="BA8" s="1673"/>
      <c r="BB8" s="1673"/>
      <c r="BC8" s="1673"/>
      <c r="BD8" s="1673"/>
      <c r="BE8" s="1673"/>
      <c r="BF8" s="1673"/>
      <c r="BG8" s="1673"/>
      <c r="BH8" s="1673"/>
      <c r="BI8" s="1673"/>
      <c r="BJ8" s="1673"/>
      <c r="BK8" s="1673"/>
      <c r="BL8" s="1673"/>
      <c r="BM8" s="1673"/>
      <c r="BN8" s="1673"/>
      <c r="BO8" s="1673"/>
      <c r="BP8" s="1673"/>
      <c r="BQ8" s="1673"/>
      <c r="BR8" s="1673"/>
      <c r="BS8" s="1673"/>
      <c r="BT8" s="1673"/>
      <c r="BU8" s="1673"/>
      <c r="BV8" s="1673"/>
      <c r="BW8" s="1673"/>
      <c r="BX8" s="1673"/>
      <c r="BY8" s="1673"/>
      <c r="BZ8" s="1673"/>
      <c r="CA8" s="1673"/>
      <c r="CB8" s="1673"/>
      <c r="CC8" s="1673"/>
      <c r="CD8" s="1673"/>
      <c r="CE8" s="1679"/>
      <c r="CF8" s="1673"/>
      <c r="CG8" s="1673"/>
      <c r="CH8" s="1673"/>
      <c r="CI8" s="1673"/>
      <c r="CJ8" s="1673"/>
      <c r="CK8" s="1673"/>
      <c r="CL8" s="1673"/>
      <c r="CM8" s="1673"/>
      <c r="CN8" s="1673"/>
      <c r="CO8" s="1673"/>
      <c r="CP8" s="1673"/>
      <c r="CQ8" s="1673"/>
      <c r="CR8" s="1673"/>
      <c r="CS8" s="1673"/>
      <c r="CT8" s="1673"/>
      <c r="CU8" s="1673"/>
      <c r="CV8" s="1673"/>
      <c r="CW8" s="1673"/>
      <c r="CX8" s="1673"/>
      <c r="CY8" s="1675"/>
      <c r="CZ8" s="1673"/>
      <c r="DA8" s="1673"/>
      <c r="DB8" s="1673"/>
      <c r="DC8" s="1673"/>
      <c r="DD8" s="1673"/>
      <c r="DE8" s="1673"/>
      <c r="DF8" s="1673"/>
      <c r="DG8" s="1673"/>
      <c r="DH8" s="1673"/>
      <c r="DI8" s="1673"/>
      <c r="DJ8" s="1673"/>
      <c r="DK8" s="1673"/>
      <c r="DL8" s="1673"/>
      <c r="DM8" s="1673"/>
      <c r="DN8" s="1673"/>
      <c r="DO8" s="1673"/>
      <c r="DP8" s="1673"/>
      <c r="DQ8" s="1673"/>
      <c r="DR8" s="1673"/>
      <c r="DS8" s="1673"/>
      <c r="DT8" s="1673"/>
      <c r="DU8" s="1673"/>
      <c r="DV8" s="1676"/>
      <c r="IR8" s="756"/>
      <c r="IS8" s="756"/>
      <c r="IT8" s="756"/>
      <c r="IU8" s="756"/>
      <c r="IV8" s="756"/>
    </row>
    <row r="9" spans="1:256" s="755" customFormat="1" ht="15">
      <c r="A9" s="1677" t="s">
        <v>5144</v>
      </c>
      <c r="B9" s="1678"/>
      <c r="C9" s="1678"/>
      <c r="D9" s="1679"/>
      <c r="E9" s="1678"/>
      <c r="F9" s="1678"/>
      <c r="G9" s="1678"/>
      <c r="H9" s="1679"/>
      <c r="I9" s="1678"/>
      <c r="J9" s="1678"/>
      <c r="K9" s="1678"/>
      <c r="L9" s="1679"/>
      <c r="M9" s="1680"/>
      <c r="N9" s="1680"/>
      <c r="O9" s="1678"/>
      <c r="P9" s="1678"/>
      <c r="Q9" s="1678"/>
      <c r="R9" s="1679"/>
      <c r="S9" s="1679"/>
      <c r="T9" s="1679"/>
      <c r="U9" s="1679"/>
      <c r="V9" s="1679"/>
      <c r="W9" s="1679"/>
      <c r="X9" s="1679"/>
      <c r="Y9" s="1679"/>
      <c r="Z9" s="1679"/>
      <c r="AA9" s="1679"/>
      <c r="AB9" s="1679"/>
      <c r="AC9" s="1679"/>
      <c r="AD9" s="1679"/>
      <c r="AE9" s="1679"/>
      <c r="AF9" s="1679"/>
      <c r="AG9" s="1679"/>
      <c r="AH9" s="1679"/>
      <c r="AI9" s="1679"/>
      <c r="AJ9" s="1679"/>
      <c r="AK9" s="1679"/>
      <c r="AL9" s="1679"/>
      <c r="AM9" s="1679"/>
      <c r="AN9" s="1679"/>
      <c r="AO9" s="1679"/>
      <c r="AP9" s="1679"/>
      <c r="AQ9" s="1679"/>
      <c r="AR9" s="1679"/>
      <c r="AS9" s="1679"/>
      <c r="AT9" s="1679"/>
      <c r="AU9" s="1679"/>
      <c r="AV9" s="1679"/>
      <c r="AW9" s="1679"/>
      <c r="AX9" s="1679"/>
      <c r="AY9" s="1679"/>
      <c r="AZ9" s="1679"/>
      <c r="BA9" s="1679"/>
      <c r="BB9" s="1679"/>
      <c r="BC9" s="1679"/>
      <c r="BD9" s="1679"/>
      <c r="BE9" s="1679"/>
      <c r="BF9" s="1679"/>
      <c r="BG9" s="1679"/>
      <c r="BH9" s="1679"/>
      <c r="BI9" s="1679"/>
      <c r="BJ9" s="1679"/>
      <c r="BK9" s="1679"/>
      <c r="BL9" s="1679"/>
      <c r="BM9" s="1679"/>
      <c r="BN9" s="1679"/>
      <c r="BO9" s="1679"/>
      <c r="BP9" s="1679"/>
      <c r="BQ9" s="1679"/>
      <c r="BR9" s="1679"/>
      <c r="BS9" s="1679"/>
      <c r="BT9" s="1679"/>
      <c r="BU9" s="1679"/>
      <c r="BV9" s="1679"/>
      <c r="BW9" s="1679"/>
      <c r="BX9" s="1679"/>
      <c r="BY9" s="1679"/>
      <c r="BZ9" s="1679"/>
      <c r="CA9" s="1679"/>
      <c r="CB9" s="1679"/>
      <c r="CC9" s="1679"/>
      <c r="CD9" s="1679"/>
      <c r="CE9" s="1679"/>
      <c r="CF9" s="1679"/>
      <c r="CG9" s="1679"/>
      <c r="CH9" s="1679"/>
      <c r="CI9" s="1679"/>
      <c r="CJ9" s="1679"/>
      <c r="CK9" s="1679"/>
      <c r="CL9" s="1679"/>
      <c r="CM9" s="1679"/>
      <c r="CN9" s="1679"/>
      <c r="CO9" s="1679"/>
      <c r="CP9" s="1679"/>
      <c r="CQ9" s="1679"/>
      <c r="CR9" s="1679"/>
      <c r="CS9" s="1679"/>
      <c r="CT9" s="1679"/>
      <c r="CU9" s="1679"/>
      <c r="CV9" s="1679"/>
      <c r="CW9" s="1679"/>
      <c r="CX9" s="1679"/>
      <c r="CY9" s="819"/>
      <c r="CZ9" s="1679"/>
      <c r="DA9" s="1679"/>
      <c r="DB9" s="1679"/>
      <c r="DC9" s="1679"/>
      <c r="DD9" s="1679"/>
      <c r="DE9" s="1679"/>
      <c r="DF9" s="1679"/>
      <c r="DG9" s="1679"/>
      <c r="DH9" s="1679"/>
      <c r="DI9" s="1679"/>
      <c r="DJ9" s="1679"/>
      <c r="DK9" s="1679"/>
      <c r="DL9" s="1679"/>
      <c r="DM9" s="1679"/>
      <c r="DN9" s="1679"/>
      <c r="DO9" s="768"/>
      <c r="DP9" s="1679"/>
      <c r="DQ9" s="1679"/>
      <c r="DR9" s="1679"/>
      <c r="DS9" s="1679"/>
      <c r="DT9" s="1679"/>
      <c r="DU9" s="1679"/>
      <c r="DV9" s="1681"/>
      <c r="IR9" s="756"/>
      <c r="IS9" s="756"/>
      <c r="IT9" s="756"/>
      <c r="IU9" s="756"/>
      <c r="IV9" s="756"/>
    </row>
    <row r="10" spans="1:256" s="755" customFormat="1" ht="15">
      <c r="A10" s="1677" t="s">
        <v>5145</v>
      </c>
      <c r="B10" s="1678"/>
      <c r="C10" s="1678"/>
      <c r="D10" s="1679"/>
      <c r="E10" s="1678"/>
      <c r="F10" s="1678"/>
      <c r="G10" s="1678"/>
      <c r="H10" s="1679"/>
      <c r="I10" s="1678"/>
      <c r="J10" s="1678"/>
      <c r="K10" s="1678"/>
      <c r="L10" s="1679"/>
      <c r="M10" s="1680"/>
      <c r="N10" s="1680"/>
      <c r="O10" s="1678"/>
      <c r="P10" s="1678"/>
      <c r="Q10" s="1678"/>
      <c r="R10" s="1679"/>
      <c r="S10" s="1679"/>
      <c r="T10" s="1679"/>
      <c r="U10" s="1679"/>
      <c r="V10" s="1679"/>
      <c r="W10" s="1679"/>
      <c r="X10" s="1679"/>
      <c r="Y10" s="1679"/>
      <c r="Z10" s="1679"/>
      <c r="AA10" s="1679"/>
      <c r="AB10" s="1679"/>
      <c r="AC10" s="1679"/>
      <c r="AD10" s="1679"/>
      <c r="AE10" s="1679"/>
      <c r="AF10" s="1679"/>
      <c r="AG10" s="1679"/>
      <c r="AH10" s="1679"/>
      <c r="AI10" s="1679"/>
      <c r="AJ10" s="1679"/>
      <c r="AK10" s="1679"/>
      <c r="AL10" s="1679"/>
      <c r="AM10" s="1679"/>
      <c r="AN10" s="1679"/>
      <c r="AO10" s="1679"/>
      <c r="AP10" s="1679"/>
      <c r="AQ10" s="1679"/>
      <c r="AR10" s="1679"/>
      <c r="AS10" s="1679"/>
      <c r="AT10" s="1679"/>
      <c r="AU10" s="1679"/>
      <c r="AV10" s="1679"/>
      <c r="AW10" s="1679"/>
      <c r="AX10" s="1679"/>
      <c r="AY10" s="1679"/>
      <c r="AZ10" s="1679"/>
      <c r="BA10" s="1679"/>
      <c r="BB10" s="1679"/>
      <c r="BC10" s="1679"/>
      <c r="BD10" s="1679"/>
      <c r="BE10" s="1679"/>
      <c r="BF10" s="1679"/>
      <c r="BG10" s="1679"/>
      <c r="BH10" s="1679"/>
      <c r="BI10" s="1679"/>
      <c r="BJ10" s="1679"/>
      <c r="BK10" s="1679"/>
      <c r="BL10" s="1679"/>
      <c r="BM10" s="1679"/>
      <c r="BN10" s="1679"/>
      <c r="BO10" s="1679"/>
      <c r="BP10" s="1679"/>
      <c r="BQ10" s="1679"/>
      <c r="BR10" s="1679"/>
      <c r="BS10" s="1679"/>
      <c r="BT10" s="1679"/>
      <c r="BU10" s="1679"/>
      <c r="BV10" s="1679"/>
      <c r="BW10" s="1679"/>
      <c r="BX10" s="1679"/>
      <c r="BY10" s="1679"/>
      <c r="BZ10" s="1679"/>
      <c r="CA10" s="1679"/>
      <c r="CB10" s="1679"/>
      <c r="CC10" s="1679"/>
      <c r="CD10" s="1679"/>
      <c r="CE10" s="1679"/>
      <c r="CF10" s="1679"/>
      <c r="CG10" s="1679"/>
      <c r="CH10" s="1679"/>
      <c r="CI10" s="1679"/>
      <c r="CJ10" s="1679"/>
      <c r="CK10" s="1679"/>
      <c r="CL10" s="1679"/>
      <c r="CM10" s="1679"/>
      <c r="CN10" s="1679"/>
      <c r="CO10" s="1679"/>
      <c r="CP10" s="1679"/>
      <c r="CQ10" s="1679"/>
      <c r="CR10" s="1679"/>
      <c r="CS10" s="1679"/>
      <c r="CT10" s="1679"/>
      <c r="CU10" s="1679"/>
      <c r="CV10" s="1679"/>
      <c r="CW10" s="1679"/>
      <c r="CX10" s="1679"/>
      <c r="CY10" s="819"/>
      <c r="CZ10" s="1679"/>
      <c r="DA10" s="1679"/>
      <c r="DB10" s="1679"/>
      <c r="DC10" s="1679"/>
      <c r="DD10" s="1679"/>
      <c r="DE10" s="1679"/>
      <c r="DF10" s="1679"/>
      <c r="DG10" s="1679"/>
      <c r="DH10" s="1679"/>
      <c r="DI10" s="1679"/>
      <c r="DJ10" s="1679"/>
      <c r="DK10" s="1679"/>
      <c r="DL10" s="1679"/>
      <c r="DM10" s="1679"/>
      <c r="DN10" s="1679"/>
      <c r="DO10" s="768"/>
      <c r="DP10" s="1679"/>
      <c r="DQ10" s="1679"/>
      <c r="DR10" s="1679"/>
      <c r="DS10" s="1679"/>
      <c r="DT10" s="1679"/>
      <c r="DU10" s="1679"/>
      <c r="DV10" s="1681"/>
      <c r="IR10" s="756"/>
      <c r="IS10" s="756"/>
      <c r="IT10" s="756"/>
      <c r="IU10" s="756"/>
      <c r="IV10" s="756"/>
    </row>
    <row r="11" spans="1:256" s="755" customFormat="1" ht="15">
      <c r="A11" s="1677" t="s">
        <v>5146</v>
      </c>
      <c r="B11" s="1682"/>
      <c r="C11" s="1680"/>
      <c r="D11" s="1680"/>
      <c r="E11" s="1680"/>
      <c r="F11" s="1680"/>
      <c r="G11" s="1680"/>
      <c r="H11" s="1680"/>
      <c r="I11" s="1680"/>
      <c r="J11" s="1678"/>
      <c r="K11" s="1678"/>
      <c r="L11" s="1680"/>
      <c r="M11" s="1680"/>
      <c r="N11" s="1680"/>
      <c r="O11" s="1678"/>
      <c r="P11" s="1678"/>
      <c r="Q11" s="1678"/>
      <c r="R11" s="1679"/>
      <c r="S11" s="1679"/>
      <c r="T11" s="1679"/>
      <c r="U11" s="1679"/>
      <c r="V11" s="1679"/>
      <c r="W11" s="1679"/>
      <c r="X11" s="1679"/>
      <c r="Y11" s="1679"/>
      <c r="Z11" s="1679"/>
      <c r="AA11" s="1679"/>
      <c r="AB11" s="1679"/>
      <c r="AC11" s="1679"/>
      <c r="AD11" s="1679"/>
      <c r="AE11" s="1679"/>
      <c r="AF11" s="1679"/>
      <c r="AG11" s="1679"/>
      <c r="AH11" s="1679"/>
      <c r="AI11" s="1679"/>
      <c r="AJ11" s="1679"/>
      <c r="AK11" s="1679"/>
      <c r="AL11" s="1679"/>
      <c r="AM11" s="1679"/>
      <c r="AN11" s="1679"/>
      <c r="AO11" s="1679"/>
      <c r="AP11" s="1679"/>
      <c r="AQ11" s="1679"/>
      <c r="AR11" s="1679"/>
      <c r="AS11" s="1679"/>
      <c r="AT11" s="1679"/>
      <c r="AU11" s="1679"/>
      <c r="AV11" s="1679"/>
      <c r="AW11" s="1679"/>
      <c r="AX11" s="1679"/>
      <c r="AY11" s="1679"/>
      <c r="AZ11" s="1679"/>
      <c r="BA11" s="1679"/>
      <c r="BB11" s="1679"/>
      <c r="BC11" s="1679"/>
      <c r="BD11" s="1679"/>
      <c r="BE11" s="1679"/>
      <c r="BF11" s="1679"/>
      <c r="BG11" s="1679"/>
      <c r="BH11" s="1679"/>
      <c r="BI11" s="1679"/>
      <c r="BJ11" s="1679"/>
      <c r="BK11" s="1679"/>
      <c r="BL11" s="1679"/>
      <c r="BM11" s="1679"/>
      <c r="BN11" s="1679"/>
      <c r="BO11" s="1679"/>
      <c r="BP11" s="1679"/>
      <c r="BQ11" s="1679"/>
      <c r="BR11" s="1679"/>
      <c r="BS11" s="1679"/>
      <c r="BT11" s="1679"/>
      <c r="BU11" s="1679"/>
      <c r="BV11" s="1679"/>
      <c r="BW11" s="1679"/>
      <c r="BX11" s="1679"/>
      <c r="BY11" s="1679"/>
      <c r="BZ11" s="1679"/>
      <c r="CA11" s="1679"/>
      <c r="CB11" s="1679"/>
      <c r="CC11" s="1679"/>
      <c r="CD11" s="1679"/>
      <c r="CE11" s="1679"/>
      <c r="CF11" s="1679"/>
      <c r="CG11" s="1679"/>
      <c r="CH11" s="1679"/>
      <c r="CI11" s="1679"/>
      <c r="CJ11" s="1679"/>
      <c r="CK11" s="1679"/>
      <c r="CL11" s="1679"/>
      <c r="CM11" s="1679"/>
      <c r="CN11" s="1679"/>
      <c r="CO11" s="1679"/>
      <c r="CP11" s="1679"/>
      <c r="CQ11" s="1679"/>
      <c r="CR11" s="1679"/>
      <c r="CS11" s="1679"/>
      <c r="CT11" s="1679"/>
      <c r="CU11" s="1679"/>
      <c r="CV11" s="1679"/>
      <c r="CW11" s="1679"/>
      <c r="CX11" s="1679"/>
      <c r="CY11" s="819"/>
      <c r="CZ11" s="1679"/>
      <c r="DA11" s="1679"/>
      <c r="DB11" s="1679"/>
      <c r="DC11" s="1679"/>
      <c r="DD11" s="1679"/>
      <c r="DE11" s="1679"/>
      <c r="DF11" s="1679"/>
      <c r="DG11" s="1679"/>
      <c r="DH11" s="1679"/>
      <c r="DI11" s="1679"/>
      <c r="DJ11" s="1679"/>
      <c r="DK11" s="1679"/>
      <c r="DL11" s="1679"/>
      <c r="DM11" s="1679"/>
      <c r="DN11" s="1679"/>
      <c r="DO11" s="768"/>
      <c r="DP11" s="1679"/>
      <c r="DQ11" s="1679"/>
      <c r="DR11" s="1679"/>
      <c r="DS11" s="1679"/>
      <c r="DT11" s="1679"/>
      <c r="DU11" s="1679"/>
      <c r="DV11" s="1681"/>
      <c r="IR11" s="756"/>
      <c r="IS11" s="756"/>
      <c r="IT11" s="756"/>
      <c r="IU11" s="756"/>
      <c r="IV11" s="756"/>
    </row>
    <row r="12" spans="1:256" s="755" customFormat="1" ht="15">
      <c r="A12" s="1677" t="s">
        <v>5147</v>
      </c>
      <c r="B12" s="1680"/>
      <c r="C12" s="1680"/>
      <c r="D12" s="1680"/>
      <c r="E12" s="1680"/>
      <c r="F12" s="1680"/>
      <c r="G12" s="1680"/>
      <c r="H12" s="1680"/>
      <c r="I12" s="1680"/>
      <c r="J12" s="1678"/>
      <c r="K12" s="1678"/>
      <c r="L12" s="1680"/>
      <c r="M12" s="1680"/>
      <c r="N12" s="1680"/>
      <c r="O12" s="1678"/>
      <c r="P12" s="1678"/>
      <c r="Q12" s="1678"/>
      <c r="R12" s="1679"/>
      <c r="S12" s="1679"/>
      <c r="T12" s="1679"/>
      <c r="U12" s="1679"/>
      <c r="V12" s="1679"/>
      <c r="W12" s="1679"/>
      <c r="X12" s="1679"/>
      <c r="Y12" s="1679"/>
      <c r="Z12" s="1679"/>
      <c r="AA12" s="1679"/>
      <c r="AB12" s="1679"/>
      <c r="AC12" s="1679"/>
      <c r="AD12" s="1679"/>
      <c r="AE12" s="1679"/>
      <c r="AF12" s="1679"/>
      <c r="AG12" s="1679"/>
      <c r="AH12" s="1679"/>
      <c r="AI12" s="1679"/>
      <c r="AJ12" s="1679"/>
      <c r="AK12" s="1679"/>
      <c r="AL12" s="1679"/>
      <c r="AM12" s="1679"/>
      <c r="AN12" s="1679"/>
      <c r="AO12" s="1679"/>
      <c r="AP12" s="1679"/>
      <c r="AQ12" s="1679"/>
      <c r="AR12" s="1679"/>
      <c r="AS12" s="1679"/>
      <c r="AT12" s="1679"/>
      <c r="AU12" s="1679"/>
      <c r="AV12" s="1679"/>
      <c r="AW12" s="1679"/>
      <c r="AX12" s="1679"/>
      <c r="AY12" s="1679"/>
      <c r="AZ12" s="1679"/>
      <c r="BA12" s="1679"/>
      <c r="BB12" s="1679"/>
      <c r="BC12" s="1679"/>
      <c r="BD12" s="1679"/>
      <c r="BE12" s="1679"/>
      <c r="BF12" s="1679"/>
      <c r="BG12" s="1679"/>
      <c r="BH12" s="1679"/>
      <c r="BI12" s="1679"/>
      <c r="BJ12" s="1679"/>
      <c r="BK12" s="1679"/>
      <c r="BL12" s="1679"/>
      <c r="BM12" s="1679"/>
      <c r="BN12" s="1679"/>
      <c r="BO12" s="1679"/>
      <c r="BP12" s="1679"/>
      <c r="BQ12" s="1679"/>
      <c r="BR12" s="1679"/>
      <c r="BS12" s="1679"/>
      <c r="BT12" s="1679"/>
      <c r="BU12" s="1679"/>
      <c r="BV12" s="1679"/>
      <c r="BW12" s="1679"/>
      <c r="BX12" s="1679"/>
      <c r="BY12" s="1679"/>
      <c r="BZ12" s="1679"/>
      <c r="CA12" s="1679"/>
      <c r="CB12" s="1679"/>
      <c r="CC12" s="1679"/>
      <c r="CD12" s="1679"/>
      <c r="CE12" s="1679"/>
      <c r="CF12" s="1679"/>
      <c r="CG12" s="1679"/>
      <c r="CH12" s="1679"/>
      <c r="CI12" s="1679"/>
      <c r="CJ12" s="1679"/>
      <c r="CK12" s="1679"/>
      <c r="CL12" s="1679"/>
      <c r="CM12" s="1679"/>
      <c r="CN12" s="1679"/>
      <c r="CO12" s="1679"/>
      <c r="CP12" s="1679"/>
      <c r="CQ12" s="1679"/>
      <c r="CR12" s="1679"/>
      <c r="CS12" s="1679"/>
      <c r="CT12" s="1679"/>
      <c r="CU12" s="1679"/>
      <c r="CV12" s="1679"/>
      <c r="CW12" s="1679"/>
      <c r="CX12" s="1679"/>
      <c r="CY12" s="819"/>
      <c r="CZ12" s="1679"/>
      <c r="DA12" s="1679"/>
      <c r="DB12" s="1679"/>
      <c r="DC12" s="1679"/>
      <c r="DD12" s="1679"/>
      <c r="DE12" s="1679"/>
      <c r="DF12" s="1679"/>
      <c r="DG12" s="1679"/>
      <c r="DH12" s="1679"/>
      <c r="DI12" s="1679"/>
      <c r="DJ12" s="1679"/>
      <c r="DK12" s="1679"/>
      <c r="DL12" s="1679"/>
      <c r="DM12" s="1679"/>
      <c r="DN12" s="1679"/>
      <c r="DO12" s="768"/>
      <c r="DP12" s="1679"/>
      <c r="DQ12" s="1679"/>
      <c r="DR12" s="1679"/>
      <c r="DS12" s="1679"/>
      <c r="DT12" s="1679"/>
      <c r="DU12" s="1679"/>
      <c r="DV12" s="1681"/>
      <c r="IR12" s="756"/>
      <c r="IS12" s="756"/>
      <c r="IT12" s="756"/>
      <c r="IU12" s="756"/>
      <c r="IV12" s="756"/>
    </row>
    <row r="13" spans="1:256" s="755" customFormat="1" ht="15">
      <c r="A13" s="1677" t="s">
        <v>5148</v>
      </c>
      <c r="B13" s="1682"/>
      <c r="C13" s="1680"/>
      <c r="D13" s="1680"/>
      <c r="E13" s="1680"/>
      <c r="F13" s="1680"/>
      <c r="G13" s="1680"/>
      <c r="H13" s="1680"/>
      <c r="I13" s="1680"/>
      <c r="J13" s="1678"/>
      <c r="K13" s="1680"/>
      <c r="L13" s="1680"/>
      <c r="M13" s="1680"/>
      <c r="N13" s="1680"/>
      <c r="O13" s="1678"/>
      <c r="P13" s="1678"/>
      <c r="Q13" s="1678"/>
      <c r="R13" s="1679"/>
      <c r="S13" s="1679"/>
      <c r="T13" s="1679"/>
      <c r="U13" s="1679"/>
      <c r="V13" s="1679"/>
      <c r="W13" s="1679"/>
      <c r="X13" s="1679"/>
      <c r="Y13" s="1679"/>
      <c r="Z13" s="1679"/>
      <c r="AA13" s="1679"/>
      <c r="AB13" s="1679"/>
      <c r="AC13" s="1679"/>
      <c r="AD13" s="1679"/>
      <c r="AE13" s="1679"/>
      <c r="AF13" s="1679"/>
      <c r="AG13" s="1679"/>
      <c r="AH13" s="1679"/>
      <c r="AI13" s="1679"/>
      <c r="AJ13" s="1679"/>
      <c r="AK13" s="1679"/>
      <c r="AL13" s="1679"/>
      <c r="AM13" s="1679"/>
      <c r="AN13" s="1679"/>
      <c r="AO13" s="1679"/>
      <c r="AP13" s="1679"/>
      <c r="AQ13" s="1679"/>
      <c r="AR13" s="1679"/>
      <c r="AS13" s="1679"/>
      <c r="AT13" s="1679"/>
      <c r="AU13" s="1679"/>
      <c r="AV13" s="1679"/>
      <c r="AW13" s="1679"/>
      <c r="AX13" s="1679"/>
      <c r="AY13" s="1679"/>
      <c r="AZ13" s="1679"/>
      <c r="BA13" s="1679"/>
      <c r="BB13" s="1679"/>
      <c r="BC13" s="1679"/>
      <c r="BD13" s="1679"/>
      <c r="BE13" s="1679"/>
      <c r="BF13" s="1679"/>
      <c r="BG13" s="1679"/>
      <c r="BH13" s="1679"/>
      <c r="BI13" s="1679"/>
      <c r="BJ13" s="1679"/>
      <c r="BK13" s="1679"/>
      <c r="BL13" s="1679"/>
      <c r="BM13" s="1679"/>
      <c r="BN13" s="1679"/>
      <c r="BO13" s="1679"/>
      <c r="BP13" s="1679"/>
      <c r="BQ13" s="1679"/>
      <c r="BR13" s="1679"/>
      <c r="BS13" s="1679"/>
      <c r="BT13" s="1679"/>
      <c r="BU13" s="1679"/>
      <c r="BV13" s="1679"/>
      <c r="BW13" s="1679"/>
      <c r="BX13" s="1679"/>
      <c r="BY13" s="1679"/>
      <c r="BZ13" s="1679"/>
      <c r="CA13" s="1679"/>
      <c r="CB13" s="1679"/>
      <c r="CC13" s="1679"/>
      <c r="CD13" s="1679"/>
      <c r="CE13" s="1679"/>
      <c r="CF13" s="1679"/>
      <c r="CG13" s="1679"/>
      <c r="CH13" s="1679"/>
      <c r="CI13" s="1679"/>
      <c r="CJ13" s="1679"/>
      <c r="CK13" s="1679"/>
      <c r="CL13" s="1679"/>
      <c r="CM13" s="1679"/>
      <c r="CN13" s="1679"/>
      <c r="CO13" s="1679"/>
      <c r="CP13" s="1679"/>
      <c r="CQ13" s="1679"/>
      <c r="CR13" s="1679"/>
      <c r="CS13" s="1679"/>
      <c r="CT13" s="1679"/>
      <c r="CU13" s="1679"/>
      <c r="CV13" s="1679"/>
      <c r="CW13" s="1679"/>
      <c r="CX13" s="1679"/>
      <c r="CY13" s="819"/>
      <c r="CZ13" s="1679"/>
      <c r="DA13" s="1679"/>
      <c r="DB13" s="1679"/>
      <c r="DC13" s="1679"/>
      <c r="DD13" s="1679"/>
      <c r="DE13" s="1679"/>
      <c r="DF13" s="1679"/>
      <c r="DG13" s="1679"/>
      <c r="DH13" s="1679"/>
      <c r="DI13" s="1679"/>
      <c r="DJ13" s="1679"/>
      <c r="DK13" s="1679"/>
      <c r="DL13" s="1679"/>
      <c r="DM13" s="1679"/>
      <c r="DN13" s="1679"/>
      <c r="DO13" s="768"/>
      <c r="DP13" s="1679"/>
      <c r="DQ13" s="1679"/>
      <c r="DR13" s="1679"/>
      <c r="DS13" s="1679"/>
      <c r="DT13" s="1679"/>
      <c r="DU13" s="1679"/>
      <c r="DV13" s="1681"/>
      <c r="IR13" s="756"/>
      <c r="IS13" s="756"/>
      <c r="IT13" s="756"/>
      <c r="IU13" s="756"/>
      <c r="IV13" s="756"/>
    </row>
    <row r="14" spans="1:256" s="755" customFormat="1" ht="15">
      <c r="A14" s="1677" t="s">
        <v>5149</v>
      </c>
      <c r="B14" s="1680"/>
      <c r="C14" s="1680"/>
      <c r="D14" s="1680"/>
      <c r="E14" s="1680"/>
      <c r="F14" s="1680"/>
      <c r="G14" s="1680"/>
      <c r="H14" s="1680"/>
      <c r="I14" s="1680"/>
      <c r="J14" s="1678"/>
      <c r="K14" s="1680"/>
      <c r="L14" s="1680"/>
      <c r="M14" s="1680"/>
      <c r="N14" s="1680"/>
      <c r="O14" s="1678"/>
      <c r="P14" s="1678"/>
      <c r="Q14" s="1678"/>
      <c r="R14" s="1679"/>
      <c r="S14" s="1679"/>
      <c r="T14" s="1679"/>
      <c r="U14" s="1679"/>
      <c r="V14" s="1679"/>
      <c r="W14" s="1679"/>
      <c r="X14" s="1679"/>
      <c r="Y14" s="1679"/>
      <c r="Z14" s="1679"/>
      <c r="AA14" s="1679"/>
      <c r="AB14" s="1679"/>
      <c r="AC14" s="1679"/>
      <c r="AD14" s="1679"/>
      <c r="AE14" s="1679"/>
      <c r="AF14" s="1679"/>
      <c r="AG14" s="1679"/>
      <c r="AH14" s="1679"/>
      <c r="AI14" s="1679"/>
      <c r="AJ14" s="1679"/>
      <c r="AK14" s="1679"/>
      <c r="AL14" s="1679"/>
      <c r="AM14" s="1679"/>
      <c r="AN14" s="1679"/>
      <c r="AO14" s="1679"/>
      <c r="AP14" s="1679"/>
      <c r="AQ14" s="1679"/>
      <c r="AR14" s="1679"/>
      <c r="AS14" s="1679"/>
      <c r="AT14" s="1679"/>
      <c r="AU14" s="1679"/>
      <c r="AV14" s="1679"/>
      <c r="AW14" s="1679"/>
      <c r="AX14" s="1679"/>
      <c r="AY14" s="1679"/>
      <c r="AZ14" s="1679"/>
      <c r="BA14" s="1679"/>
      <c r="BB14" s="1679"/>
      <c r="BC14" s="1679"/>
      <c r="BD14" s="1679"/>
      <c r="BE14" s="1679"/>
      <c r="BF14" s="1679"/>
      <c r="BG14" s="1679"/>
      <c r="BH14" s="1679"/>
      <c r="BI14" s="1679"/>
      <c r="BJ14" s="1679"/>
      <c r="BK14" s="1679"/>
      <c r="BL14" s="1679"/>
      <c r="BM14" s="1679"/>
      <c r="BN14" s="1679"/>
      <c r="BO14" s="1679"/>
      <c r="BP14" s="1679"/>
      <c r="BQ14" s="1679"/>
      <c r="BR14" s="1679"/>
      <c r="BS14" s="1679"/>
      <c r="BT14" s="1679"/>
      <c r="BU14" s="1679"/>
      <c r="BV14" s="1679"/>
      <c r="BW14" s="1679"/>
      <c r="BX14" s="1679"/>
      <c r="BY14" s="1679"/>
      <c r="BZ14" s="1679"/>
      <c r="CA14" s="1679"/>
      <c r="CB14" s="1679"/>
      <c r="CC14" s="1679"/>
      <c r="CD14" s="1679"/>
      <c r="CE14" s="1679"/>
      <c r="CF14" s="1679"/>
      <c r="CG14" s="1679"/>
      <c r="CH14" s="1679"/>
      <c r="CI14" s="1679"/>
      <c r="CJ14" s="1679"/>
      <c r="CK14" s="1679"/>
      <c r="CL14" s="1679"/>
      <c r="CM14" s="1679"/>
      <c r="CN14" s="1679"/>
      <c r="CO14" s="1679"/>
      <c r="CP14" s="1679"/>
      <c r="CQ14" s="1679"/>
      <c r="CR14" s="1679"/>
      <c r="CS14" s="1679"/>
      <c r="CT14" s="1679"/>
      <c r="CU14" s="1679"/>
      <c r="CV14" s="1679"/>
      <c r="CW14" s="1679"/>
      <c r="CX14" s="1679"/>
      <c r="CY14" s="819"/>
      <c r="CZ14" s="1679"/>
      <c r="DA14" s="1679"/>
      <c r="DB14" s="1679"/>
      <c r="DC14" s="1679"/>
      <c r="DD14" s="1679"/>
      <c r="DE14" s="1679"/>
      <c r="DF14" s="1679"/>
      <c r="DG14" s="1679"/>
      <c r="DH14" s="1679"/>
      <c r="DI14" s="1679"/>
      <c r="DJ14" s="1679"/>
      <c r="DK14" s="1679"/>
      <c r="DL14" s="1679"/>
      <c r="DM14" s="1679"/>
      <c r="DN14" s="1679"/>
      <c r="DO14" s="768"/>
      <c r="DP14" s="1679"/>
      <c r="DQ14" s="1679"/>
      <c r="DR14" s="1679"/>
      <c r="DS14" s="1679"/>
      <c r="DT14" s="1679"/>
      <c r="DU14" s="1679"/>
      <c r="DV14" s="1681"/>
      <c r="IR14" s="756"/>
      <c r="IS14" s="756"/>
      <c r="IT14" s="756"/>
      <c r="IU14" s="756"/>
      <c r="IV14" s="756"/>
    </row>
    <row r="15" spans="1:256" s="755" customFormat="1" ht="15">
      <c r="A15" s="1677" t="s">
        <v>5150</v>
      </c>
      <c r="B15" s="1682"/>
      <c r="C15" s="1680"/>
      <c r="D15" s="1680"/>
      <c r="E15" s="1680"/>
      <c r="F15" s="1680"/>
      <c r="G15" s="1680"/>
      <c r="H15" s="1680"/>
      <c r="I15" s="1680"/>
      <c r="J15" s="1678"/>
      <c r="K15" s="1680"/>
      <c r="L15" s="1680"/>
      <c r="M15" s="1680"/>
      <c r="N15" s="1680"/>
      <c r="O15" s="1678"/>
      <c r="P15" s="1678"/>
      <c r="Q15" s="1678"/>
      <c r="R15" s="1679"/>
      <c r="S15" s="1679"/>
      <c r="T15" s="1679"/>
      <c r="U15" s="1679"/>
      <c r="V15" s="1679"/>
      <c r="W15" s="1679"/>
      <c r="X15" s="1679"/>
      <c r="Y15" s="1679"/>
      <c r="Z15" s="1679"/>
      <c r="AA15" s="1679"/>
      <c r="AB15" s="1679"/>
      <c r="AC15" s="1679"/>
      <c r="AD15" s="1679"/>
      <c r="AE15" s="1679"/>
      <c r="AF15" s="1679"/>
      <c r="AG15" s="1679"/>
      <c r="AH15" s="1679"/>
      <c r="AI15" s="1679"/>
      <c r="AJ15" s="1679"/>
      <c r="AK15" s="1679"/>
      <c r="AL15" s="1679"/>
      <c r="AM15" s="1679"/>
      <c r="AN15" s="1679"/>
      <c r="AO15" s="1679"/>
      <c r="AP15" s="1679"/>
      <c r="AQ15" s="1679"/>
      <c r="AR15" s="1679"/>
      <c r="AS15" s="1679"/>
      <c r="AT15" s="1679"/>
      <c r="AU15" s="1679"/>
      <c r="AV15" s="1679"/>
      <c r="AW15" s="1679"/>
      <c r="AX15" s="1679"/>
      <c r="AY15" s="1679"/>
      <c r="AZ15" s="1679"/>
      <c r="BA15" s="1679"/>
      <c r="BB15" s="1679"/>
      <c r="BC15" s="1679"/>
      <c r="BD15" s="1679"/>
      <c r="BE15" s="1679"/>
      <c r="BF15" s="1679"/>
      <c r="BG15" s="1679"/>
      <c r="BH15" s="1679"/>
      <c r="BI15" s="1679"/>
      <c r="BJ15" s="1679"/>
      <c r="BK15" s="1679"/>
      <c r="BL15" s="1679"/>
      <c r="BM15" s="1679"/>
      <c r="BN15" s="1679"/>
      <c r="BO15" s="1679"/>
      <c r="BP15" s="1679"/>
      <c r="BQ15" s="1679"/>
      <c r="BR15" s="1679"/>
      <c r="BS15" s="1679"/>
      <c r="BT15" s="1679"/>
      <c r="BU15" s="1679"/>
      <c r="BV15" s="1679"/>
      <c r="BW15" s="1679"/>
      <c r="BX15" s="1679"/>
      <c r="BY15" s="1679"/>
      <c r="BZ15" s="1679"/>
      <c r="CA15" s="1679"/>
      <c r="CB15" s="1679"/>
      <c r="CC15" s="1679"/>
      <c r="CD15" s="1679"/>
      <c r="CE15" s="1679"/>
      <c r="CF15" s="1679"/>
      <c r="CG15" s="1679"/>
      <c r="CH15" s="1679"/>
      <c r="CI15" s="1679"/>
      <c r="CJ15" s="1679"/>
      <c r="CK15" s="1679"/>
      <c r="CL15" s="1679"/>
      <c r="CM15" s="1679"/>
      <c r="CN15" s="1679"/>
      <c r="CO15" s="1679"/>
      <c r="CP15" s="1679"/>
      <c r="CQ15" s="1679"/>
      <c r="CR15" s="1679"/>
      <c r="CS15" s="1679"/>
      <c r="CT15" s="1679"/>
      <c r="CU15" s="1679"/>
      <c r="CV15" s="1679"/>
      <c r="CW15" s="1679"/>
      <c r="CX15" s="1679"/>
      <c r="CY15" s="819"/>
      <c r="CZ15" s="1679"/>
      <c r="DA15" s="1679"/>
      <c r="DB15" s="1679"/>
      <c r="DC15" s="1679"/>
      <c r="DD15" s="1679"/>
      <c r="DE15" s="1679"/>
      <c r="DF15" s="1679"/>
      <c r="DG15" s="1679"/>
      <c r="DH15" s="1679"/>
      <c r="DI15" s="1679"/>
      <c r="DJ15" s="1679"/>
      <c r="DK15" s="1679"/>
      <c r="DL15" s="1679"/>
      <c r="DM15" s="1679"/>
      <c r="DN15" s="1679"/>
      <c r="DO15" s="768"/>
      <c r="DP15" s="1679"/>
      <c r="DQ15" s="1679"/>
      <c r="DR15" s="1679"/>
      <c r="DS15" s="1679"/>
      <c r="DT15" s="1679"/>
      <c r="DU15" s="1679"/>
      <c r="DV15" s="1681"/>
      <c r="IR15" s="756"/>
      <c r="IS15" s="756"/>
      <c r="IT15" s="756"/>
      <c r="IU15" s="756"/>
      <c r="IV15" s="756"/>
    </row>
    <row r="16" spans="1:256" s="755" customFormat="1" ht="15">
      <c r="A16" s="1677" t="s">
        <v>5151</v>
      </c>
      <c r="B16" s="1680"/>
      <c r="C16" s="1680"/>
      <c r="D16" s="1680"/>
      <c r="E16" s="1680"/>
      <c r="F16" s="1680"/>
      <c r="G16" s="1680"/>
      <c r="H16" s="1680"/>
      <c r="I16" s="1680"/>
      <c r="J16" s="1678"/>
      <c r="K16" s="1680"/>
      <c r="L16" s="1680"/>
      <c r="M16" s="1680"/>
      <c r="N16" s="1680"/>
      <c r="O16" s="1678"/>
      <c r="P16" s="1678"/>
      <c r="Q16" s="1678"/>
      <c r="R16" s="1679"/>
      <c r="S16" s="1679"/>
      <c r="T16" s="1679"/>
      <c r="U16" s="1679"/>
      <c r="V16" s="1679"/>
      <c r="W16" s="1679"/>
      <c r="X16" s="1679"/>
      <c r="Y16" s="1679"/>
      <c r="Z16" s="1679"/>
      <c r="AA16" s="1679"/>
      <c r="AB16" s="1679"/>
      <c r="AC16" s="1679"/>
      <c r="AD16" s="1679"/>
      <c r="AE16" s="1679"/>
      <c r="AF16" s="1679"/>
      <c r="AG16" s="1679"/>
      <c r="AH16" s="1679"/>
      <c r="AI16" s="1679"/>
      <c r="AJ16" s="1679"/>
      <c r="AK16" s="1679"/>
      <c r="AL16" s="1679"/>
      <c r="AM16" s="1679"/>
      <c r="AN16" s="1679"/>
      <c r="AO16" s="1679"/>
      <c r="AP16" s="1679"/>
      <c r="AQ16" s="1679"/>
      <c r="AR16" s="1679"/>
      <c r="AS16" s="1679"/>
      <c r="AT16" s="1679"/>
      <c r="AU16" s="1679"/>
      <c r="AV16" s="1679"/>
      <c r="AW16" s="1679"/>
      <c r="AX16" s="1679"/>
      <c r="AY16" s="1679"/>
      <c r="AZ16" s="1679"/>
      <c r="BA16" s="1679"/>
      <c r="BB16" s="1679"/>
      <c r="BC16" s="1679"/>
      <c r="BD16" s="1679"/>
      <c r="BE16" s="1679"/>
      <c r="BF16" s="1679"/>
      <c r="BG16" s="1679"/>
      <c r="BH16" s="1679"/>
      <c r="BI16" s="1679"/>
      <c r="BJ16" s="1679"/>
      <c r="BK16" s="1679"/>
      <c r="BL16" s="1679"/>
      <c r="BM16" s="1679"/>
      <c r="BN16" s="1679"/>
      <c r="BO16" s="1679"/>
      <c r="BP16" s="1679"/>
      <c r="BQ16" s="1679"/>
      <c r="BR16" s="1679"/>
      <c r="BS16" s="1679"/>
      <c r="BT16" s="1679"/>
      <c r="BU16" s="1679"/>
      <c r="BV16" s="1679"/>
      <c r="BW16" s="1679"/>
      <c r="BX16" s="1679"/>
      <c r="BY16" s="1679"/>
      <c r="BZ16" s="1679"/>
      <c r="CA16" s="1679"/>
      <c r="CB16" s="1679"/>
      <c r="CC16" s="1679"/>
      <c r="CD16" s="1679"/>
      <c r="CE16" s="1679"/>
      <c r="CF16" s="1679"/>
      <c r="CG16" s="1679"/>
      <c r="CH16" s="1679"/>
      <c r="CI16" s="1679"/>
      <c r="CJ16" s="1679"/>
      <c r="CK16" s="1679"/>
      <c r="CL16" s="1679"/>
      <c r="CM16" s="1679"/>
      <c r="CN16" s="1679"/>
      <c r="CO16" s="1679"/>
      <c r="CP16" s="1679"/>
      <c r="CQ16" s="1679"/>
      <c r="CR16" s="1679"/>
      <c r="CS16" s="1679"/>
      <c r="CT16" s="1679"/>
      <c r="CU16" s="1679"/>
      <c r="CV16" s="1679"/>
      <c r="CW16" s="1679"/>
      <c r="CX16" s="1679"/>
      <c r="CY16" s="819"/>
      <c r="CZ16" s="1679"/>
      <c r="DA16" s="1679"/>
      <c r="DB16" s="1679"/>
      <c r="DC16" s="1679"/>
      <c r="DD16" s="1679"/>
      <c r="DE16" s="1679"/>
      <c r="DF16" s="1679"/>
      <c r="DG16" s="1679"/>
      <c r="DH16" s="1679"/>
      <c r="DI16" s="1679"/>
      <c r="DJ16" s="1679"/>
      <c r="DK16" s="1679"/>
      <c r="DL16" s="1679"/>
      <c r="DM16" s="1679"/>
      <c r="DN16" s="1679"/>
      <c r="DO16" s="768"/>
      <c r="DP16" s="1679"/>
      <c r="DQ16" s="1679"/>
      <c r="DR16" s="1679"/>
      <c r="DS16" s="1679"/>
      <c r="DT16" s="1679"/>
      <c r="DU16" s="1679"/>
      <c r="DV16" s="1681"/>
      <c r="IR16" s="756"/>
      <c r="IS16" s="756"/>
      <c r="IT16" s="756"/>
      <c r="IU16" s="756"/>
      <c r="IV16" s="756"/>
    </row>
    <row r="17" spans="1:256" s="755" customFormat="1" ht="15">
      <c r="A17" s="1677" t="s">
        <v>5152</v>
      </c>
      <c r="B17" s="1682"/>
      <c r="C17" s="1680"/>
      <c r="D17" s="1680"/>
      <c r="E17" s="1680"/>
      <c r="F17" s="1680"/>
      <c r="G17" s="1680"/>
      <c r="H17" s="1680"/>
      <c r="I17" s="1680"/>
      <c r="J17" s="1678"/>
      <c r="K17" s="1680"/>
      <c r="L17" s="1680"/>
      <c r="M17" s="1680"/>
      <c r="N17" s="1680"/>
      <c r="O17" s="1678"/>
      <c r="P17" s="1678"/>
      <c r="Q17" s="1678"/>
      <c r="R17" s="1679"/>
      <c r="S17" s="1679"/>
      <c r="T17" s="1679"/>
      <c r="U17" s="1679"/>
      <c r="V17" s="1679"/>
      <c r="W17" s="1679"/>
      <c r="X17" s="1679"/>
      <c r="Y17" s="1679"/>
      <c r="Z17" s="1679"/>
      <c r="AA17" s="1679"/>
      <c r="AB17" s="1679"/>
      <c r="AC17" s="1679"/>
      <c r="AD17" s="1679"/>
      <c r="AE17" s="1679"/>
      <c r="AF17" s="1679"/>
      <c r="AG17" s="1679"/>
      <c r="AH17" s="1679"/>
      <c r="AI17" s="1679"/>
      <c r="AJ17" s="1679"/>
      <c r="AK17" s="1679"/>
      <c r="AL17" s="1679"/>
      <c r="AM17" s="1679"/>
      <c r="AN17" s="1679"/>
      <c r="AO17" s="1679"/>
      <c r="AP17" s="1679"/>
      <c r="AQ17" s="1679"/>
      <c r="AR17" s="1679"/>
      <c r="AS17" s="1679"/>
      <c r="AT17" s="1679"/>
      <c r="AU17" s="1679"/>
      <c r="AV17" s="1679"/>
      <c r="AW17" s="1679"/>
      <c r="AX17" s="1679"/>
      <c r="AY17" s="1679"/>
      <c r="AZ17" s="1679"/>
      <c r="BA17" s="1679"/>
      <c r="BB17" s="1679"/>
      <c r="BC17" s="1679"/>
      <c r="BD17" s="1679"/>
      <c r="BE17" s="1679"/>
      <c r="BF17" s="1679"/>
      <c r="BG17" s="1679"/>
      <c r="BH17" s="1679"/>
      <c r="BI17" s="1679"/>
      <c r="BJ17" s="1679"/>
      <c r="BK17" s="1679"/>
      <c r="BL17" s="1679"/>
      <c r="BM17" s="1679"/>
      <c r="BN17" s="1679"/>
      <c r="BO17" s="1679"/>
      <c r="BP17" s="1679"/>
      <c r="BQ17" s="1679"/>
      <c r="BR17" s="1679"/>
      <c r="BS17" s="1679"/>
      <c r="BT17" s="1679"/>
      <c r="BU17" s="1679"/>
      <c r="BV17" s="1679"/>
      <c r="BW17" s="1679"/>
      <c r="BX17" s="1679"/>
      <c r="BY17" s="1679"/>
      <c r="BZ17" s="1679"/>
      <c r="CA17" s="1679"/>
      <c r="CB17" s="1679"/>
      <c r="CC17" s="1679"/>
      <c r="CD17" s="1679"/>
      <c r="CE17" s="1679"/>
      <c r="CF17" s="1679"/>
      <c r="CG17" s="1679"/>
      <c r="CH17" s="1679"/>
      <c r="CI17" s="1679"/>
      <c r="CJ17" s="1679"/>
      <c r="CK17" s="1679"/>
      <c r="CL17" s="1679"/>
      <c r="CM17" s="1679"/>
      <c r="CN17" s="1679"/>
      <c r="CO17" s="1679"/>
      <c r="CP17" s="1679"/>
      <c r="CQ17" s="1679"/>
      <c r="CR17" s="1679"/>
      <c r="CS17" s="1679"/>
      <c r="CT17" s="1679"/>
      <c r="CU17" s="1679"/>
      <c r="CV17" s="1679"/>
      <c r="CW17" s="1679"/>
      <c r="CX17" s="1679"/>
      <c r="CY17" s="819"/>
      <c r="CZ17" s="1679"/>
      <c r="DA17" s="1679"/>
      <c r="DB17" s="1679"/>
      <c r="DC17" s="1679"/>
      <c r="DD17" s="1679"/>
      <c r="DE17" s="1679"/>
      <c r="DF17" s="1679"/>
      <c r="DG17" s="1679"/>
      <c r="DH17" s="1679"/>
      <c r="DI17" s="1679"/>
      <c r="DJ17" s="1679"/>
      <c r="DK17" s="1679"/>
      <c r="DL17" s="1679"/>
      <c r="DM17" s="1679"/>
      <c r="DN17" s="1679"/>
      <c r="DO17" s="768"/>
      <c r="DP17" s="1679"/>
      <c r="DQ17" s="1679"/>
      <c r="DR17" s="1679"/>
      <c r="DS17" s="1679"/>
      <c r="DT17" s="1679"/>
      <c r="DU17" s="1679"/>
      <c r="DV17" s="1681"/>
      <c r="IR17" s="756"/>
      <c r="IS17" s="756"/>
      <c r="IT17" s="756"/>
      <c r="IU17" s="756"/>
      <c r="IV17" s="756"/>
    </row>
    <row r="18" spans="1:256" s="755" customFormat="1" ht="15">
      <c r="A18" s="1677" t="s">
        <v>5153</v>
      </c>
      <c r="B18" s="1680"/>
      <c r="C18" s="1680"/>
      <c r="D18" s="1680"/>
      <c r="E18" s="1680"/>
      <c r="F18" s="1680"/>
      <c r="G18" s="1680"/>
      <c r="H18" s="1680"/>
      <c r="I18" s="1680"/>
      <c r="J18" s="1678"/>
      <c r="K18" s="1680"/>
      <c r="L18" s="1680"/>
      <c r="M18" s="1680"/>
      <c r="N18" s="1680"/>
      <c r="O18" s="1678"/>
      <c r="P18" s="1678"/>
      <c r="Q18" s="1678"/>
      <c r="R18" s="1679"/>
      <c r="S18" s="1679"/>
      <c r="T18" s="1679"/>
      <c r="U18" s="1679"/>
      <c r="V18" s="1679"/>
      <c r="W18" s="1679"/>
      <c r="X18" s="1679"/>
      <c r="Y18" s="1679"/>
      <c r="Z18" s="1679"/>
      <c r="AA18" s="1679"/>
      <c r="AB18" s="1679"/>
      <c r="AC18" s="1679"/>
      <c r="AD18" s="1679"/>
      <c r="AE18" s="1679"/>
      <c r="AF18" s="1679"/>
      <c r="AG18" s="1679"/>
      <c r="AH18" s="1679"/>
      <c r="AI18" s="1679"/>
      <c r="AJ18" s="1679"/>
      <c r="AK18" s="1679"/>
      <c r="AL18" s="1679"/>
      <c r="AM18" s="1679"/>
      <c r="AN18" s="1679"/>
      <c r="AO18" s="1679"/>
      <c r="AP18" s="1679"/>
      <c r="AQ18" s="1679"/>
      <c r="AR18" s="1679"/>
      <c r="AS18" s="1679"/>
      <c r="AT18" s="1679"/>
      <c r="AU18" s="1679"/>
      <c r="AV18" s="1679"/>
      <c r="AW18" s="1679"/>
      <c r="AX18" s="1679"/>
      <c r="AY18" s="1679"/>
      <c r="AZ18" s="1679"/>
      <c r="BA18" s="1679"/>
      <c r="BB18" s="1679"/>
      <c r="BC18" s="1679"/>
      <c r="BD18" s="1679"/>
      <c r="BE18" s="1679"/>
      <c r="BF18" s="1679"/>
      <c r="BG18" s="1679"/>
      <c r="BH18" s="1679"/>
      <c r="BI18" s="1679"/>
      <c r="BJ18" s="1679"/>
      <c r="BK18" s="1679"/>
      <c r="BL18" s="1679"/>
      <c r="BM18" s="1679"/>
      <c r="BN18" s="1679"/>
      <c r="BO18" s="1679"/>
      <c r="BP18" s="1679"/>
      <c r="BQ18" s="1679"/>
      <c r="BR18" s="1679"/>
      <c r="BS18" s="1679"/>
      <c r="BT18" s="1679"/>
      <c r="BU18" s="1679"/>
      <c r="BV18" s="1679"/>
      <c r="BW18" s="1679"/>
      <c r="BX18" s="1679"/>
      <c r="BY18" s="1679"/>
      <c r="BZ18" s="1679"/>
      <c r="CA18" s="1679"/>
      <c r="CB18" s="1679"/>
      <c r="CC18" s="1679"/>
      <c r="CD18" s="1679"/>
      <c r="CE18" s="1679"/>
      <c r="CF18" s="1679"/>
      <c r="CG18" s="1679"/>
      <c r="CH18" s="1679"/>
      <c r="CI18" s="1679"/>
      <c r="CJ18" s="1679"/>
      <c r="CK18" s="1679"/>
      <c r="CL18" s="1679"/>
      <c r="CM18" s="1679"/>
      <c r="CN18" s="1679"/>
      <c r="CO18" s="1679"/>
      <c r="CP18" s="1679"/>
      <c r="CQ18" s="1679"/>
      <c r="CR18" s="1679"/>
      <c r="CS18" s="1679"/>
      <c r="CT18" s="1679"/>
      <c r="CU18" s="1679"/>
      <c r="CV18" s="1679"/>
      <c r="CW18" s="1679"/>
      <c r="CX18" s="1679"/>
      <c r="CY18" s="819"/>
      <c r="CZ18" s="1679"/>
      <c r="DA18" s="1679"/>
      <c r="DB18" s="1679"/>
      <c r="DC18" s="1679"/>
      <c r="DD18" s="1679"/>
      <c r="DE18" s="1679"/>
      <c r="DF18" s="1679"/>
      <c r="DG18" s="1679"/>
      <c r="DH18" s="1679"/>
      <c r="DI18" s="1679"/>
      <c r="DJ18" s="1679"/>
      <c r="DK18" s="1679"/>
      <c r="DL18" s="1679"/>
      <c r="DM18" s="1679"/>
      <c r="DN18" s="1679"/>
      <c r="DO18" s="768"/>
      <c r="DP18" s="1679"/>
      <c r="DQ18" s="1679"/>
      <c r="DR18" s="1679"/>
      <c r="DS18" s="1679"/>
      <c r="DT18" s="1679"/>
      <c r="DU18" s="1679"/>
      <c r="DV18" s="1681"/>
      <c r="IR18" s="756"/>
      <c r="IS18" s="756"/>
      <c r="IT18" s="756"/>
      <c r="IU18" s="756"/>
      <c r="IV18" s="756"/>
    </row>
    <row r="19" spans="1:256" s="755" customFormat="1" ht="15">
      <c r="A19" s="1677" t="s">
        <v>5154</v>
      </c>
      <c r="B19" s="1682"/>
      <c r="C19" s="1680"/>
      <c r="D19" s="1680"/>
      <c r="E19" s="1680"/>
      <c r="F19" s="1680"/>
      <c r="G19" s="1680"/>
      <c r="H19" s="1680"/>
      <c r="I19" s="1680"/>
      <c r="J19" s="1678"/>
      <c r="K19" s="1680"/>
      <c r="L19" s="1680"/>
      <c r="M19" s="1680"/>
      <c r="N19" s="1680"/>
      <c r="O19" s="1678"/>
      <c r="P19" s="1678"/>
      <c r="Q19" s="1678"/>
      <c r="R19" s="1679"/>
      <c r="S19" s="1679"/>
      <c r="T19" s="1679"/>
      <c r="U19" s="1679"/>
      <c r="V19" s="1679"/>
      <c r="W19" s="1679"/>
      <c r="X19" s="1679"/>
      <c r="Y19" s="1679"/>
      <c r="Z19" s="1679"/>
      <c r="AA19" s="1679"/>
      <c r="AB19" s="1679"/>
      <c r="AC19" s="1679"/>
      <c r="AD19" s="1679"/>
      <c r="AE19" s="1679"/>
      <c r="AF19" s="1679"/>
      <c r="AG19" s="1679"/>
      <c r="AH19" s="1679"/>
      <c r="AI19" s="1679"/>
      <c r="AJ19" s="1679"/>
      <c r="AK19" s="1679"/>
      <c r="AL19" s="1679"/>
      <c r="AM19" s="1679"/>
      <c r="AN19" s="1679"/>
      <c r="AO19" s="1679"/>
      <c r="AP19" s="1679"/>
      <c r="AQ19" s="1679"/>
      <c r="AR19" s="1679"/>
      <c r="AS19" s="1679"/>
      <c r="AT19" s="1679"/>
      <c r="AU19" s="1679"/>
      <c r="AV19" s="1679"/>
      <c r="AW19" s="1679"/>
      <c r="AX19" s="1679"/>
      <c r="AY19" s="1679"/>
      <c r="AZ19" s="1679"/>
      <c r="BA19" s="1679"/>
      <c r="BB19" s="1679"/>
      <c r="BC19" s="1679"/>
      <c r="BD19" s="1679"/>
      <c r="BE19" s="1679"/>
      <c r="BF19" s="1679"/>
      <c r="BG19" s="1679"/>
      <c r="BH19" s="1679"/>
      <c r="BI19" s="1679"/>
      <c r="BJ19" s="1679"/>
      <c r="BK19" s="1679"/>
      <c r="BL19" s="1679"/>
      <c r="BM19" s="1679"/>
      <c r="BN19" s="1679"/>
      <c r="BO19" s="1679"/>
      <c r="BP19" s="1679"/>
      <c r="BQ19" s="1679"/>
      <c r="BR19" s="1679"/>
      <c r="BS19" s="1679"/>
      <c r="BT19" s="1679"/>
      <c r="BU19" s="1679"/>
      <c r="BV19" s="1679"/>
      <c r="BW19" s="1679"/>
      <c r="BX19" s="1679"/>
      <c r="BY19" s="1679"/>
      <c r="BZ19" s="1679"/>
      <c r="CA19" s="1679"/>
      <c r="CB19" s="1679"/>
      <c r="CC19" s="1679"/>
      <c r="CD19" s="1679"/>
      <c r="CE19" s="1679"/>
      <c r="CF19" s="1679"/>
      <c r="CG19" s="1679"/>
      <c r="CH19" s="1679"/>
      <c r="CI19" s="1679"/>
      <c r="CJ19" s="1679"/>
      <c r="CK19" s="1679"/>
      <c r="CL19" s="1679"/>
      <c r="CM19" s="1679"/>
      <c r="CN19" s="1679"/>
      <c r="CO19" s="1679"/>
      <c r="CP19" s="1679"/>
      <c r="CQ19" s="1679"/>
      <c r="CR19" s="1679"/>
      <c r="CS19" s="1679"/>
      <c r="CT19" s="1679"/>
      <c r="CU19" s="1679"/>
      <c r="CV19" s="1679"/>
      <c r="CW19" s="1679"/>
      <c r="CX19" s="1679"/>
      <c r="CY19" s="1679"/>
      <c r="CZ19" s="1679"/>
      <c r="DA19" s="1679"/>
      <c r="DB19" s="1679"/>
      <c r="DC19" s="1679"/>
      <c r="DD19" s="1679"/>
      <c r="DE19" s="1679"/>
      <c r="DF19" s="1679"/>
      <c r="DG19" s="1679"/>
      <c r="DH19" s="1679"/>
      <c r="DI19" s="1679"/>
      <c r="DJ19" s="1679"/>
      <c r="DK19" s="1679"/>
      <c r="DL19" s="1679"/>
      <c r="DM19" s="1679"/>
      <c r="DN19" s="1679"/>
      <c r="DO19" s="1679"/>
      <c r="DP19" s="1679"/>
      <c r="DQ19" s="1679"/>
      <c r="DR19" s="1679"/>
      <c r="DS19" s="1679"/>
      <c r="DT19" s="1679"/>
      <c r="DU19" s="1679"/>
      <c r="DV19" s="1681"/>
      <c r="IR19" s="756"/>
      <c r="IS19" s="756"/>
      <c r="IT19" s="756"/>
      <c r="IU19" s="756"/>
      <c r="IV19" s="756"/>
    </row>
    <row r="20" spans="1:256" s="755" customFormat="1" ht="15">
      <c r="A20" s="1677" t="s">
        <v>5155</v>
      </c>
      <c r="B20" s="1682"/>
      <c r="C20" s="1680"/>
      <c r="D20" s="1680"/>
      <c r="E20" s="1680"/>
      <c r="F20" s="1680"/>
      <c r="G20" s="1680"/>
      <c r="H20" s="1680"/>
      <c r="I20" s="1680"/>
      <c r="J20" s="1678"/>
      <c r="K20" s="1680"/>
      <c r="L20" s="1680"/>
      <c r="M20" s="1680"/>
      <c r="N20" s="1680"/>
      <c r="O20" s="1678"/>
      <c r="P20" s="1678"/>
      <c r="Q20" s="1678"/>
      <c r="R20" s="1679"/>
      <c r="S20" s="1679"/>
      <c r="T20" s="1679"/>
      <c r="U20" s="1679"/>
      <c r="V20" s="1679"/>
      <c r="W20" s="1679"/>
      <c r="X20" s="1679"/>
      <c r="Y20" s="1679"/>
      <c r="Z20" s="1679"/>
      <c r="AA20" s="1679"/>
      <c r="AB20" s="1679"/>
      <c r="AC20" s="1679"/>
      <c r="AD20" s="1679"/>
      <c r="AE20" s="1679"/>
      <c r="AF20" s="1679"/>
      <c r="AG20" s="1679"/>
      <c r="AH20" s="1679"/>
      <c r="AI20" s="1679"/>
      <c r="AJ20" s="1679"/>
      <c r="AK20" s="1679"/>
      <c r="AL20" s="1679"/>
      <c r="AM20" s="1679"/>
      <c r="AN20" s="1679"/>
      <c r="AO20" s="1679"/>
      <c r="AP20" s="1679"/>
      <c r="AQ20" s="1679"/>
      <c r="AR20" s="1679"/>
      <c r="AS20" s="1679"/>
      <c r="AT20" s="1679"/>
      <c r="AU20" s="1679"/>
      <c r="AV20" s="1679"/>
      <c r="AW20" s="1679"/>
      <c r="AX20" s="1679"/>
      <c r="AY20" s="1679"/>
      <c r="AZ20" s="1679"/>
      <c r="BA20" s="1679"/>
      <c r="BB20" s="1679"/>
      <c r="BC20" s="1679"/>
      <c r="BD20" s="1679"/>
      <c r="BE20" s="1679"/>
      <c r="BF20" s="1679"/>
      <c r="BG20" s="1679"/>
      <c r="BH20" s="1679"/>
      <c r="BI20" s="1679"/>
      <c r="BJ20" s="1679"/>
      <c r="BK20" s="1679"/>
      <c r="BL20" s="1679"/>
      <c r="BM20" s="1679"/>
      <c r="BN20" s="1679"/>
      <c r="BO20" s="1679"/>
      <c r="BP20" s="1679"/>
      <c r="BQ20" s="1679"/>
      <c r="BR20" s="1679"/>
      <c r="BS20" s="1679"/>
      <c r="BT20" s="1679"/>
      <c r="BU20" s="1679"/>
      <c r="BV20" s="1679"/>
      <c r="BW20" s="1679"/>
      <c r="BX20" s="1679"/>
      <c r="BY20" s="1679"/>
      <c r="BZ20" s="1679"/>
      <c r="CA20" s="1679"/>
      <c r="CB20" s="1679"/>
      <c r="CC20" s="1679"/>
      <c r="CD20" s="1679"/>
      <c r="CE20" s="1679"/>
      <c r="CF20" s="1679"/>
      <c r="CG20" s="1679"/>
      <c r="CH20" s="1679"/>
      <c r="CI20" s="1679"/>
      <c r="CJ20" s="1679"/>
      <c r="CK20" s="1679"/>
      <c r="CL20" s="1679"/>
      <c r="CM20" s="1679"/>
      <c r="CN20" s="1679"/>
      <c r="CO20" s="1679"/>
      <c r="CP20" s="1679"/>
      <c r="CQ20" s="1679"/>
      <c r="CR20" s="1679"/>
      <c r="CS20" s="1679"/>
      <c r="CT20" s="1679"/>
      <c r="CU20" s="1679"/>
      <c r="CV20" s="1679"/>
      <c r="CW20" s="1679"/>
      <c r="CX20" s="1679"/>
      <c r="CY20" s="1679"/>
      <c r="CZ20" s="1679"/>
      <c r="DA20" s="1679"/>
      <c r="DB20" s="1679"/>
      <c r="DC20" s="1679"/>
      <c r="DD20" s="1679"/>
      <c r="DE20" s="1679"/>
      <c r="DF20" s="1679"/>
      <c r="DG20" s="1679"/>
      <c r="DH20" s="1679"/>
      <c r="DI20" s="1679"/>
      <c r="DJ20" s="1679"/>
      <c r="DK20" s="1679"/>
      <c r="DL20" s="1679"/>
      <c r="DM20" s="1679"/>
      <c r="DN20" s="1679"/>
      <c r="DO20" s="1679"/>
      <c r="DP20" s="1679"/>
      <c r="DQ20" s="1679"/>
      <c r="DR20" s="1679"/>
      <c r="DS20" s="1679"/>
      <c r="DT20" s="1679"/>
      <c r="DU20" s="1679"/>
      <c r="DV20" s="1681"/>
      <c r="IR20" s="756"/>
      <c r="IS20" s="756"/>
      <c r="IT20" s="756"/>
      <c r="IU20" s="756"/>
      <c r="IV20" s="756"/>
    </row>
    <row r="21" spans="1:256" s="757" customFormat="1" ht="15">
      <c r="A21" s="1677" t="s">
        <v>5156</v>
      </c>
      <c r="B21" s="1680"/>
      <c r="C21" s="1680"/>
      <c r="D21" s="1680"/>
      <c r="E21" s="1680"/>
      <c r="F21" s="1680"/>
      <c r="G21" s="1680"/>
      <c r="H21" s="1680"/>
      <c r="I21" s="1680"/>
      <c r="J21" s="1678"/>
      <c r="K21" s="1680"/>
      <c r="L21" s="1680"/>
      <c r="M21" s="1683"/>
      <c r="N21" s="1683"/>
      <c r="O21" s="1683"/>
      <c r="P21" s="1683"/>
      <c r="Q21" s="1678"/>
      <c r="R21" s="1679"/>
      <c r="S21" s="1679"/>
      <c r="T21" s="1679"/>
      <c r="U21" s="1679"/>
      <c r="V21" s="1679"/>
      <c r="W21" s="1679"/>
      <c r="X21" s="1679"/>
      <c r="Y21" s="1679"/>
      <c r="Z21" s="1679"/>
      <c r="AA21" s="1679"/>
      <c r="AB21" s="1679"/>
      <c r="AC21" s="1679"/>
      <c r="AD21" s="1679"/>
      <c r="AE21" s="1679"/>
      <c r="AF21" s="1679"/>
      <c r="AG21" s="1679"/>
      <c r="AH21" s="1679"/>
      <c r="AI21" s="1679"/>
      <c r="AJ21" s="1679"/>
      <c r="AK21" s="1679"/>
      <c r="AL21" s="1679"/>
      <c r="AM21" s="1679"/>
      <c r="AN21" s="1679"/>
      <c r="AO21" s="1679"/>
      <c r="AP21" s="1679"/>
      <c r="AQ21" s="1679"/>
      <c r="AR21" s="1679"/>
      <c r="AS21" s="1679"/>
      <c r="AT21" s="1679"/>
      <c r="AU21" s="1679"/>
      <c r="AV21" s="1679"/>
      <c r="AW21" s="1679"/>
      <c r="AX21" s="1679"/>
      <c r="AY21" s="1679"/>
      <c r="AZ21" s="1679"/>
      <c r="BA21" s="1679"/>
      <c r="BB21" s="1679"/>
      <c r="BC21" s="1679"/>
      <c r="BD21" s="1679"/>
      <c r="BE21" s="1679"/>
      <c r="BF21" s="1679"/>
      <c r="BG21" s="1679"/>
      <c r="BH21" s="1679"/>
      <c r="BI21" s="1679"/>
      <c r="BJ21" s="1679"/>
      <c r="BK21" s="1679"/>
      <c r="BL21" s="1679"/>
      <c r="BM21" s="1679"/>
      <c r="BN21" s="1679"/>
      <c r="BO21" s="1679"/>
      <c r="BP21" s="1679"/>
      <c r="BQ21" s="1679"/>
      <c r="BR21" s="1679"/>
      <c r="BS21" s="1679"/>
      <c r="BT21" s="1679"/>
      <c r="BU21" s="1679"/>
      <c r="BV21" s="1679"/>
      <c r="BW21" s="1679"/>
      <c r="BX21" s="1679"/>
      <c r="BY21" s="1679"/>
      <c r="BZ21" s="1679"/>
      <c r="CA21" s="1679"/>
      <c r="CB21" s="1679"/>
      <c r="CC21" s="1679"/>
      <c r="CD21" s="1679"/>
      <c r="CE21" s="1679"/>
      <c r="CF21" s="1679"/>
      <c r="CG21" s="1679"/>
      <c r="CH21" s="1679"/>
      <c r="CI21" s="1679"/>
      <c r="CJ21" s="1679"/>
      <c r="CK21" s="1679"/>
      <c r="CL21" s="1679"/>
      <c r="CM21" s="1679"/>
      <c r="CN21" s="1679"/>
      <c r="CO21" s="1679"/>
      <c r="CP21" s="1679"/>
      <c r="CQ21" s="1679"/>
      <c r="CR21" s="1679"/>
      <c r="CS21" s="1679"/>
      <c r="CT21" s="1679"/>
      <c r="CU21" s="1679"/>
      <c r="CV21" s="1679"/>
      <c r="CW21" s="1679"/>
      <c r="CX21" s="1679"/>
      <c r="CY21" s="1679"/>
      <c r="CZ21" s="1679"/>
      <c r="DA21" s="1679"/>
      <c r="DB21" s="1679"/>
      <c r="DC21" s="1679"/>
      <c r="DD21" s="1679"/>
      <c r="DE21" s="1679"/>
      <c r="DF21" s="1679"/>
      <c r="DG21" s="1679"/>
      <c r="DH21" s="1679"/>
      <c r="DI21" s="1679"/>
      <c r="DJ21" s="1679"/>
      <c r="DK21" s="1679"/>
      <c r="DL21" s="1679"/>
      <c r="DM21" s="1679"/>
      <c r="DN21" s="1679"/>
      <c r="DO21" s="1679"/>
      <c r="DP21" s="1679"/>
      <c r="DQ21" s="1679"/>
      <c r="DR21" s="1679"/>
      <c r="DS21" s="1679"/>
      <c r="DT21" s="1679"/>
      <c r="DU21" s="1679"/>
      <c r="DV21" s="1681"/>
      <c r="DW21" s="757">
        <f>+DU21*0.4</f>
        <v>0</v>
      </c>
      <c r="DX21" s="757">
        <f>+DW21/0.22</f>
        <v>0</v>
      </c>
    </row>
    <row r="22" spans="1:256" s="546" customFormat="1" ht="15">
      <c r="A22" s="1677" t="s">
        <v>5157</v>
      </c>
      <c r="B22" s="1684"/>
      <c r="C22" s="1680"/>
      <c r="D22" s="1683"/>
      <c r="E22" s="1683"/>
      <c r="F22" s="1683"/>
      <c r="G22" s="1683"/>
      <c r="H22" s="1683"/>
      <c r="I22" s="1683"/>
      <c r="J22" s="1683"/>
      <c r="K22" s="1683"/>
      <c r="L22" s="1680"/>
      <c r="M22" s="1025"/>
      <c r="N22" s="1025"/>
      <c r="O22" s="1025"/>
      <c r="P22" s="1025"/>
      <c r="Q22" s="1679"/>
      <c r="R22" s="1679"/>
      <c r="S22" s="1679"/>
      <c r="T22" s="1679"/>
      <c r="U22" s="1679"/>
      <c r="V22" s="1679"/>
      <c r="W22" s="1679"/>
      <c r="X22" s="1679"/>
      <c r="Y22" s="1679"/>
      <c r="Z22" s="1679"/>
      <c r="AA22" s="1679"/>
      <c r="AB22" s="1679"/>
      <c r="AC22" s="1679"/>
      <c r="AD22" s="1679"/>
      <c r="AE22" s="1679"/>
      <c r="AF22" s="1679"/>
      <c r="AG22" s="1679"/>
      <c r="AH22" s="1679"/>
      <c r="AI22" s="1679"/>
      <c r="AJ22" s="1679"/>
      <c r="AK22" s="1679"/>
      <c r="AL22" s="1679"/>
      <c r="AM22" s="1679"/>
      <c r="AN22" s="1679"/>
      <c r="AO22" s="1679"/>
      <c r="AP22" s="1679"/>
      <c r="AQ22" s="1679"/>
      <c r="AR22" s="1679"/>
      <c r="AS22" s="1679"/>
      <c r="AT22" s="1679"/>
      <c r="AU22" s="1679"/>
      <c r="AV22" s="1679"/>
      <c r="AW22" s="1679"/>
      <c r="AX22" s="1679"/>
      <c r="AY22" s="1679"/>
      <c r="AZ22" s="1679"/>
      <c r="BA22" s="1679"/>
      <c r="BB22" s="1679"/>
      <c r="BC22" s="1679"/>
      <c r="BD22" s="1679"/>
      <c r="BE22" s="1679"/>
      <c r="BF22" s="1679"/>
      <c r="BG22" s="1679"/>
      <c r="BH22" s="1679"/>
      <c r="BI22" s="1679"/>
      <c r="BJ22" s="1679"/>
      <c r="BK22" s="1679"/>
      <c r="BL22" s="1679"/>
      <c r="BM22" s="1679"/>
      <c r="BN22" s="1679"/>
      <c r="BO22" s="1679"/>
      <c r="BP22" s="1679"/>
      <c r="BQ22" s="1679"/>
      <c r="BR22" s="1679"/>
      <c r="BS22" s="1679"/>
      <c r="BT22" s="1679"/>
      <c r="BU22" s="1679"/>
      <c r="BV22" s="1679"/>
      <c r="BW22" s="1679"/>
      <c r="BX22" s="1679"/>
      <c r="BY22" s="1679"/>
      <c r="BZ22" s="1679"/>
      <c r="CA22" s="1679"/>
      <c r="CB22" s="1679"/>
      <c r="CC22" s="1679"/>
      <c r="CD22" s="1679"/>
      <c r="CE22" s="1679"/>
      <c r="CF22" s="1679"/>
      <c r="CG22" s="1679"/>
      <c r="CH22" s="1679"/>
      <c r="CI22" s="1679"/>
      <c r="CJ22" s="1679"/>
      <c r="CK22" s="1679"/>
      <c r="CL22" s="1679"/>
      <c r="CM22" s="1679"/>
      <c r="CN22" s="1679"/>
      <c r="CO22" s="1679"/>
      <c r="CP22" s="1679"/>
      <c r="CQ22" s="1679"/>
      <c r="CR22" s="1679"/>
      <c r="CS22" s="1679"/>
      <c r="CT22" s="1679"/>
      <c r="CU22" s="1679"/>
      <c r="CV22" s="1679"/>
      <c r="CW22" s="1679"/>
      <c r="CX22" s="1679"/>
      <c r="CY22" s="1679"/>
      <c r="CZ22" s="1679"/>
      <c r="DA22" s="1679"/>
      <c r="DB22" s="1679"/>
      <c r="DC22" s="1679"/>
      <c r="DD22" s="1679"/>
      <c r="DE22" s="1679"/>
      <c r="DF22" s="1679"/>
      <c r="DG22" s="1679"/>
      <c r="DH22" s="1679"/>
      <c r="DI22" s="1679"/>
      <c r="DJ22" s="1679"/>
      <c r="DK22" s="1679"/>
      <c r="DL22" s="1679"/>
      <c r="DM22" s="1679"/>
      <c r="DN22" s="1679"/>
      <c r="DO22" s="1679"/>
      <c r="DP22" s="1679"/>
      <c r="DQ22" s="1679"/>
      <c r="DR22" s="1679"/>
      <c r="DS22" s="1679"/>
      <c r="DT22" s="1679"/>
      <c r="DU22" s="1679"/>
      <c r="DV22" s="1681"/>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5">
      <c r="A23" s="1677" t="s">
        <v>5158</v>
      </c>
      <c r="B23" s="1025"/>
      <c r="C23" s="1680"/>
      <c r="D23" s="1680"/>
      <c r="E23" s="1680"/>
      <c r="F23" s="1680"/>
      <c r="G23" s="1680"/>
      <c r="H23" s="1025"/>
      <c r="I23" s="1025"/>
      <c r="J23" s="1025"/>
      <c r="K23" s="1025"/>
      <c r="L23" s="1680"/>
      <c r="M23" s="1025"/>
      <c r="N23" s="1025"/>
      <c r="O23" s="1025"/>
      <c r="P23" s="1025"/>
      <c r="Q23" s="1679"/>
      <c r="R23" s="1679"/>
      <c r="S23" s="1679"/>
      <c r="T23" s="1679"/>
      <c r="U23" s="1679"/>
      <c r="V23" s="1679"/>
      <c r="W23" s="1679"/>
      <c r="X23" s="1679"/>
      <c r="Y23" s="1679"/>
      <c r="Z23" s="1679"/>
      <c r="AA23" s="1679"/>
      <c r="AB23" s="1679"/>
      <c r="AC23" s="1679"/>
      <c r="AD23" s="1679"/>
      <c r="AE23" s="1679"/>
      <c r="AF23" s="1679"/>
      <c r="AG23" s="1679"/>
      <c r="AH23" s="1679"/>
      <c r="AI23" s="1679"/>
      <c r="AJ23" s="1679"/>
      <c r="AK23" s="1679"/>
      <c r="AL23" s="1679"/>
      <c r="AM23" s="1679"/>
      <c r="AN23" s="1679"/>
      <c r="AO23" s="1679"/>
      <c r="AP23" s="1679"/>
      <c r="AQ23" s="1679"/>
      <c r="AR23" s="1679"/>
      <c r="AS23" s="1679"/>
      <c r="AT23" s="1679"/>
      <c r="AU23" s="1679"/>
      <c r="AV23" s="1679"/>
      <c r="AW23" s="1679"/>
      <c r="AX23" s="1679"/>
      <c r="AY23" s="1679"/>
      <c r="AZ23" s="1679"/>
      <c r="BA23" s="1679"/>
      <c r="BB23" s="1679"/>
      <c r="BC23" s="1679"/>
      <c r="BD23" s="1679"/>
      <c r="BE23" s="1679"/>
      <c r="BF23" s="1679"/>
      <c r="BG23" s="1679"/>
      <c r="BH23" s="1679"/>
      <c r="BI23" s="1679"/>
      <c r="BJ23" s="1679"/>
      <c r="BK23" s="1679"/>
      <c r="BL23" s="1679"/>
      <c r="BM23" s="1679"/>
      <c r="BN23" s="1679"/>
      <c r="BO23" s="1679"/>
      <c r="BP23" s="1679"/>
      <c r="BQ23" s="1679"/>
      <c r="BR23" s="1679"/>
      <c r="BS23" s="1679"/>
      <c r="BT23" s="1679"/>
      <c r="BU23" s="1679"/>
      <c r="BV23" s="1679"/>
      <c r="BW23" s="1679"/>
      <c r="BX23" s="1679"/>
      <c r="BY23" s="1679"/>
      <c r="BZ23" s="1679"/>
      <c r="CA23" s="1679"/>
      <c r="CB23" s="1679"/>
      <c r="CC23" s="1679"/>
      <c r="CD23" s="1679"/>
      <c r="CE23" s="1679"/>
      <c r="CF23" s="1679"/>
      <c r="CG23" s="1679"/>
      <c r="CH23" s="1679"/>
      <c r="CI23" s="1679"/>
      <c r="CJ23" s="1679"/>
      <c r="CK23" s="1679"/>
      <c r="CL23" s="1679"/>
      <c r="CM23" s="1679"/>
      <c r="CN23" s="1679"/>
      <c r="CO23" s="1679"/>
      <c r="CP23" s="1679"/>
      <c r="CQ23" s="1679"/>
      <c r="CR23" s="1679"/>
      <c r="CS23" s="1679"/>
      <c r="CT23" s="1679"/>
      <c r="CU23" s="1679"/>
      <c r="CV23" s="1679"/>
      <c r="CW23" s="1679"/>
      <c r="CX23" s="1679"/>
      <c r="CY23" s="1679"/>
      <c r="CZ23" s="1679"/>
      <c r="DA23" s="1679"/>
      <c r="DB23" s="1679"/>
      <c r="DC23" s="1679"/>
      <c r="DD23" s="1679"/>
      <c r="DE23" s="1679"/>
      <c r="DF23" s="1679"/>
      <c r="DG23" s="1679"/>
      <c r="DH23" s="1679"/>
      <c r="DI23" s="1679"/>
      <c r="DJ23" s="1679"/>
      <c r="DK23" s="1679"/>
      <c r="DL23" s="1679"/>
      <c r="DM23" s="1679"/>
      <c r="DN23" s="1679"/>
      <c r="DO23" s="1679"/>
      <c r="DP23" s="1679"/>
      <c r="DQ23" s="1679"/>
      <c r="DR23" s="1679"/>
      <c r="DS23" s="1679"/>
      <c r="DT23" s="1679"/>
      <c r="DU23" s="1679"/>
      <c r="DV23" s="1681"/>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5">
      <c r="A24" s="1677" t="s">
        <v>5159</v>
      </c>
      <c r="B24" s="1025"/>
      <c r="C24" s="1680"/>
      <c r="D24" s="1680"/>
      <c r="E24" s="1680"/>
      <c r="F24" s="1680"/>
      <c r="G24" s="1680"/>
      <c r="H24" s="1025"/>
      <c r="I24" s="1025"/>
      <c r="J24" s="1025"/>
      <c r="K24" s="1025"/>
      <c r="L24" s="1680"/>
      <c r="M24" s="551"/>
      <c r="N24" s="551"/>
      <c r="O24" s="440"/>
      <c r="P24" s="440"/>
      <c r="Q24" s="675"/>
      <c r="R24" s="1679"/>
      <c r="S24" s="672"/>
      <c r="T24" s="672"/>
      <c r="U24" s="672"/>
      <c r="V24" s="672"/>
      <c r="W24" s="1679"/>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679"/>
      <c r="CF24" s="624"/>
      <c r="CG24" s="624"/>
      <c r="CH24" s="624"/>
      <c r="CI24" s="624"/>
      <c r="CJ24" s="624"/>
      <c r="CK24" s="624"/>
      <c r="CL24" s="624"/>
      <c r="CM24" s="624"/>
      <c r="CN24" s="624"/>
      <c r="CO24" s="624"/>
      <c r="CP24" s="624"/>
      <c r="CQ24" s="624"/>
      <c r="CR24" s="624"/>
      <c r="CS24" s="624"/>
      <c r="CT24" s="624"/>
      <c r="CU24" s="768"/>
      <c r="CV24" s="768"/>
      <c r="CW24" s="768"/>
      <c r="CX24" s="1679"/>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685"/>
    </row>
    <row r="25" spans="1:256" ht="15">
      <c r="A25" s="1677" t="s">
        <v>5160</v>
      </c>
      <c r="B25" s="551"/>
      <c r="C25" s="551"/>
      <c r="D25" s="551"/>
      <c r="E25" s="551"/>
      <c r="F25" s="551"/>
      <c r="G25" s="551"/>
      <c r="H25" s="551"/>
      <c r="I25" s="551"/>
      <c r="J25" s="551"/>
      <c r="K25" s="551"/>
      <c r="L25" s="1680"/>
      <c r="M25" s="1680"/>
      <c r="N25" s="1680"/>
      <c r="O25" s="1680"/>
      <c r="P25" s="440"/>
      <c r="Q25" s="675"/>
      <c r="R25" s="1679"/>
      <c r="S25" s="672"/>
      <c r="T25" s="672"/>
      <c r="U25" s="672"/>
      <c r="V25" s="672"/>
      <c r="W25" s="1679"/>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679"/>
      <c r="CC25" s="1679"/>
      <c r="CD25" s="1679"/>
      <c r="CE25" s="1679"/>
      <c r="CF25" s="1679"/>
      <c r="CG25" s="1679"/>
      <c r="CH25" s="1679"/>
      <c r="CI25" s="1679"/>
      <c r="CJ25" s="1679"/>
      <c r="CK25" s="1679"/>
      <c r="CL25" s="1679"/>
      <c r="CM25" s="1679"/>
      <c r="CN25" s="1679"/>
      <c r="CO25" s="1679"/>
      <c r="CP25" s="1679"/>
      <c r="CQ25" s="1679"/>
      <c r="CR25" s="1679"/>
      <c r="CS25" s="1679"/>
      <c r="CT25" s="1679"/>
      <c r="CU25" s="1679"/>
      <c r="CV25" s="1679"/>
      <c r="CW25" s="1679"/>
      <c r="CX25" s="1679"/>
      <c r="CY25" s="819"/>
      <c r="CZ25" s="1679"/>
      <c r="DA25" s="1679"/>
      <c r="DB25" s="1679"/>
      <c r="DC25" s="768"/>
      <c r="DD25" s="1679"/>
      <c r="DE25" s="1679"/>
      <c r="DF25" s="1679"/>
      <c r="DG25" s="1679"/>
      <c r="DH25" s="1679"/>
      <c r="DI25" s="1679"/>
      <c r="DJ25" s="1679"/>
      <c r="DK25" s="1679"/>
      <c r="DL25" s="1679"/>
      <c r="DM25" s="1679"/>
      <c r="DN25" s="1679"/>
      <c r="DO25" s="768"/>
      <c r="DP25" s="1679"/>
      <c r="DQ25" s="1679"/>
      <c r="DR25" s="624"/>
      <c r="DS25" s="624"/>
      <c r="DT25" s="624"/>
      <c r="DU25" s="624"/>
      <c r="DV25" s="1685"/>
    </row>
    <row r="26" spans="1:256" ht="15" hidden="1">
      <c r="A26" s="1677"/>
      <c r="B26" s="551"/>
      <c r="C26" s="551"/>
      <c r="D26" s="551"/>
      <c r="E26" s="551"/>
      <c r="F26" s="551"/>
      <c r="G26" s="551"/>
      <c r="H26" s="551"/>
      <c r="I26" s="551"/>
      <c r="J26" s="551"/>
      <c r="K26" s="1680"/>
      <c r="L26" s="1680"/>
      <c r="M26" s="1680"/>
      <c r="N26" s="1680"/>
      <c r="O26" s="1680"/>
      <c r="P26" s="440"/>
      <c r="Q26" s="675"/>
      <c r="R26" s="1679"/>
      <c r="S26" s="672"/>
      <c r="T26" s="672"/>
      <c r="U26" s="672"/>
      <c r="V26" s="672"/>
      <c r="W26" s="1679"/>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679"/>
      <c r="CC26" s="1679"/>
      <c r="CD26" s="1679"/>
      <c r="CE26" s="1679"/>
      <c r="CF26" s="1679"/>
      <c r="CG26" s="1679"/>
      <c r="CH26" s="1679"/>
      <c r="CI26" s="1679"/>
      <c r="CJ26" s="1679"/>
      <c r="CK26" s="1679"/>
      <c r="CL26" s="1679"/>
      <c r="CM26" s="1679"/>
      <c r="CN26" s="1679"/>
      <c r="CO26" s="1679"/>
      <c r="CP26" s="1679"/>
      <c r="CQ26" s="1679"/>
      <c r="CR26" s="1679"/>
      <c r="CS26" s="1679"/>
      <c r="CT26" s="1679"/>
      <c r="CU26" s="1679"/>
      <c r="CV26" s="1679"/>
      <c r="CW26" s="1679"/>
      <c r="CX26" s="1679"/>
      <c r="CY26" s="819"/>
      <c r="CZ26" s="1679"/>
      <c r="DA26" s="1679"/>
      <c r="DB26" s="1679"/>
      <c r="DC26" s="768"/>
      <c r="DD26" s="1679"/>
      <c r="DE26" s="1679"/>
      <c r="DF26" s="1679"/>
      <c r="DG26" s="1679"/>
      <c r="DH26" s="1679"/>
      <c r="DI26" s="1679"/>
      <c r="DJ26" s="1679"/>
      <c r="DK26" s="1679"/>
      <c r="DL26" s="1679"/>
      <c r="DM26" s="1679"/>
      <c r="DN26" s="1679"/>
      <c r="DO26" s="768"/>
      <c r="DP26" s="1679"/>
      <c r="DQ26" s="1679"/>
      <c r="DR26" s="624"/>
      <c r="DS26" s="624"/>
      <c r="DT26" s="624"/>
      <c r="DU26" s="624"/>
      <c r="DV26" s="1685"/>
    </row>
    <row r="27" spans="1:256" ht="15" hidden="1">
      <c r="A27" s="1677"/>
      <c r="B27" s="551"/>
      <c r="C27" s="551"/>
      <c r="D27" s="551"/>
      <c r="E27" s="551"/>
      <c r="F27" s="551"/>
      <c r="G27" s="551"/>
      <c r="H27" s="551"/>
      <c r="I27" s="551"/>
      <c r="J27" s="551"/>
      <c r="K27" s="1680"/>
      <c r="L27" s="1680"/>
      <c r="M27" s="551"/>
      <c r="N27" s="551"/>
      <c r="O27" s="440"/>
      <c r="P27" s="1680"/>
      <c r="Q27" s="1680"/>
      <c r="R27" s="1679"/>
      <c r="S27" s="1680"/>
      <c r="T27" s="1680"/>
      <c r="U27" s="672"/>
      <c r="V27" s="672"/>
      <c r="W27" s="1679"/>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679"/>
      <c r="CC27" s="1679"/>
      <c r="CD27" s="1679"/>
      <c r="CE27" s="1679"/>
      <c r="CF27" s="1679"/>
      <c r="CG27" s="1679"/>
      <c r="CH27" s="1679"/>
      <c r="CI27" s="1679"/>
      <c r="CJ27" s="1679"/>
      <c r="CK27" s="1679"/>
      <c r="CL27" s="1679"/>
      <c r="CM27" s="1679"/>
      <c r="CN27" s="1679"/>
      <c r="CO27" s="1679"/>
      <c r="CP27" s="1679"/>
      <c r="CQ27" s="1679"/>
      <c r="CR27" s="1679"/>
      <c r="CS27" s="1679"/>
      <c r="CT27" s="1679"/>
      <c r="CU27" s="1679"/>
      <c r="CV27" s="1679"/>
      <c r="CW27" s="1679"/>
      <c r="CX27" s="1679"/>
      <c r="CY27" s="819"/>
      <c r="CZ27" s="1679"/>
      <c r="DA27" s="1679"/>
      <c r="DB27" s="1679"/>
      <c r="DC27" s="768"/>
      <c r="DD27" s="1679"/>
      <c r="DE27" s="1679"/>
      <c r="DF27" s="1679"/>
      <c r="DG27" s="1679"/>
      <c r="DH27" s="1679"/>
      <c r="DI27" s="1679"/>
      <c r="DJ27" s="1679"/>
      <c r="DK27" s="1679"/>
      <c r="DL27" s="1679"/>
      <c r="DM27" s="1679"/>
      <c r="DN27" s="1679"/>
      <c r="DO27" s="768"/>
      <c r="DP27" s="1679"/>
      <c r="DQ27" s="1679"/>
      <c r="DR27" s="624"/>
      <c r="DS27" s="624"/>
      <c r="DT27" s="624"/>
      <c r="DU27" s="624"/>
      <c r="DV27" s="1685"/>
    </row>
    <row r="28" spans="1:256" ht="15" hidden="1">
      <c r="A28" s="1677"/>
      <c r="B28" s="551"/>
      <c r="C28" s="551"/>
      <c r="D28" s="551"/>
      <c r="E28" s="551"/>
      <c r="F28" s="551"/>
      <c r="G28" s="551"/>
      <c r="H28" s="1680"/>
      <c r="I28" s="1680"/>
      <c r="J28" s="1680"/>
      <c r="K28" s="1680"/>
      <c r="L28" s="1680"/>
      <c r="M28" s="551"/>
      <c r="N28" s="551"/>
      <c r="O28" s="440"/>
      <c r="P28" s="1680"/>
      <c r="Q28" s="1680"/>
      <c r="R28" s="1680"/>
      <c r="S28" s="1680"/>
      <c r="T28" s="1680"/>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679"/>
      <c r="CC28" s="1679"/>
      <c r="CD28" s="1679"/>
      <c r="CE28" s="1679"/>
      <c r="CF28" s="1679"/>
      <c r="CG28" s="1679"/>
      <c r="CH28" s="1679"/>
      <c r="CI28" s="1679"/>
      <c r="CJ28" s="1679"/>
      <c r="CK28" s="1679"/>
      <c r="CL28" s="1679"/>
      <c r="CM28" s="1679"/>
      <c r="CN28" s="1679"/>
      <c r="CO28" s="1679"/>
      <c r="CP28" s="1679"/>
      <c r="CQ28" s="1679"/>
      <c r="CR28" s="1679"/>
      <c r="CS28" s="1679"/>
      <c r="CT28" s="1679"/>
      <c r="CU28" s="1679"/>
      <c r="CV28" s="1679"/>
      <c r="CW28" s="1679"/>
      <c r="CX28" s="1679"/>
      <c r="CY28" s="819"/>
      <c r="CZ28" s="1679"/>
      <c r="DA28" s="1679"/>
      <c r="DB28" s="1679"/>
      <c r="DC28" s="768"/>
      <c r="DD28" s="1679"/>
      <c r="DE28" s="1679"/>
      <c r="DF28" s="1679"/>
      <c r="DG28" s="1679"/>
      <c r="DH28" s="1679"/>
      <c r="DI28" s="1679"/>
      <c r="DJ28" s="1679"/>
      <c r="DK28" s="1679"/>
      <c r="DL28" s="1679"/>
      <c r="DM28" s="1679"/>
      <c r="DN28" s="1679"/>
      <c r="DO28" s="768"/>
      <c r="DP28" s="1679"/>
      <c r="DQ28" s="1679"/>
      <c r="DR28" s="624"/>
      <c r="DS28" s="624"/>
      <c r="DT28" s="624"/>
      <c r="DU28" s="624"/>
      <c r="DV28" s="1685"/>
    </row>
    <row r="29" spans="1:256" ht="15" hidden="1">
      <c r="A29" s="1677"/>
      <c r="B29" s="551"/>
      <c r="C29" s="551"/>
      <c r="D29" s="551"/>
      <c r="E29" s="551"/>
      <c r="F29" s="551"/>
      <c r="G29" s="551"/>
      <c r="H29" s="1680"/>
      <c r="I29" s="1680"/>
      <c r="J29" s="1680"/>
      <c r="K29" s="1680"/>
      <c r="L29" s="1680"/>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679"/>
      <c r="CC29" s="1679"/>
      <c r="CD29" s="1679"/>
      <c r="CE29" s="1679"/>
      <c r="CF29" s="1679"/>
      <c r="CG29" s="1679"/>
      <c r="CH29" s="1679"/>
      <c r="CI29" s="1679"/>
      <c r="CJ29" s="1679"/>
      <c r="CK29" s="1679"/>
      <c r="CL29" s="1679"/>
      <c r="CM29" s="1679"/>
      <c r="CN29" s="1679"/>
      <c r="CO29" s="1679"/>
      <c r="CP29" s="1679"/>
      <c r="CQ29" s="1679"/>
      <c r="CR29" s="1679"/>
      <c r="CS29" s="1679"/>
      <c r="CT29" s="1679"/>
      <c r="CU29" s="1679"/>
      <c r="CV29" s="1679"/>
      <c r="CW29" s="1679"/>
      <c r="CX29" s="1679"/>
      <c r="CY29" s="819"/>
      <c r="CZ29" s="1679"/>
      <c r="DA29" s="1679"/>
      <c r="DB29" s="1679"/>
      <c r="DC29" s="768"/>
      <c r="DD29" s="1679"/>
      <c r="DE29" s="1679"/>
      <c r="DF29" s="1679"/>
      <c r="DG29" s="1679"/>
      <c r="DH29" s="1679"/>
      <c r="DI29" s="1679"/>
      <c r="DJ29" s="1679"/>
      <c r="DK29" s="1679"/>
      <c r="DL29" s="1679"/>
      <c r="DM29" s="1679"/>
      <c r="DN29" s="1679"/>
      <c r="DO29" s="768"/>
      <c r="DP29" s="1679"/>
      <c r="DQ29" s="1679"/>
      <c r="DR29" s="624"/>
      <c r="DS29" s="624"/>
      <c r="DT29" s="624"/>
      <c r="DU29" s="624"/>
      <c r="DV29" s="1685"/>
    </row>
    <row r="30" spans="1:256" ht="15" hidden="1">
      <c r="A30" s="1677"/>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679"/>
      <c r="CC30" s="1679"/>
      <c r="CD30" s="1679"/>
      <c r="CE30" s="1679"/>
      <c r="CF30" s="1679"/>
      <c r="CG30" s="1679"/>
      <c r="CH30" s="1679"/>
      <c r="CI30" s="1679"/>
      <c r="CJ30" s="1679"/>
      <c r="CK30" s="1679"/>
      <c r="CL30" s="1679"/>
      <c r="CM30" s="1679"/>
      <c r="CN30" s="1679"/>
      <c r="CO30" s="1679"/>
      <c r="CP30" s="1679"/>
      <c r="CQ30" s="1679"/>
      <c r="CR30" s="1679"/>
      <c r="CS30" s="1679"/>
      <c r="CT30" s="1679"/>
      <c r="CU30" s="1679"/>
      <c r="CV30" s="1679"/>
      <c r="CW30" s="1679"/>
      <c r="CX30" s="1679"/>
      <c r="CY30" s="819"/>
      <c r="CZ30" s="1679"/>
      <c r="DA30" s="1679"/>
      <c r="DB30" s="1679"/>
      <c r="DC30" s="768"/>
      <c r="DD30" s="1679"/>
      <c r="DE30" s="1679"/>
      <c r="DF30" s="1679"/>
      <c r="DG30" s="1679"/>
      <c r="DH30" s="1679"/>
      <c r="DI30" s="1679"/>
      <c r="DJ30" s="1679"/>
      <c r="DK30" s="1679"/>
      <c r="DL30" s="1679"/>
      <c r="DM30" s="1679"/>
      <c r="DN30" s="1679"/>
      <c r="DO30" s="768"/>
      <c r="DP30" s="1679"/>
      <c r="DQ30" s="1679"/>
      <c r="DR30" s="624"/>
      <c r="DS30" s="624"/>
      <c r="DT30" s="624"/>
      <c r="DU30" s="624"/>
      <c r="DV30" s="1685"/>
    </row>
    <row r="31" spans="1:256" ht="15" hidden="1">
      <c r="A31" s="1677"/>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679"/>
      <c r="CC31" s="1679"/>
      <c r="CD31" s="1679"/>
      <c r="CE31" s="1679"/>
      <c r="CF31" s="1679"/>
      <c r="CG31" s="1679"/>
      <c r="CH31" s="1679"/>
      <c r="CI31" s="1679"/>
      <c r="CJ31" s="1679"/>
      <c r="CK31" s="1679"/>
      <c r="CL31" s="1679"/>
      <c r="CM31" s="1679"/>
      <c r="CN31" s="1679"/>
      <c r="CO31" s="1679"/>
      <c r="CP31" s="1679"/>
      <c r="CQ31" s="1679"/>
      <c r="CR31" s="1679"/>
      <c r="CS31" s="1679"/>
      <c r="CT31" s="1679"/>
      <c r="CU31" s="1679"/>
      <c r="CV31" s="1679"/>
      <c r="CW31" s="1679"/>
      <c r="CX31" s="1679"/>
      <c r="CY31" s="819"/>
      <c r="CZ31" s="1679"/>
      <c r="DA31" s="1679"/>
      <c r="DB31" s="1679"/>
      <c r="DC31" s="768"/>
      <c r="DD31" s="1679"/>
      <c r="DE31" s="1679"/>
      <c r="DF31" s="1679"/>
      <c r="DG31" s="1679"/>
      <c r="DH31" s="1679"/>
      <c r="DI31" s="1679"/>
      <c r="DJ31" s="1679"/>
      <c r="DK31" s="1679"/>
      <c r="DL31" s="1679"/>
      <c r="DM31" s="1679"/>
      <c r="DN31" s="1679"/>
      <c r="DO31" s="768"/>
      <c r="DP31" s="1679"/>
      <c r="DQ31" s="1679"/>
      <c r="DR31" s="624"/>
      <c r="DS31" s="624"/>
      <c r="DT31" s="624"/>
      <c r="DU31" s="624"/>
      <c r="DV31" s="1685"/>
    </row>
    <row r="32" spans="1:256" ht="15" hidden="1">
      <c r="A32" s="1677"/>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679"/>
      <c r="CC32" s="1679"/>
      <c r="CD32" s="1679"/>
      <c r="CE32" s="1679"/>
      <c r="CF32" s="1679"/>
      <c r="CG32" s="1679"/>
      <c r="CH32" s="1679"/>
      <c r="CI32" s="1679"/>
      <c r="CJ32" s="1679"/>
      <c r="CK32" s="1679"/>
      <c r="CL32" s="1679"/>
      <c r="CM32" s="1679"/>
      <c r="CN32" s="1679"/>
      <c r="CO32" s="1679"/>
      <c r="CP32" s="1679"/>
      <c r="CQ32" s="1679"/>
      <c r="CR32" s="1679"/>
      <c r="CS32" s="1679"/>
      <c r="CT32" s="1679"/>
      <c r="CU32" s="1679"/>
      <c r="CV32" s="1679"/>
      <c r="CW32" s="1679"/>
      <c r="CX32" s="1679"/>
      <c r="CY32" s="819"/>
      <c r="CZ32" s="1679"/>
      <c r="DA32" s="1679"/>
      <c r="DB32" s="1679"/>
      <c r="DC32" s="768"/>
      <c r="DD32" s="1679"/>
      <c r="DE32" s="1679"/>
      <c r="DF32" s="1679"/>
      <c r="DG32" s="1679"/>
      <c r="DH32" s="1679"/>
      <c r="DI32" s="1679"/>
      <c r="DJ32" s="1679"/>
      <c r="DK32" s="1679"/>
      <c r="DL32" s="1679"/>
      <c r="DM32" s="1679"/>
      <c r="DN32" s="1679"/>
      <c r="DO32" s="768"/>
      <c r="DP32" s="1679"/>
      <c r="DQ32" s="1679"/>
      <c r="DR32" s="624"/>
      <c r="DS32" s="624"/>
      <c r="DT32" s="624"/>
      <c r="DU32" s="624"/>
      <c r="DV32" s="1685"/>
    </row>
    <row r="33" spans="1:256" ht="15" hidden="1">
      <c r="A33" s="1677"/>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679"/>
      <c r="CC33" s="1679"/>
      <c r="CD33" s="1679"/>
      <c r="CE33" s="1679"/>
      <c r="CF33" s="1679"/>
      <c r="CG33" s="1679"/>
      <c r="CH33" s="1679"/>
      <c r="CI33" s="1679"/>
      <c r="CJ33" s="1679"/>
      <c r="CK33" s="1679"/>
      <c r="CL33" s="1679"/>
      <c r="CM33" s="1679"/>
      <c r="CN33" s="1679"/>
      <c r="CO33" s="1679"/>
      <c r="CP33" s="1679"/>
      <c r="CQ33" s="1679"/>
      <c r="CR33" s="1679"/>
      <c r="CS33" s="1679"/>
      <c r="CT33" s="1679"/>
      <c r="CU33" s="1679"/>
      <c r="CV33" s="1679"/>
      <c r="CW33" s="1679"/>
      <c r="CX33" s="1679"/>
      <c r="CY33" s="819"/>
      <c r="CZ33" s="1679"/>
      <c r="DA33" s="1679"/>
      <c r="DB33" s="1679"/>
      <c r="DC33" s="768"/>
      <c r="DD33" s="1679"/>
      <c r="DE33" s="1679"/>
      <c r="DF33" s="1679"/>
      <c r="DG33" s="1679"/>
      <c r="DH33" s="1679"/>
      <c r="DI33" s="1679"/>
      <c r="DJ33" s="1679"/>
      <c r="DK33" s="1679"/>
      <c r="DL33" s="1679"/>
      <c r="DM33" s="1679"/>
      <c r="DN33" s="1679"/>
      <c r="DO33" s="768"/>
      <c r="DP33" s="1679"/>
      <c r="DQ33" s="1679"/>
      <c r="DR33" s="624"/>
      <c r="DS33" s="624"/>
      <c r="DT33" s="624"/>
      <c r="DU33" s="624"/>
      <c r="DV33" s="1685"/>
    </row>
    <row r="34" spans="1:256" ht="15" hidden="1">
      <c r="A34" s="1677"/>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679"/>
      <c r="CC34" s="1679"/>
      <c r="CD34" s="1679"/>
      <c r="CE34" s="1679"/>
      <c r="CF34" s="1679"/>
      <c r="CG34" s="1679"/>
      <c r="CH34" s="1679"/>
      <c r="CI34" s="1679"/>
      <c r="CJ34" s="1679"/>
      <c r="CK34" s="1679"/>
      <c r="CL34" s="1679"/>
      <c r="CM34" s="1679"/>
      <c r="CN34" s="1679"/>
      <c r="CO34" s="1679"/>
      <c r="CP34" s="1679"/>
      <c r="CQ34" s="1679"/>
      <c r="CR34" s="1679"/>
      <c r="CS34" s="1679"/>
      <c r="CT34" s="1679"/>
      <c r="CU34" s="1679"/>
      <c r="CV34" s="1679"/>
      <c r="CW34" s="1679"/>
      <c r="CX34" s="1679"/>
      <c r="CY34" s="819"/>
      <c r="CZ34" s="1679"/>
      <c r="DA34" s="1679"/>
      <c r="DB34" s="1679"/>
      <c r="DC34" s="768"/>
      <c r="DD34" s="1679"/>
      <c r="DE34" s="1679"/>
      <c r="DF34" s="1679"/>
      <c r="DG34" s="1679"/>
      <c r="DH34" s="1679"/>
      <c r="DI34" s="1679"/>
      <c r="DJ34" s="1679"/>
      <c r="DK34" s="1679"/>
      <c r="DL34" s="1679"/>
      <c r="DM34" s="1679"/>
      <c r="DN34" s="1679"/>
      <c r="DO34" s="768"/>
      <c r="DP34" s="1679"/>
      <c r="DQ34" s="1679"/>
      <c r="DR34" s="624"/>
      <c r="DS34" s="624"/>
      <c r="DT34" s="624"/>
      <c r="DU34" s="624"/>
      <c r="DV34" s="1685"/>
    </row>
    <row r="35" spans="1:256" ht="15" hidden="1">
      <c r="A35" s="1677"/>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679"/>
      <c r="CC35" s="1679"/>
      <c r="CD35" s="1679"/>
      <c r="CE35" s="1679"/>
      <c r="CF35" s="1679"/>
      <c r="CG35" s="1679"/>
      <c r="CH35" s="1679"/>
      <c r="CI35" s="1679"/>
      <c r="CJ35" s="1679"/>
      <c r="CK35" s="1679"/>
      <c r="CL35" s="1679"/>
      <c r="CM35" s="1679"/>
      <c r="CN35" s="1679"/>
      <c r="CO35" s="1679"/>
      <c r="CP35" s="1679"/>
      <c r="CQ35" s="1679"/>
      <c r="CR35" s="1679"/>
      <c r="CS35" s="1679"/>
      <c r="CT35" s="1679"/>
      <c r="CU35" s="1679"/>
      <c r="CV35" s="1679"/>
      <c r="CW35" s="1679"/>
      <c r="CX35" s="1679"/>
      <c r="CY35" s="819"/>
      <c r="CZ35" s="1679"/>
      <c r="DA35" s="1679"/>
      <c r="DB35" s="1679"/>
      <c r="DC35" s="768"/>
      <c r="DD35" s="1679"/>
      <c r="DE35" s="1679"/>
      <c r="DF35" s="1679"/>
      <c r="DG35" s="1679"/>
      <c r="DH35" s="1679"/>
      <c r="DI35" s="1679"/>
      <c r="DJ35" s="1679"/>
      <c r="DK35" s="1679"/>
      <c r="DL35" s="1679"/>
      <c r="DM35" s="1679"/>
      <c r="DN35" s="1679"/>
      <c r="DO35" s="768"/>
      <c r="DP35" s="1679"/>
      <c r="DQ35" s="1679"/>
      <c r="DR35" s="624"/>
      <c r="DS35" s="624"/>
      <c r="DT35" s="624"/>
      <c r="DU35" s="624"/>
      <c r="DV35" s="1685"/>
    </row>
    <row r="36" spans="1:256" ht="15" hidden="1">
      <c r="A36" s="1677"/>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679"/>
      <c r="CC36" s="1679"/>
      <c r="CD36" s="1679"/>
      <c r="CE36" s="1679"/>
      <c r="CF36" s="1679"/>
      <c r="CG36" s="1679"/>
      <c r="CH36" s="1679"/>
      <c r="CI36" s="1679"/>
      <c r="CJ36" s="1679"/>
      <c r="CK36" s="1679"/>
      <c r="CL36" s="1679"/>
      <c r="CM36" s="1679"/>
      <c r="CN36" s="1679"/>
      <c r="CO36" s="1679"/>
      <c r="CP36" s="1679"/>
      <c r="CQ36" s="1679"/>
      <c r="CR36" s="1679"/>
      <c r="CS36" s="1679"/>
      <c r="CT36" s="1679"/>
      <c r="CU36" s="1679"/>
      <c r="CV36" s="1679"/>
      <c r="CW36" s="1679"/>
      <c r="CX36" s="1679"/>
      <c r="CY36" s="819"/>
      <c r="CZ36" s="1679"/>
      <c r="DA36" s="1679"/>
      <c r="DB36" s="1679"/>
      <c r="DC36" s="768"/>
      <c r="DD36" s="1679"/>
      <c r="DE36" s="1679"/>
      <c r="DF36" s="1679"/>
      <c r="DG36" s="1679"/>
      <c r="DH36" s="1679"/>
      <c r="DI36" s="1679"/>
      <c r="DJ36" s="1679"/>
      <c r="DK36" s="1679"/>
      <c r="DL36" s="1679"/>
      <c r="DM36" s="1679"/>
      <c r="DN36" s="1679"/>
      <c r="DO36" s="768"/>
      <c r="DP36" s="1679"/>
      <c r="DQ36" s="1679"/>
      <c r="DR36" s="624"/>
      <c r="DS36" s="624"/>
      <c r="DT36" s="624"/>
      <c r="DU36" s="624"/>
      <c r="DV36" s="1685"/>
    </row>
    <row r="37" spans="1:256" ht="15" hidden="1">
      <c r="A37" s="1677"/>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679"/>
      <c r="CC37" s="1679"/>
      <c r="CD37" s="1679"/>
      <c r="CE37" s="1679"/>
      <c r="CF37" s="1679"/>
      <c r="CG37" s="1679"/>
      <c r="CH37" s="1679"/>
      <c r="CI37" s="1679"/>
      <c r="CJ37" s="1679"/>
      <c r="CK37" s="1679"/>
      <c r="CL37" s="1679"/>
      <c r="CM37" s="1679"/>
      <c r="CN37" s="1679"/>
      <c r="CO37" s="1679"/>
      <c r="CP37" s="1679"/>
      <c r="CQ37" s="1679"/>
      <c r="CR37" s="1679"/>
      <c r="CS37" s="1679"/>
      <c r="CT37" s="1679"/>
      <c r="CU37" s="1679"/>
      <c r="CV37" s="1679"/>
      <c r="CW37" s="1679"/>
      <c r="CX37" s="1679"/>
      <c r="CY37" s="819"/>
      <c r="CZ37" s="1679"/>
      <c r="DA37" s="1679"/>
      <c r="DB37" s="1679"/>
      <c r="DC37" s="768"/>
      <c r="DD37" s="1679"/>
      <c r="DE37" s="1679"/>
      <c r="DF37" s="1679"/>
      <c r="DG37" s="1679"/>
      <c r="DH37" s="1679"/>
      <c r="DI37" s="1679"/>
      <c r="DJ37" s="1679"/>
      <c r="DK37" s="1679"/>
      <c r="DL37" s="1679"/>
      <c r="DM37" s="1679"/>
      <c r="DN37" s="1679"/>
      <c r="DO37" s="768"/>
      <c r="DP37" s="1679"/>
      <c r="DQ37" s="1679"/>
      <c r="DR37" s="624"/>
      <c r="DS37" s="624"/>
      <c r="DT37" s="624"/>
      <c r="DU37" s="624"/>
      <c r="DV37" s="1685"/>
    </row>
    <row r="38" spans="1:256" s="679" customFormat="1" ht="15" hidden="1">
      <c r="A38" s="1677"/>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679"/>
      <c r="CC38" s="1679"/>
      <c r="CD38" s="1679"/>
      <c r="CE38" s="1679"/>
      <c r="CF38" s="1679"/>
      <c r="CG38" s="1679"/>
      <c r="CH38" s="1679"/>
      <c r="CI38" s="1679"/>
      <c r="CJ38" s="1679"/>
      <c r="CK38" s="1679"/>
      <c r="CL38" s="1679"/>
      <c r="CM38" s="1679"/>
      <c r="CN38" s="1679"/>
      <c r="CO38" s="1679"/>
      <c r="CP38" s="1679"/>
      <c r="CQ38" s="1679"/>
      <c r="CR38" s="1679"/>
      <c r="CS38" s="1679"/>
      <c r="CT38" s="1679"/>
      <c r="CU38" s="1679"/>
      <c r="CV38" s="1679"/>
      <c r="CW38" s="1679"/>
      <c r="CX38" s="1679"/>
      <c r="CY38" s="819"/>
      <c r="CZ38" s="1679"/>
      <c r="DA38" s="1679"/>
      <c r="DB38" s="1679"/>
      <c r="DC38" s="768"/>
      <c r="DD38" s="1679"/>
      <c r="DE38" s="1679"/>
      <c r="DF38" s="1679"/>
      <c r="DG38" s="1679"/>
      <c r="DH38" s="1679"/>
      <c r="DI38" s="1679"/>
      <c r="DJ38" s="1679"/>
      <c r="DK38" s="1679"/>
      <c r="DL38" s="1679"/>
      <c r="DM38" s="1679"/>
      <c r="DN38" s="1679"/>
      <c r="DO38" s="768"/>
      <c r="DP38" s="1679"/>
      <c r="DQ38" s="1679"/>
      <c r="DR38" s="624"/>
      <c r="DS38" s="624"/>
      <c r="DT38" s="624"/>
      <c r="DU38" s="624"/>
      <c r="DV38" s="1685"/>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5" hidden="1">
      <c r="A39" s="1677"/>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679"/>
      <c r="CC39" s="1679"/>
      <c r="CD39" s="1679"/>
      <c r="CE39" s="1679"/>
      <c r="CF39" s="1679"/>
      <c r="CG39" s="1679"/>
      <c r="CH39" s="1679"/>
      <c r="CI39" s="1679"/>
      <c r="CJ39" s="1679"/>
      <c r="CK39" s="1679"/>
      <c r="CL39" s="1679"/>
      <c r="CM39" s="1679"/>
      <c r="CN39" s="1679"/>
      <c r="CO39" s="1679"/>
      <c r="CP39" s="1679"/>
      <c r="CQ39" s="1679"/>
      <c r="CR39" s="1679"/>
      <c r="CS39" s="1679"/>
      <c r="CT39" s="1679"/>
      <c r="CU39" s="1679"/>
      <c r="CV39" s="1679"/>
      <c r="CW39" s="1679"/>
      <c r="CX39" s="1679"/>
      <c r="CY39" s="819"/>
      <c r="CZ39" s="1679"/>
      <c r="DA39" s="1679"/>
      <c r="DB39" s="1679"/>
      <c r="DC39" s="768"/>
      <c r="DD39" s="1679"/>
      <c r="DE39" s="1679"/>
      <c r="DF39" s="1679"/>
      <c r="DG39" s="1679"/>
      <c r="DH39" s="1679"/>
      <c r="DI39" s="1679"/>
      <c r="DJ39" s="1679"/>
      <c r="DK39" s="1679"/>
      <c r="DL39" s="1679"/>
      <c r="DM39" s="1679"/>
      <c r="DN39" s="1679"/>
      <c r="DO39" s="768"/>
      <c r="DP39" s="1679"/>
      <c r="DQ39" s="1679"/>
      <c r="DR39" s="624"/>
      <c r="DS39" s="624"/>
      <c r="DT39" s="624"/>
      <c r="DU39" s="624"/>
      <c r="DV39" s="1685"/>
    </row>
    <row r="40" spans="1:256" ht="15" hidden="1">
      <c r="A40" s="1686"/>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679"/>
      <c r="CC40" s="1679"/>
      <c r="CD40" s="1679"/>
      <c r="CE40" s="1679"/>
      <c r="CF40" s="1679"/>
      <c r="CG40" s="1679"/>
      <c r="CH40" s="1679"/>
      <c r="CI40" s="1679"/>
      <c r="CJ40" s="1679"/>
      <c r="CK40" s="1679"/>
      <c r="CL40" s="1679"/>
      <c r="CM40" s="1679"/>
      <c r="CN40" s="1679"/>
      <c r="CO40" s="1679"/>
      <c r="CP40" s="1679"/>
      <c r="CQ40" s="1679"/>
      <c r="CR40" s="1679"/>
      <c r="CS40" s="1679"/>
      <c r="CT40" s="1679"/>
      <c r="CU40" s="1679"/>
      <c r="CV40" s="1679"/>
      <c r="CW40" s="1679"/>
      <c r="CX40" s="1679"/>
      <c r="CY40" s="819"/>
      <c r="CZ40" s="1679"/>
      <c r="DA40" s="1679"/>
      <c r="DB40" s="1679"/>
      <c r="DC40" s="768"/>
      <c r="DD40" s="1679"/>
      <c r="DE40" s="1679"/>
      <c r="DF40" s="1679"/>
      <c r="DG40" s="1679"/>
      <c r="DH40" s="1679"/>
      <c r="DI40" s="1679"/>
      <c r="DJ40" s="1679"/>
      <c r="DK40" s="1679"/>
      <c r="DL40" s="1679"/>
      <c r="DM40" s="1679"/>
      <c r="DN40" s="1679"/>
      <c r="DO40" s="768"/>
      <c r="DP40" s="1679"/>
      <c r="DQ40" s="1679"/>
      <c r="DR40" s="624"/>
      <c r="DS40" s="624"/>
      <c r="DT40" s="624"/>
      <c r="DU40" s="624"/>
      <c r="DV40" s="1685"/>
    </row>
    <row r="41" spans="1:256" ht="15" hidden="1">
      <c r="A41" s="1687"/>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679"/>
      <c r="CC41" s="1679"/>
      <c r="CD41" s="1679"/>
      <c r="CE41" s="1679"/>
      <c r="CF41" s="1679"/>
      <c r="CG41" s="1679"/>
      <c r="CH41" s="1679"/>
      <c r="CI41" s="1679"/>
      <c r="CJ41" s="1679"/>
      <c r="CK41" s="1679"/>
      <c r="CL41" s="1679"/>
      <c r="CM41" s="1679"/>
      <c r="CN41" s="1679"/>
      <c r="CO41" s="1679"/>
      <c r="CP41" s="1679"/>
      <c r="CQ41" s="1679"/>
      <c r="CR41" s="1679"/>
      <c r="CS41" s="1679"/>
      <c r="CT41" s="1679"/>
      <c r="CU41" s="1679"/>
      <c r="CV41" s="1679"/>
      <c r="CW41" s="1679"/>
      <c r="CX41" s="1679"/>
      <c r="CY41" s="819"/>
      <c r="CZ41" s="1679"/>
      <c r="DA41" s="1679"/>
      <c r="DB41" s="1679"/>
      <c r="DC41" s="768"/>
      <c r="DD41" s="1679"/>
      <c r="DE41" s="1679"/>
      <c r="DF41" s="1679"/>
      <c r="DG41" s="1679"/>
      <c r="DH41" s="1679"/>
      <c r="DI41" s="1679"/>
      <c r="DJ41" s="1679"/>
      <c r="DK41" s="1679"/>
      <c r="DL41" s="1679"/>
      <c r="DM41" s="1679"/>
      <c r="DN41" s="1679"/>
      <c r="DO41" s="768"/>
      <c r="DP41" s="1679"/>
      <c r="DQ41" s="1679"/>
      <c r="DR41" s="624"/>
      <c r="DS41" s="624"/>
      <c r="DT41" s="624"/>
      <c r="DU41" s="624"/>
      <c r="DV41" s="1685"/>
    </row>
    <row r="42" spans="1:256" ht="15" hidden="1">
      <c r="A42" s="1686"/>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679"/>
      <c r="CC42" s="1679"/>
      <c r="CD42" s="1679"/>
      <c r="CE42" s="1679"/>
      <c r="CF42" s="1679"/>
      <c r="CG42" s="1679"/>
      <c r="CH42" s="1679"/>
      <c r="CI42" s="1679"/>
      <c r="CJ42" s="1679"/>
      <c r="CK42" s="1679"/>
      <c r="CL42" s="1679"/>
      <c r="CM42" s="1679"/>
      <c r="CN42" s="1679"/>
      <c r="CO42" s="1679"/>
      <c r="CP42" s="1679"/>
      <c r="CQ42" s="1679"/>
      <c r="CR42" s="1679"/>
      <c r="CS42" s="1679"/>
      <c r="CT42" s="1679"/>
      <c r="CU42" s="1679"/>
      <c r="CV42" s="1679"/>
      <c r="CW42" s="1679"/>
      <c r="CX42" s="1679"/>
      <c r="CY42" s="819"/>
      <c r="CZ42" s="1679"/>
      <c r="DA42" s="1679"/>
      <c r="DB42" s="1679"/>
      <c r="DC42" s="768"/>
      <c r="DD42" s="1679"/>
      <c r="DE42" s="1679"/>
      <c r="DF42" s="1679"/>
      <c r="DG42" s="1679"/>
      <c r="DH42" s="1679"/>
      <c r="DI42" s="1679"/>
      <c r="DJ42" s="1679"/>
      <c r="DK42" s="1679"/>
      <c r="DL42" s="1679"/>
      <c r="DM42" s="1679"/>
      <c r="DN42" s="1679"/>
      <c r="DO42" s="768"/>
      <c r="DP42" s="1679"/>
      <c r="DQ42" s="1679"/>
      <c r="DR42" s="624"/>
      <c r="DS42" s="624"/>
      <c r="DT42" s="624"/>
      <c r="DU42" s="624"/>
      <c r="DV42" s="1685"/>
    </row>
    <row r="43" spans="1:256" s="679" customFormat="1" ht="15" hidden="1">
      <c r="A43" s="1686"/>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679"/>
      <c r="CC43" s="1679"/>
      <c r="CD43" s="1679"/>
      <c r="CE43" s="1679"/>
      <c r="CF43" s="1679"/>
      <c r="CG43" s="1679"/>
      <c r="CH43" s="1679"/>
      <c r="CI43" s="1679"/>
      <c r="CJ43" s="1679"/>
      <c r="CK43" s="1679"/>
      <c r="CL43" s="1679"/>
      <c r="CM43" s="1679"/>
      <c r="CN43" s="1679"/>
      <c r="CO43" s="1679"/>
      <c r="CP43" s="1679"/>
      <c r="CQ43" s="1679"/>
      <c r="CR43" s="1679"/>
      <c r="CS43" s="1679"/>
      <c r="CT43" s="1679"/>
      <c r="CU43" s="1679"/>
      <c r="CV43" s="1679"/>
      <c r="CW43" s="1679"/>
      <c r="CX43" s="1679"/>
      <c r="CY43" s="819"/>
      <c r="CZ43" s="1679"/>
      <c r="DA43" s="1679"/>
      <c r="DB43" s="1679"/>
      <c r="DC43" s="768"/>
      <c r="DD43" s="1679"/>
      <c r="DE43" s="1679"/>
      <c r="DF43" s="1679"/>
      <c r="DG43" s="1679"/>
      <c r="DH43" s="1679"/>
      <c r="DI43" s="1679"/>
      <c r="DJ43" s="1679"/>
      <c r="DK43" s="1679"/>
      <c r="DL43" s="1679"/>
      <c r="DM43" s="1679"/>
      <c r="DN43" s="1679"/>
      <c r="DO43" s="768"/>
      <c r="DP43" s="1679"/>
      <c r="DQ43" s="1679"/>
      <c r="DR43" s="624"/>
      <c r="DS43" s="624"/>
      <c r="DT43" s="624"/>
      <c r="DU43" s="624"/>
      <c r="DV43" s="1685"/>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5" hidden="1">
      <c r="A44" s="1688"/>
      <c r="B44" s="1689"/>
      <c r="C44" s="1688"/>
      <c r="D44" s="1688"/>
      <c r="E44" s="1688"/>
      <c r="F44" s="1688"/>
      <c r="G44" s="1688"/>
      <c r="H44" s="1688"/>
      <c r="I44" s="1688"/>
      <c r="J44" s="1688"/>
      <c r="K44" s="1688"/>
      <c r="L44" s="1688"/>
      <c r="M44" s="1688"/>
      <c r="N44" s="1688"/>
      <c r="O44" s="1688"/>
      <c r="P44" s="1688"/>
      <c r="Q44" s="1688"/>
      <c r="R44" s="1688"/>
      <c r="S44" s="1688"/>
      <c r="T44" s="1688"/>
      <c r="U44" s="1688"/>
      <c r="V44" s="1688"/>
      <c r="W44" s="1688"/>
      <c r="X44" s="1688"/>
      <c r="Y44" s="1688"/>
      <c r="Z44" s="1688"/>
      <c r="AA44" s="1688"/>
      <c r="AB44" s="1688"/>
      <c r="AC44" s="1688"/>
      <c r="AD44" s="1688"/>
      <c r="AE44" s="1688"/>
      <c r="AF44" s="1688"/>
      <c r="AG44" s="1688"/>
      <c r="AH44" s="1688"/>
      <c r="AI44" s="1688"/>
      <c r="AJ44" s="1688"/>
      <c r="AK44" s="1688"/>
      <c r="AL44" s="1688"/>
      <c r="AM44" s="1688"/>
      <c r="AN44" s="1688"/>
      <c r="AO44" s="1688"/>
      <c r="AP44" s="1688"/>
      <c r="AQ44" s="1688"/>
      <c r="AR44" s="1688"/>
      <c r="AS44" s="1688"/>
      <c r="AT44" s="1688"/>
      <c r="AU44" s="1688"/>
      <c r="AV44" s="1688"/>
      <c r="AW44" s="1688"/>
      <c r="AX44" s="1688"/>
      <c r="AY44" s="1688"/>
      <c r="AZ44" s="1688"/>
      <c r="BA44" s="1688"/>
      <c r="BB44" s="1688"/>
      <c r="BC44" s="1688"/>
      <c r="BD44" s="1688"/>
      <c r="BE44" s="1688"/>
      <c r="BF44" s="1688"/>
      <c r="BG44" s="1688"/>
      <c r="BH44" s="1688"/>
      <c r="BI44" s="1688"/>
      <c r="BJ44" s="1688"/>
      <c r="BK44" s="1688"/>
      <c r="BL44" s="1688"/>
      <c r="BM44" s="1688"/>
      <c r="BN44" s="1688"/>
      <c r="BO44" s="1688"/>
      <c r="BP44" s="1688"/>
      <c r="BQ44" s="1688"/>
      <c r="BR44" s="1688"/>
      <c r="BS44" s="1688"/>
      <c r="BT44" s="1688"/>
      <c r="BU44" s="1688"/>
      <c r="BV44" s="1688"/>
      <c r="BW44" s="1688"/>
      <c r="BX44" s="1688"/>
      <c r="BY44" s="1688"/>
      <c r="BZ44" s="1688"/>
      <c r="CA44" s="1688"/>
      <c r="CB44" s="1688"/>
      <c r="CC44" s="1688"/>
      <c r="CD44" s="1688"/>
      <c r="CE44" s="1679"/>
      <c r="CF44" s="1688"/>
      <c r="CG44" s="1688"/>
      <c r="CH44" s="1688"/>
      <c r="CI44" s="1688"/>
      <c r="CJ44" s="1688"/>
      <c r="CK44" s="1688"/>
      <c r="CL44" s="1688"/>
      <c r="CM44" s="1688"/>
      <c r="CN44" s="1688"/>
      <c r="CO44" s="1688"/>
      <c r="CP44" s="1688"/>
      <c r="CQ44" s="1688"/>
      <c r="CR44" s="1688"/>
      <c r="CS44" s="1688"/>
      <c r="CT44" s="1688"/>
      <c r="CU44" s="1688"/>
      <c r="CV44" s="1688"/>
      <c r="CW44" s="1688"/>
      <c r="CX44" s="1688"/>
      <c r="CY44" s="1690"/>
      <c r="CZ44" s="1688"/>
      <c r="DA44" s="1688"/>
      <c r="DB44" s="1688"/>
      <c r="DC44" s="1688"/>
      <c r="DD44" s="1688"/>
      <c r="DE44" s="1688"/>
      <c r="DF44" s="1688"/>
      <c r="DG44" s="1688"/>
      <c r="DH44" s="1688"/>
      <c r="DI44" s="1688"/>
      <c r="DJ44" s="1688"/>
      <c r="DK44" s="1688"/>
      <c r="DL44" s="1688"/>
      <c r="DM44" s="1688"/>
      <c r="DN44" s="1688"/>
      <c r="DO44" s="1688"/>
      <c r="DP44" s="1688"/>
      <c r="DQ44" s="1688"/>
      <c r="DR44" s="1688"/>
      <c r="DS44" s="1688"/>
      <c r="DT44" s="1688"/>
      <c r="DU44" s="1688"/>
      <c r="DV44" s="1691"/>
    </row>
    <row r="45" spans="1:256" s="546" customFormat="1" ht="18" hidden="1" customHeight="1">
      <c r="A45" s="1692"/>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679"/>
      <c r="CF45" s="1025"/>
      <c r="CG45" s="1025"/>
      <c r="CH45" s="1025"/>
      <c r="CI45" s="1025"/>
      <c r="CJ45" s="1025"/>
      <c r="CK45" s="1025"/>
      <c r="CL45" s="1025"/>
      <c r="CM45" s="1025"/>
      <c r="CN45" s="1025"/>
      <c r="CO45" s="1025"/>
      <c r="CP45" s="1025"/>
      <c r="CQ45" s="1025"/>
      <c r="CR45" s="1025"/>
      <c r="CS45" s="1025"/>
      <c r="CT45" s="1025"/>
      <c r="CU45" s="1025"/>
      <c r="CV45" s="1025"/>
      <c r="CW45" s="1025"/>
      <c r="CX45" s="1025"/>
      <c r="CY45" s="1693"/>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694"/>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695"/>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679"/>
      <c r="CF46" s="1025"/>
      <c r="CG46" s="1025"/>
      <c r="CH46" s="1025"/>
      <c r="CI46" s="1025"/>
      <c r="CJ46" s="1025"/>
      <c r="CK46" s="1025"/>
      <c r="CL46" s="1025"/>
      <c r="CM46" s="1025"/>
      <c r="CN46" s="1025"/>
      <c r="CO46" s="1025"/>
      <c r="CP46" s="1025"/>
      <c r="CQ46" s="1025"/>
      <c r="CR46" s="1025"/>
      <c r="CS46" s="1025"/>
      <c r="CT46" s="1025"/>
      <c r="CU46" s="1025"/>
      <c r="CV46" s="1025"/>
      <c r="CW46" s="1025"/>
      <c r="CX46" s="1025"/>
      <c r="CY46" s="1693"/>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694"/>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5" hidden="1">
      <c r="A47" s="1686"/>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679"/>
      <c r="CF47" s="624"/>
      <c r="CG47" s="624"/>
      <c r="CH47" s="624"/>
      <c r="CI47" s="624"/>
      <c r="CJ47" s="624"/>
      <c r="CK47" s="624"/>
      <c r="CL47" s="624"/>
      <c r="CM47" s="624"/>
      <c r="CN47" s="624"/>
      <c r="CO47" s="624"/>
      <c r="CP47" s="624"/>
      <c r="CQ47" s="624"/>
      <c r="CR47" s="624"/>
      <c r="CS47" s="624"/>
      <c r="CT47" s="624"/>
      <c r="CU47" s="624"/>
      <c r="CV47" s="624"/>
      <c r="CW47" s="624"/>
      <c r="CX47" s="1679"/>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685"/>
    </row>
    <row r="48" spans="1:256" ht="15" hidden="1">
      <c r="A48" s="1686"/>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679"/>
      <c r="CC48" s="1679"/>
      <c r="CD48" s="1679"/>
      <c r="CE48" s="1679"/>
      <c r="CF48" s="1679"/>
      <c r="CG48" s="1679"/>
      <c r="CH48" s="1679"/>
      <c r="CI48" s="1679"/>
      <c r="CJ48" s="1679"/>
      <c r="CK48" s="1679"/>
      <c r="CL48" s="1679"/>
      <c r="CM48" s="1679"/>
      <c r="CN48" s="1679"/>
      <c r="CO48" s="1679"/>
      <c r="CP48" s="1679"/>
      <c r="CQ48" s="1679"/>
      <c r="CR48" s="1679"/>
      <c r="CS48" s="1679"/>
      <c r="CT48" s="1679"/>
      <c r="CU48" s="1679"/>
      <c r="CV48" s="1679"/>
      <c r="CW48" s="1679"/>
      <c r="CX48" s="1679"/>
      <c r="CY48" s="819"/>
      <c r="CZ48" s="1679"/>
      <c r="DA48" s="1679"/>
      <c r="DB48" s="1679"/>
      <c r="DC48" s="768"/>
      <c r="DD48" s="1679"/>
      <c r="DE48" s="1679"/>
      <c r="DF48" s="1679"/>
      <c r="DG48" s="1679"/>
      <c r="DH48" s="1679"/>
      <c r="DI48" s="1679"/>
      <c r="DJ48" s="1679"/>
      <c r="DK48" s="1679"/>
      <c r="DL48" s="1679"/>
      <c r="DM48" s="1679"/>
      <c r="DN48" s="1679"/>
      <c r="DO48" s="768"/>
      <c r="DP48" s="1679"/>
      <c r="DQ48" s="1679"/>
      <c r="DR48" s="624"/>
      <c r="DS48" s="624"/>
      <c r="DT48" s="624"/>
      <c r="DU48" s="624"/>
      <c r="DV48" s="1685"/>
    </row>
    <row r="49" spans="1:256" ht="15" hidden="1">
      <c r="A49" s="1686"/>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679"/>
      <c r="CC49" s="1679"/>
      <c r="CD49" s="1679"/>
      <c r="CE49" s="1679"/>
      <c r="CF49" s="1679"/>
      <c r="CG49" s="1679"/>
      <c r="CH49" s="1679"/>
      <c r="CI49" s="1679"/>
      <c r="CJ49" s="1679"/>
      <c r="CK49" s="1679"/>
      <c r="CL49" s="1679"/>
      <c r="CM49" s="1679"/>
      <c r="CN49" s="1679"/>
      <c r="CO49" s="1679"/>
      <c r="CP49" s="1679"/>
      <c r="CQ49" s="1679"/>
      <c r="CR49" s="1679"/>
      <c r="CS49" s="1679"/>
      <c r="CT49" s="1679"/>
      <c r="CU49" s="1679"/>
      <c r="CV49" s="1679"/>
      <c r="CW49" s="1679"/>
      <c r="CX49" s="1679"/>
      <c r="CY49" s="819"/>
      <c r="CZ49" s="1679"/>
      <c r="DA49" s="1679"/>
      <c r="DB49" s="1679"/>
      <c r="DC49" s="768"/>
      <c r="DD49" s="1679"/>
      <c r="DE49" s="1679"/>
      <c r="DF49" s="1679"/>
      <c r="DG49" s="1679"/>
      <c r="DH49" s="1679"/>
      <c r="DI49" s="1679"/>
      <c r="DJ49" s="1679"/>
      <c r="DK49" s="1679"/>
      <c r="DL49" s="1679"/>
      <c r="DM49" s="1679"/>
      <c r="DN49" s="1679"/>
      <c r="DO49" s="768"/>
      <c r="DP49" s="1679"/>
      <c r="DQ49" s="1679"/>
      <c r="DR49" s="624"/>
      <c r="DS49" s="624"/>
      <c r="DT49" s="624"/>
      <c r="DU49" s="624"/>
      <c r="DV49" s="1685"/>
    </row>
    <row r="50" spans="1:256" ht="15" hidden="1">
      <c r="A50" s="1686"/>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679"/>
      <c r="CC50" s="1679"/>
      <c r="CD50" s="1679"/>
      <c r="CE50" s="1679"/>
      <c r="CF50" s="1679"/>
      <c r="CG50" s="1679"/>
      <c r="CH50" s="1679"/>
      <c r="CI50" s="1679"/>
      <c r="CJ50" s="1679"/>
      <c r="CK50" s="1679"/>
      <c r="CL50" s="1679"/>
      <c r="CM50" s="1679"/>
      <c r="CN50" s="1679"/>
      <c r="CO50" s="1679"/>
      <c r="CP50" s="1679"/>
      <c r="CQ50" s="1679"/>
      <c r="CR50" s="1679"/>
      <c r="CS50" s="1679"/>
      <c r="CT50" s="1679"/>
      <c r="CU50" s="1679"/>
      <c r="CV50" s="1679"/>
      <c r="CW50" s="1679"/>
      <c r="CX50" s="1679"/>
      <c r="CY50" s="819"/>
      <c r="CZ50" s="1679"/>
      <c r="DA50" s="1679"/>
      <c r="DB50" s="1679"/>
      <c r="DC50" s="768"/>
      <c r="DD50" s="1679"/>
      <c r="DE50" s="1679"/>
      <c r="DF50" s="1679"/>
      <c r="DG50" s="1679"/>
      <c r="DH50" s="1679"/>
      <c r="DI50" s="1679"/>
      <c r="DJ50" s="1679"/>
      <c r="DK50" s="1679"/>
      <c r="DL50" s="1679"/>
      <c r="DM50" s="1679"/>
      <c r="DN50" s="1679"/>
      <c r="DO50" s="768"/>
      <c r="DP50" s="1679"/>
      <c r="DQ50" s="1679"/>
      <c r="DR50" s="624"/>
      <c r="DS50" s="624"/>
      <c r="DT50" s="624"/>
      <c r="DU50" s="624"/>
      <c r="DV50" s="1685"/>
    </row>
    <row r="51" spans="1:256" ht="15" hidden="1">
      <c r="A51" s="1686"/>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679"/>
      <c r="CC51" s="1679"/>
      <c r="CD51" s="1679"/>
      <c r="CE51" s="1679"/>
      <c r="CF51" s="1679"/>
      <c r="CG51" s="1679"/>
      <c r="CH51" s="1679"/>
      <c r="CI51" s="1679"/>
      <c r="CJ51" s="1679"/>
      <c r="CK51" s="1679"/>
      <c r="CL51" s="1679"/>
      <c r="CM51" s="1679"/>
      <c r="CN51" s="1679"/>
      <c r="CO51" s="1679"/>
      <c r="CP51" s="1679"/>
      <c r="CQ51" s="1679"/>
      <c r="CR51" s="1679"/>
      <c r="CS51" s="1679"/>
      <c r="CT51" s="1679"/>
      <c r="CU51" s="1679"/>
      <c r="CV51" s="1679"/>
      <c r="CW51" s="1679"/>
      <c r="CX51" s="1679"/>
      <c r="CY51" s="819"/>
      <c r="CZ51" s="1679"/>
      <c r="DA51" s="1679"/>
      <c r="DB51" s="1679"/>
      <c r="DC51" s="768"/>
      <c r="DD51" s="1679"/>
      <c r="DE51" s="1679"/>
      <c r="DF51" s="1679"/>
      <c r="DG51" s="1679"/>
      <c r="DH51" s="1679"/>
      <c r="DI51" s="1679"/>
      <c r="DJ51" s="1679"/>
      <c r="DK51" s="1679"/>
      <c r="DL51" s="1679"/>
      <c r="DM51" s="1679"/>
      <c r="DN51" s="1679"/>
      <c r="DO51" s="768"/>
      <c r="DP51" s="1679"/>
      <c r="DQ51" s="1679"/>
      <c r="DR51" s="624"/>
      <c r="DS51" s="624"/>
      <c r="DT51" s="624"/>
      <c r="DU51" s="624"/>
      <c r="DV51" s="1685"/>
    </row>
    <row r="52" spans="1:256" ht="15" hidden="1">
      <c r="A52" s="1686"/>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679"/>
      <c r="CC52" s="1679"/>
      <c r="CD52" s="1679"/>
      <c r="CE52" s="1679"/>
      <c r="CF52" s="1679"/>
      <c r="CG52" s="1679"/>
      <c r="CH52" s="1679"/>
      <c r="CI52" s="1679"/>
      <c r="CJ52" s="1679"/>
      <c r="CK52" s="1679"/>
      <c r="CL52" s="1679"/>
      <c r="CM52" s="1679"/>
      <c r="CN52" s="1679"/>
      <c r="CO52" s="1679"/>
      <c r="CP52" s="1679"/>
      <c r="CQ52" s="1679"/>
      <c r="CR52" s="1679"/>
      <c r="CS52" s="1679"/>
      <c r="CT52" s="1679"/>
      <c r="CU52" s="1679"/>
      <c r="CV52" s="1679"/>
      <c r="CW52" s="1679"/>
      <c r="CX52" s="1679"/>
      <c r="CY52" s="819"/>
      <c r="CZ52" s="1679"/>
      <c r="DA52" s="1679"/>
      <c r="DB52" s="1679"/>
      <c r="DC52" s="768"/>
      <c r="DD52" s="1679"/>
      <c r="DE52" s="1679"/>
      <c r="DF52" s="1679"/>
      <c r="DG52" s="1679"/>
      <c r="DH52" s="1679"/>
      <c r="DI52" s="1679"/>
      <c r="DJ52" s="1679"/>
      <c r="DK52" s="1679"/>
      <c r="DL52" s="1679"/>
      <c r="DM52" s="1679"/>
      <c r="DN52" s="1679"/>
      <c r="DO52" s="768"/>
      <c r="DP52" s="1679"/>
      <c r="DQ52" s="1679"/>
      <c r="DR52" s="624"/>
      <c r="DS52" s="624"/>
      <c r="DT52" s="624"/>
      <c r="DU52" s="624"/>
      <c r="DV52" s="1685"/>
    </row>
    <row r="53" spans="1:256" ht="15" hidden="1">
      <c r="A53" s="1686"/>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679"/>
      <c r="CF53" s="624"/>
      <c r="CG53" s="624"/>
      <c r="CH53" s="624"/>
      <c r="CI53" s="624"/>
      <c r="CJ53" s="624"/>
      <c r="CK53" s="624"/>
      <c r="CL53" s="624"/>
      <c r="CM53" s="624"/>
      <c r="CN53" s="624"/>
      <c r="CO53" s="624"/>
      <c r="CP53" s="624"/>
      <c r="CQ53" s="624"/>
      <c r="CR53" s="624"/>
      <c r="CS53" s="624"/>
      <c r="CT53" s="624"/>
      <c r="CU53" s="624"/>
      <c r="CV53" s="624"/>
      <c r="CW53" s="624"/>
      <c r="CX53" s="1679"/>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685"/>
    </row>
    <row r="54" spans="1:256" ht="15" hidden="1">
      <c r="A54" s="1686"/>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679"/>
      <c r="CC54" s="1679"/>
      <c r="CD54" s="1679"/>
      <c r="CE54" s="1679"/>
      <c r="CF54" s="1679"/>
      <c r="CG54" s="1679"/>
      <c r="CH54" s="1679"/>
      <c r="CI54" s="1679"/>
      <c r="CJ54" s="1679"/>
      <c r="CK54" s="1679"/>
      <c r="CL54" s="1679"/>
      <c r="CM54" s="1679"/>
      <c r="CN54" s="1679"/>
      <c r="CO54" s="1679"/>
      <c r="CP54" s="1679"/>
      <c r="CQ54" s="1679"/>
      <c r="CR54" s="1679"/>
      <c r="CS54" s="1679"/>
      <c r="CT54" s="1679"/>
      <c r="CU54" s="1679"/>
      <c r="CV54" s="1679"/>
      <c r="CW54" s="1679"/>
      <c r="CX54" s="1679"/>
      <c r="CY54" s="819"/>
      <c r="CZ54" s="1679"/>
      <c r="DA54" s="1679"/>
      <c r="DB54" s="1679"/>
      <c r="DC54" s="768"/>
      <c r="DD54" s="1679"/>
      <c r="DE54" s="1679"/>
      <c r="DF54" s="1679"/>
      <c r="DG54" s="1679"/>
      <c r="DH54" s="1679"/>
      <c r="DI54" s="1679"/>
      <c r="DJ54" s="1679"/>
      <c r="DK54" s="1679"/>
      <c r="DL54" s="1679"/>
      <c r="DM54" s="1679"/>
      <c r="DN54" s="1679"/>
      <c r="DO54" s="768"/>
      <c r="DP54" s="1679"/>
      <c r="DQ54" s="1679"/>
      <c r="DR54" s="624"/>
      <c r="DS54" s="624"/>
      <c r="DT54" s="624"/>
      <c r="DU54" s="624"/>
      <c r="DV54" s="1685"/>
    </row>
    <row r="55" spans="1:256" ht="15" hidden="1">
      <c r="A55" s="1686"/>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679"/>
      <c r="CC55" s="1679"/>
      <c r="CD55" s="1679"/>
      <c r="CE55" s="1679"/>
      <c r="CF55" s="1679"/>
      <c r="CG55" s="1679"/>
      <c r="CH55" s="1679"/>
      <c r="CI55" s="1679"/>
      <c r="CJ55" s="1679"/>
      <c r="CK55" s="1679"/>
      <c r="CL55" s="1679"/>
      <c r="CM55" s="1679"/>
      <c r="CN55" s="1679"/>
      <c r="CO55" s="1679"/>
      <c r="CP55" s="1679"/>
      <c r="CQ55" s="1679"/>
      <c r="CR55" s="1679"/>
      <c r="CS55" s="1679"/>
      <c r="CT55" s="1679"/>
      <c r="CU55" s="1679"/>
      <c r="CV55" s="1679"/>
      <c r="CW55" s="1679"/>
      <c r="CX55" s="1679"/>
      <c r="CY55" s="819"/>
      <c r="CZ55" s="1679"/>
      <c r="DA55" s="1679"/>
      <c r="DB55" s="1679"/>
      <c r="DC55" s="768"/>
      <c r="DD55" s="1679"/>
      <c r="DE55" s="1679"/>
      <c r="DF55" s="1679"/>
      <c r="DG55" s="1679"/>
      <c r="DH55" s="1679"/>
      <c r="DI55" s="1679"/>
      <c r="DJ55" s="1679"/>
      <c r="DK55" s="1679"/>
      <c r="DL55" s="1679"/>
      <c r="DM55" s="1679"/>
      <c r="DN55" s="1679"/>
      <c r="DO55" s="768"/>
      <c r="DP55" s="1679"/>
      <c r="DQ55" s="1679"/>
      <c r="DR55" s="624"/>
      <c r="DS55" s="624"/>
      <c r="DT55" s="624"/>
      <c r="DU55" s="624"/>
      <c r="DV55" s="1685"/>
    </row>
    <row r="56" spans="1:256" ht="15" hidden="1">
      <c r="A56" s="1686"/>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679"/>
      <c r="CC56" s="1679"/>
      <c r="CD56" s="1679"/>
      <c r="CE56" s="1679"/>
      <c r="CF56" s="1679"/>
      <c r="CG56" s="1679"/>
      <c r="CH56" s="1679"/>
      <c r="CI56" s="1679"/>
      <c r="CJ56" s="1679"/>
      <c r="CK56" s="1679"/>
      <c r="CL56" s="1679"/>
      <c r="CM56" s="1679"/>
      <c r="CN56" s="1679"/>
      <c r="CO56" s="1679"/>
      <c r="CP56" s="1679"/>
      <c r="CQ56" s="1679"/>
      <c r="CR56" s="1679"/>
      <c r="CS56" s="1679"/>
      <c r="CT56" s="1679"/>
      <c r="CU56" s="1679"/>
      <c r="CV56" s="1679"/>
      <c r="CW56" s="1679"/>
      <c r="CX56" s="1679"/>
      <c r="CY56" s="819"/>
      <c r="CZ56" s="1679"/>
      <c r="DA56" s="1679"/>
      <c r="DB56" s="1679"/>
      <c r="DC56" s="768"/>
      <c r="DD56" s="1679"/>
      <c r="DE56" s="1679"/>
      <c r="DF56" s="1679"/>
      <c r="DG56" s="1679"/>
      <c r="DH56" s="1679"/>
      <c r="DI56" s="1679"/>
      <c r="DJ56" s="1679"/>
      <c r="DK56" s="1679"/>
      <c r="DL56" s="1679"/>
      <c r="DM56" s="1679"/>
      <c r="DN56" s="1679"/>
      <c r="DO56" s="768"/>
      <c r="DP56" s="1679"/>
      <c r="DQ56" s="1679"/>
      <c r="DR56" s="624"/>
      <c r="DS56" s="624"/>
      <c r="DT56" s="624"/>
      <c r="DU56" s="624"/>
      <c r="DV56" s="1685"/>
    </row>
    <row r="57" spans="1:256" s="679" customFormat="1" ht="15" hidden="1">
      <c r="A57" s="1686"/>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679"/>
      <c r="CC57" s="1679"/>
      <c r="CD57" s="1679"/>
      <c r="CE57" s="1679"/>
      <c r="CF57" s="1679"/>
      <c r="CG57" s="1679"/>
      <c r="CH57" s="1679"/>
      <c r="CI57" s="1679"/>
      <c r="CJ57" s="1679"/>
      <c r="CK57" s="1679"/>
      <c r="CL57" s="1679"/>
      <c r="CM57" s="1679"/>
      <c r="CN57" s="1679"/>
      <c r="CO57" s="1679"/>
      <c r="CP57" s="1679"/>
      <c r="CQ57" s="1679"/>
      <c r="CR57" s="1679"/>
      <c r="CS57" s="1679"/>
      <c r="CT57" s="1679"/>
      <c r="CU57" s="1679"/>
      <c r="CV57" s="1679"/>
      <c r="CW57" s="1679"/>
      <c r="CX57" s="1679"/>
      <c r="CY57" s="819"/>
      <c r="CZ57" s="1679"/>
      <c r="DA57" s="1679"/>
      <c r="DB57" s="1679"/>
      <c r="DC57" s="768"/>
      <c r="DD57" s="1679"/>
      <c r="DE57" s="1679"/>
      <c r="DF57" s="1679"/>
      <c r="DG57" s="1679"/>
      <c r="DH57" s="1679"/>
      <c r="DI57" s="1679"/>
      <c r="DJ57" s="1679"/>
      <c r="DK57" s="1679"/>
      <c r="DL57" s="1679"/>
      <c r="DM57" s="1679"/>
      <c r="DN57" s="1679"/>
      <c r="DO57" s="768"/>
      <c r="DP57" s="1679"/>
      <c r="DQ57" s="1679"/>
      <c r="DR57" s="624"/>
      <c r="DS57" s="624"/>
      <c r="DT57" s="624"/>
      <c r="DU57" s="624"/>
      <c r="DV57" s="1685"/>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5" hidden="1">
      <c r="A58" s="1686"/>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679"/>
      <c r="CC58" s="1679"/>
      <c r="CD58" s="1679"/>
      <c r="CE58" s="1679"/>
      <c r="CF58" s="1679"/>
      <c r="CG58" s="1679"/>
      <c r="CH58" s="1679"/>
      <c r="CI58" s="1679"/>
      <c r="CJ58" s="1679"/>
      <c r="CK58" s="1679"/>
      <c r="CL58" s="1679"/>
      <c r="CM58" s="1679"/>
      <c r="CN58" s="1679"/>
      <c r="CO58" s="1679"/>
      <c r="CP58" s="1679"/>
      <c r="CQ58" s="1679"/>
      <c r="CR58" s="1679"/>
      <c r="CS58" s="1679"/>
      <c r="CT58" s="1679"/>
      <c r="CU58" s="1679"/>
      <c r="CV58" s="1679"/>
      <c r="CW58" s="1679"/>
      <c r="CX58" s="1679"/>
      <c r="CY58" s="819"/>
      <c r="CZ58" s="1679"/>
      <c r="DA58" s="1679"/>
      <c r="DB58" s="1679"/>
      <c r="DC58" s="768"/>
      <c r="DD58" s="1679"/>
      <c r="DE58" s="1679"/>
      <c r="DF58" s="1679"/>
      <c r="DG58" s="1679"/>
      <c r="DH58" s="1679"/>
      <c r="DI58" s="1679"/>
      <c r="DJ58" s="1679"/>
      <c r="DK58" s="1679"/>
      <c r="DL58" s="1679"/>
      <c r="DM58" s="1679"/>
      <c r="DN58" s="1679"/>
      <c r="DO58" s="768"/>
      <c r="DP58" s="1679"/>
      <c r="DQ58" s="1679"/>
      <c r="DR58" s="624"/>
      <c r="DS58" s="624"/>
      <c r="DT58" s="624"/>
      <c r="DU58" s="624"/>
      <c r="DV58" s="1685"/>
    </row>
    <row r="59" spans="1:256" ht="15" hidden="1">
      <c r="A59" s="1686"/>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679"/>
      <c r="CC59" s="1679"/>
      <c r="CD59" s="1679"/>
      <c r="CE59" s="1679"/>
      <c r="CF59" s="1679"/>
      <c r="CG59" s="1679"/>
      <c r="CH59" s="1679"/>
      <c r="CI59" s="1679"/>
      <c r="CJ59" s="1679"/>
      <c r="CK59" s="1679"/>
      <c r="CL59" s="1679"/>
      <c r="CM59" s="1679"/>
      <c r="CN59" s="1679"/>
      <c r="CO59" s="1679"/>
      <c r="CP59" s="1679"/>
      <c r="CQ59" s="1679"/>
      <c r="CR59" s="1679"/>
      <c r="CS59" s="1679"/>
      <c r="CT59" s="1679"/>
      <c r="CU59" s="1679"/>
      <c r="CV59" s="1679"/>
      <c r="CW59" s="1679"/>
      <c r="CX59" s="1679"/>
      <c r="CY59" s="819"/>
      <c r="CZ59" s="1679"/>
      <c r="DA59" s="1679"/>
      <c r="DB59" s="1679"/>
      <c r="DC59" s="768"/>
      <c r="DD59" s="1679"/>
      <c r="DE59" s="1679"/>
      <c r="DF59" s="1679"/>
      <c r="DG59" s="1679"/>
      <c r="DH59" s="1679"/>
      <c r="DI59" s="1679"/>
      <c r="DJ59" s="1679"/>
      <c r="DK59" s="1679"/>
      <c r="DL59" s="1679"/>
      <c r="DM59" s="1679"/>
      <c r="DN59" s="1679"/>
      <c r="DO59" s="768"/>
      <c r="DP59" s="1679"/>
      <c r="DQ59" s="1679"/>
      <c r="DR59" s="624"/>
      <c r="DS59" s="624"/>
      <c r="DT59" s="624"/>
      <c r="DU59" s="624"/>
      <c r="DV59" s="1685"/>
    </row>
    <row r="60" spans="1:256" ht="15" hidden="1">
      <c r="A60" s="1686"/>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679"/>
      <c r="CC60" s="1679"/>
      <c r="CD60" s="1679"/>
      <c r="CE60" s="1679"/>
      <c r="CF60" s="1679"/>
      <c r="CG60" s="1679"/>
      <c r="CH60" s="1679"/>
      <c r="CI60" s="1679"/>
      <c r="CJ60" s="1679"/>
      <c r="CK60" s="1679"/>
      <c r="CL60" s="1679"/>
      <c r="CM60" s="1679"/>
      <c r="CN60" s="1679"/>
      <c r="CO60" s="1679"/>
      <c r="CP60" s="1679"/>
      <c r="CQ60" s="1679"/>
      <c r="CR60" s="1679"/>
      <c r="CS60" s="1679"/>
      <c r="CT60" s="1679"/>
      <c r="CU60" s="1679"/>
      <c r="CV60" s="1679"/>
      <c r="CW60" s="1679"/>
      <c r="CX60" s="1679"/>
      <c r="CY60" s="819"/>
      <c r="CZ60" s="1679"/>
      <c r="DA60" s="1679"/>
      <c r="DB60" s="1679"/>
      <c r="DC60" s="768"/>
      <c r="DD60" s="1679"/>
      <c r="DE60" s="1679"/>
      <c r="DF60" s="1679"/>
      <c r="DG60" s="1679"/>
      <c r="DH60" s="1679"/>
      <c r="DI60" s="1679"/>
      <c r="DJ60" s="1679"/>
      <c r="DK60" s="1679"/>
      <c r="DL60" s="1679"/>
      <c r="DM60" s="1679"/>
      <c r="DN60" s="1679"/>
      <c r="DO60" s="768"/>
      <c r="DP60" s="1679"/>
      <c r="DQ60" s="1679"/>
      <c r="DR60" s="624"/>
      <c r="DS60" s="624"/>
      <c r="DT60" s="624"/>
      <c r="DU60" s="624"/>
      <c r="DV60" s="1685"/>
    </row>
    <row r="61" spans="1:256" ht="15" hidden="1">
      <c r="A61" s="1686"/>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679"/>
      <c r="CC61" s="1679"/>
      <c r="CD61" s="1679"/>
      <c r="CE61" s="1679"/>
      <c r="CF61" s="1679"/>
      <c r="CG61" s="1679"/>
      <c r="CH61" s="1679"/>
      <c r="CI61" s="1679"/>
      <c r="CJ61" s="1679"/>
      <c r="CK61" s="1679"/>
      <c r="CL61" s="1679"/>
      <c r="CM61" s="1679"/>
      <c r="CN61" s="1679"/>
      <c r="CO61" s="1679"/>
      <c r="CP61" s="1679"/>
      <c r="CQ61" s="1679"/>
      <c r="CR61" s="1679"/>
      <c r="CS61" s="1679"/>
      <c r="CT61" s="1679"/>
      <c r="CU61" s="1679"/>
      <c r="CV61" s="1679"/>
      <c r="CW61" s="1679"/>
      <c r="CX61" s="1679"/>
      <c r="CY61" s="819"/>
      <c r="CZ61" s="1679"/>
      <c r="DA61" s="1679"/>
      <c r="DB61" s="1679"/>
      <c r="DC61" s="768"/>
      <c r="DD61" s="1679"/>
      <c r="DE61" s="1679"/>
      <c r="DF61" s="1679"/>
      <c r="DG61" s="1679"/>
      <c r="DH61" s="1679"/>
      <c r="DI61" s="1679"/>
      <c r="DJ61" s="1679"/>
      <c r="DK61" s="1679"/>
      <c r="DL61" s="1679"/>
      <c r="DM61" s="1679"/>
      <c r="DN61" s="1679"/>
      <c r="DO61" s="768"/>
      <c r="DP61" s="1679"/>
      <c r="DQ61" s="1679"/>
      <c r="DR61" s="624"/>
      <c r="DS61" s="624"/>
      <c r="DT61" s="624"/>
      <c r="DU61" s="624"/>
      <c r="DV61" s="1685"/>
    </row>
    <row r="62" spans="1:256" s="679" customFormat="1" ht="15" hidden="1">
      <c r="A62" s="1686"/>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679"/>
      <c r="CF62" s="624"/>
      <c r="CG62" s="624"/>
      <c r="CH62" s="624"/>
      <c r="CI62" s="624"/>
      <c r="CJ62" s="624"/>
      <c r="CK62" s="624"/>
      <c r="CL62" s="624"/>
      <c r="CM62" s="624"/>
      <c r="CN62" s="624"/>
      <c r="CO62" s="624"/>
      <c r="CP62" s="624"/>
      <c r="CQ62" s="624"/>
      <c r="CR62" s="624"/>
      <c r="CS62" s="624"/>
      <c r="CT62" s="624"/>
      <c r="CU62" s="624"/>
      <c r="CV62" s="624"/>
      <c r="CW62" s="624"/>
      <c r="CX62" s="1679"/>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685"/>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5" hidden="1">
      <c r="A63" s="1688"/>
      <c r="B63" s="1689"/>
      <c r="C63" s="1688"/>
      <c r="D63" s="1688"/>
      <c r="E63" s="1688"/>
      <c r="F63" s="1688"/>
      <c r="G63" s="1688"/>
      <c r="H63" s="1688"/>
      <c r="I63" s="1688"/>
      <c r="J63" s="1688"/>
      <c r="K63" s="1688"/>
      <c r="L63" s="1688"/>
      <c r="M63" s="1688"/>
      <c r="N63" s="1688"/>
      <c r="O63" s="1688"/>
      <c r="P63" s="1688"/>
      <c r="Q63" s="1688"/>
      <c r="R63" s="1688"/>
      <c r="S63" s="1688"/>
      <c r="T63" s="1688"/>
      <c r="U63" s="1688"/>
      <c r="V63" s="1688"/>
      <c r="W63" s="1688"/>
      <c r="X63" s="1688"/>
      <c r="Y63" s="1688"/>
      <c r="Z63" s="1688"/>
      <c r="AA63" s="1688"/>
      <c r="AB63" s="1688"/>
      <c r="AC63" s="1688"/>
      <c r="AD63" s="1688"/>
      <c r="AE63" s="1688"/>
      <c r="AF63" s="1688"/>
      <c r="AG63" s="1688"/>
      <c r="AH63" s="1688"/>
      <c r="AI63" s="1688"/>
      <c r="AJ63" s="1688"/>
      <c r="AK63" s="1688"/>
      <c r="AL63" s="1688"/>
      <c r="AM63" s="1688"/>
      <c r="AN63" s="1688"/>
      <c r="AO63" s="1688"/>
      <c r="AP63" s="1688"/>
      <c r="AQ63" s="1688"/>
      <c r="AR63" s="1688"/>
      <c r="AS63" s="1688"/>
      <c r="AT63" s="1688"/>
      <c r="AU63" s="1688"/>
      <c r="AV63" s="1688"/>
      <c r="AW63" s="1688"/>
      <c r="AX63" s="1688"/>
      <c r="AY63" s="1688"/>
      <c r="AZ63" s="1688"/>
      <c r="BA63" s="1688"/>
      <c r="BB63" s="1688"/>
      <c r="BC63" s="1688"/>
      <c r="BD63" s="1688"/>
      <c r="BE63" s="1688"/>
      <c r="BF63" s="1688"/>
      <c r="BG63" s="1688"/>
      <c r="BH63" s="1688"/>
      <c r="BI63" s="1688"/>
      <c r="BJ63" s="1688"/>
      <c r="BK63" s="1688"/>
      <c r="BL63" s="1688"/>
      <c r="BM63" s="1688"/>
      <c r="BN63" s="1688"/>
      <c r="BO63" s="1688"/>
      <c r="BP63" s="1688"/>
      <c r="BQ63" s="1688"/>
      <c r="BR63" s="1688"/>
      <c r="BS63" s="1688"/>
      <c r="BT63" s="1688"/>
      <c r="BU63" s="1688"/>
      <c r="BV63" s="1688"/>
      <c r="BW63" s="1688"/>
      <c r="BX63" s="1688"/>
      <c r="BY63" s="1688"/>
      <c r="BZ63" s="1688"/>
      <c r="CA63" s="1688"/>
      <c r="CB63" s="1688"/>
      <c r="CC63" s="1688"/>
      <c r="CD63" s="1688"/>
      <c r="CE63" s="1679"/>
      <c r="CF63" s="1688"/>
      <c r="CG63" s="1688"/>
      <c r="CH63" s="1688"/>
      <c r="CI63" s="1688"/>
      <c r="CJ63" s="1688"/>
      <c r="CK63" s="1688"/>
      <c r="CL63" s="1688"/>
      <c r="CM63" s="1688"/>
      <c r="CN63" s="1688"/>
      <c r="CO63" s="1688"/>
      <c r="CP63" s="1688"/>
      <c r="CQ63" s="1688"/>
      <c r="CR63" s="1688"/>
      <c r="CS63" s="1688"/>
      <c r="CT63" s="1688"/>
      <c r="CU63" s="1688"/>
      <c r="CV63" s="1688"/>
      <c r="CW63" s="1688"/>
      <c r="CX63" s="1688"/>
      <c r="CY63" s="1690"/>
      <c r="CZ63" s="1688"/>
      <c r="DA63" s="1688"/>
      <c r="DB63" s="1688"/>
      <c r="DC63" s="1688"/>
      <c r="DD63" s="1688"/>
      <c r="DE63" s="1688"/>
      <c r="DF63" s="1688"/>
      <c r="DG63" s="1688"/>
      <c r="DH63" s="1688"/>
      <c r="DI63" s="1688"/>
      <c r="DJ63" s="1688"/>
      <c r="DK63" s="1688"/>
      <c r="DL63" s="1688"/>
      <c r="DM63" s="1688"/>
      <c r="DN63" s="1688"/>
      <c r="DO63" s="1688"/>
      <c r="DP63" s="1688"/>
      <c r="DQ63" s="1688"/>
      <c r="DR63" s="1688"/>
      <c r="DS63" s="1688"/>
      <c r="DT63" s="1688"/>
      <c r="DU63" s="1688"/>
      <c r="DV63" s="1691"/>
    </row>
    <row r="64" spans="1:256" s="546" customFormat="1" ht="18" hidden="1" customHeight="1">
      <c r="A64" s="1695"/>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679"/>
      <c r="CF64" s="1025"/>
      <c r="CG64" s="1025"/>
      <c r="CH64" s="1025"/>
      <c r="CI64" s="1025"/>
      <c r="CJ64" s="1025"/>
      <c r="CK64" s="1025"/>
      <c r="CL64" s="1025"/>
      <c r="CM64" s="1025"/>
      <c r="CN64" s="1025"/>
      <c r="CO64" s="1025"/>
      <c r="CP64" s="1025"/>
      <c r="CQ64" s="1025"/>
      <c r="CR64" s="1025"/>
      <c r="CS64" s="1025"/>
      <c r="CT64" s="1025"/>
      <c r="CU64" s="1025"/>
      <c r="CV64" s="1025"/>
      <c r="CW64" s="1025"/>
      <c r="CX64" s="1025"/>
      <c r="CY64" s="1693"/>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694"/>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5" hidden="1">
      <c r="A65" s="1686"/>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679"/>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685"/>
    </row>
    <row r="66" spans="1:126" ht="15" hidden="1">
      <c r="A66" s="1686"/>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679"/>
      <c r="CC66" s="1679"/>
      <c r="CD66" s="1679"/>
      <c r="CE66" s="1679"/>
      <c r="CF66" s="1679"/>
      <c r="CG66" s="1679"/>
      <c r="CH66" s="1679"/>
      <c r="CI66" s="1679"/>
      <c r="CJ66" s="1679"/>
      <c r="CK66" s="1679"/>
      <c r="CL66" s="1679"/>
      <c r="CM66" s="1679"/>
      <c r="CN66" s="1679"/>
      <c r="CO66" s="1679"/>
      <c r="CP66" s="1679"/>
      <c r="CQ66" s="1679"/>
      <c r="CR66" s="1679"/>
      <c r="CS66" s="1679"/>
      <c r="CT66" s="1679"/>
      <c r="CU66" s="1679"/>
      <c r="CV66" s="1679"/>
      <c r="CW66" s="1679"/>
      <c r="CX66" s="1679"/>
      <c r="CY66" s="819"/>
      <c r="CZ66" s="1679"/>
      <c r="DA66" s="1679"/>
      <c r="DB66" s="1679"/>
      <c r="DC66" s="768"/>
      <c r="DD66" s="1679"/>
      <c r="DE66" s="1679"/>
      <c r="DF66" s="1679"/>
      <c r="DG66" s="1679"/>
      <c r="DH66" s="1679"/>
      <c r="DI66" s="1679"/>
      <c r="DJ66" s="1679"/>
      <c r="DK66" s="1679"/>
      <c r="DL66" s="1679"/>
      <c r="DM66" s="1679"/>
      <c r="DN66" s="1679"/>
      <c r="DO66" s="768"/>
      <c r="DP66" s="1679"/>
      <c r="DQ66" s="1679"/>
      <c r="DR66" s="624"/>
      <c r="DS66" s="624"/>
      <c r="DT66" s="624"/>
      <c r="DU66" s="624"/>
      <c r="DV66" s="1685"/>
    </row>
    <row r="67" spans="1:126" ht="15" hidden="1">
      <c r="A67" s="1686"/>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679"/>
      <c r="CC67" s="1679"/>
      <c r="CD67" s="1679"/>
      <c r="CE67" s="1679"/>
      <c r="CF67" s="1679"/>
      <c r="CG67" s="1679"/>
      <c r="CH67" s="1679"/>
      <c r="CI67" s="1679"/>
      <c r="CJ67" s="1679"/>
      <c r="CK67" s="1679"/>
      <c r="CL67" s="1679"/>
      <c r="CM67" s="1679"/>
      <c r="CN67" s="1679"/>
      <c r="CO67" s="1679"/>
      <c r="CP67" s="1679"/>
      <c r="CQ67" s="1679"/>
      <c r="CR67" s="1679"/>
      <c r="CS67" s="1679"/>
      <c r="CT67" s="1679"/>
      <c r="CU67" s="1679"/>
      <c r="CV67" s="1679"/>
      <c r="CW67" s="1679"/>
      <c r="CX67" s="1679"/>
      <c r="CY67" s="819"/>
      <c r="CZ67" s="1679"/>
      <c r="DA67" s="1679"/>
      <c r="DB67" s="1679"/>
      <c r="DC67" s="768"/>
      <c r="DD67" s="1679"/>
      <c r="DE67" s="1679"/>
      <c r="DF67" s="1679"/>
      <c r="DG67" s="1679"/>
      <c r="DH67" s="1679"/>
      <c r="DI67" s="1679"/>
      <c r="DJ67" s="1679"/>
      <c r="DK67" s="1679"/>
      <c r="DL67" s="1679"/>
      <c r="DM67" s="1679"/>
      <c r="DN67" s="1679"/>
      <c r="DO67" s="768"/>
      <c r="DP67" s="1679"/>
      <c r="DQ67" s="1679"/>
      <c r="DR67" s="624"/>
      <c r="DS67" s="624"/>
      <c r="DT67" s="624"/>
      <c r="DU67" s="624"/>
      <c r="DV67" s="1685"/>
    </row>
    <row r="68" spans="1:126" ht="15" hidden="1">
      <c r="A68" s="1686"/>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679"/>
      <c r="CC68" s="1679"/>
      <c r="CD68" s="1679"/>
      <c r="CE68" s="1679"/>
      <c r="CF68" s="1679"/>
      <c r="CG68" s="1679"/>
      <c r="CH68" s="1679"/>
      <c r="CI68" s="1679"/>
      <c r="CJ68" s="1679"/>
      <c r="CK68" s="1679"/>
      <c r="CL68" s="1679"/>
      <c r="CM68" s="1679"/>
      <c r="CN68" s="1679"/>
      <c r="CO68" s="1679"/>
      <c r="CP68" s="1679"/>
      <c r="CQ68" s="1679"/>
      <c r="CR68" s="1679"/>
      <c r="CS68" s="1679"/>
      <c r="CT68" s="1679"/>
      <c r="CU68" s="1679"/>
      <c r="CV68" s="1679"/>
      <c r="CW68" s="1679"/>
      <c r="CX68" s="1679"/>
      <c r="CY68" s="819"/>
      <c r="CZ68" s="1679"/>
      <c r="DA68" s="1679"/>
      <c r="DB68" s="1679"/>
      <c r="DC68" s="768"/>
      <c r="DD68" s="1679"/>
      <c r="DE68" s="1679"/>
      <c r="DF68" s="1679"/>
      <c r="DG68" s="1679"/>
      <c r="DH68" s="1679"/>
      <c r="DI68" s="1679"/>
      <c r="DJ68" s="1679"/>
      <c r="DK68" s="1679"/>
      <c r="DL68" s="1679"/>
      <c r="DM68" s="1679"/>
      <c r="DN68" s="1679"/>
      <c r="DO68" s="768"/>
      <c r="DP68" s="1679"/>
      <c r="DQ68" s="1679"/>
      <c r="DR68" s="624"/>
      <c r="DS68" s="624"/>
      <c r="DT68" s="624"/>
      <c r="DU68" s="624"/>
      <c r="DV68" s="1685"/>
    </row>
    <row r="69" spans="1:126" ht="15" hidden="1">
      <c r="A69" s="1686"/>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679"/>
      <c r="CC69" s="1679"/>
      <c r="CD69" s="1679"/>
      <c r="CE69" s="1679"/>
      <c r="CF69" s="1679"/>
      <c r="CG69" s="1679"/>
      <c r="CH69" s="1679"/>
      <c r="CI69" s="1679"/>
      <c r="CJ69" s="1679"/>
      <c r="CK69" s="1679"/>
      <c r="CL69" s="1679"/>
      <c r="CM69" s="1679"/>
      <c r="CN69" s="1679"/>
      <c r="CO69" s="1679"/>
      <c r="CP69" s="1679"/>
      <c r="CQ69" s="1679"/>
      <c r="CR69" s="1679"/>
      <c r="CS69" s="1679"/>
      <c r="CT69" s="1679"/>
      <c r="CU69" s="1679"/>
      <c r="CV69" s="1679"/>
      <c r="CW69" s="1679"/>
      <c r="CX69" s="1679"/>
      <c r="CY69" s="819"/>
      <c r="CZ69" s="1679"/>
      <c r="DA69" s="1679"/>
      <c r="DB69" s="1679"/>
      <c r="DC69" s="768"/>
      <c r="DD69" s="1679"/>
      <c r="DE69" s="1679"/>
      <c r="DF69" s="1679"/>
      <c r="DG69" s="1679"/>
      <c r="DH69" s="1679"/>
      <c r="DI69" s="1679"/>
      <c r="DJ69" s="1679"/>
      <c r="DK69" s="1679"/>
      <c r="DL69" s="1679"/>
      <c r="DM69" s="1679"/>
      <c r="DN69" s="1679"/>
      <c r="DO69" s="768"/>
      <c r="DP69" s="1679"/>
      <c r="DQ69" s="1679"/>
      <c r="DR69" s="624"/>
      <c r="DS69" s="624"/>
      <c r="DT69" s="624"/>
      <c r="DU69" s="624"/>
      <c r="DV69" s="1685"/>
    </row>
    <row r="70" spans="1:126" ht="15" hidden="1">
      <c r="A70" s="1686"/>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679"/>
      <c r="CC70" s="1679"/>
      <c r="CD70" s="1679"/>
      <c r="CE70" s="1679"/>
      <c r="CF70" s="1679"/>
      <c r="CG70" s="1679"/>
      <c r="CH70" s="1679"/>
      <c r="CI70" s="1679"/>
      <c r="CJ70" s="1679"/>
      <c r="CK70" s="1679"/>
      <c r="CL70" s="1679"/>
      <c r="CM70" s="1679"/>
      <c r="CN70" s="1679"/>
      <c r="CO70" s="1679"/>
      <c r="CP70" s="1679"/>
      <c r="CQ70" s="1679"/>
      <c r="CR70" s="1679"/>
      <c r="CS70" s="1679"/>
      <c r="CT70" s="1679"/>
      <c r="CU70" s="1679"/>
      <c r="CV70" s="1679"/>
      <c r="CW70" s="1679"/>
      <c r="CX70" s="1679"/>
      <c r="CY70" s="819"/>
      <c r="CZ70" s="1679"/>
      <c r="DA70" s="1679"/>
      <c r="DB70" s="1679"/>
      <c r="DC70" s="768"/>
      <c r="DD70" s="1679"/>
      <c r="DE70" s="1679"/>
      <c r="DF70" s="1679"/>
      <c r="DG70" s="1679"/>
      <c r="DH70" s="1679"/>
      <c r="DI70" s="1679"/>
      <c r="DJ70" s="1679"/>
      <c r="DK70" s="1679"/>
      <c r="DL70" s="1679"/>
      <c r="DM70" s="1679"/>
      <c r="DN70" s="1679"/>
      <c r="DO70" s="768"/>
      <c r="DP70" s="1679"/>
      <c r="DQ70" s="1679"/>
      <c r="DR70" s="624"/>
      <c r="DS70" s="624"/>
      <c r="DT70" s="624"/>
      <c r="DU70" s="624"/>
      <c r="DV70" s="1685"/>
    </row>
    <row r="71" spans="1:126" ht="15" hidden="1">
      <c r="A71" s="1686"/>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679"/>
      <c r="CC71" s="1679"/>
      <c r="CD71" s="1679"/>
      <c r="CE71" s="1679"/>
      <c r="CF71" s="1679"/>
      <c r="CG71" s="1679"/>
      <c r="CH71" s="1679"/>
      <c r="CI71" s="1679"/>
      <c r="CJ71" s="1679"/>
      <c r="CK71" s="1679"/>
      <c r="CL71" s="1679"/>
      <c r="CM71" s="1679"/>
      <c r="CN71" s="1679"/>
      <c r="CO71" s="1679"/>
      <c r="CP71" s="1679"/>
      <c r="CQ71" s="1679"/>
      <c r="CR71" s="1679"/>
      <c r="CS71" s="1679"/>
      <c r="CT71" s="1679"/>
      <c r="CU71" s="1679"/>
      <c r="CV71" s="1679"/>
      <c r="CW71" s="1679"/>
      <c r="CX71" s="1679"/>
      <c r="CY71" s="819"/>
      <c r="CZ71" s="1679"/>
      <c r="DA71" s="1679"/>
      <c r="DB71" s="1679"/>
      <c r="DC71" s="768"/>
      <c r="DD71" s="1679"/>
      <c r="DE71" s="1679"/>
      <c r="DF71" s="1679"/>
      <c r="DG71" s="1679"/>
      <c r="DH71" s="1679"/>
      <c r="DI71" s="1679"/>
      <c r="DJ71" s="1679"/>
      <c r="DK71" s="1679"/>
      <c r="DL71" s="1679"/>
      <c r="DM71" s="1679"/>
      <c r="DN71" s="1679"/>
      <c r="DO71" s="768"/>
      <c r="DP71" s="1679"/>
      <c r="DQ71" s="1679"/>
      <c r="DR71" s="624"/>
      <c r="DS71" s="624"/>
      <c r="DT71" s="624"/>
      <c r="DU71" s="624"/>
      <c r="DV71" s="1685"/>
    </row>
    <row r="72" spans="1:126" ht="15" hidden="1">
      <c r="A72" s="1686"/>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679"/>
      <c r="CC72" s="1679"/>
      <c r="CD72" s="1679"/>
      <c r="CE72" s="1679"/>
      <c r="CF72" s="1679"/>
      <c r="CG72" s="1679"/>
      <c r="CH72" s="1679"/>
      <c r="CI72" s="1679"/>
      <c r="CJ72" s="1679"/>
      <c r="CK72" s="1679"/>
      <c r="CL72" s="1679"/>
      <c r="CM72" s="1679"/>
      <c r="CN72" s="1679"/>
      <c r="CO72" s="1679"/>
      <c r="CP72" s="1679"/>
      <c r="CQ72" s="1679"/>
      <c r="CR72" s="1679"/>
      <c r="CS72" s="1679"/>
      <c r="CT72" s="1679"/>
      <c r="CU72" s="1679"/>
      <c r="CV72" s="1679"/>
      <c r="CW72" s="1679"/>
      <c r="CX72" s="1679"/>
      <c r="CY72" s="819"/>
      <c r="CZ72" s="1679"/>
      <c r="DA72" s="1679"/>
      <c r="DB72" s="1679"/>
      <c r="DC72" s="768"/>
      <c r="DD72" s="1679"/>
      <c r="DE72" s="1679"/>
      <c r="DF72" s="1679"/>
      <c r="DG72" s="1679"/>
      <c r="DH72" s="1679"/>
      <c r="DI72" s="1679"/>
      <c r="DJ72" s="1679"/>
      <c r="DK72" s="1679"/>
      <c r="DL72" s="1679"/>
      <c r="DM72" s="1679"/>
      <c r="DN72" s="1679"/>
      <c r="DO72" s="768"/>
      <c r="DP72" s="1679"/>
      <c r="DQ72" s="1679"/>
      <c r="DR72" s="624"/>
      <c r="DS72" s="624"/>
      <c r="DT72" s="624"/>
      <c r="DU72" s="624"/>
      <c r="DV72" s="1685"/>
    </row>
    <row r="73" spans="1:126" ht="15" hidden="1">
      <c r="A73" s="1686"/>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679"/>
      <c r="CC73" s="1679"/>
      <c r="CD73" s="1679"/>
      <c r="CE73" s="1679"/>
      <c r="CF73" s="1679"/>
      <c r="CG73" s="1679"/>
      <c r="CH73" s="1679"/>
      <c r="CI73" s="1679"/>
      <c r="CJ73" s="1679"/>
      <c r="CK73" s="1679"/>
      <c r="CL73" s="1679"/>
      <c r="CM73" s="1679"/>
      <c r="CN73" s="1679"/>
      <c r="CO73" s="1679"/>
      <c r="CP73" s="1679"/>
      <c r="CQ73" s="1679"/>
      <c r="CR73" s="1679"/>
      <c r="CS73" s="1679"/>
      <c r="CT73" s="1679"/>
      <c r="CU73" s="1679"/>
      <c r="CV73" s="1679"/>
      <c r="CW73" s="1679"/>
      <c r="CX73" s="1679"/>
      <c r="CY73" s="819"/>
      <c r="CZ73" s="1679"/>
      <c r="DA73" s="1679"/>
      <c r="DB73" s="1679"/>
      <c r="DC73" s="768"/>
      <c r="DD73" s="1679"/>
      <c r="DE73" s="1679"/>
      <c r="DF73" s="1679"/>
      <c r="DG73" s="1679"/>
      <c r="DH73" s="1679"/>
      <c r="DI73" s="1679"/>
      <c r="DJ73" s="1679"/>
      <c r="DK73" s="1679"/>
      <c r="DL73" s="1679"/>
      <c r="DM73" s="1679"/>
      <c r="DN73" s="1679"/>
      <c r="DO73" s="768"/>
      <c r="DP73" s="1679"/>
      <c r="DQ73" s="1679"/>
      <c r="DR73" s="624"/>
      <c r="DS73" s="624"/>
      <c r="DT73" s="624"/>
      <c r="DU73" s="624"/>
      <c r="DV73" s="1685"/>
    </row>
    <row r="74" spans="1:126" ht="15" hidden="1">
      <c r="A74" s="1686"/>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679"/>
      <c r="CC74" s="1679"/>
      <c r="CD74" s="1679"/>
      <c r="CE74" s="1679"/>
      <c r="CF74" s="1679"/>
      <c r="CG74" s="1679"/>
      <c r="CH74" s="1679"/>
      <c r="CI74" s="1679"/>
      <c r="CJ74" s="1679"/>
      <c r="CK74" s="1679"/>
      <c r="CL74" s="1679"/>
      <c r="CM74" s="1679"/>
      <c r="CN74" s="1679"/>
      <c r="CO74" s="1679"/>
      <c r="CP74" s="1679"/>
      <c r="CQ74" s="1679"/>
      <c r="CR74" s="1679"/>
      <c r="CS74" s="1679"/>
      <c r="CT74" s="1679"/>
      <c r="CU74" s="1679"/>
      <c r="CV74" s="1679"/>
      <c r="CW74" s="1679"/>
      <c r="CX74" s="1679"/>
      <c r="CY74" s="819"/>
      <c r="CZ74" s="1679"/>
      <c r="DA74" s="1679"/>
      <c r="DB74" s="1679"/>
      <c r="DC74" s="768"/>
      <c r="DD74" s="1679"/>
      <c r="DE74" s="1679"/>
      <c r="DF74" s="1679"/>
      <c r="DG74" s="1679"/>
      <c r="DH74" s="1679"/>
      <c r="DI74" s="1679"/>
      <c r="DJ74" s="1679"/>
      <c r="DK74" s="1679"/>
      <c r="DL74" s="1679"/>
      <c r="DM74" s="1679"/>
      <c r="DN74" s="1679"/>
      <c r="DO74" s="768"/>
      <c r="DP74" s="1679"/>
      <c r="DQ74" s="1679"/>
      <c r="DR74" s="624"/>
      <c r="DS74" s="624"/>
      <c r="DT74" s="624"/>
      <c r="DU74" s="624"/>
      <c r="DV74" s="1685"/>
    </row>
    <row r="75" spans="1:126" ht="15" hidden="1">
      <c r="A75" s="1686"/>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679"/>
      <c r="CC75" s="1679"/>
      <c r="CD75" s="1679"/>
      <c r="CE75" s="1679"/>
      <c r="CF75" s="1679"/>
      <c r="CG75" s="1679"/>
      <c r="CH75" s="1679"/>
      <c r="CI75" s="1679"/>
      <c r="CJ75" s="1679"/>
      <c r="CK75" s="1679"/>
      <c r="CL75" s="1679"/>
      <c r="CM75" s="1679"/>
      <c r="CN75" s="1679"/>
      <c r="CO75" s="1679"/>
      <c r="CP75" s="1679"/>
      <c r="CQ75" s="1679"/>
      <c r="CR75" s="1679"/>
      <c r="CS75" s="1679"/>
      <c r="CT75" s="1679"/>
      <c r="CU75" s="1679"/>
      <c r="CV75" s="1679"/>
      <c r="CW75" s="1679"/>
      <c r="CX75" s="1679"/>
      <c r="CY75" s="819"/>
      <c r="CZ75" s="1679"/>
      <c r="DA75" s="1679"/>
      <c r="DB75" s="1679"/>
      <c r="DC75" s="768"/>
      <c r="DD75" s="1679"/>
      <c r="DE75" s="1679"/>
      <c r="DF75" s="1679"/>
      <c r="DG75" s="1679"/>
      <c r="DH75" s="1679"/>
      <c r="DI75" s="1679"/>
      <c r="DJ75" s="1679"/>
      <c r="DK75" s="1679"/>
      <c r="DL75" s="1679"/>
      <c r="DM75" s="1679"/>
      <c r="DN75" s="1679"/>
      <c r="DO75" s="768"/>
      <c r="DP75" s="1679"/>
      <c r="DQ75" s="1679"/>
      <c r="DR75" s="624"/>
      <c r="DS75" s="624"/>
      <c r="DT75" s="624"/>
      <c r="DU75" s="624"/>
      <c r="DV75" s="1685"/>
    </row>
    <row r="76" spans="1:126" ht="15" hidden="1">
      <c r="A76" s="1686"/>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679"/>
      <c r="CC76" s="1679"/>
      <c r="CD76" s="1679"/>
      <c r="CE76" s="1679"/>
      <c r="CF76" s="1679"/>
      <c r="CG76" s="1679"/>
      <c r="CH76" s="1679"/>
      <c r="CI76" s="1679"/>
      <c r="CJ76" s="1679"/>
      <c r="CK76" s="1679"/>
      <c r="CL76" s="1679"/>
      <c r="CM76" s="1679"/>
      <c r="CN76" s="1679"/>
      <c r="CO76" s="1679"/>
      <c r="CP76" s="1679"/>
      <c r="CQ76" s="1679"/>
      <c r="CR76" s="1679"/>
      <c r="CS76" s="1679"/>
      <c r="CT76" s="1679"/>
      <c r="CU76" s="1679"/>
      <c r="CV76" s="1679"/>
      <c r="CW76" s="1679"/>
      <c r="CX76" s="1679"/>
      <c r="CY76" s="819"/>
      <c r="CZ76" s="1679"/>
      <c r="DA76" s="1679"/>
      <c r="DB76" s="1679"/>
      <c r="DC76" s="768"/>
      <c r="DD76" s="1679"/>
      <c r="DE76" s="1679"/>
      <c r="DF76" s="1679"/>
      <c r="DG76" s="1679"/>
      <c r="DH76" s="1679"/>
      <c r="DI76" s="1679"/>
      <c r="DJ76" s="1679"/>
      <c r="DK76" s="1679"/>
      <c r="DL76" s="1679"/>
      <c r="DM76" s="1679"/>
      <c r="DN76" s="1679"/>
      <c r="DO76" s="768"/>
      <c r="DP76" s="1679"/>
      <c r="DQ76" s="1679"/>
      <c r="DR76" s="624"/>
      <c r="DS76" s="624"/>
      <c r="DT76" s="624"/>
      <c r="DU76" s="624"/>
      <c r="DV76" s="1685"/>
    </row>
    <row r="77" spans="1:126" ht="15" hidden="1">
      <c r="A77" s="1686"/>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679"/>
      <c r="CC77" s="1679"/>
      <c r="CD77" s="1679"/>
      <c r="CE77" s="1679"/>
      <c r="CF77" s="1679"/>
      <c r="CG77" s="1679"/>
      <c r="CH77" s="1679"/>
      <c r="CI77" s="1679"/>
      <c r="CJ77" s="1679"/>
      <c r="CK77" s="1679"/>
      <c r="CL77" s="1679"/>
      <c r="CM77" s="1679"/>
      <c r="CN77" s="1679"/>
      <c r="CO77" s="1679"/>
      <c r="CP77" s="1679"/>
      <c r="CQ77" s="1679"/>
      <c r="CR77" s="1679"/>
      <c r="CS77" s="1679"/>
      <c r="CT77" s="1679"/>
      <c r="CU77" s="1679"/>
      <c r="CV77" s="1679"/>
      <c r="CW77" s="1679"/>
      <c r="CX77" s="1679"/>
      <c r="CY77" s="819"/>
      <c r="CZ77" s="1679"/>
      <c r="DA77" s="1679"/>
      <c r="DB77" s="1679"/>
      <c r="DC77" s="768"/>
      <c r="DD77" s="1679"/>
      <c r="DE77" s="1679"/>
      <c r="DF77" s="1679"/>
      <c r="DG77" s="1679"/>
      <c r="DH77" s="1679"/>
      <c r="DI77" s="1679"/>
      <c r="DJ77" s="1679"/>
      <c r="DK77" s="1679"/>
      <c r="DL77" s="1679"/>
      <c r="DM77" s="1679"/>
      <c r="DN77" s="1679"/>
      <c r="DO77" s="768"/>
      <c r="DP77" s="1679"/>
      <c r="DQ77" s="1679"/>
      <c r="DR77" s="624"/>
      <c r="DS77" s="624"/>
      <c r="DT77" s="624"/>
      <c r="DU77" s="624"/>
      <c r="DV77" s="1685"/>
    </row>
    <row r="78" spans="1:126" ht="15" hidden="1">
      <c r="A78" s="1686"/>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679"/>
      <c r="CC78" s="1679"/>
      <c r="CD78" s="1679"/>
      <c r="CE78" s="1679"/>
      <c r="CF78" s="1679"/>
      <c r="CG78" s="1679"/>
      <c r="CH78" s="1679"/>
      <c r="CI78" s="1679"/>
      <c r="CJ78" s="1679"/>
      <c r="CK78" s="1679"/>
      <c r="CL78" s="1679"/>
      <c r="CM78" s="1679"/>
      <c r="CN78" s="1679"/>
      <c r="CO78" s="1679"/>
      <c r="CP78" s="1679"/>
      <c r="CQ78" s="1679"/>
      <c r="CR78" s="1679"/>
      <c r="CS78" s="1679"/>
      <c r="CT78" s="1679"/>
      <c r="CU78" s="1679"/>
      <c r="CV78" s="1679"/>
      <c r="CW78" s="1679"/>
      <c r="CX78" s="1679"/>
      <c r="CY78" s="819"/>
      <c r="CZ78" s="1679"/>
      <c r="DA78" s="1679"/>
      <c r="DB78" s="1679"/>
      <c r="DC78" s="768"/>
      <c r="DD78" s="1679"/>
      <c r="DE78" s="1679"/>
      <c r="DF78" s="1679"/>
      <c r="DG78" s="1679"/>
      <c r="DH78" s="1679"/>
      <c r="DI78" s="1679"/>
      <c r="DJ78" s="1679"/>
      <c r="DK78" s="1679"/>
      <c r="DL78" s="1679"/>
      <c r="DM78" s="1679"/>
      <c r="DN78" s="1679"/>
      <c r="DO78" s="768"/>
      <c r="DP78" s="1679"/>
      <c r="DQ78" s="1679"/>
      <c r="DR78" s="624"/>
      <c r="DS78" s="624"/>
      <c r="DT78" s="624"/>
      <c r="DU78" s="624"/>
      <c r="DV78" s="1685"/>
    </row>
    <row r="79" spans="1:126" ht="15" hidden="1">
      <c r="A79" s="1686"/>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679"/>
      <c r="CC79" s="1679"/>
      <c r="CD79" s="1679"/>
      <c r="CE79" s="1679"/>
      <c r="CF79" s="1679"/>
      <c r="CG79" s="1679"/>
      <c r="CH79" s="1679"/>
      <c r="CI79" s="1679"/>
      <c r="CJ79" s="1679"/>
      <c r="CK79" s="1679"/>
      <c r="CL79" s="1679"/>
      <c r="CM79" s="1679"/>
      <c r="CN79" s="1679"/>
      <c r="CO79" s="1679"/>
      <c r="CP79" s="1679"/>
      <c r="CQ79" s="1679"/>
      <c r="CR79" s="1679"/>
      <c r="CS79" s="1679"/>
      <c r="CT79" s="1679"/>
      <c r="CU79" s="1679"/>
      <c r="CV79" s="1679"/>
      <c r="CW79" s="1679"/>
      <c r="CX79" s="1679"/>
      <c r="CY79" s="819"/>
      <c r="CZ79" s="1679"/>
      <c r="DA79" s="1679"/>
      <c r="DB79" s="1679"/>
      <c r="DC79" s="768"/>
      <c r="DD79" s="1679"/>
      <c r="DE79" s="1679"/>
      <c r="DF79" s="1679"/>
      <c r="DG79" s="1679"/>
      <c r="DH79" s="1679"/>
      <c r="DI79" s="1679"/>
      <c r="DJ79" s="1679"/>
      <c r="DK79" s="1679"/>
      <c r="DL79" s="1679"/>
      <c r="DM79" s="1679"/>
      <c r="DN79" s="1679"/>
      <c r="DO79" s="768"/>
      <c r="DP79" s="1679"/>
      <c r="DQ79" s="1679"/>
      <c r="DR79" s="624"/>
      <c r="DS79" s="624"/>
      <c r="DT79" s="624"/>
      <c r="DU79" s="624"/>
      <c r="DV79" s="1685"/>
    </row>
    <row r="80" spans="1:126" ht="15" hidden="1">
      <c r="A80" s="1686"/>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679"/>
      <c r="CC80" s="1679"/>
      <c r="CD80" s="1679"/>
      <c r="CE80" s="1679"/>
      <c r="CF80" s="1679"/>
      <c r="CG80" s="1679"/>
      <c r="CH80" s="1679"/>
      <c r="CI80" s="1679"/>
      <c r="CJ80" s="1679"/>
      <c r="CK80" s="1679"/>
      <c r="CL80" s="1679"/>
      <c r="CM80" s="1679"/>
      <c r="CN80" s="1679"/>
      <c r="CO80" s="1679"/>
      <c r="CP80" s="1679"/>
      <c r="CQ80" s="1679"/>
      <c r="CR80" s="1679"/>
      <c r="CS80" s="1679"/>
      <c r="CT80" s="1679"/>
      <c r="CU80" s="1679"/>
      <c r="CV80" s="1679"/>
      <c r="CW80" s="1679"/>
      <c r="CX80" s="1679"/>
      <c r="CY80" s="819"/>
      <c r="CZ80" s="1679"/>
      <c r="DA80" s="1679"/>
      <c r="DB80" s="1679"/>
      <c r="DC80" s="768"/>
      <c r="DD80" s="1679"/>
      <c r="DE80" s="1679"/>
      <c r="DF80" s="1679"/>
      <c r="DG80" s="1679"/>
      <c r="DH80" s="1679"/>
      <c r="DI80" s="1679"/>
      <c r="DJ80" s="1679"/>
      <c r="DK80" s="1679"/>
      <c r="DL80" s="1679"/>
      <c r="DM80" s="1679"/>
      <c r="DN80" s="1679"/>
      <c r="DO80" s="768"/>
      <c r="DP80" s="1679"/>
      <c r="DQ80" s="1679"/>
      <c r="DR80" s="624"/>
      <c r="DS80" s="624"/>
      <c r="DT80" s="624"/>
      <c r="DU80" s="624"/>
      <c r="DV80" s="1685"/>
    </row>
    <row r="81" spans="1:256" s="679" customFormat="1" ht="15" hidden="1">
      <c r="A81" s="1686"/>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679"/>
      <c r="CC81" s="1679"/>
      <c r="CD81" s="1679"/>
      <c r="CE81" s="1679"/>
      <c r="CF81" s="1679"/>
      <c r="CG81" s="1679"/>
      <c r="CH81" s="1679"/>
      <c r="CI81" s="1679"/>
      <c r="CJ81" s="1679"/>
      <c r="CK81" s="1679"/>
      <c r="CL81" s="1679"/>
      <c r="CM81" s="1679"/>
      <c r="CN81" s="1679"/>
      <c r="CO81" s="1679"/>
      <c r="CP81" s="1679"/>
      <c r="CQ81" s="1679"/>
      <c r="CR81" s="1679"/>
      <c r="CS81" s="1679"/>
      <c r="CT81" s="1679"/>
      <c r="CU81" s="1679"/>
      <c r="CV81" s="1679"/>
      <c r="CW81" s="1679"/>
      <c r="CX81" s="1679"/>
      <c r="CY81" s="819"/>
      <c r="CZ81" s="1679"/>
      <c r="DA81" s="1679"/>
      <c r="DB81" s="1679"/>
      <c r="DC81" s="768"/>
      <c r="DD81" s="1679"/>
      <c r="DE81" s="1679"/>
      <c r="DF81" s="1679"/>
      <c r="DG81" s="1679"/>
      <c r="DH81" s="1679"/>
      <c r="DI81" s="1679"/>
      <c r="DJ81" s="1679"/>
      <c r="DK81" s="1679"/>
      <c r="DL81" s="1679"/>
      <c r="DM81" s="1679"/>
      <c r="DN81" s="1679"/>
      <c r="DO81" s="768"/>
      <c r="DP81" s="1679"/>
      <c r="DQ81" s="1679"/>
      <c r="DR81" s="624"/>
      <c r="DS81" s="624"/>
      <c r="DT81" s="624"/>
      <c r="DU81" s="624"/>
      <c r="DV81" s="1685"/>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5" hidden="1">
      <c r="A82" s="1686"/>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679"/>
      <c r="CC82" s="1679"/>
      <c r="CD82" s="1679"/>
      <c r="CE82" s="1679"/>
      <c r="CF82" s="1679"/>
      <c r="CG82" s="1679"/>
      <c r="CH82" s="1679"/>
      <c r="CI82" s="1679"/>
      <c r="CJ82" s="1679"/>
      <c r="CK82" s="1679"/>
      <c r="CL82" s="1679"/>
      <c r="CM82" s="1679"/>
      <c r="CN82" s="1679"/>
      <c r="CO82" s="1679"/>
      <c r="CP82" s="1679"/>
      <c r="CQ82" s="1679"/>
      <c r="CR82" s="1679"/>
      <c r="CS82" s="1679"/>
      <c r="CT82" s="1679"/>
      <c r="CU82" s="1679"/>
      <c r="CV82" s="1679"/>
      <c r="CW82" s="1679"/>
      <c r="CX82" s="1679"/>
      <c r="CY82" s="819"/>
      <c r="CZ82" s="1679"/>
      <c r="DA82" s="1679"/>
      <c r="DB82" s="1679"/>
      <c r="DC82" s="768"/>
      <c r="DD82" s="1679"/>
      <c r="DE82" s="1679"/>
      <c r="DF82" s="1679"/>
      <c r="DG82" s="1679"/>
      <c r="DH82" s="1679"/>
      <c r="DI82" s="1679"/>
      <c r="DJ82" s="1679"/>
      <c r="DK82" s="1679"/>
      <c r="DL82" s="1679"/>
      <c r="DM82" s="1679"/>
      <c r="DN82" s="1679"/>
      <c r="DO82" s="768"/>
      <c r="DP82" s="1679"/>
      <c r="DQ82" s="1679"/>
      <c r="DR82" s="624"/>
      <c r="DS82" s="624"/>
      <c r="DT82" s="624"/>
      <c r="DU82" s="624"/>
      <c r="DV82" s="1685"/>
    </row>
    <row r="83" spans="1:256" ht="15" hidden="1">
      <c r="A83" s="1686"/>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679"/>
      <c r="CC83" s="1679"/>
      <c r="CD83" s="1679"/>
      <c r="CE83" s="1679"/>
      <c r="CF83" s="1679"/>
      <c r="CG83" s="1679"/>
      <c r="CH83" s="1679"/>
      <c r="CI83" s="1679"/>
      <c r="CJ83" s="1679"/>
      <c r="CK83" s="1679"/>
      <c r="CL83" s="1679"/>
      <c r="CM83" s="1679"/>
      <c r="CN83" s="1679"/>
      <c r="CO83" s="1679"/>
      <c r="CP83" s="1679"/>
      <c r="CQ83" s="1679"/>
      <c r="CR83" s="1679"/>
      <c r="CS83" s="1679"/>
      <c r="CT83" s="1679"/>
      <c r="CU83" s="1679"/>
      <c r="CV83" s="1679"/>
      <c r="CW83" s="1679"/>
      <c r="CX83" s="1679"/>
      <c r="CY83" s="819"/>
      <c r="CZ83" s="1679"/>
      <c r="DA83" s="1679"/>
      <c r="DB83" s="1679"/>
      <c r="DC83" s="768"/>
      <c r="DD83" s="1679"/>
      <c r="DE83" s="1679"/>
      <c r="DF83" s="1679"/>
      <c r="DG83" s="1679"/>
      <c r="DH83" s="1679"/>
      <c r="DI83" s="1679"/>
      <c r="DJ83" s="1679"/>
      <c r="DK83" s="1679"/>
      <c r="DL83" s="1679"/>
      <c r="DM83" s="1679"/>
      <c r="DN83" s="1679"/>
      <c r="DO83" s="768"/>
      <c r="DP83" s="1679"/>
      <c r="DQ83" s="1679"/>
      <c r="DR83" s="624"/>
      <c r="DS83" s="624"/>
      <c r="DT83" s="624"/>
      <c r="DU83" s="624"/>
      <c r="DV83" s="1685"/>
    </row>
    <row r="84" spans="1:256" ht="15" hidden="1">
      <c r="A84" s="1686"/>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679"/>
      <c r="CC84" s="1679"/>
      <c r="CD84" s="1679"/>
      <c r="CE84" s="1679"/>
      <c r="CF84" s="1679"/>
      <c r="CG84" s="1679"/>
      <c r="CH84" s="1679"/>
      <c r="CI84" s="1679"/>
      <c r="CJ84" s="1679"/>
      <c r="CK84" s="1679"/>
      <c r="CL84" s="1679"/>
      <c r="CM84" s="1679"/>
      <c r="CN84" s="1679"/>
      <c r="CO84" s="1679"/>
      <c r="CP84" s="1679"/>
      <c r="CQ84" s="1679"/>
      <c r="CR84" s="1679"/>
      <c r="CS84" s="1679"/>
      <c r="CT84" s="1679"/>
      <c r="CU84" s="1679"/>
      <c r="CV84" s="1679"/>
      <c r="CW84" s="1679"/>
      <c r="CX84" s="1679"/>
      <c r="CY84" s="819"/>
      <c r="CZ84" s="1679"/>
      <c r="DA84" s="1679"/>
      <c r="DB84" s="1679"/>
      <c r="DC84" s="768"/>
      <c r="DD84" s="1679"/>
      <c r="DE84" s="1679"/>
      <c r="DF84" s="1679"/>
      <c r="DG84" s="1679"/>
      <c r="DH84" s="1679"/>
      <c r="DI84" s="1679"/>
      <c r="DJ84" s="1679"/>
      <c r="DK84" s="1679"/>
      <c r="DL84" s="1679"/>
      <c r="DM84" s="1679"/>
      <c r="DN84" s="1679"/>
      <c r="DO84" s="768"/>
      <c r="DP84" s="1679"/>
      <c r="DQ84" s="1679"/>
      <c r="DR84" s="624"/>
      <c r="DS84" s="624"/>
      <c r="DT84" s="624"/>
      <c r="DU84" s="624"/>
      <c r="DV84" s="1685"/>
    </row>
    <row r="85" spans="1:256" ht="15" hidden="1">
      <c r="A85" s="1686"/>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679"/>
      <c r="CC85" s="1679"/>
      <c r="CD85" s="1679"/>
      <c r="CE85" s="1679"/>
      <c r="CF85" s="1679"/>
      <c r="CG85" s="1679"/>
      <c r="CH85" s="1679"/>
      <c r="CI85" s="1679"/>
      <c r="CJ85" s="1679"/>
      <c r="CK85" s="1679"/>
      <c r="CL85" s="1679"/>
      <c r="CM85" s="1679"/>
      <c r="CN85" s="1679"/>
      <c r="CO85" s="1679"/>
      <c r="CP85" s="1679"/>
      <c r="CQ85" s="1679"/>
      <c r="CR85" s="1679"/>
      <c r="CS85" s="1679"/>
      <c r="CT85" s="1679"/>
      <c r="CU85" s="1679"/>
      <c r="CV85" s="1679"/>
      <c r="CW85" s="1679"/>
      <c r="CX85" s="1679"/>
      <c r="CY85" s="819"/>
      <c r="CZ85" s="1679"/>
      <c r="DA85" s="1679"/>
      <c r="DB85" s="1679"/>
      <c r="DC85" s="768"/>
      <c r="DD85" s="1679"/>
      <c r="DE85" s="1679"/>
      <c r="DF85" s="1679"/>
      <c r="DG85" s="1679"/>
      <c r="DH85" s="1679"/>
      <c r="DI85" s="1679"/>
      <c r="DJ85" s="1679"/>
      <c r="DK85" s="1679"/>
      <c r="DL85" s="1679"/>
      <c r="DM85" s="1679"/>
      <c r="DN85" s="1679"/>
      <c r="DO85" s="768"/>
      <c r="DP85" s="1679"/>
      <c r="DQ85" s="1679"/>
      <c r="DR85" s="624"/>
      <c r="DS85" s="624"/>
      <c r="DT85" s="624"/>
      <c r="DU85" s="624"/>
      <c r="DV85" s="1685"/>
    </row>
    <row r="86" spans="1:256" ht="15" hidden="1">
      <c r="A86" s="1686"/>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679"/>
      <c r="CC86" s="1679"/>
      <c r="CD86" s="1679"/>
      <c r="CE86" s="1679"/>
      <c r="CF86" s="1679"/>
      <c r="CG86" s="1679"/>
      <c r="CH86" s="1679"/>
      <c r="CI86" s="1679"/>
      <c r="CJ86" s="1679"/>
      <c r="CK86" s="1679"/>
      <c r="CL86" s="1679"/>
      <c r="CM86" s="1679"/>
      <c r="CN86" s="1679"/>
      <c r="CO86" s="1679"/>
      <c r="CP86" s="1679"/>
      <c r="CQ86" s="1679"/>
      <c r="CR86" s="1679"/>
      <c r="CS86" s="1679"/>
      <c r="CT86" s="1679"/>
      <c r="CU86" s="1679"/>
      <c r="CV86" s="1679"/>
      <c r="CW86" s="1679"/>
      <c r="CX86" s="1679"/>
      <c r="CY86" s="819"/>
      <c r="CZ86" s="1679"/>
      <c r="DA86" s="1679"/>
      <c r="DB86" s="1679"/>
      <c r="DC86" s="768"/>
      <c r="DD86" s="1679"/>
      <c r="DE86" s="1679"/>
      <c r="DF86" s="1679"/>
      <c r="DG86" s="1679"/>
      <c r="DH86" s="1679"/>
      <c r="DI86" s="1679"/>
      <c r="DJ86" s="1679"/>
      <c r="DK86" s="1679"/>
      <c r="DL86" s="1679"/>
      <c r="DM86" s="1679"/>
      <c r="DN86" s="1679"/>
      <c r="DO86" s="768"/>
      <c r="DP86" s="1679"/>
      <c r="DQ86" s="1679"/>
      <c r="DR86" s="624"/>
      <c r="DS86" s="624"/>
      <c r="DT86" s="624"/>
      <c r="DU86" s="624"/>
      <c r="DV86" s="1685"/>
    </row>
    <row r="87" spans="1:256" ht="15" hidden="1">
      <c r="A87" s="1686"/>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679"/>
      <c r="CC87" s="1679"/>
      <c r="CD87" s="1679"/>
      <c r="CE87" s="1679"/>
      <c r="CF87" s="1679"/>
      <c r="CG87" s="1679"/>
      <c r="CH87" s="1679"/>
      <c r="CI87" s="1679"/>
      <c r="CJ87" s="1679"/>
      <c r="CK87" s="1679"/>
      <c r="CL87" s="1679"/>
      <c r="CM87" s="1679"/>
      <c r="CN87" s="1679"/>
      <c r="CO87" s="1679"/>
      <c r="CP87" s="1679"/>
      <c r="CQ87" s="1679"/>
      <c r="CR87" s="1679"/>
      <c r="CS87" s="1679"/>
      <c r="CT87" s="1679"/>
      <c r="CU87" s="1679"/>
      <c r="CV87" s="1679"/>
      <c r="CW87" s="1679"/>
      <c r="CX87" s="1679"/>
      <c r="CY87" s="819"/>
      <c r="CZ87" s="1679"/>
      <c r="DA87" s="1679"/>
      <c r="DB87" s="1679"/>
      <c r="DC87" s="768"/>
      <c r="DD87" s="1679"/>
      <c r="DE87" s="1679"/>
      <c r="DF87" s="1679"/>
      <c r="DG87" s="1679"/>
      <c r="DH87" s="1679"/>
      <c r="DI87" s="1679"/>
      <c r="DJ87" s="1679"/>
      <c r="DK87" s="1679"/>
      <c r="DL87" s="1679"/>
      <c r="DM87" s="1679"/>
      <c r="DN87" s="1679"/>
      <c r="DO87" s="768"/>
      <c r="DP87" s="1679"/>
      <c r="DQ87" s="1679"/>
      <c r="DR87" s="624"/>
      <c r="DS87" s="624"/>
      <c r="DT87" s="624"/>
      <c r="DU87" s="624"/>
      <c r="DV87" s="1685"/>
    </row>
    <row r="88" spans="1:256" s="679" customFormat="1" ht="15" hidden="1">
      <c r="A88" s="1686"/>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679"/>
      <c r="CC88" s="1679"/>
      <c r="CD88" s="1679"/>
      <c r="CE88" s="1679"/>
      <c r="CF88" s="1679"/>
      <c r="CG88" s="1679"/>
      <c r="CH88" s="1679"/>
      <c r="CI88" s="1679"/>
      <c r="CJ88" s="1679"/>
      <c r="CK88" s="1679"/>
      <c r="CL88" s="1679"/>
      <c r="CM88" s="1679"/>
      <c r="CN88" s="1679"/>
      <c r="CO88" s="1679"/>
      <c r="CP88" s="1679"/>
      <c r="CQ88" s="1679"/>
      <c r="CR88" s="1679"/>
      <c r="CS88" s="1679"/>
      <c r="CT88" s="1679"/>
      <c r="CU88" s="1679"/>
      <c r="CV88" s="1679"/>
      <c r="CW88" s="1679"/>
      <c r="CX88" s="1679"/>
      <c r="CY88" s="819"/>
      <c r="CZ88" s="1679"/>
      <c r="DA88" s="1679"/>
      <c r="DB88" s="1679"/>
      <c r="DC88" s="768"/>
      <c r="DD88" s="1679"/>
      <c r="DE88" s="1679"/>
      <c r="DF88" s="1679"/>
      <c r="DG88" s="1679"/>
      <c r="DH88" s="1679"/>
      <c r="DI88" s="1679"/>
      <c r="DJ88" s="1679"/>
      <c r="DK88" s="1679"/>
      <c r="DL88" s="1679"/>
      <c r="DM88" s="1679"/>
      <c r="DN88" s="1679"/>
      <c r="DO88" s="768"/>
      <c r="DP88" s="1679"/>
      <c r="DQ88" s="1679"/>
      <c r="DR88" s="624"/>
      <c r="DS88" s="624"/>
      <c r="DT88" s="624"/>
      <c r="DU88" s="624"/>
      <c r="DV88" s="1685"/>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5" hidden="1">
      <c r="A89" s="1688"/>
      <c r="B89" s="1689"/>
      <c r="C89" s="1688"/>
      <c r="D89" s="1688"/>
      <c r="E89" s="1688"/>
      <c r="F89" s="1688"/>
      <c r="G89" s="1688"/>
      <c r="H89" s="1688"/>
      <c r="I89" s="1688"/>
      <c r="J89" s="1688"/>
      <c r="K89" s="1688"/>
      <c r="L89" s="1688"/>
      <c r="M89" s="1688"/>
      <c r="N89" s="1688"/>
      <c r="O89" s="1688"/>
      <c r="P89" s="1688"/>
      <c r="Q89" s="1688"/>
      <c r="R89" s="1688"/>
      <c r="S89" s="1688"/>
      <c r="T89" s="1688"/>
      <c r="U89" s="1688"/>
      <c r="V89" s="1688"/>
      <c r="W89" s="1688"/>
      <c r="X89" s="1688"/>
      <c r="Y89" s="1688"/>
      <c r="Z89" s="1688"/>
      <c r="AA89" s="1688"/>
      <c r="AB89" s="1688"/>
      <c r="AC89" s="1688"/>
      <c r="AD89" s="1688"/>
      <c r="AE89" s="1688"/>
      <c r="AF89" s="1688"/>
      <c r="AG89" s="1688"/>
      <c r="AH89" s="1688"/>
      <c r="AI89" s="1688"/>
      <c r="AJ89" s="1688"/>
      <c r="AK89" s="1688"/>
      <c r="AL89" s="1688"/>
      <c r="AM89" s="1688"/>
      <c r="AN89" s="1688"/>
      <c r="AO89" s="1688"/>
      <c r="AP89" s="1688"/>
      <c r="AQ89" s="1688"/>
      <c r="AR89" s="1688"/>
      <c r="AS89" s="1688"/>
      <c r="AT89" s="1688"/>
      <c r="AU89" s="1688"/>
      <c r="AV89" s="1688"/>
      <c r="AW89" s="1688"/>
      <c r="AX89" s="1688"/>
      <c r="AY89" s="1688"/>
      <c r="AZ89" s="1688"/>
      <c r="BA89" s="1688"/>
      <c r="BB89" s="1688"/>
      <c r="BC89" s="1688"/>
      <c r="BD89" s="1688"/>
      <c r="BE89" s="1688"/>
      <c r="BF89" s="1688"/>
      <c r="BG89" s="1688"/>
      <c r="BH89" s="1688"/>
      <c r="BI89" s="1688"/>
      <c r="BJ89" s="1688"/>
      <c r="BK89" s="1688"/>
      <c r="BL89" s="1688"/>
      <c r="BM89" s="1688"/>
      <c r="BN89" s="1688"/>
      <c r="BO89" s="1688"/>
      <c r="BP89" s="1688"/>
      <c r="BQ89" s="1688"/>
      <c r="BR89" s="1688"/>
      <c r="BS89" s="1688"/>
      <c r="BT89" s="1688"/>
      <c r="BU89" s="1688"/>
      <c r="BV89" s="1688"/>
      <c r="BW89" s="1688"/>
      <c r="BX89" s="1688"/>
      <c r="BY89" s="1688"/>
      <c r="BZ89" s="1688"/>
      <c r="CA89" s="1688"/>
      <c r="CB89" s="1688"/>
      <c r="CC89" s="1688"/>
      <c r="CD89" s="1688"/>
      <c r="CE89" s="1679"/>
      <c r="CF89" s="1688"/>
      <c r="CG89" s="1688"/>
      <c r="CH89" s="1688"/>
      <c r="CI89" s="1688"/>
      <c r="CJ89" s="1688"/>
      <c r="CK89" s="1688"/>
      <c r="CL89" s="1688"/>
      <c r="CM89" s="1688"/>
      <c r="CN89" s="1688"/>
      <c r="CO89" s="1688"/>
      <c r="CP89" s="1688"/>
      <c r="CQ89" s="1688"/>
      <c r="CR89" s="1688"/>
      <c r="CS89" s="1688"/>
      <c r="CT89" s="1688"/>
      <c r="CU89" s="1688"/>
      <c r="CV89" s="1688"/>
      <c r="CW89" s="1688"/>
      <c r="CX89" s="1688"/>
      <c r="CY89" s="1690"/>
      <c r="CZ89" s="1688"/>
      <c r="DA89" s="1688"/>
      <c r="DB89" s="1688"/>
      <c r="DC89" s="1688"/>
      <c r="DD89" s="1688"/>
      <c r="DE89" s="1688"/>
      <c r="DF89" s="1688"/>
      <c r="DG89" s="1688"/>
      <c r="DH89" s="1688"/>
      <c r="DI89" s="1688"/>
      <c r="DJ89" s="1688"/>
      <c r="DK89" s="1688"/>
      <c r="DL89" s="1688"/>
      <c r="DM89" s="1688"/>
      <c r="DN89" s="1688"/>
      <c r="DO89" s="1688"/>
      <c r="DP89" s="1688"/>
      <c r="DQ89" s="1688"/>
      <c r="DR89" s="1688"/>
      <c r="DS89" s="1688"/>
      <c r="DT89" s="1688"/>
      <c r="DU89" s="1688"/>
      <c r="DV89" s="1691"/>
    </row>
    <row r="90" spans="1:256" s="689" customFormat="1" ht="15" hidden="1">
      <c r="A90" s="1696"/>
      <c r="B90" s="1697"/>
      <c r="C90" s="1698"/>
      <c r="D90" s="1698"/>
      <c r="E90" s="1698"/>
      <c r="F90" s="1698"/>
      <c r="G90" s="1698"/>
      <c r="H90" s="1698"/>
      <c r="I90" s="1698"/>
      <c r="J90" s="1698"/>
      <c r="K90" s="1698"/>
      <c r="L90" s="1698"/>
      <c r="M90" s="1698"/>
      <c r="N90" s="1698"/>
      <c r="O90" s="1698"/>
      <c r="P90" s="1698"/>
      <c r="Q90" s="1698"/>
      <c r="R90" s="1698"/>
      <c r="S90" s="1698"/>
      <c r="T90" s="1698"/>
      <c r="U90" s="1698"/>
      <c r="V90" s="1698"/>
      <c r="W90" s="1698"/>
      <c r="X90" s="1698"/>
      <c r="Y90" s="1698"/>
      <c r="Z90" s="1698"/>
      <c r="AA90" s="1698"/>
      <c r="AB90" s="1698"/>
      <c r="AC90" s="1698"/>
      <c r="AD90" s="1698"/>
      <c r="AE90" s="1698"/>
      <c r="AF90" s="1698"/>
      <c r="AG90" s="1698"/>
      <c r="AH90" s="1698"/>
      <c r="AI90" s="1698"/>
      <c r="AJ90" s="1698"/>
      <c r="AK90" s="1698"/>
      <c r="AL90" s="1698"/>
      <c r="AM90" s="1698"/>
      <c r="AN90" s="1698"/>
      <c r="AO90" s="1698"/>
      <c r="AP90" s="1698"/>
      <c r="AQ90" s="1698"/>
      <c r="AR90" s="1698"/>
      <c r="AS90" s="1698"/>
      <c r="AT90" s="1698"/>
      <c r="AU90" s="1698"/>
      <c r="AV90" s="1698"/>
      <c r="AW90" s="1698"/>
      <c r="AX90" s="1698"/>
      <c r="AY90" s="1698"/>
      <c r="AZ90" s="1698"/>
      <c r="BA90" s="1698"/>
      <c r="BB90" s="1698"/>
      <c r="BC90" s="1698"/>
      <c r="BD90" s="1698"/>
      <c r="BE90" s="1698"/>
      <c r="BF90" s="1698"/>
      <c r="BG90" s="1698"/>
      <c r="BH90" s="1698"/>
      <c r="BI90" s="1698"/>
      <c r="BJ90" s="1698"/>
      <c r="BK90" s="1698"/>
      <c r="BL90" s="1698"/>
      <c r="BM90" s="1698"/>
      <c r="BN90" s="1698"/>
      <c r="BO90" s="1698"/>
      <c r="BP90" s="1698"/>
      <c r="BQ90" s="1698"/>
      <c r="BR90" s="1698"/>
      <c r="BS90" s="1698"/>
      <c r="BT90" s="1698"/>
      <c r="BU90" s="1698"/>
      <c r="BV90" s="1698"/>
      <c r="BW90" s="1698"/>
      <c r="BX90" s="1698"/>
      <c r="BY90" s="1698"/>
      <c r="BZ90" s="1698"/>
      <c r="CA90" s="1698"/>
      <c r="CB90" s="1698"/>
      <c r="CC90" s="1698"/>
      <c r="CD90" s="1698"/>
      <c r="CE90" s="1679"/>
      <c r="CF90" s="1698"/>
      <c r="CG90" s="1698"/>
      <c r="CH90" s="1698"/>
      <c r="CI90" s="1698"/>
      <c r="CJ90" s="1698"/>
      <c r="CK90" s="1698"/>
      <c r="CL90" s="1698"/>
      <c r="CM90" s="1698"/>
      <c r="CN90" s="1698"/>
      <c r="CO90" s="1698"/>
      <c r="CP90" s="1698"/>
      <c r="CQ90" s="1698"/>
      <c r="CR90" s="1698"/>
      <c r="CS90" s="1698"/>
      <c r="CT90" s="1698"/>
      <c r="CU90" s="1698"/>
      <c r="CV90" s="1698"/>
      <c r="CW90" s="1698"/>
      <c r="CX90" s="1698"/>
      <c r="CY90" s="1699"/>
      <c r="CZ90" s="1698"/>
      <c r="DA90" s="1698"/>
      <c r="DB90" s="1698"/>
      <c r="DC90" s="1698"/>
      <c r="DD90" s="1698"/>
      <c r="DE90" s="1698"/>
      <c r="DF90" s="1698"/>
      <c r="DG90" s="1698"/>
      <c r="DH90" s="1698"/>
      <c r="DI90" s="1698"/>
      <c r="DJ90" s="1698"/>
      <c r="DK90" s="1698"/>
      <c r="DL90" s="1698"/>
      <c r="DM90" s="1698"/>
      <c r="DN90" s="1698"/>
      <c r="DO90" s="1698"/>
      <c r="DP90" s="1698"/>
      <c r="DQ90" s="1698"/>
      <c r="DR90" s="1698"/>
      <c r="DS90" s="1698"/>
      <c r="DT90" s="1698"/>
      <c r="DU90" s="1698"/>
      <c r="DV90" s="1700"/>
      <c r="DW90" s="689">
        <f>+DU90*0.4</f>
        <v>0</v>
      </c>
      <c r="DX90" s="689">
        <f>+DW90/0.22</f>
        <v>0</v>
      </c>
    </row>
    <row r="91" spans="1:256" s="546" customFormat="1" ht="18" hidden="1" customHeight="1">
      <c r="A91" s="1692"/>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679"/>
      <c r="CF91" s="1025"/>
      <c r="CG91" s="1025"/>
      <c r="CH91" s="1025"/>
      <c r="CI91" s="1025"/>
      <c r="CJ91" s="1025"/>
      <c r="CK91" s="1025"/>
      <c r="CL91" s="1025"/>
      <c r="CM91" s="1025"/>
      <c r="CN91" s="1025"/>
      <c r="CO91" s="1025"/>
      <c r="CP91" s="1025"/>
      <c r="CQ91" s="1025"/>
      <c r="CR91" s="1025"/>
      <c r="CS91" s="1025"/>
      <c r="CT91" s="1025"/>
      <c r="CU91" s="1025"/>
      <c r="CV91" s="1025"/>
      <c r="CW91" s="1025"/>
      <c r="CX91" s="1025"/>
      <c r="CY91" s="1693"/>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694"/>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695"/>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679"/>
      <c r="CF92" s="1025"/>
      <c r="CG92" s="1025"/>
      <c r="CH92" s="1025"/>
      <c r="CI92" s="1025"/>
      <c r="CJ92" s="1025"/>
      <c r="CK92" s="1025"/>
      <c r="CL92" s="1025"/>
      <c r="CM92" s="1025"/>
      <c r="CN92" s="1025"/>
      <c r="CO92" s="1025"/>
      <c r="CP92" s="1025"/>
      <c r="CQ92" s="1025"/>
      <c r="CR92" s="1025"/>
      <c r="CS92" s="1025"/>
      <c r="CT92" s="1025"/>
      <c r="CU92" s="1025"/>
      <c r="CV92" s="1025"/>
      <c r="CW92" s="1025"/>
      <c r="CX92" s="1025"/>
      <c r="CY92" s="1693"/>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694"/>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5" hidden="1">
      <c r="A93" s="1687"/>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679"/>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01"/>
    </row>
    <row r="94" spans="1:256" ht="15" hidden="1">
      <c r="A94" s="1686"/>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679"/>
      <c r="CC94" s="1679"/>
      <c r="CD94" s="1679"/>
      <c r="CE94" s="1679"/>
      <c r="CF94" s="1679"/>
      <c r="CG94" s="1679"/>
      <c r="CH94" s="1679"/>
      <c r="CI94" s="1679"/>
      <c r="CJ94" s="1679"/>
      <c r="CK94" s="1679"/>
      <c r="CL94" s="1679"/>
      <c r="CM94" s="1679"/>
      <c r="CN94" s="1679"/>
      <c r="CO94" s="1679"/>
      <c r="CP94" s="1679"/>
      <c r="CQ94" s="1679"/>
      <c r="CR94" s="1679"/>
      <c r="CS94" s="1679"/>
      <c r="CT94" s="1679"/>
      <c r="CU94" s="1679"/>
      <c r="CV94" s="1679"/>
      <c r="CW94" s="1679"/>
      <c r="CX94" s="1679"/>
      <c r="CY94" s="819"/>
      <c r="CZ94" s="1679"/>
      <c r="DA94" s="1679"/>
      <c r="DB94" s="1679"/>
      <c r="DC94" s="768"/>
      <c r="DD94" s="1679"/>
      <c r="DE94" s="1679"/>
      <c r="DF94" s="1679"/>
      <c r="DG94" s="1679"/>
      <c r="DH94" s="1679"/>
      <c r="DI94" s="1679"/>
      <c r="DJ94" s="1679"/>
      <c r="DK94" s="1679"/>
      <c r="DL94" s="1679"/>
      <c r="DM94" s="1679"/>
      <c r="DN94" s="1679"/>
      <c r="DO94" s="768"/>
      <c r="DP94" s="1679"/>
      <c r="DQ94" s="1679"/>
      <c r="DR94" s="624"/>
      <c r="DS94" s="624"/>
      <c r="DT94" s="624"/>
      <c r="DU94" s="624"/>
      <c r="DV94" s="1685"/>
    </row>
    <row r="95" spans="1:256" ht="15" hidden="1">
      <c r="A95" s="1686"/>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679"/>
      <c r="CC95" s="1679"/>
      <c r="CD95" s="1679"/>
      <c r="CE95" s="1679"/>
      <c r="CF95" s="1679"/>
      <c r="CG95" s="1679"/>
      <c r="CH95" s="1679"/>
      <c r="CI95" s="1679"/>
      <c r="CJ95" s="1679"/>
      <c r="CK95" s="1679"/>
      <c r="CL95" s="1679"/>
      <c r="CM95" s="1679"/>
      <c r="CN95" s="1679"/>
      <c r="CO95" s="1679"/>
      <c r="CP95" s="1679"/>
      <c r="CQ95" s="1679"/>
      <c r="CR95" s="1679"/>
      <c r="CS95" s="1679"/>
      <c r="CT95" s="1679"/>
      <c r="CU95" s="1679"/>
      <c r="CV95" s="1679"/>
      <c r="CW95" s="1679"/>
      <c r="CX95" s="1679"/>
      <c r="CY95" s="819"/>
      <c r="CZ95" s="1679"/>
      <c r="DA95" s="1679"/>
      <c r="DB95" s="1679"/>
      <c r="DC95" s="768"/>
      <c r="DD95" s="1679"/>
      <c r="DE95" s="1679"/>
      <c r="DF95" s="1679"/>
      <c r="DG95" s="1679"/>
      <c r="DH95" s="1679"/>
      <c r="DI95" s="1679"/>
      <c r="DJ95" s="1679"/>
      <c r="DK95" s="1679"/>
      <c r="DL95" s="1679"/>
      <c r="DM95" s="1679"/>
      <c r="DN95" s="1679"/>
      <c r="DO95" s="768"/>
      <c r="DP95" s="1679"/>
      <c r="DQ95" s="1679"/>
      <c r="DR95" s="624"/>
      <c r="DS95" s="624"/>
      <c r="DT95" s="624"/>
      <c r="DU95" s="624"/>
      <c r="DV95" s="1685"/>
    </row>
    <row r="96" spans="1:256" ht="15" hidden="1">
      <c r="A96" s="1686"/>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679"/>
      <c r="CC96" s="1679"/>
      <c r="CD96" s="1679"/>
      <c r="CE96" s="1679"/>
      <c r="CF96" s="1679"/>
      <c r="CG96" s="1679"/>
      <c r="CH96" s="1679"/>
      <c r="CI96" s="1679"/>
      <c r="CJ96" s="1679"/>
      <c r="CK96" s="1679"/>
      <c r="CL96" s="1679"/>
      <c r="CM96" s="1679"/>
      <c r="CN96" s="1679"/>
      <c r="CO96" s="1679"/>
      <c r="CP96" s="1679"/>
      <c r="CQ96" s="1679"/>
      <c r="CR96" s="1679"/>
      <c r="CS96" s="1679"/>
      <c r="CT96" s="1679"/>
      <c r="CU96" s="1679"/>
      <c r="CV96" s="1679"/>
      <c r="CW96" s="1679"/>
      <c r="CX96" s="1679"/>
      <c r="CY96" s="819"/>
      <c r="CZ96" s="1679"/>
      <c r="DA96" s="1679"/>
      <c r="DB96" s="1679"/>
      <c r="DC96" s="768"/>
      <c r="DD96" s="1679"/>
      <c r="DE96" s="1679"/>
      <c r="DF96" s="1679"/>
      <c r="DG96" s="1679"/>
      <c r="DH96" s="1679"/>
      <c r="DI96" s="1679"/>
      <c r="DJ96" s="1679"/>
      <c r="DK96" s="1679"/>
      <c r="DL96" s="1679"/>
      <c r="DM96" s="1679"/>
      <c r="DN96" s="1679"/>
      <c r="DO96" s="768"/>
      <c r="DP96" s="1679"/>
      <c r="DQ96" s="1679"/>
      <c r="DR96" s="624"/>
      <c r="DS96" s="624"/>
      <c r="DT96" s="624"/>
      <c r="DU96" s="624"/>
      <c r="DV96" s="1685"/>
    </row>
    <row r="97" spans="1:256" ht="15" hidden="1">
      <c r="A97" s="1686"/>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679"/>
      <c r="CC97" s="1679"/>
      <c r="CD97" s="1679"/>
      <c r="CE97" s="1679"/>
      <c r="CF97" s="1679"/>
      <c r="CG97" s="1679"/>
      <c r="CH97" s="1679"/>
      <c r="CI97" s="1679"/>
      <c r="CJ97" s="1679"/>
      <c r="CK97" s="1679"/>
      <c r="CL97" s="1679"/>
      <c r="CM97" s="1679"/>
      <c r="CN97" s="1679"/>
      <c r="CO97" s="1679"/>
      <c r="CP97" s="1679"/>
      <c r="CQ97" s="1679"/>
      <c r="CR97" s="1679"/>
      <c r="CS97" s="1679"/>
      <c r="CT97" s="1679"/>
      <c r="CU97" s="1679"/>
      <c r="CV97" s="1679"/>
      <c r="CW97" s="1679"/>
      <c r="CX97" s="1679"/>
      <c r="CY97" s="819"/>
      <c r="CZ97" s="1679"/>
      <c r="DA97" s="1679"/>
      <c r="DB97" s="1679"/>
      <c r="DC97" s="768"/>
      <c r="DD97" s="1679"/>
      <c r="DE97" s="1679"/>
      <c r="DF97" s="1679"/>
      <c r="DG97" s="1679"/>
      <c r="DH97" s="1679"/>
      <c r="DI97" s="1679"/>
      <c r="DJ97" s="1679"/>
      <c r="DK97" s="1679"/>
      <c r="DL97" s="1679"/>
      <c r="DM97" s="1679"/>
      <c r="DN97" s="1679"/>
      <c r="DO97" s="768"/>
      <c r="DP97" s="1679"/>
      <c r="DQ97" s="1679"/>
      <c r="DR97" s="624"/>
      <c r="DS97" s="624"/>
      <c r="DT97" s="624"/>
      <c r="DU97" s="624"/>
      <c r="DV97" s="1685"/>
    </row>
    <row r="98" spans="1:256" ht="15" hidden="1">
      <c r="A98" s="1686"/>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679"/>
      <c r="CC98" s="1679"/>
      <c r="CD98" s="1679"/>
      <c r="CE98" s="1679"/>
      <c r="CF98" s="1679"/>
      <c r="CG98" s="1679"/>
      <c r="CH98" s="1679"/>
      <c r="CI98" s="1679"/>
      <c r="CJ98" s="1679"/>
      <c r="CK98" s="1679"/>
      <c r="CL98" s="1679"/>
      <c r="CM98" s="1679"/>
      <c r="CN98" s="1679"/>
      <c r="CO98" s="1679"/>
      <c r="CP98" s="1679"/>
      <c r="CQ98" s="1679"/>
      <c r="CR98" s="1679"/>
      <c r="CS98" s="1679"/>
      <c r="CT98" s="1679"/>
      <c r="CU98" s="1679"/>
      <c r="CV98" s="1679"/>
      <c r="CW98" s="1679"/>
      <c r="CX98" s="1679"/>
      <c r="CY98" s="819"/>
      <c r="CZ98" s="1679"/>
      <c r="DA98" s="1679"/>
      <c r="DB98" s="1679"/>
      <c r="DC98" s="768"/>
      <c r="DD98" s="1679"/>
      <c r="DE98" s="1679"/>
      <c r="DF98" s="1679"/>
      <c r="DG98" s="1679"/>
      <c r="DH98" s="1679"/>
      <c r="DI98" s="1679"/>
      <c r="DJ98" s="1679"/>
      <c r="DK98" s="1679"/>
      <c r="DL98" s="1679"/>
      <c r="DM98" s="1679"/>
      <c r="DN98" s="1679"/>
      <c r="DO98" s="768"/>
      <c r="DP98" s="1679"/>
      <c r="DQ98" s="1679"/>
      <c r="DR98" s="624"/>
      <c r="DS98" s="624"/>
      <c r="DT98" s="624"/>
      <c r="DU98" s="624"/>
      <c r="DV98" s="1685"/>
    </row>
    <row r="99" spans="1:256" ht="15" hidden="1">
      <c r="A99" s="1686"/>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679"/>
      <c r="CC99" s="1679"/>
      <c r="CD99" s="1679"/>
      <c r="CE99" s="1679"/>
      <c r="CF99" s="1679"/>
      <c r="CG99" s="1679"/>
      <c r="CH99" s="1679"/>
      <c r="CI99" s="1679"/>
      <c r="CJ99" s="1679"/>
      <c r="CK99" s="1679"/>
      <c r="CL99" s="1679"/>
      <c r="CM99" s="1679"/>
      <c r="CN99" s="1679"/>
      <c r="CO99" s="1679"/>
      <c r="CP99" s="1679"/>
      <c r="CQ99" s="1679"/>
      <c r="CR99" s="1679"/>
      <c r="CS99" s="1679"/>
      <c r="CT99" s="1679"/>
      <c r="CU99" s="1679"/>
      <c r="CV99" s="1679"/>
      <c r="CW99" s="1679"/>
      <c r="CX99" s="1679"/>
      <c r="CY99" s="819"/>
      <c r="CZ99" s="1679"/>
      <c r="DA99" s="1679"/>
      <c r="DB99" s="1679"/>
      <c r="DC99" s="768"/>
      <c r="DD99" s="1679"/>
      <c r="DE99" s="1679"/>
      <c r="DF99" s="1679"/>
      <c r="DG99" s="1679"/>
      <c r="DH99" s="1679"/>
      <c r="DI99" s="1679"/>
      <c r="DJ99" s="1679"/>
      <c r="DK99" s="1679"/>
      <c r="DL99" s="1679"/>
      <c r="DM99" s="1679"/>
      <c r="DN99" s="1679"/>
      <c r="DO99" s="768"/>
      <c r="DP99" s="1679"/>
      <c r="DQ99" s="1679"/>
      <c r="DR99" s="624"/>
      <c r="DS99" s="624"/>
      <c r="DT99" s="624"/>
      <c r="DU99" s="624"/>
      <c r="DV99" s="1685"/>
    </row>
    <row r="100" spans="1:256" ht="15" hidden="1">
      <c r="A100" s="1686"/>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679"/>
      <c r="CC100" s="1679"/>
      <c r="CD100" s="1679"/>
      <c r="CE100" s="1679"/>
      <c r="CF100" s="1679"/>
      <c r="CG100" s="1679"/>
      <c r="CH100" s="1679"/>
      <c r="CI100" s="1679"/>
      <c r="CJ100" s="1679"/>
      <c r="CK100" s="1679"/>
      <c r="CL100" s="1679"/>
      <c r="CM100" s="1679"/>
      <c r="CN100" s="1679"/>
      <c r="CO100" s="1679"/>
      <c r="CP100" s="1679"/>
      <c r="CQ100" s="1679"/>
      <c r="CR100" s="1679"/>
      <c r="CS100" s="1679"/>
      <c r="CT100" s="1679"/>
      <c r="CU100" s="1679"/>
      <c r="CV100" s="1679"/>
      <c r="CW100" s="1679"/>
      <c r="CX100" s="1679"/>
      <c r="CY100" s="819"/>
      <c r="CZ100" s="1679"/>
      <c r="DA100" s="1679"/>
      <c r="DB100" s="1679"/>
      <c r="DC100" s="768"/>
      <c r="DD100" s="1679"/>
      <c r="DE100" s="1679"/>
      <c r="DF100" s="1679"/>
      <c r="DG100" s="1679"/>
      <c r="DH100" s="1679"/>
      <c r="DI100" s="1679"/>
      <c r="DJ100" s="1679"/>
      <c r="DK100" s="1679"/>
      <c r="DL100" s="1679"/>
      <c r="DM100" s="1679"/>
      <c r="DN100" s="1679"/>
      <c r="DO100" s="768"/>
      <c r="DP100" s="1679"/>
      <c r="DQ100" s="1679"/>
      <c r="DR100" s="624"/>
      <c r="DS100" s="624"/>
      <c r="DT100" s="624"/>
      <c r="DU100" s="624"/>
      <c r="DV100" s="1685"/>
    </row>
    <row r="101" spans="1:256" ht="15" hidden="1">
      <c r="A101" s="1686"/>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679"/>
      <c r="CC101" s="1679"/>
      <c r="CD101" s="1679"/>
      <c r="CE101" s="1679"/>
      <c r="CF101" s="1679"/>
      <c r="CG101" s="1679"/>
      <c r="CH101" s="1679"/>
      <c r="CI101" s="1679"/>
      <c r="CJ101" s="1679"/>
      <c r="CK101" s="1679"/>
      <c r="CL101" s="1679"/>
      <c r="CM101" s="1679"/>
      <c r="CN101" s="1679"/>
      <c r="CO101" s="1679"/>
      <c r="CP101" s="1679"/>
      <c r="CQ101" s="1679"/>
      <c r="CR101" s="1679"/>
      <c r="CS101" s="1679"/>
      <c r="CT101" s="1679"/>
      <c r="CU101" s="1679"/>
      <c r="CV101" s="1679"/>
      <c r="CW101" s="1679"/>
      <c r="CX101" s="1679"/>
      <c r="CY101" s="819"/>
      <c r="CZ101" s="1679"/>
      <c r="DA101" s="1679"/>
      <c r="DB101" s="1679"/>
      <c r="DC101" s="768"/>
      <c r="DD101" s="1679"/>
      <c r="DE101" s="1679"/>
      <c r="DF101" s="1679"/>
      <c r="DG101" s="1679"/>
      <c r="DH101" s="1679"/>
      <c r="DI101" s="1679"/>
      <c r="DJ101" s="1679"/>
      <c r="DK101" s="1679"/>
      <c r="DL101" s="1679"/>
      <c r="DM101" s="1679"/>
      <c r="DN101" s="1679"/>
      <c r="DO101" s="768"/>
      <c r="DP101" s="1679"/>
      <c r="DQ101" s="1679"/>
      <c r="DR101" s="624"/>
      <c r="DS101" s="624"/>
      <c r="DT101" s="624"/>
      <c r="DU101" s="624"/>
      <c r="DV101" s="1685"/>
    </row>
    <row r="102" spans="1:256" ht="15" hidden="1">
      <c r="A102" s="1686"/>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679"/>
      <c r="CC102" s="1679"/>
      <c r="CD102" s="1679"/>
      <c r="CE102" s="1679"/>
      <c r="CF102" s="1679"/>
      <c r="CG102" s="1679"/>
      <c r="CH102" s="1679"/>
      <c r="CI102" s="1679"/>
      <c r="CJ102" s="1679"/>
      <c r="CK102" s="1679"/>
      <c r="CL102" s="1679"/>
      <c r="CM102" s="1679"/>
      <c r="CN102" s="1679"/>
      <c r="CO102" s="1679"/>
      <c r="CP102" s="1679"/>
      <c r="CQ102" s="1679"/>
      <c r="CR102" s="1679"/>
      <c r="CS102" s="1679"/>
      <c r="CT102" s="1679"/>
      <c r="CU102" s="1679"/>
      <c r="CV102" s="1679"/>
      <c r="CW102" s="1679"/>
      <c r="CX102" s="1679"/>
      <c r="CY102" s="819"/>
      <c r="CZ102" s="1679"/>
      <c r="DA102" s="1679"/>
      <c r="DB102" s="1679"/>
      <c r="DC102" s="768"/>
      <c r="DD102" s="1679"/>
      <c r="DE102" s="1679"/>
      <c r="DF102" s="1679"/>
      <c r="DG102" s="1679"/>
      <c r="DH102" s="1679"/>
      <c r="DI102" s="1679"/>
      <c r="DJ102" s="1679"/>
      <c r="DK102" s="1679"/>
      <c r="DL102" s="1679"/>
      <c r="DM102" s="1679"/>
      <c r="DN102" s="1679"/>
      <c r="DO102" s="768"/>
      <c r="DP102" s="1679"/>
      <c r="DQ102" s="1679"/>
      <c r="DR102" s="624"/>
      <c r="DS102" s="624"/>
      <c r="DT102" s="624"/>
      <c r="DU102" s="624"/>
      <c r="DV102" s="1685"/>
    </row>
    <row r="103" spans="1:256" ht="15" hidden="1">
      <c r="A103" s="1686"/>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679"/>
      <c r="CC103" s="1679"/>
      <c r="CD103" s="1679"/>
      <c r="CE103" s="1679"/>
      <c r="CF103" s="1679"/>
      <c r="CG103" s="1679"/>
      <c r="CH103" s="1679"/>
      <c r="CI103" s="1679"/>
      <c r="CJ103" s="1679"/>
      <c r="CK103" s="1679"/>
      <c r="CL103" s="1679"/>
      <c r="CM103" s="1679"/>
      <c r="CN103" s="1679"/>
      <c r="CO103" s="1679"/>
      <c r="CP103" s="1679"/>
      <c r="CQ103" s="1679"/>
      <c r="CR103" s="1679"/>
      <c r="CS103" s="1679"/>
      <c r="CT103" s="1679"/>
      <c r="CU103" s="1679"/>
      <c r="CV103" s="1679"/>
      <c r="CW103" s="1679"/>
      <c r="CX103" s="1679"/>
      <c r="CY103" s="819"/>
      <c r="CZ103" s="1679"/>
      <c r="DA103" s="1679"/>
      <c r="DB103" s="1679"/>
      <c r="DC103" s="768"/>
      <c r="DD103" s="1679"/>
      <c r="DE103" s="1679"/>
      <c r="DF103" s="1679"/>
      <c r="DG103" s="1679"/>
      <c r="DH103" s="1679"/>
      <c r="DI103" s="1679"/>
      <c r="DJ103" s="1679"/>
      <c r="DK103" s="1679"/>
      <c r="DL103" s="1679"/>
      <c r="DM103" s="1679"/>
      <c r="DN103" s="1679"/>
      <c r="DO103" s="768"/>
      <c r="DP103" s="1679"/>
      <c r="DQ103" s="1679"/>
      <c r="DR103" s="624"/>
      <c r="DS103" s="624"/>
      <c r="DT103" s="624"/>
      <c r="DU103" s="624"/>
      <c r="DV103" s="1685"/>
    </row>
    <row r="104" spans="1:256" ht="15" hidden="1">
      <c r="A104" s="1686"/>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679"/>
      <c r="CC104" s="1679"/>
      <c r="CD104" s="1679"/>
      <c r="CE104" s="1679"/>
      <c r="CF104" s="1679"/>
      <c r="CG104" s="1679"/>
      <c r="CH104" s="1679"/>
      <c r="CI104" s="1679"/>
      <c r="CJ104" s="1679"/>
      <c r="CK104" s="1679"/>
      <c r="CL104" s="1679"/>
      <c r="CM104" s="1679"/>
      <c r="CN104" s="1679"/>
      <c r="CO104" s="1679"/>
      <c r="CP104" s="1679"/>
      <c r="CQ104" s="1679"/>
      <c r="CR104" s="1679"/>
      <c r="CS104" s="1679"/>
      <c r="CT104" s="1679"/>
      <c r="CU104" s="1679"/>
      <c r="CV104" s="1679"/>
      <c r="CW104" s="1679"/>
      <c r="CX104" s="1679"/>
      <c r="CY104" s="819"/>
      <c r="CZ104" s="1679"/>
      <c r="DA104" s="1679"/>
      <c r="DB104" s="1679"/>
      <c r="DC104" s="768"/>
      <c r="DD104" s="1679"/>
      <c r="DE104" s="1679"/>
      <c r="DF104" s="1679"/>
      <c r="DG104" s="1679"/>
      <c r="DH104" s="1679"/>
      <c r="DI104" s="1679"/>
      <c r="DJ104" s="1679"/>
      <c r="DK104" s="1679"/>
      <c r="DL104" s="1679"/>
      <c r="DM104" s="1679"/>
      <c r="DN104" s="1679"/>
      <c r="DO104" s="768"/>
      <c r="DP104" s="1679"/>
      <c r="DQ104" s="1679"/>
      <c r="DR104" s="624"/>
      <c r="DS104" s="624"/>
      <c r="DT104" s="624"/>
      <c r="DU104" s="624"/>
      <c r="DV104" s="1685"/>
    </row>
    <row r="105" spans="1:256" ht="15" hidden="1">
      <c r="A105" s="1686"/>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679"/>
      <c r="CC105" s="1679"/>
      <c r="CD105" s="1679"/>
      <c r="CE105" s="1679"/>
      <c r="CF105" s="1679"/>
      <c r="CG105" s="1679"/>
      <c r="CH105" s="1679"/>
      <c r="CI105" s="1679"/>
      <c r="CJ105" s="1679"/>
      <c r="CK105" s="1679"/>
      <c r="CL105" s="1679"/>
      <c r="CM105" s="1679"/>
      <c r="CN105" s="1679"/>
      <c r="CO105" s="1679"/>
      <c r="CP105" s="1679"/>
      <c r="CQ105" s="1679"/>
      <c r="CR105" s="1679"/>
      <c r="CS105" s="1679"/>
      <c r="CT105" s="1679"/>
      <c r="CU105" s="1679"/>
      <c r="CV105" s="1679"/>
      <c r="CW105" s="1679"/>
      <c r="CX105" s="1679"/>
      <c r="CY105" s="819"/>
      <c r="CZ105" s="1679"/>
      <c r="DA105" s="1679"/>
      <c r="DB105" s="1679"/>
      <c r="DC105" s="768"/>
      <c r="DD105" s="1679"/>
      <c r="DE105" s="1679"/>
      <c r="DF105" s="1679"/>
      <c r="DG105" s="1679"/>
      <c r="DH105" s="1679"/>
      <c r="DI105" s="1679"/>
      <c r="DJ105" s="1679"/>
      <c r="DK105" s="1679"/>
      <c r="DL105" s="1679"/>
      <c r="DM105" s="1679"/>
      <c r="DN105" s="1679"/>
      <c r="DO105" s="768"/>
      <c r="DP105" s="1679"/>
      <c r="DQ105" s="1679"/>
      <c r="DR105" s="624"/>
      <c r="DS105" s="624"/>
      <c r="DT105" s="624"/>
      <c r="DU105" s="624"/>
      <c r="DV105" s="1685"/>
    </row>
    <row r="106" spans="1:256" ht="15" hidden="1">
      <c r="A106" s="1686"/>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679"/>
      <c r="CC106" s="1679"/>
      <c r="CD106" s="1679"/>
      <c r="CE106" s="1679"/>
      <c r="CF106" s="1679"/>
      <c r="CG106" s="1679"/>
      <c r="CH106" s="1679"/>
      <c r="CI106" s="1679"/>
      <c r="CJ106" s="1679"/>
      <c r="CK106" s="1679"/>
      <c r="CL106" s="1679"/>
      <c r="CM106" s="1679"/>
      <c r="CN106" s="1679"/>
      <c r="CO106" s="1679"/>
      <c r="CP106" s="1679"/>
      <c r="CQ106" s="1679"/>
      <c r="CR106" s="1679"/>
      <c r="CS106" s="1679"/>
      <c r="CT106" s="1679"/>
      <c r="CU106" s="1679"/>
      <c r="CV106" s="1679"/>
      <c r="CW106" s="1679"/>
      <c r="CX106" s="1679"/>
      <c r="CY106" s="819"/>
      <c r="CZ106" s="1679"/>
      <c r="DA106" s="1679"/>
      <c r="DB106" s="1679"/>
      <c r="DC106" s="768"/>
      <c r="DD106" s="1679"/>
      <c r="DE106" s="1679"/>
      <c r="DF106" s="1679"/>
      <c r="DG106" s="1679"/>
      <c r="DH106" s="1679"/>
      <c r="DI106" s="1679"/>
      <c r="DJ106" s="1679"/>
      <c r="DK106" s="1679"/>
      <c r="DL106" s="1679"/>
      <c r="DM106" s="1679"/>
      <c r="DN106" s="1679"/>
      <c r="DO106" s="768"/>
      <c r="DP106" s="1679"/>
      <c r="DQ106" s="1679"/>
      <c r="DR106" s="624"/>
      <c r="DS106" s="624"/>
      <c r="DT106" s="624"/>
      <c r="DU106" s="624"/>
      <c r="DV106" s="1685"/>
    </row>
    <row r="107" spans="1:256" ht="15" hidden="1">
      <c r="A107" s="1686"/>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679"/>
      <c r="CC107" s="1679"/>
      <c r="CD107" s="1679"/>
      <c r="CE107" s="1679"/>
      <c r="CF107" s="1679"/>
      <c r="CG107" s="1679"/>
      <c r="CH107" s="1679"/>
      <c r="CI107" s="1679"/>
      <c r="CJ107" s="1679"/>
      <c r="CK107" s="1679"/>
      <c r="CL107" s="1679"/>
      <c r="CM107" s="1679"/>
      <c r="CN107" s="1679"/>
      <c r="CO107" s="1679"/>
      <c r="CP107" s="1679"/>
      <c r="CQ107" s="1679"/>
      <c r="CR107" s="1679"/>
      <c r="CS107" s="1679"/>
      <c r="CT107" s="1679"/>
      <c r="CU107" s="1679"/>
      <c r="CV107" s="1679"/>
      <c r="CW107" s="1679"/>
      <c r="CX107" s="1679"/>
      <c r="CY107" s="819"/>
      <c r="CZ107" s="1679"/>
      <c r="DA107" s="1679"/>
      <c r="DB107" s="1679"/>
      <c r="DC107" s="768"/>
      <c r="DD107" s="1679"/>
      <c r="DE107" s="1679"/>
      <c r="DF107" s="1679"/>
      <c r="DG107" s="1679"/>
      <c r="DH107" s="1679"/>
      <c r="DI107" s="1679"/>
      <c r="DJ107" s="1679"/>
      <c r="DK107" s="1679"/>
      <c r="DL107" s="1679"/>
      <c r="DM107" s="1679"/>
      <c r="DN107" s="1679"/>
      <c r="DO107" s="768"/>
      <c r="DP107" s="1679"/>
      <c r="DQ107" s="1679"/>
      <c r="DR107" s="624"/>
      <c r="DS107" s="624"/>
      <c r="DT107" s="624"/>
      <c r="DU107" s="624"/>
      <c r="DV107" s="1685"/>
    </row>
    <row r="108" spans="1:256" ht="15" hidden="1">
      <c r="A108" s="1686"/>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679"/>
      <c r="CC108" s="1679"/>
      <c r="CD108" s="1679"/>
      <c r="CE108" s="1679"/>
      <c r="CF108" s="1679"/>
      <c r="CG108" s="1679"/>
      <c r="CH108" s="1679"/>
      <c r="CI108" s="1679"/>
      <c r="CJ108" s="1679"/>
      <c r="CK108" s="1679"/>
      <c r="CL108" s="1679"/>
      <c r="CM108" s="1679"/>
      <c r="CN108" s="1679"/>
      <c r="CO108" s="1679"/>
      <c r="CP108" s="1679"/>
      <c r="CQ108" s="1679"/>
      <c r="CR108" s="1679"/>
      <c r="CS108" s="1679"/>
      <c r="CT108" s="1679"/>
      <c r="CU108" s="1679"/>
      <c r="CV108" s="1679"/>
      <c r="CW108" s="1679"/>
      <c r="CX108" s="1679"/>
      <c r="CY108" s="819"/>
      <c r="CZ108" s="1679"/>
      <c r="DA108" s="1679"/>
      <c r="DB108" s="1679"/>
      <c r="DC108" s="768"/>
      <c r="DD108" s="1679"/>
      <c r="DE108" s="1679"/>
      <c r="DF108" s="1679"/>
      <c r="DG108" s="1679"/>
      <c r="DH108" s="1679"/>
      <c r="DI108" s="1679"/>
      <c r="DJ108" s="1679"/>
      <c r="DK108" s="1679"/>
      <c r="DL108" s="1679"/>
      <c r="DM108" s="1679"/>
      <c r="DN108" s="1679"/>
      <c r="DO108" s="768"/>
      <c r="DP108" s="1679"/>
      <c r="DQ108" s="1679"/>
      <c r="DR108" s="624"/>
      <c r="DS108" s="624"/>
      <c r="DT108" s="624"/>
      <c r="DU108" s="624"/>
      <c r="DV108" s="1685"/>
    </row>
    <row r="109" spans="1:256" ht="15" hidden="1">
      <c r="A109" s="1686"/>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679"/>
      <c r="CC109" s="1679"/>
      <c r="CD109" s="1679"/>
      <c r="CE109" s="1679"/>
      <c r="CF109" s="1679"/>
      <c r="CG109" s="1679"/>
      <c r="CH109" s="1679"/>
      <c r="CI109" s="1679"/>
      <c r="CJ109" s="1679"/>
      <c r="CK109" s="1679"/>
      <c r="CL109" s="1679"/>
      <c r="CM109" s="1679"/>
      <c r="CN109" s="1679"/>
      <c r="CO109" s="1679"/>
      <c r="CP109" s="1679"/>
      <c r="CQ109" s="1679"/>
      <c r="CR109" s="1679"/>
      <c r="CS109" s="1679"/>
      <c r="CT109" s="1679"/>
      <c r="CU109" s="1679"/>
      <c r="CV109" s="1679"/>
      <c r="CW109" s="1679"/>
      <c r="CX109" s="1679"/>
      <c r="CY109" s="819"/>
      <c r="CZ109" s="1679"/>
      <c r="DA109" s="1679"/>
      <c r="DB109" s="1679"/>
      <c r="DC109" s="768"/>
      <c r="DD109" s="1679"/>
      <c r="DE109" s="1679"/>
      <c r="DF109" s="1679"/>
      <c r="DG109" s="1679"/>
      <c r="DH109" s="1679"/>
      <c r="DI109" s="1679"/>
      <c r="DJ109" s="1679"/>
      <c r="DK109" s="1679"/>
      <c r="DL109" s="1679"/>
      <c r="DM109" s="1679"/>
      <c r="DN109" s="1679"/>
      <c r="DO109" s="768"/>
      <c r="DP109" s="1679"/>
      <c r="DQ109" s="1679"/>
      <c r="DR109" s="624"/>
      <c r="DS109" s="624"/>
      <c r="DT109" s="624"/>
      <c r="DU109" s="624"/>
      <c r="DV109" s="1685"/>
    </row>
    <row r="110" spans="1:256" ht="15" hidden="1">
      <c r="A110" s="1686"/>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679"/>
      <c r="CC110" s="1679"/>
      <c r="CD110" s="1679"/>
      <c r="CE110" s="1679"/>
      <c r="CF110" s="1679"/>
      <c r="CG110" s="1679"/>
      <c r="CH110" s="1679"/>
      <c r="CI110" s="1679"/>
      <c r="CJ110" s="1679"/>
      <c r="CK110" s="1679"/>
      <c r="CL110" s="1679"/>
      <c r="CM110" s="1679"/>
      <c r="CN110" s="1679"/>
      <c r="CO110" s="1679"/>
      <c r="CP110" s="1679"/>
      <c r="CQ110" s="1679"/>
      <c r="CR110" s="1679"/>
      <c r="CS110" s="1679"/>
      <c r="CT110" s="1679"/>
      <c r="CU110" s="1679"/>
      <c r="CV110" s="1679"/>
      <c r="CW110" s="1679"/>
      <c r="CX110" s="1679"/>
      <c r="CY110" s="819"/>
      <c r="CZ110" s="1679"/>
      <c r="DA110" s="1679"/>
      <c r="DB110" s="1679"/>
      <c r="DC110" s="768"/>
      <c r="DD110" s="1679"/>
      <c r="DE110" s="1679"/>
      <c r="DF110" s="1679"/>
      <c r="DG110" s="1679"/>
      <c r="DH110" s="1679"/>
      <c r="DI110" s="1679"/>
      <c r="DJ110" s="1679"/>
      <c r="DK110" s="1679"/>
      <c r="DL110" s="1679"/>
      <c r="DM110" s="1679"/>
      <c r="DN110" s="1679"/>
      <c r="DO110" s="768"/>
      <c r="DP110" s="1679"/>
      <c r="DQ110" s="1679"/>
      <c r="DR110" s="624"/>
      <c r="DS110" s="624"/>
      <c r="DT110" s="624"/>
      <c r="DU110" s="624"/>
      <c r="DV110" s="1685"/>
    </row>
    <row r="111" spans="1:256" s="554" customFormat="1" ht="15" hidden="1">
      <c r="A111" s="1687"/>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02"/>
      <c r="Y111" s="759"/>
      <c r="Z111" s="759"/>
      <c r="AA111" s="1702"/>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03"/>
      <c r="CC111" s="1703"/>
      <c r="CD111" s="1703"/>
      <c r="CE111" s="1679"/>
      <c r="CF111" s="1703"/>
      <c r="CG111" s="1703"/>
      <c r="CH111" s="1703"/>
      <c r="CI111" s="1703"/>
      <c r="CJ111" s="1703"/>
      <c r="CK111" s="1703"/>
      <c r="CL111" s="1703"/>
      <c r="CM111" s="1703"/>
      <c r="CN111" s="1703"/>
      <c r="CO111" s="1703"/>
      <c r="CP111" s="1703"/>
      <c r="CQ111" s="1703"/>
      <c r="CR111" s="1703"/>
      <c r="CS111" s="1703"/>
      <c r="CT111" s="1703"/>
      <c r="CU111" s="1703"/>
      <c r="CV111" s="1703"/>
      <c r="CW111" s="1703"/>
      <c r="CX111" s="1703"/>
      <c r="CY111" s="820"/>
      <c r="CZ111" s="1703"/>
      <c r="DA111" s="1703"/>
      <c r="DB111" s="1703"/>
      <c r="DC111" s="1702"/>
      <c r="DD111" s="1703"/>
      <c r="DE111" s="1703"/>
      <c r="DF111" s="1703"/>
      <c r="DG111" s="1703"/>
      <c r="DH111" s="1703"/>
      <c r="DI111" s="1703"/>
      <c r="DJ111" s="1703"/>
      <c r="DK111" s="1703"/>
      <c r="DL111" s="1703"/>
      <c r="DM111" s="1703"/>
      <c r="DN111" s="1703"/>
      <c r="DO111" s="1702"/>
      <c r="DP111" s="1703"/>
      <c r="DQ111" s="1703"/>
      <c r="DR111" s="760"/>
      <c r="DS111" s="760"/>
      <c r="DT111" s="760"/>
      <c r="DU111" s="760"/>
      <c r="DV111" s="1701"/>
    </row>
    <row r="112" spans="1:256" s="679" customFormat="1" ht="15" hidden="1">
      <c r="A112" s="1686"/>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679"/>
      <c r="CC112" s="1679"/>
      <c r="CD112" s="1679"/>
      <c r="CE112" s="1679"/>
      <c r="CF112" s="1679"/>
      <c r="CG112" s="1679"/>
      <c r="CH112" s="1679"/>
      <c r="CI112" s="1679"/>
      <c r="CJ112" s="1679"/>
      <c r="CK112" s="1679"/>
      <c r="CL112" s="1679"/>
      <c r="CM112" s="1679"/>
      <c r="CN112" s="1679"/>
      <c r="CO112" s="1679"/>
      <c r="CP112" s="1679"/>
      <c r="CQ112" s="1679"/>
      <c r="CR112" s="1679"/>
      <c r="CS112" s="1679"/>
      <c r="CT112" s="1679"/>
      <c r="CU112" s="1679"/>
      <c r="CV112" s="1679"/>
      <c r="CW112" s="1679"/>
      <c r="CX112" s="1679"/>
      <c r="CY112" s="819"/>
      <c r="CZ112" s="1679"/>
      <c r="DA112" s="1679"/>
      <c r="DB112" s="1679"/>
      <c r="DC112" s="768"/>
      <c r="DD112" s="1679"/>
      <c r="DE112" s="1679"/>
      <c r="DF112" s="1679"/>
      <c r="DG112" s="1679"/>
      <c r="DH112" s="1679"/>
      <c r="DI112" s="1679"/>
      <c r="DJ112" s="1679"/>
      <c r="DK112" s="1679"/>
      <c r="DL112" s="1679"/>
      <c r="DM112" s="1679"/>
      <c r="DN112" s="1679"/>
      <c r="DO112" s="768"/>
      <c r="DP112" s="1679"/>
      <c r="DQ112" s="1679"/>
      <c r="DR112" s="624"/>
      <c r="DS112" s="624"/>
      <c r="DT112" s="624"/>
      <c r="DU112" s="624"/>
      <c r="DV112" s="1685"/>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5" hidden="1">
      <c r="A113" s="1686"/>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679"/>
      <c r="CC113" s="1679"/>
      <c r="CD113" s="1679"/>
      <c r="CE113" s="1679"/>
      <c r="CF113" s="1679"/>
      <c r="CG113" s="1679"/>
      <c r="CH113" s="1679"/>
      <c r="CI113" s="1679"/>
      <c r="CJ113" s="1679"/>
      <c r="CK113" s="1679"/>
      <c r="CL113" s="1679"/>
      <c r="CM113" s="1679"/>
      <c r="CN113" s="1679"/>
      <c r="CO113" s="1679"/>
      <c r="CP113" s="1679"/>
      <c r="CQ113" s="1679"/>
      <c r="CR113" s="1679"/>
      <c r="CS113" s="1679"/>
      <c r="CT113" s="1679"/>
      <c r="CU113" s="1679"/>
      <c r="CV113" s="1679"/>
      <c r="CW113" s="1679"/>
      <c r="CX113" s="1679"/>
      <c r="CY113" s="819"/>
      <c r="CZ113" s="1679"/>
      <c r="DA113" s="1679"/>
      <c r="DB113" s="1679"/>
      <c r="DC113" s="768"/>
      <c r="DD113" s="1679"/>
      <c r="DE113" s="1679"/>
      <c r="DF113" s="1679"/>
      <c r="DG113" s="1679"/>
      <c r="DH113" s="1679"/>
      <c r="DI113" s="1679"/>
      <c r="DJ113" s="1679"/>
      <c r="DK113" s="1679"/>
      <c r="DL113" s="1679"/>
      <c r="DM113" s="1679"/>
      <c r="DN113" s="1679"/>
      <c r="DO113" s="768"/>
      <c r="DP113" s="1679"/>
      <c r="DQ113" s="1679"/>
      <c r="DR113" s="624"/>
      <c r="DS113" s="624"/>
      <c r="DT113" s="624"/>
      <c r="DU113" s="624"/>
      <c r="DV113" s="1685"/>
    </row>
    <row r="114" spans="1:256" ht="15" hidden="1">
      <c r="A114" s="1686"/>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679"/>
      <c r="CC114" s="1679"/>
      <c r="CD114" s="1679"/>
      <c r="CE114" s="1679"/>
      <c r="CF114" s="1679"/>
      <c r="CG114" s="1679"/>
      <c r="CH114" s="1679"/>
      <c r="CI114" s="1679"/>
      <c r="CJ114" s="1679"/>
      <c r="CK114" s="1679"/>
      <c r="CL114" s="1679"/>
      <c r="CM114" s="1679"/>
      <c r="CN114" s="1679"/>
      <c r="CO114" s="1679"/>
      <c r="CP114" s="1679"/>
      <c r="CQ114" s="1679"/>
      <c r="CR114" s="1679"/>
      <c r="CS114" s="1679"/>
      <c r="CT114" s="1679"/>
      <c r="CU114" s="1679"/>
      <c r="CV114" s="1679"/>
      <c r="CW114" s="1679"/>
      <c r="CX114" s="1679"/>
      <c r="CY114" s="819"/>
      <c r="CZ114" s="1679"/>
      <c r="DA114" s="1679"/>
      <c r="DB114" s="1679"/>
      <c r="DC114" s="768"/>
      <c r="DD114" s="1679"/>
      <c r="DE114" s="1679"/>
      <c r="DF114" s="1679"/>
      <c r="DG114" s="1679"/>
      <c r="DH114" s="1679"/>
      <c r="DI114" s="1679"/>
      <c r="DJ114" s="1679"/>
      <c r="DK114" s="1679"/>
      <c r="DL114" s="1679"/>
      <c r="DM114" s="1679"/>
      <c r="DN114" s="1679"/>
      <c r="DO114" s="768"/>
      <c r="DP114" s="1679"/>
      <c r="DQ114" s="1679"/>
      <c r="DR114" s="624"/>
      <c r="DS114" s="624"/>
      <c r="DT114" s="624"/>
      <c r="DU114" s="624"/>
      <c r="DV114" s="1685"/>
    </row>
    <row r="115" spans="1:256" ht="15" hidden="1">
      <c r="A115" s="1686"/>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679"/>
      <c r="CC115" s="1679"/>
      <c r="CD115" s="1679"/>
      <c r="CE115" s="1679"/>
      <c r="CF115" s="1679"/>
      <c r="CG115" s="1679"/>
      <c r="CH115" s="1679"/>
      <c r="CI115" s="1679"/>
      <c r="CJ115" s="1679"/>
      <c r="CK115" s="1679"/>
      <c r="CL115" s="1679"/>
      <c r="CM115" s="1679"/>
      <c r="CN115" s="1679"/>
      <c r="CO115" s="1679"/>
      <c r="CP115" s="1679"/>
      <c r="CQ115" s="1679"/>
      <c r="CR115" s="1679"/>
      <c r="CS115" s="1679"/>
      <c r="CT115" s="1679"/>
      <c r="CU115" s="1679"/>
      <c r="CV115" s="1679"/>
      <c r="CW115" s="1679"/>
      <c r="CX115" s="1679"/>
      <c r="CY115" s="819"/>
      <c r="CZ115" s="1679"/>
      <c r="DA115" s="1679"/>
      <c r="DB115" s="1679"/>
      <c r="DC115" s="768"/>
      <c r="DD115" s="1679"/>
      <c r="DE115" s="1679"/>
      <c r="DF115" s="1679"/>
      <c r="DG115" s="1679"/>
      <c r="DH115" s="1679"/>
      <c r="DI115" s="1679"/>
      <c r="DJ115" s="1679"/>
      <c r="DK115" s="1679"/>
      <c r="DL115" s="1679"/>
      <c r="DM115" s="1679"/>
      <c r="DN115" s="1679"/>
      <c r="DO115" s="768"/>
      <c r="DP115" s="1679"/>
      <c r="DQ115" s="1679"/>
      <c r="DR115" s="624"/>
      <c r="DS115" s="624"/>
      <c r="DT115" s="624"/>
      <c r="DU115" s="624"/>
      <c r="DV115" s="1685"/>
    </row>
    <row r="116" spans="1:256" ht="15" hidden="1">
      <c r="A116" s="1686"/>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679"/>
      <c r="CC116" s="1679"/>
      <c r="CD116" s="1679"/>
      <c r="CE116" s="1679"/>
      <c r="CF116" s="1679"/>
      <c r="CG116" s="1679"/>
      <c r="CH116" s="1679"/>
      <c r="CI116" s="1679"/>
      <c r="CJ116" s="1679"/>
      <c r="CK116" s="1679"/>
      <c r="CL116" s="1679"/>
      <c r="CM116" s="1679"/>
      <c r="CN116" s="1679"/>
      <c r="CO116" s="1679"/>
      <c r="CP116" s="1679"/>
      <c r="CQ116" s="1679"/>
      <c r="CR116" s="1679"/>
      <c r="CS116" s="1679"/>
      <c r="CT116" s="1679"/>
      <c r="CU116" s="1679"/>
      <c r="CV116" s="1679"/>
      <c r="CW116" s="1679"/>
      <c r="CX116" s="1679"/>
      <c r="CY116" s="819"/>
      <c r="CZ116" s="1679"/>
      <c r="DA116" s="1679"/>
      <c r="DB116" s="1679"/>
      <c r="DC116" s="768"/>
      <c r="DD116" s="1679"/>
      <c r="DE116" s="1679"/>
      <c r="DF116" s="1679"/>
      <c r="DG116" s="1679"/>
      <c r="DH116" s="1679"/>
      <c r="DI116" s="1679"/>
      <c r="DJ116" s="1679"/>
      <c r="DK116" s="1679"/>
      <c r="DL116" s="1679"/>
      <c r="DM116" s="1679"/>
      <c r="DN116" s="1679"/>
      <c r="DO116" s="768"/>
      <c r="DP116" s="1679"/>
      <c r="DQ116" s="1679"/>
      <c r="DR116" s="624"/>
      <c r="DS116" s="624"/>
      <c r="DT116" s="624"/>
      <c r="DU116" s="624"/>
      <c r="DV116" s="1685"/>
    </row>
    <row r="117" spans="1:256" ht="15" hidden="1">
      <c r="A117" s="1686"/>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679"/>
      <c r="CC117" s="1679"/>
      <c r="CD117" s="1679"/>
      <c r="CE117" s="1679"/>
      <c r="CF117" s="1679"/>
      <c r="CG117" s="1679"/>
      <c r="CH117" s="1679"/>
      <c r="CI117" s="1679"/>
      <c r="CJ117" s="1679"/>
      <c r="CK117" s="1679"/>
      <c r="CL117" s="1679"/>
      <c r="CM117" s="1679"/>
      <c r="CN117" s="1679"/>
      <c r="CO117" s="1679"/>
      <c r="CP117" s="1679"/>
      <c r="CQ117" s="1679"/>
      <c r="CR117" s="1679"/>
      <c r="CS117" s="1679"/>
      <c r="CT117" s="1679"/>
      <c r="CU117" s="1679"/>
      <c r="CV117" s="1679"/>
      <c r="CW117" s="1679"/>
      <c r="CX117" s="1679"/>
      <c r="CY117" s="819"/>
      <c r="CZ117" s="1679"/>
      <c r="DA117" s="1679"/>
      <c r="DB117" s="1679"/>
      <c r="DC117" s="768"/>
      <c r="DD117" s="1679"/>
      <c r="DE117" s="1679"/>
      <c r="DF117" s="1679"/>
      <c r="DG117" s="1679"/>
      <c r="DH117" s="1679"/>
      <c r="DI117" s="1679"/>
      <c r="DJ117" s="1679"/>
      <c r="DK117" s="1679"/>
      <c r="DL117" s="1679"/>
      <c r="DM117" s="1679"/>
      <c r="DN117" s="1679"/>
      <c r="DO117" s="768"/>
      <c r="DP117" s="1679"/>
      <c r="DQ117" s="1679"/>
      <c r="DR117" s="624"/>
      <c r="DS117" s="624"/>
      <c r="DT117" s="624"/>
      <c r="DU117" s="624"/>
      <c r="DV117" s="1685"/>
    </row>
    <row r="118" spans="1:256" ht="15" hidden="1">
      <c r="A118" s="1686"/>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679"/>
      <c r="CC118" s="1679"/>
      <c r="CD118" s="1679"/>
      <c r="CE118" s="1679"/>
      <c r="CF118" s="1679"/>
      <c r="CG118" s="1679"/>
      <c r="CH118" s="1679"/>
      <c r="CI118" s="1679"/>
      <c r="CJ118" s="1679"/>
      <c r="CK118" s="1679"/>
      <c r="CL118" s="1679"/>
      <c r="CM118" s="1679"/>
      <c r="CN118" s="1679"/>
      <c r="CO118" s="1679"/>
      <c r="CP118" s="1679"/>
      <c r="CQ118" s="1679"/>
      <c r="CR118" s="1679"/>
      <c r="CS118" s="1679"/>
      <c r="CT118" s="1679"/>
      <c r="CU118" s="1679"/>
      <c r="CV118" s="1679"/>
      <c r="CW118" s="1679"/>
      <c r="CX118" s="1679"/>
      <c r="CY118" s="819"/>
      <c r="CZ118" s="1679"/>
      <c r="DA118" s="1679"/>
      <c r="DB118" s="1679"/>
      <c r="DC118" s="768"/>
      <c r="DD118" s="1679"/>
      <c r="DE118" s="1679"/>
      <c r="DF118" s="1679"/>
      <c r="DG118" s="1679"/>
      <c r="DH118" s="1679"/>
      <c r="DI118" s="1679"/>
      <c r="DJ118" s="1679"/>
      <c r="DK118" s="1679"/>
      <c r="DL118" s="1679"/>
      <c r="DM118" s="1679"/>
      <c r="DN118" s="1679"/>
      <c r="DO118" s="768"/>
      <c r="DP118" s="1679"/>
      <c r="DQ118" s="1679"/>
      <c r="DR118" s="624"/>
      <c r="DS118" s="624"/>
      <c r="DT118" s="624"/>
      <c r="DU118" s="624"/>
      <c r="DV118" s="1685"/>
    </row>
    <row r="119" spans="1:256" s="679" customFormat="1" ht="15" hidden="1">
      <c r="A119" s="1686"/>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679"/>
      <c r="CC119" s="1679"/>
      <c r="CD119" s="1679"/>
      <c r="CE119" s="1679"/>
      <c r="CF119" s="1679"/>
      <c r="CG119" s="1679"/>
      <c r="CH119" s="1679"/>
      <c r="CI119" s="1679"/>
      <c r="CJ119" s="1679"/>
      <c r="CK119" s="1679"/>
      <c r="CL119" s="1679"/>
      <c r="CM119" s="1679"/>
      <c r="CN119" s="1679"/>
      <c r="CO119" s="1679"/>
      <c r="CP119" s="1679"/>
      <c r="CQ119" s="1679"/>
      <c r="CR119" s="1679"/>
      <c r="CS119" s="1679"/>
      <c r="CT119" s="1679"/>
      <c r="CU119" s="1679"/>
      <c r="CV119" s="1679"/>
      <c r="CW119" s="1679"/>
      <c r="CX119" s="1679"/>
      <c r="CY119" s="819"/>
      <c r="CZ119" s="1679"/>
      <c r="DA119" s="1679"/>
      <c r="DB119" s="1679"/>
      <c r="DC119" s="768"/>
      <c r="DD119" s="1679"/>
      <c r="DE119" s="1679"/>
      <c r="DF119" s="1679"/>
      <c r="DG119" s="1679"/>
      <c r="DH119" s="1679"/>
      <c r="DI119" s="1679"/>
      <c r="DJ119" s="1679"/>
      <c r="DK119" s="1679"/>
      <c r="DL119" s="1679"/>
      <c r="DM119" s="1679"/>
      <c r="DN119" s="1679"/>
      <c r="DO119" s="768"/>
      <c r="DP119" s="1679"/>
      <c r="DQ119" s="1679"/>
      <c r="DR119" s="624"/>
      <c r="DS119" s="624"/>
      <c r="DT119" s="624"/>
      <c r="DU119" s="624"/>
      <c r="DV119" s="1685"/>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5" hidden="1">
      <c r="A120" s="1688"/>
      <c r="B120" s="1689"/>
      <c r="C120" s="1688"/>
      <c r="D120" s="1688"/>
      <c r="E120" s="1688"/>
      <c r="F120" s="1688"/>
      <c r="G120" s="1688"/>
      <c r="H120" s="1688"/>
      <c r="I120" s="1688"/>
      <c r="J120" s="1688"/>
      <c r="K120" s="1688"/>
      <c r="L120" s="1688"/>
      <c r="M120" s="1688"/>
      <c r="N120" s="1688"/>
      <c r="O120" s="1688"/>
      <c r="P120" s="1688"/>
      <c r="Q120" s="1688"/>
      <c r="R120" s="1688"/>
      <c r="S120" s="1688"/>
      <c r="T120" s="1688"/>
      <c r="U120" s="1688"/>
      <c r="V120" s="1688"/>
      <c r="W120" s="1688"/>
      <c r="X120" s="1688"/>
      <c r="Y120" s="1688"/>
      <c r="Z120" s="1688"/>
      <c r="AA120" s="1688"/>
      <c r="AB120" s="1688"/>
      <c r="AC120" s="1688"/>
      <c r="AD120" s="1688"/>
      <c r="AE120" s="1688"/>
      <c r="AF120" s="1688"/>
      <c r="AG120" s="1688"/>
      <c r="AH120" s="1688"/>
      <c r="AI120" s="1688"/>
      <c r="AJ120" s="1688"/>
      <c r="AK120" s="1688"/>
      <c r="AL120" s="1688"/>
      <c r="AM120" s="1688"/>
      <c r="AN120" s="1688"/>
      <c r="AO120" s="1688"/>
      <c r="AP120" s="1688"/>
      <c r="AQ120" s="1688"/>
      <c r="AR120" s="1688"/>
      <c r="AS120" s="1688"/>
      <c r="AT120" s="1688"/>
      <c r="AU120" s="1688"/>
      <c r="AV120" s="1688"/>
      <c r="AW120" s="1688"/>
      <c r="AX120" s="1688"/>
      <c r="AY120" s="1688"/>
      <c r="AZ120" s="1688"/>
      <c r="BA120" s="1688"/>
      <c r="BB120" s="1688"/>
      <c r="BC120" s="1688"/>
      <c r="BD120" s="1688"/>
      <c r="BE120" s="1688"/>
      <c r="BF120" s="1688"/>
      <c r="BG120" s="1688"/>
      <c r="BH120" s="1688"/>
      <c r="BI120" s="1688"/>
      <c r="BJ120" s="1688"/>
      <c r="BK120" s="1688"/>
      <c r="BL120" s="1688"/>
      <c r="BM120" s="1688"/>
      <c r="BN120" s="1688"/>
      <c r="BO120" s="1688"/>
      <c r="BP120" s="1688"/>
      <c r="BQ120" s="1688"/>
      <c r="BR120" s="1688"/>
      <c r="BS120" s="1688"/>
      <c r="BT120" s="1688"/>
      <c r="BU120" s="1688"/>
      <c r="BV120" s="1688"/>
      <c r="BW120" s="1688"/>
      <c r="BX120" s="1688"/>
      <c r="BY120" s="1688"/>
      <c r="BZ120" s="1688"/>
      <c r="CA120" s="1688"/>
      <c r="CB120" s="1688"/>
      <c r="CC120" s="1688"/>
      <c r="CD120" s="1688"/>
      <c r="CE120" s="1679"/>
      <c r="CF120" s="1688"/>
      <c r="CG120" s="1688"/>
      <c r="CH120" s="1688"/>
      <c r="CI120" s="1688"/>
      <c r="CJ120" s="1688"/>
      <c r="CK120" s="1688"/>
      <c r="CL120" s="1688"/>
      <c r="CM120" s="1688"/>
      <c r="CN120" s="1688"/>
      <c r="CO120" s="1688"/>
      <c r="CP120" s="1688"/>
      <c r="CQ120" s="1688"/>
      <c r="CR120" s="1688"/>
      <c r="CS120" s="1688"/>
      <c r="CT120" s="1688"/>
      <c r="CU120" s="1688"/>
      <c r="CV120" s="1688"/>
      <c r="CW120" s="1688"/>
      <c r="CX120" s="1688"/>
      <c r="CY120" s="1690"/>
      <c r="CZ120" s="1688"/>
      <c r="DA120" s="1688"/>
      <c r="DB120" s="1688"/>
      <c r="DC120" s="1688"/>
      <c r="DD120" s="1688"/>
      <c r="DE120" s="1688"/>
      <c r="DF120" s="1688"/>
      <c r="DG120" s="1688"/>
      <c r="DH120" s="1688"/>
      <c r="DI120" s="1688"/>
      <c r="DJ120" s="1688"/>
      <c r="DK120" s="1688"/>
      <c r="DL120" s="1688"/>
      <c r="DM120" s="1688"/>
      <c r="DN120" s="1688"/>
      <c r="DO120" s="1688"/>
      <c r="DP120" s="1688"/>
      <c r="DQ120" s="1688"/>
      <c r="DR120" s="1688"/>
      <c r="DS120" s="1688"/>
      <c r="DT120" s="1688"/>
      <c r="DU120" s="1688"/>
      <c r="DV120" s="1691"/>
    </row>
    <row r="121" spans="1:256" s="546" customFormat="1" ht="18" hidden="1" customHeight="1">
      <c r="A121" s="1695"/>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679"/>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693"/>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694"/>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5" hidden="1">
      <c r="A122" s="1704"/>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679"/>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05"/>
      <c r="IR122" s="763"/>
      <c r="IS122" s="763"/>
      <c r="IT122" s="763"/>
      <c r="IU122" s="763"/>
      <c r="IV122" s="763"/>
    </row>
    <row r="123" spans="1:256" s="762" customFormat="1" ht="15" hidden="1">
      <c r="A123" s="1704"/>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679"/>
      <c r="CC123" s="1679"/>
      <c r="CD123" s="1679"/>
      <c r="CE123" s="1679"/>
      <c r="CF123" s="1679"/>
      <c r="CG123" s="1679"/>
      <c r="CH123" s="1679"/>
      <c r="CI123" s="1679"/>
      <c r="CJ123" s="1679"/>
      <c r="CK123" s="1679"/>
      <c r="CL123" s="1679"/>
      <c r="CM123" s="1679"/>
      <c r="CN123" s="1679"/>
      <c r="CO123" s="1679"/>
      <c r="CP123" s="1679"/>
      <c r="CQ123" s="1679"/>
      <c r="CR123" s="1679"/>
      <c r="CS123" s="1679"/>
      <c r="CT123" s="1679"/>
      <c r="CU123" s="1679"/>
      <c r="CV123" s="1679"/>
      <c r="CW123" s="1679"/>
      <c r="CX123" s="1679"/>
      <c r="CY123" s="819"/>
      <c r="CZ123" s="1679"/>
      <c r="DA123" s="1679"/>
      <c r="DB123" s="1679"/>
      <c r="DC123" s="768"/>
      <c r="DD123" s="1679"/>
      <c r="DE123" s="1679"/>
      <c r="DF123" s="1679"/>
      <c r="DG123" s="1679"/>
      <c r="DH123" s="1679"/>
      <c r="DI123" s="1679"/>
      <c r="DJ123" s="1679"/>
      <c r="DK123" s="1679"/>
      <c r="DL123" s="1679"/>
      <c r="DM123" s="1679"/>
      <c r="DN123" s="1679"/>
      <c r="DO123" s="768"/>
      <c r="DP123" s="1679"/>
      <c r="DQ123" s="1679"/>
      <c r="DR123" s="768"/>
      <c r="DS123" s="768"/>
      <c r="DT123" s="768"/>
      <c r="DU123" s="768"/>
      <c r="DV123" s="1705"/>
      <c r="IR123" s="763"/>
      <c r="IS123" s="763"/>
      <c r="IT123" s="763"/>
      <c r="IU123" s="763"/>
      <c r="IV123" s="763"/>
    </row>
    <row r="124" spans="1:256" s="762" customFormat="1" ht="15" hidden="1">
      <c r="A124" s="1704"/>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679"/>
      <c r="CC124" s="1679"/>
      <c r="CD124" s="1679"/>
      <c r="CE124" s="1679"/>
      <c r="CF124" s="1679"/>
      <c r="CG124" s="1679"/>
      <c r="CH124" s="1679"/>
      <c r="CI124" s="1679"/>
      <c r="CJ124" s="1679"/>
      <c r="CK124" s="1679"/>
      <c r="CL124" s="1679"/>
      <c r="CM124" s="1679"/>
      <c r="CN124" s="1679"/>
      <c r="CO124" s="1679"/>
      <c r="CP124" s="1679"/>
      <c r="CQ124" s="1679"/>
      <c r="CR124" s="1679"/>
      <c r="CS124" s="1679"/>
      <c r="CT124" s="1679"/>
      <c r="CU124" s="1679"/>
      <c r="CV124" s="1679"/>
      <c r="CW124" s="1679"/>
      <c r="CX124" s="1679"/>
      <c r="CY124" s="819"/>
      <c r="CZ124" s="1679"/>
      <c r="DA124" s="1679"/>
      <c r="DB124" s="1679"/>
      <c r="DC124" s="768"/>
      <c r="DD124" s="1679"/>
      <c r="DE124" s="1679"/>
      <c r="DF124" s="1679"/>
      <c r="DG124" s="1679"/>
      <c r="DH124" s="1679"/>
      <c r="DI124" s="1679"/>
      <c r="DJ124" s="1679"/>
      <c r="DK124" s="1679"/>
      <c r="DL124" s="1679"/>
      <c r="DM124" s="1679"/>
      <c r="DN124" s="1679"/>
      <c r="DO124" s="768"/>
      <c r="DP124" s="1679"/>
      <c r="DQ124" s="1679"/>
      <c r="DR124" s="768"/>
      <c r="DS124" s="768"/>
      <c r="DT124" s="768"/>
      <c r="DU124" s="768"/>
      <c r="DV124" s="1705"/>
      <c r="IR124" s="763"/>
      <c r="IS124" s="763"/>
      <c r="IT124" s="763"/>
      <c r="IU124" s="763"/>
      <c r="IV124" s="763"/>
    </row>
    <row r="125" spans="1:256" s="762" customFormat="1" ht="15" hidden="1">
      <c r="A125" s="1704"/>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679"/>
      <c r="CC125" s="1679"/>
      <c r="CD125" s="1679"/>
      <c r="CE125" s="1679"/>
      <c r="CF125" s="1679"/>
      <c r="CG125" s="1679"/>
      <c r="CH125" s="1679"/>
      <c r="CI125" s="1679"/>
      <c r="CJ125" s="1679"/>
      <c r="CK125" s="1679"/>
      <c r="CL125" s="1679"/>
      <c r="CM125" s="1679"/>
      <c r="CN125" s="1679"/>
      <c r="CO125" s="1679"/>
      <c r="CP125" s="1679"/>
      <c r="CQ125" s="1679"/>
      <c r="CR125" s="1679"/>
      <c r="CS125" s="1679"/>
      <c r="CT125" s="1679"/>
      <c r="CU125" s="1679"/>
      <c r="CV125" s="1679"/>
      <c r="CW125" s="1679"/>
      <c r="CX125" s="1679"/>
      <c r="CY125" s="819"/>
      <c r="CZ125" s="1679"/>
      <c r="DA125" s="1679"/>
      <c r="DB125" s="1679"/>
      <c r="DC125" s="768"/>
      <c r="DD125" s="1679"/>
      <c r="DE125" s="1679"/>
      <c r="DF125" s="1679"/>
      <c r="DG125" s="1679"/>
      <c r="DH125" s="1679"/>
      <c r="DI125" s="1679"/>
      <c r="DJ125" s="1679"/>
      <c r="DK125" s="1679"/>
      <c r="DL125" s="1679"/>
      <c r="DM125" s="1679"/>
      <c r="DN125" s="1679"/>
      <c r="DO125" s="768"/>
      <c r="DP125" s="1679"/>
      <c r="DQ125" s="1679"/>
      <c r="DR125" s="768"/>
      <c r="DS125" s="768"/>
      <c r="DT125" s="768"/>
      <c r="DU125" s="768"/>
      <c r="DV125" s="1705"/>
      <c r="IR125" s="763"/>
      <c r="IS125" s="763"/>
      <c r="IT125" s="763"/>
      <c r="IU125" s="763"/>
      <c r="IV125" s="763"/>
    </row>
    <row r="126" spans="1:256" s="762" customFormat="1" ht="15" hidden="1">
      <c r="A126" s="1704"/>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679"/>
      <c r="CC126" s="1679"/>
      <c r="CD126" s="1679"/>
      <c r="CE126" s="1679"/>
      <c r="CF126" s="1679"/>
      <c r="CG126" s="1679"/>
      <c r="CH126" s="1679"/>
      <c r="CI126" s="1679"/>
      <c r="CJ126" s="1679"/>
      <c r="CK126" s="1679"/>
      <c r="CL126" s="1679"/>
      <c r="CM126" s="1679"/>
      <c r="CN126" s="1679"/>
      <c r="CO126" s="1679"/>
      <c r="CP126" s="1679"/>
      <c r="CQ126" s="1679"/>
      <c r="CR126" s="1679"/>
      <c r="CS126" s="1679"/>
      <c r="CT126" s="1679"/>
      <c r="CU126" s="1679"/>
      <c r="CV126" s="1679"/>
      <c r="CW126" s="1679"/>
      <c r="CX126" s="1679"/>
      <c r="CY126" s="819"/>
      <c r="CZ126" s="1679"/>
      <c r="DA126" s="1679"/>
      <c r="DB126" s="1679"/>
      <c r="DC126" s="768"/>
      <c r="DD126" s="1679"/>
      <c r="DE126" s="1679"/>
      <c r="DF126" s="1679"/>
      <c r="DG126" s="1679"/>
      <c r="DH126" s="1679"/>
      <c r="DI126" s="1679"/>
      <c r="DJ126" s="1679"/>
      <c r="DK126" s="1679"/>
      <c r="DL126" s="1679"/>
      <c r="DM126" s="1679"/>
      <c r="DN126" s="1679"/>
      <c r="DO126" s="768"/>
      <c r="DP126" s="1679"/>
      <c r="DQ126" s="1679"/>
      <c r="DR126" s="768"/>
      <c r="DS126" s="768"/>
      <c r="DT126" s="768"/>
      <c r="DU126" s="768"/>
      <c r="DV126" s="1705"/>
      <c r="IR126" s="763"/>
      <c r="IS126" s="763"/>
      <c r="IT126" s="763"/>
      <c r="IU126" s="763"/>
      <c r="IV126" s="763"/>
    </row>
    <row r="127" spans="1:256" s="762" customFormat="1" ht="15" hidden="1">
      <c r="A127" s="1704"/>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679"/>
      <c r="CC127" s="1679"/>
      <c r="CD127" s="1679"/>
      <c r="CE127" s="1679"/>
      <c r="CF127" s="1679"/>
      <c r="CG127" s="1679"/>
      <c r="CH127" s="1679"/>
      <c r="CI127" s="1679"/>
      <c r="CJ127" s="1679"/>
      <c r="CK127" s="1679"/>
      <c r="CL127" s="1679"/>
      <c r="CM127" s="1679"/>
      <c r="CN127" s="1679"/>
      <c r="CO127" s="1679"/>
      <c r="CP127" s="1679"/>
      <c r="CQ127" s="1679"/>
      <c r="CR127" s="1679"/>
      <c r="CS127" s="1679"/>
      <c r="CT127" s="1679"/>
      <c r="CU127" s="1679"/>
      <c r="CV127" s="1679"/>
      <c r="CW127" s="1679"/>
      <c r="CX127" s="1679"/>
      <c r="CY127" s="819"/>
      <c r="CZ127" s="1679"/>
      <c r="DA127" s="1679"/>
      <c r="DB127" s="1679"/>
      <c r="DC127" s="768"/>
      <c r="DD127" s="1679"/>
      <c r="DE127" s="1679"/>
      <c r="DF127" s="1679"/>
      <c r="DG127" s="1679"/>
      <c r="DH127" s="1679"/>
      <c r="DI127" s="1679"/>
      <c r="DJ127" s="1679"/>
      <c r="DK127" s="1679"/>
      <c r="DL127" s="1679"/>
      <c r="DM127" s="1679"/>
      <c r="DN127" s="1679"/>
      <c r="DO127" s="768"/>
      <c r="DP127" s="1679"/>
      <c r="DQ127" s="1679"/>
      <c r="DR127" s="768"/>
      <c r="DS127" s="768"/>
      <c r="DT127" s="768"/>
      <c r="DU127" s="768"/>
      <c r="DV127" s="1705"/>
      <c r="IR127" s="763"/>
      <c r="IS127" s="763"/>
      <c r="IT127" s="763"/>
      <c r="IU127" s="763"/>
      <c r="IV127" s="763"/>
    </row>
    <row r="128" spans="1:256" s="762" customFormat="1" ht="15" hidden="1">
      <c r="A128" s="1704"/>
      <c r="B128" s="1706"/>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679"/>
      <c r="CC128" s="1679"/>
      <c r="CD128" s="1679"/>
      <c r="CE128" s="1679"/>
      <c r="CF128" s="1679"/>
      <c r="CG128" s="1679"/>
      <c r="CH128" s="1679"/>
      <c r="CI128" s="1679"/>
      <c r="CJ128" s="1679"/>
      <c r="CK128" s="1679"/>
      <c r="CL128" s="1679"/>
      <c r="CM128" s="1679"/>
      <c r="CN128" s="1679"/>
      <c r="CO128" s="1679"/>
      <c r="CP128" s="1679"/>
      <c r="CQ128" s="1679"/>
      <c r="CR128" s="1679"/>
      <c r="CS128" s="1679"/>
      <c r="CT128" s="1679"/>
      <c r="CU128" s="1679"/>
      <c r="CV128" s="1679"/>
      <c r="CW128" s="1679"/>
      <c r="CX128" s="1679"/>
      <c r="CY128" s="819"/>
      <c r="CZ128" s="1679"/>
      <c r="DA128" s="1679"/>
      <c r="DB128" s="1679"/>
      <c r="DC128" s="768"/>
      <c r="DD128" s="1679"/>
      <c r="DE128" s="1679"/>
      <c r="DF128" s="1679"/>
      <c r="DG128" s="1679"/>
      <c r="DH128" s="1679"/>
      <c r="DI128" s="1679"/>
      <c r="DJ128" s="1679"/>
      <c r="DK128" s="1679"/>
      <c r="DL128" s="1679"/>
      <c r="DM128" s="1679"/>
      <c r="DN128" s="1679"/>
      <c r="DO128" s="768"/>
      <c r="DP128" s="1679"/>
      <c r="DQ128" s="1679"/>
      <c r="DR128" s="768"/>
      <c r="DS128" s="768"/>
      <c r="DT128" s="768"/>
      <c r="DU128" s="768"/>
      <c r="DV128" s="1705"/>
      <c r="IR128" s="763"/>
      <c r="IS128" s="763"/>
      <c r="IT128" s="763"/>
      <c r="IU128" s="763"/>
      <c r="IV128" s="763"/>
    </row>
    <row r="129" spans="1:256" s="762" customFormat="1" ht="15" hidden="1">
      <c r="A129" s="1704"/>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679"/>
      <c r="CC129" s="1679"/>
      <c r="CD129" s="1679"/>
      <c r="CE129" s="1679"/>
      <c r="CF129" s="1679"/>
      <c r="CG129" s="1679"/>
      <c r="CH129" s="1679"/>
      <c r="CI129" s="1679"/>
      <c r="CJ129" s="1679"/>
      <c r="CK129" s="1679"/>
      <c r="CL129" s="1679"/>
      <c r="CM129" s="1679"/>
      <c r="CN129" s="1679"/>
      <c r="CO129" s="1679"/>
      <c r="CP129" s="1679"/>
      <c r="CQ129" s="1679"/>
      <c r="CR129" s="1679"/>
      <c r="CS129" s="1679"/>
      <c r="CT129" s="1679"/>
      <c r="CU129" s="1679"/>
      <c r="CV129" s="1679"/>
      <c r="CW129" s="1679"/>
      <c r="CX129" s="1679"/>
      <c r="CY129" s="819"/>
      <c r="CZ129" s="1679"/>
      <c r="DA129" s="1679"/>
      <c r="DB129" s="1679"/>
      <c r="DC129" s="768"/>
      <c r="DD129" s="1679"/>
      <c r="DE129" s="1679"/>
      <c r="DF129" s="1679"/>
      <c r="DG129" s="1679"/>
      <c r="DH129" s="1679"/>
      <c r="DI129" s="1679"/>
      <c r="DJ129" s="1679"/>
      <c r="DK129" s="1679"/>
      <c r="DL129" s="1679"/>
      <c r="DM129" s="1679"/>
      <c r="DN129" s="1679"/>
      <c r="DO129" s="768"/>
      <c r="DP129" s="1679"/>
      <c r="DQ129" s="1679"/>
      <c r="DR129" s="768"/>
      <c r="DS129" s="768"/>
      <c r="DT129" s="768"/>
      <c r="DU129" s="768"/>
      <c r="DV129" s="1705"/>
      <c r="IR129" s="763"/>
      <c r="IS129" s="763"/>
      <c r="IT129" s="763"/>
      <c r="IU129" s="763"/>
      <c r="IV129" s="763"/>
    </row>
    <row r="130" spans="1:256" s="762" customFormat="1" ht="15" hidden="1">
      <c r="A130" s="1704"/>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679"/>
      <c r="CC130" s="1679"/>
      <c r="CD130" s="1679"/>
      <c r="CE130" s="1679"/>
      <c r="CF130" s="1679"/>
      <c r="CG130" s="1679"/>
      <c r="CH130" s="1679"/>
      <c r="CI130" s="1679"/>
      <c r="CJ130" s="1679"/>
      <c r="CK130" s="1679"/>
      <c r="CL130" s="1679"/>
      <c r="CM130" s="1679"/>
      <c r="CN130" s="1679"/>
      <c r="CO130" s="1679"/>
      <c r="CP130" s="1679"/>
      <c r="CQ130" s="1679"/>
      <c r="CR130" s="1679"/>
      <c r="CS130" s="1679"/>
      <c r="CT130" s="1679"/>
      <c r="CU130" s="1679"/>
      <c r="CV130" s="1679"/>
      <c r="CW130" s="1679"/>
      <c r="CX130" s="1679"/>
      <c r="CY130" s="819"/>
      <c r="CZ130" s="1679"/>
      <c r="DA130" s="1679"/>
      <c r="DB130" s="1679"/>
      <c r="DC130" s="768"/>
      <c r="DD130" s="1679"/>
      <c r="DE130" s="1679"/>
      <c r="DF130" s="1679"/>
      <c r="DG130" s="1679"/>
      <c r="DH130" s="1679"/>
      <c r="DI130" s="1679"/>
      <c r="DJ130" s="1679"/>
      <c r="DK130" s="1679"/>
      <c r="DL130" s="1679"/>
      <c r="DM130" s="1679"/>
      <c r="DN130" s="1679"/>
      <c r="DO130" s="768"/>
      <c r="DP130" s="1679"/>
      <c r="DQ130" s="1679"/>
      <c r="DR130" s="768"/>
      <c r="DS130" s="768"/>
      <c r="DT130" s="768"/>
      <c r="DU130" s="768"/>
      <c r="DV130" s="1705"/>
      <c r="IR130" s="763"/>
      <c r="IS130" s="763"/>
      <c r="IT130" s="763"/>
      <c r="IU130" s="763"/>
      <c r="IV130" s="763"/>
    </row>
    <row r="131" spans="1:256" s="764" customFormat="1" ht="15" hidden="1">
      <c r="A131" s="1707"/>
      <c r="B131" s="1708"/>
      <c r="C131" s="1708"/>
      <c r="D131" s="1708"/>
      <c r="E131" s="1708"/>
      <c r="F131" s="1708"/>
      <c r="G131" s="1708"/>
      <c r="H131" s="1708"/>
      <c r="I131" s="1708"/>
      <c r="J131" s="1708"/>
      <c r="K131" s="1708"/>
      <c r="L131" s="1708"/>
      <c r="M131" s="1708"/>
      <c r="N131" s="1708"/>
      <c r="O131" s="1709"/>
      <c r="P131" s="1709"/>
      <c r="Q131" s="1709"/>
      <c r="R131" s="1702"/>
      <c r="S131" s="1702"/>
      <c r="T131" s="1702"/>
      <c r="U131" s="1702"/>
      <c r="V131" s="1702"/>
      <c r="W131" s="1702"/>
      <c r="X131" s="1702"/>
      <c r="Y131" s="759"/>
      <c r="Z131" s="759"/>
      <c r="AA131" s="1702"/>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03"/>
      <c r="CC131" s="1703"/>
      <c r="CD131" s="1703"/>
      <c r="CE131" s="1679"/>
      <c r="CF131" s="1703"/>
      <c r="CG131" s="1703"/>
      <c r="CH131" s="1703"/>
      <c r="CI131" s="1703"/>
      <c r="CJ131" s="1703"/>
      <c r="CK131" s="1703"/>
      <c r="CL131" s="1703"/>
      <c r="CM131" s="1703"/>
      <c r="CN131" s="1703"/>
      <c r="CO131" s="1703"/>
      <c r="CP131" s="1703"/>
      <c r="CQ131" s="1703"/>
      <c r="CR131" s="1703"/>
      <c r="CS131" s="1703"/>
      <c r="CT131" s="1703"/>
      <c r="CU131" s="1703"/>
      <c r="CV131" s="1703"/>
      <c r="CW131" s="1703"/>
      <c r="CX131" s="1703"/>
      <c r="CY131" s="820"/>
      <c r="CZ131" s="1703"/>
      <c r="DA131" s="1703"/>
      <c r="DB131" s="1703"/>
      <c r="DC131" s="1702"/>
      <c r="DD131" s="1703"/>
      <c r="DE131" s="1703"/>
      <c r="DF131" s="1703"/>
      <c r="DG131" s="1703"/>
      <c r="DH131" s="1703"/>
      <c r="DI131" s="1703"/>
      <c r="DJ131" s="1703"/>
      <c r="DK131" s="1703"/>
      <c r="DL131" s="1703"/>
      <c r="DM131" s="1703"/>
      <c r="DN131" s="1703"/>
      <c r="DO131" s="1702"/>
      <c r="DP131" s="1703"/>
      <c r="DQ131" s="1703"/>
      <c r="DR131" s="1702"/>
      <c r="DS131" s="1702"/>
      <c r="DT131" s="1702"/>
      <c r="DU131" s="1702"/>
      <c r="DV131" s="1710"/>
      <c r="IR131" s="765"/>
      <c r="IS131" s="765"/>
      <c r="IT131" s="765"/>
      <c r="IU131" s="765"/>
      <c r="IV131" s="765"/>
    </row>
    <row r="132" spans="1:256" s="762" customFormat="1" ht="15" hidden="1">
      <c r="A132" s="1704"/>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679"/>
      <c r="CC132" s="1679"/>
      <c r="CD132" s="1679"/>
      <c r="CE132" s="1679"/>
      <c r="CF132" s="1679"/>
      <c r="CG132" s="1679"/>
      <c r="CH132" s="1679"/>
      <c r="CI132" s="1679"/>
      <c r="CJ132" s="1679"/>
      <c r="CK132" s="1679"/>
      <c r="CL132" s="1679"/>
      <c r="CM132" s="1679"/>
      <c r="CN132" s="1679"/>
      <c r="CO132" s="1679"/>
      <c r="CP132" s="1679"/>
      <c r="CQ132" s="1679"/>
      <c r="CR132" s="1679"/>
      <c r="CS132" s="1679"/>
      <c r="CT132" s="1679"/>
      <c r="CU132" s="1679"/>
      <c r="CV132" s="1679"/>
      <c r="CW132" s="1679"/>
      <c r="CX132" s="1679"/>
      <c r="CY132" s="819"/>
      <c r="CZ132" s="1679"/>
      <c r="DA132" s="1679"/>
      <c r="DB132" s="1679"/>
      <c r="DC132" s="768"/>
      <c r="DD132" s="1679"/>
      <c r="DE132" s="1679"/>
      <c r="DF132" s="1679"/>
      <c r="DG132" s="1679"/>
      <c r="DH132" s="1679"/>
      <c r="DI132" s="1679"/>
      <c r="DJ132" s="1679"/>
      <c r="DK132" s="1679"/>
      <c r="DL132" s="1679"/>
      <c r="DM132" s="1679"/>
      <c r="DN132" s="1679"/>
      <c r="DO132" s="768"/>
      <c r="DP132" s="1679"/>
      <c r="DQ132" s="1679"/>
      <c r="DR132" s="768"/>
      <c r="DS132" s="768"/>
      <c r="DT132" s="768"/>
      <c r="DU132" s="768"/>
      <c r="DV132" s="1705"/>
      <c r="IR132" s="763"/>
      <c r="IS132" s="763"/>
      <c r="IT132" s="763"/>
      <c r="IU132" s="763"/>
      <c r="IV132" s="763"/>
    </row>
    <row r="133" spans="1:256" s="762" customFormat="1" ht="15" hidden="1">
      <c r="A133" s="1704"/>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679"/>
      <c r="CC133" s="1679"/>
      <c r="CD133" s="1679"/>
      <c r="CE133" s="1679"/>
      <c r="CF133" s="1679"/>
      <c r="CG133" s="1679"/>
      <c r="CH133" s="1679"/>
      <c r="CI133" s="1679"/>
      <c r="CJ133" s="1679"/>
      <c r="CK133" s="1679"/>
      <c r="CL133" s="1679"/>
      <c r="CM133" s="1679"/>
      <c r="CN133" s="1679"/>
      <c r="CO133" s="1679"/>
      <c r="CP133" s="1679"/>
      <c r="CQ133" s="1679"/>
      <c r="CR133" s="1679"/>
      <c r="CS133" s="1679"/>
      <c r="CT133" s="1679"/>
      <c r="CU133" s="1679"/>
      <c r="CV133" s="1679"/>
      <c r="CW133" s="1679"/>
      <c r="CX133" s="1679"/>
      <c r="CY133" s="819"/>
      <c r="CZ133" s="1679"/>
      <c r="DA133" s="1679"/>
      <c r="DB133" s="1679"/>
      <c r="DC133" s="768"/>
      <c r="DD133" s="1679"/>
      <c r="DE133" s="1679"/>
      <c r="DF133" s="1679"/>
      <c r="DG133" s="1679"/>
      <c r="DH133" s="1679"/>
      <c r="DI133" s="1679"/>
      <c r="DJ133" s="1679"/>
      <c r="DK133" s="1679"/>
      <c r="DL133" s="1679"/>
      <c r="DM133" s="1679"/>
      <c r="DN133" s="1679"/>
      <c r="DO133" s="768"/>
      <c r="DP133" s="1679"/>
      <c r="DQ133" s="1679"/>
      <c r="DR133" s="768"/>
      <c r="DS133" s="768"/>
      <c r="DT133" s="768"/>
      <c r="DU133" s="768"/>
      <c r="DV133" s="1705"/>
      <c r="IR133" s="763"/>
      <c r="IS133" s="763"/>
      <c r="IT133" s="763"/>
      <c r="IU133" s="763"/>
      <c r="IV133" s="763"/>
    </row>
    <row r="134" spans="1:256" s="762" customFormat="1" ht="15" hidden="1">
      <c r="A134" s="1704"/>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679"/>
      <c r="CC134" s="1679"/>
      <c r="CD134" s="1679"/>
      <c r="CE134" s="1679"/>
      <c r="CF134" s="1679"/>
      <c r="CG134" s="1679"/>
      <c r="CH134" s="1679"/>
      <c r="CI134" s="1679"/>
      <c r="CJ134" s="1679"/>
      <c r="CK134" s="1679"/>
      <c r="CL134" s="1679"/>
      <c r="CM134" s="1679"/>
      <c r="CN134" s="1679"/>
      <c r="CO134" s="1679"/>
      <c r="CP134" s="1679"/>
      <c r="CQ134" s="1679"/>
      <c r="CR134" s="1679"/>
      <c r="CS134" s="1679"/>
      <c r="CT134" s="1679"/>
      <c r="CU134" s="1679"/>
      <c r="CV134" s="1679"/>
      <c r="CW134" s="1679"/>
      <c r="CX134" s="1679"/>
      <c r="CY134" s="819"/>
      <c r="CZ134" s="1679"/>
      <c r="DA134" s="1679"/>
      <c r="DB134" s="1679"/>
      <c r="DC134" s="768"/>
      <c r="DD134" s="1679"/>
      <c r="DE134" s="1679"/>
      <c r="DF134" s="1679"/>
      <c r="DG134" s="1679"/>
      <c r="DH134" s="1679"/>
      <c r="DI134" s="1679"/>
      <c r="DJ134" s="1679"/>
      <c r="DK134" s="1679"/>
      <c r="DL134" s="1679"/>
      <c r="DM134" s="1679"/>
      <c r="DN134" s="1679"/>
      <c r="DO134" s="768"/>
      <c r="DP134" s="1679"/>
      <c r="DQ134" s="1679"/>
      <c r="DR134" s="768"/>
      <c r="DS134" s="768"/>
      <c r="DT134" s="768"/>
      <c r="DU134" s="768"/>
      <c r="DV134" s="1705"/>
      <c r="IR134" s="763"/>
      <c r="IS134" s="763"/>
      <c r="IT134" s="763"/>
      <c r="IU134" s="763"/>
      <c r="IV134" s="763"/>
    </row>
    <row r="135" spans="1:256" s="762" customFormat="1" ht="15" hidden="1">
      <c r="A135" s="1704"/>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679"/>
      <c r="CC135" s="1679"/>
      <c r="CD135" s="1679"/>
      <c r="CE135" s="1679"/>
      <c r="CF135" s="1679"/>
      <c r="CG135" s="1679"/>
      <c r="CH135" s="1679"/>
      <c r="CI135" s="1679"/>
      <c r="CJ135" s="1679"/>
      <c r="CK135" s="1679"/>
      <c r="CL135" s="1679"/>
      <c r="CM135" s="1679"/>
      <c r="CN135" s="1679"/>
      <c r="CO135" s="1679"/>
      <c r="CP135" s="1679"/>
      <c r="CQ135" s="1679"/>
      <c r="CR135" s="1679"/>
      <c r="CS135" s="1679"/>
      <c r="CT135" s="1679"/>
      <c r="CU135" s="1679"/>
      <c r="CV135" s="1679"/>
      <c r="CW135" s="1679"/>
      <c r="CX135" s="1679"/>
      <c r="CY135" s="819"/>
      <c r="CZ135" s="1679"/>
      <c r="DA135" s="1679"/>
      <c r="DB135" s="1679"/>
      <c r="DC135" s="768"/>
      <c r="DD135" s="1679"/>
      <c r="DE135" s="1679"/>
      <c r="DF135" s="1679"/>
      <c r="DG135" s="1679"/>
      <c r="DH135" s="1679"/>
      <c r="DI135" s="1679"/>
      <c r="DJ135" s="1679"/>
      <c r="DK135" s="1679"/>
      <c r="DL135" s="1679"/>
      <c r="DM135" s="1679"/>
      <c r="DN135" s="1679"/>
      <c r="DO135" s="768"/>
      <c r="DP135" s="1679"/>
      <c r="DQ135" s="1679"/>
      <c r="DR135" s="768"/>
      <c r="DS135" s="768"/>
      <c r="DT135" s="768"/>
      <c r="DU135" s="768"/>
      <c r="DV135" s="1705"/>
      <c r="IR135" s="763"/>
      <c r="IS135" s="763"/>
      <c r="IT135" s="763"/>
      <c r="IU135" s="763"/>
      <c r="IV135" s="763"/>
    </row>
    <row r="136" spans="1:256" s="762" customFormat="1" ht="15" hidden="1">
      <c r="A136" s="1704"/>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679"/>
      <c r="CC136" s="1679"/>
      <c r="CD136" s="1679"/>
      <c r="CE136" s="1679"/>
      <c r="CF136" s="1679"/>
      <c r="CG136" s="1679"/>
      <c r="CH136" s="1679"/>
      <c r="CI136" s="1679"/>
      <c r="CJ136" s="1679"/>
      <c r="CK136" s="1679"/>
      <c r="CL136" s="1679"/>
      <c r="CM136" s="1679"/>
      <c r="CN136" s="1679"/>
      <c r="CO136" s="1679"/>
      <c r="CP136" s="1679"/>
      <c r="CQ136" s="1679"/>
      <c r="CR136" s="1679"/>
      <c r="CS136" s="1679"/>
      <c r="CT136" s="1679"/>
      <c r="CU136" s="1679"/>
      <c r="CV136" s="1679"/>
      <c r="CW136" s="1679"/>
      <c r="CX136" s="1679"/>
      <c r="CY136" s="819"/>
      <c r="CZ136" s="1679"/>
      <c r="DA136" s="1679"/>
      <c r="DB136" s="1679"/>
      <c r="DC136" s="768"/>
      <c r="DD136" s="1679"/>
      <c r="DE136" s="1679"/>
      <c r="DF136" s="1679"/>
      <c r="DG136" s="1679"/>
      <c r="DH136" s="1679"/>
      <c r="DI136" s="1679"/>
      <c r="DJ136" s="1679"/>
      <c r="DK136" s="1679"/>
      <c r="DL136" s="1679"/>
      <c r="DM136" s="1679"/>
      <c r="DN136" s="1679"/>
      <c r="DO136" s="768"/>
      <c r="DP136" s="1679"/>
      <c r="DQ136" s="1679"/>
      <c r="DR136" s="768"/>
      <c r="DS136" s="768"/>
      <c r="DT136" s="768"/>
      <c r="DU136" s="768"/>
      <c r="DV136" s="1705"/>
    </row>
    <row r="137" spans="1:256" s="762" customFormat="1" ht="15" hidden="1">
      <c r="A137" s="1704"/>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679"/>
      <c r="CC137" s="1679"/>
      <c r="CD137" s="1679"/>
      <c r="CE137" s="1679"/>
      <c r="CF137" s="1679"/>
      <c r="CG137" s="1679"/>
      <c r="CH137" s="1679"/>
      <c r="CI137" s="1679"/>
      <c r="CJ137" s="1679"/>
      <c r="CK137" s="1679"/>
      <c r="CL137" s="1679"/>
      <c r="CM137" s="1679"/>
      <c r="CN137" s="1679"/>
      <c r="CO137" s="1679"/>
      <c r="CP137" s="1679"/>
      <c r="CQ137" s="1679"/>
      <c r="CR137" s="1679"/>
      <c r="CS137" s="1679"/>
      <c r="CT137" s="1679"/>
      <c r="CU137" s="1679"/>
      <c r="CV137" s="1679"/>
      <c r="CW137" s="1679"/>
      <c r="CX137" s="1679"/>
      <c r="CY137" s="819"/>
      <c r="CZ137" s="1679"/>
      <c r="DA137" s="1679"/>
      <c r="DB137" s="1679"/>
      <c r="DC137" s="768"/>
      <c r="DD137" s="1679"/>
      <c r="DE137" s="1679"/>
      <c r="DF137" s="1679"/>
      <c r="DG137" s="1679"/>
      <c r="DH137" s="1679"/>
      <c r="DI137" s="1679"/>
      <c r="DJ137" s="1679"/>
      <c r="DK137" s="1679"/>
      <c r="DL137" s="1679"/>
      <c r="DM137" s="1679"/>
      <c r="DN137" s="1679"/>
      <c r="DO137" s="768"/>
      <c r="DP137" s="1679"/>
      <c r="DQ137" s="1679"/>
      <c r="DR137" s="768"/>
      <c r="DS137" s="768"/>
      <c r="DT137" s="768"/>
      <c r="DU137" s="768"/>
      <c r="DV137" s="1705"/>
    </row>
    <row r="138" spans="1:256" s="762" customFormat="1" ht="15" hidden="1">
      <c r="A138" s="1704"/>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679"/>
      <c r="CC138" s="1679"/>
      <c r="CD138" s="1679"/>
      <c r="CE138" s="1679"/>
      <c r="CF138" s="1679"/>
      <c r="CG138" s="1679"/>
      <c r="CH138" s="1679"/>
      <c r="CI138" s="1679"/>
      <c r="CJ138" s="1679"/>
      <c r="CK138" s="1679"/>
      <c r="CL138" s="1679"/>
      <c r="CM138" s="1679"/>
      <c r="CN138" s="1679"/>
      <c r="CO138" s="1679"/>
      <c r="CP138" s="1679"/>
      <c r="CQ138" s="1679"/>
      <c r="CR138" s="1679"/>
      <c r="CS138" s="1679"/>
      <c r="CT138" s="1679"/>
      <c r="CU138" s="1679"/>
      <c r="CV138" s="1679"/>
      <c r="CW138" s="1679"/>
      <c r="CX138" s="1679"/>
      <c r="CY138" s="819"/>
      <c r="CZ138" s="1679"/>
      <c r="DA138" s="1679"/>
      <c r="DB138" s="1679"/>
      <c r="DC138" s="768"/>
      <c r="DD138" s="1679"/>
      <c r="DE138" s="1679"/>
      <c r="DF138" s="1679"/>
      <c r="DG138" s="1679"/>
      <c r="DH138" s="1679"/>
      <c r="DI138" s="1679"/>
      <c r="DJ138" s="1679"/>
      <c r="DK138" s="1679"/>
      <c r="DL138" s="1679"/>
      <c r="DM138" s="1679"/>
      <c r="DN138" s="1679"/>
      <c r="DO138" s="768"/>
      <c r="DP138" s="1679"/>
      <c r="DQ138" s="1679"/>
      <c r="DR138" s="768"/>
      <c r="DS138" s="768"/>
      <c r="DT138" s="768"/>
      <c r="DU138" s="768"/>
      <c r="DV138" s="1705"/>
    </row>
    <row r="139" spans="1:256" s="769" customFormat="1" ht="15" hidden="1">
      <c r="A139" s="1704"/>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679"/>
      <c r="CC139" s="1679"/>
      <c r="CD139" s="1679"/>
      <c r="CE139" s="1679"/>
      <c r="CF139" s="1679"/>
      <c r="CG139" s="1679"/>
      <c r="CH139" s="1679"/>
      <c r="CI139" s="1679"/>
      <c r="CJ139" s="1679"/>
      <c r="CK139" s="1679"/>
      <c r="CL139" s="1679"/>
      <c r="CM139" s="1679"/>
      <c r="CN139" s="1679"/>
      <c r="CO139" s="1679"/>
      <c r="CP139" s="1679"/>
      <c r="CQ139" s="1679"/>
      <c r="CR139" s="1679"/>
      <c r="CS139" s="1679"/>
      <c r="CT139" s="1679"/>
      <c r="CU139" s="1679"/>
      <c r="CV139" s="1679"/>
      <c r="CW139" s="1679"/>
      <c r="CX139" s="1679"/>
      <c r="CY139" s="819"/>
      <c r="CZ139" s="1679"/>
      <c r="DA139" s="1679"/>
      <c r="DB139" s="1679"/>
      <c r="DC139" s="768"/>
      <c r="DD139" s="1679"/>
      <c r="DE139" s="1679"/>
      <c r="DF139" s="1679"/>
      <c r="DG139" s="1679"/>
      <c r="DH139" s="1679"/>
      <c r="DI139" s="1679"/>
      <c r="DJ139" s="1679"/>
      <c r="DK139" s="1679"/>
      <c r="DL139" s="1679"/>
      <c r="DM139" s="1679"/>
      <c r="DN139" s="1679"/>
      <c r="DO139" s="768"/>
      <c r="DP139" s="1679"/>
      <c r="DQ139" s="1679"/>
      <c r="DR139" s="768"/>
      <c r="DS139" s="768"/>
      <c r="DT139" s="768"/>
      <c r="DU139" s="768"/>
      <c r="DV139" s="1705"/>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5" hidden="1">
      <c r="A140" s="1688"/>
      <c r="B140" s="1689"/>
      <c r="C140" s="1688"/>
      <c r="D140" s="1688"/>
      <c r="E140" s="1688"/>
      <c r="F140" s="1688"/>
      <c r="G140" s="1688"/>
      <c r="H140" s="1688"/>
      <c r="I140" s="1688"/>
      <c r="J140" s="1688"/>
      <c r="K140" s="1688"/>
      <c r="L140" s="1688"/>
      <c r="M140" s="1688"/>
      <c r="N140" s="1688"/>
      <c r="O140" s="1688"/>
      <c r="P140" s="1688"/>
      <c r="Q140" s="1688"/>
      <c r="R140" s="1688"/>
      <c r="S140" s="1688"/>
      <c r="T140" s="1688"/>
      <c r="U140" s="1688"/>
      <c r="V140" s="1688"/>
      <c r="W140" s="1688"/>
      <c r="X140" s="1688"/>
      <c r="Y140" s="1688"/>
      <c r="Z140" s="1688"/>
      <c r="AA140" s="1688"/>
      <c r="AB140" s="1688"/>
      <c r="AC140" s="1688"/>
      <c r="AD140" s="1688"/>
      <c r="AE140" s="1688"/>
      <c r="AF140" s="1688"/>
      <c r="AG140" s="1688"/>
      <c r="AH140" s="1688"/>
      <c r="AI140" s="1688"/>
      <c r="AJ140" s="1688"/>
      <c r="AK140" s="1688"/>
      <c r="AL140" s="1688"/>
      <c r="AM140" s="1688"/>
      <c r="AN140" s="1688"/>
      <c r="AO140" s="1688"/>
      <c r="AP140" s="1688"/>
      <c r="AQ140" s="1688"/>
      <c r="AR140" s="1688"/>
      <c r="AS140" s="1688"/>
      <c r="AT140" s="1688"/>
      <c r="AU140" s="1688"/>
      <c r="AV140" s="1688"/>
      <c r="AW140" s="1688"/>
      <c r="AX140" s="1688"/>
      <c r="AY140" s="1688"/>
      <c r="AZ140" s="1688"/>
      <c r="BA140" s="1688"/>
      <c r="BB140" s="1688"/>
      <c r="BC140" s="1688"/>
      <c r="BD140" s="1688"/>
      <c r="BE140" s="1688"/>
      <c r="BF140" s="1688"/>
      <c r="BG140" s="1688"/>
      <c r="BH140" s="1688"/>
      <c r="BI140" s="1688"/>
      <c r="BJ140" s="1688"/>
      <c r="BK140" s="1688"/>
      <c r="BL140" s="1688"/>
      <c r="BM140" s="1688"/>
      <c r="BN140" s="1688"/>
      <c r="BO140" s="1688"/>
      <c r="BP140" s="1688"/>
      <c r="BQ140" s="1688"/>
      <c r="BR140" s="1688"/>
      <c r="BS140" s="1688"/>
      <c r="BT140" s="1688"/>
      <c r="BU140" s="1688"/>
      <c r="BV140" s="1688"/>
      <c r="BW140" s="1688"/>
      <c r="BX140" s="1688"/>
      <c r="BY140" s="1688"/>
      <c r="BZ140" s="1688"/>
      <c r="CA140" s="1688"/>
      <c r="CB140" s="1688"/>
      <c r="CC140" s="1688"/>
      <c r="CD140" s="1688"/>
      <c r="CE140" s="1679"/>
      <c r="CF140" s="1688"/>
      <c r="CG140" s="1688"/>
      <c r="CH140" s="1688"/>
      <c r="CI140" s="1688"/>
      <c r="CJ140" s="1688"/>
      <c r="CK140" s="1688"/>
      <c r="CL140" s="1688"/>
      <c r="CM140" s="1688"/>
      <c r="CN140" s="1688"/>
      <c r="CO140" s="1688"/>
      <c r="CP140" s="1688"/>
      <c r="CQ140" s="1688"/>
      <c r="CR140" s="1688"/>
      <c r="CS140" s="1688"/>
      <c r="CT140" s="1688"/>
      <c r="CU140" s="1688"/>
      <c r="CV140" s="1688"/>
      <c r="CW140" s="1688"/>
      <c r="CX140" s="1688"/>
      <c r="CY140" s="1690"/>
      <c r="CZ140" s="1688"/>
      <c r="DA140" s="1688"/>
      <c r="DB140" s="1688"/>
      <c r="DC140" s="1688"/>
      <c r="DD140" s="1688"/>
      <c r="DE140" s="1688"/>
      <c r="DF140" s="1688"/>
      <c r="DG140" s="1688"/>
      <c r="DH140" s="1688"/>
      <c r="DI140" s="1688"/>
      <c r="DJ140" s="1688"/>
      <c r="DK140" s="1688"/>
      <c r="DL140" s="1688"/>
      <c r="DM140" s="1688"/>
      <c r="DN140" s="1688"/>
      <c r="DO140" s="1688"/>
      <c r="DP140" s="1688"/>
      <c r="DQ140" s="1688"/>
      <c r="DR140" s="1688"/>
      <c r="DS140" s="1688"/>
      <c r="DT140" s="1688"/>
      <c r="DU140" s="1688"/>
      <c r="DV140" s="1691"/>
    </row>
    <row r="141" spans="1:256" s="689" customFormat="1" ht="15" hidden="1">
      <c r="A141" s="1696"/>
      <c r="B141" s="1697"/>
      <c r="C141" s="1698"/>
      <c r="D141" s="1698"/>
      <c r="E141" s="1698"/>
      <c r="F141" s="1698"/>
      <c r="G141" s="1698"/>
      <c r="H141" s="1698"/>
      <c r="I141" s="1698"/>
      <c r="J141" s="1698"/>
      <c r="K141" s="1698"/>
      <c r="L141" s="1698"/>
      <c r="M141" s="1698"/>
      <c r="N141" s="1698"/>
      <c r="O141" s="1698"/>
      <c r="P141" s="1698"/>
      <c r="Q141" s="1698"/>
      <c r="R141" s="1698"/>
      <c r="S141" s="1698"/>
      <c r="T141" s="1698"/>
      <c r="U141" s="1698"/>
      <c r="V141" s="1698"/>
      <c r="W141" s="1698"/>
      <c r="X141" s="1698"/>
      <c r="Y141" s="1698"/>
      <c r="Z141" s="1698"/>
      <c r="AA141" s="1698"/>
      <c r="AB141" s="1698"/>
      <c r="AC141" s="1698"/>
      <c r="AD141" s="1698"/>
      <c r="AE141" s="1698"/>
      <c r="AF141" s="1698"/>
      <c r="AG141" s="1698"/>
      <c r="AH141" s="1698"/>
      <c r="AI141" s="1698"/>
      <c r="AJ141" s="1698"/>
      <c r="AK141" s="1698"/>
      <c r="AL141" s="1698"/>
      <c r="AM141" s="1698"/>
      <c r="AN141" s="1698"/>
      <c r="AO141" s="1698"/>
      <c r="AP141" s="1698"/>
      <c r="AQ141" s="1698"/>
      <c r="AR141" s="1698"/>
      <c r="AS141" s="1698"/>
      <c r="AT141" s="1698"/>
      <c r="AU141" s="1698"/>
      <c r="AV141" s="1698"/>
      <c r="AW141" s="1698"/>
      <c r="AX141" s="1698"/>
      <c r="AY141" s="1698"/>
      <c r="AZ141" s="1698"/>
      <c r="BA141" s="1698"/>
      <c r="BB141" s="1698"/>
      <c r="BC141" s="1698"/>
      <c r="BD141" s="1698"/>
      <c r="BE141" s="1698"/>
      <c r="BF141" s="1698"/>
      <c r="BG141" s="1698"/>
      <c r="BH141" s="1698"/>
      <c r="BI141" s="1698"/>
      <c r="BJ141" s="1698"/>
      <c r="BK141" s="1698"/>
      <c r="BL141" s="1698"/>
      <c r="BM141" s="1698"/>
      <c r="BN141" s="1698"/>
      <c r="BO141" s="1698"/>
      <c r="BP141" s="1698"/>
      <c r="BQ141" s="1698"/>
      <c r="BR141" s="1698"/>
      <c r="BS141" s="1698"/>
      <c r="BT141" s="1698"/>
      <c r="BU141" s="1698"/>
      <c r="BV141" s="1698"/>
      <c r="BW141" s="1698"/>
      <c r="BX141" s="1698"/>
      <c r="BY141" s="1698"/>
      <c r="BZ141" s="1698"/>
      <c r="CA141" s="1698"/>
      <c r="CB141" s="1698"/>
      <c r="CC141" s="1698"/>
      <c r="CD141" s="1698"/>
      <c r="CE141" s="1679"/>
      <c r="CF141" s="1698"/>
      <c r="CG141" s="1698"/>
      <c r="CH141" s="1698"/>
      <c r="CI141" s="1698"/>
      <c r="CJ141" s="1698"/>
      <c r="CK141" s="1698"/>
      <c r="CL141" s="1698"/>
      <c r="CM141" s="1698"/>
      <c r="CN141" s="1698"/>
      <c r="CO141" s="1698"/>
      <c r="CP141" s="1698"/>
      <c r="CQ141" s="1698"/>
      <c r="CR141" s="1698"/>
      <c r="CS141" s="1698"/>
      <c r="CT141" s="1698"/>
      <c r="CU141" s="1698"/>
      <c r="CV141" s="1698"/>
      <c r="CW141" s="1698"/>
      <c r="CX141" s="1698"/>
      <c r="CY141" s="1699"/>
      <c r="CZ141" s="1698"/>
      <c r="DA141" s="1698"/>
      <c r="DB141" s="1698"/>
      <c r="DC141" s="1698"/>
      <c r="DD141" s="1698"/>
      <c r="DE141" s="1698"/>
      <c r="DF141" s="1698"/>
      <c r="DG141" s="1698"/>
      <c r="DH141" s="1698"/>
      <c r="DI141" s="1698"/>
      <c r="DJ141" s="1698"/>
      <c r="DK141" s="1698"/>
      <c r="DL141" s="1698"/>
      <c r="DM141" s="1698"/>
      <c r="DN141" s="1698"/>
      <c r="DO141" s="1698"/>
      <c r="DP141" s="1698"/>
      <c r="DQ141" s="1698"/>
      <c r="DR141" s="1698"/>
      <c r="DS141" s="1698"/>
      <c r="DT141" s="1698"/>
      <c r="DU141" s="1698"/>
      <c r="DV141" s="1700"/>
      <c r="DW141" s="689">
        <f>+DU141*0.4</f>
        <v>0</v>
      </c>
      <c r="DX141" s="689">
        <f>+DW141/0.22</f>
        <v>0</v>
      </c>
    </row>
    <row r="142" spans="1:256" s="546" customFormat="1" ht="18" hidden="1" customHeight="1">
      <c r="A142" s="1692"/>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679"/>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693"/>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694"/>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695"/>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679"/>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693"/>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694"/>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5" hidden="1">
      <c r="A144" s="1686"/>
      <c r="B144" s="1711"/>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679"/>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685"/>
      <c r="IR144" s="543"/>
      <c r="IS144" s="543"/>
      <c r="IT144" s="543"/>
      <c r="IU144" s="543"/>
      <c r="IV144" s="543"/>
    </row>
    <row r="145" spans="1:256" ht="15" hidden="1">
      <c r="A145" s="1686"/>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679"/>
      <c r="CC145" s="1679"/>
      <c r="CD145" s="1679"/>
      <c r="CE145" s="1679"/>
      <c r="CF145" s="1679"/>
      <c r="CG145" s="1679"/>
      <c r="CH145" s="1679"/>
      <c r="CI145" s="1679"/>
      <c r="CJ145" s="1679"/>
      <c r="CK145" s="1679"/>
      <c r="CL145" s="1679"/>
      <c r="CM145" s="1679"/>
      <c r="CN145" s="1679"/>
      <c r="CO145" s="1679"/>
      <c r="CP145" s="1679"/>
      <c r="CQ145" s="1679"/>
      <c r="CR145" s="1679"/>
      <c r="CS145" s="1679"/>
      <c r="CT145" s="1679"/>
      <c r="CU145" s="1679"/>
      <c r="CV145" s="1679"/>
      <c r="CW145" s="1679"/>
      <c r="CX145" s="1679"/>
      <c r="CY145" s="819"/>
      <c r="CZ145" s="1679"/>
      <c r="DA145" s="1679"/>
      <c r="DB145" s="1679"/>
      <c r="DC145" s="768"/>
      <c r="DD145" s="1679"/>
      <c r="DE145" s="1679"/>
      <c r="DF145" s="1679"/>
      <c r="DG145" s="1679"/>
      <c r="DH145" s="1679"/>
      <c r="DI145" s="1679"/>
      <c r="DJ145" s="1679"/>
      <c r="DK145" s="1679"/>
      <c r="DL145" s="1679"/>
      <c r="DM145" s="1679"/>
      <c r="DN145" s="1679"/>
      <c r="DO145" s="768"/>
      <c r="DP145" s="1679"/>
      <c r="DQ145" s="1679"/>
      <c r="DR145" s="768"/>
      <c r="DS145" s="768"/>
      <c r="DT145" s="768"/>
      <c r="DU145" s="768"/>
      <c r="DV145" s="1685"/>
    </row>
    <row r="146" spans="1:256" ht="15" hidden="1">
      <c r="A146" s="1686"/>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679"/>
      <c r="CC146" s="1679"/>
      <c r="CD146" s="1679"/>
      <c r="CE146" s="1679"/>
      <c r="CF146" s="1679"/>
      <c r="CG146" s="1679"/>
      <c r="CH146" s="1679"/>
      <c r="CI146" s="1679"/>
      <c r="CJ146" s="1679"/>
      <c r="CK146" s="1679"/>
      <c r="CL146" s="1679"/>
      <c r="CM146" s="1679"/>
      <c r="CN146" s="1679"/>
      <c r="CO146" s="1679"/>
      <c r="CP146" s="1679"/>
      <c r="CQ146" s="1679"/>
      <c r="CR146" s="1679"/>
      <c r="CS146" s="1679"/>
      <c r="CT146" s="1679"/>
      <c r="CU146" s="1679"/>
      <c r="CV146" s="1679"/>
      <c r="CW146" s="1679"/>
      <c r="CX146" s="1679"/>
      <c r="CY146" s="819"/>
      <c r="CZ146" s="1679"/>
      <c r="DA146" s="1679"/>
      <c r="DB146" s="1679"/>
      <c r="DC146" s="768"/>
      <c r="DD146" s="1679"/>
      <c r="DE146" s="1679"/>
      <c r="DF146" s="1679"/>
      <c r="DG146" s="1679"/>
      <c r="DH146" s="1679"/>
      <c r="DI146" s="1679"/>
      <c r="DJ146" s="1679"/>
      <c r="DK146" s="1679"/>
      <c r="DL146" s="1679"/>
      <c r="DM146" s="1679"/>
      <c r="DN146" s="1679"/>
      <c r="DO146" s="768"/>
      <c r="DP146" s="1679"/>
      <c r="DQ146" s="1679"/>
      <c r="DR146" s="768"/>
      <c r="DS146" s="768"/>
      <c r="DT146" s="768"/>
      <c r="DU146" s="768"/>
      <c r="DV146" s="1685"/>
    </row>
    <row r="147" spans="1:256" ht="15" hidden="1">
      <c r="A147" s="1686"/>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679"/>
      <c r="CC147" s="1679"/>
      <c r="CD147" s="1679"/>
      <c r="CE147" s="1679"/>
      <c r="CF147" s="1679"/>
      <c r="CG147" s="1679"/>
      <c r="CH147" s="1679"/>
      <c r="CI147" s="1679"/>
      <c r="CJ147" s="1679"/>
      <c r="CK147" s="1679"/>
      <c r="CL147" s="1679"/>
      <c r="CM147" s="1679"/>
      <c r="CN147" s="1679"/>
      <c r="CO147" s="1679"/>
      <c r="CP147" s="1679"/>
      <c r="CQ147" s="1679"/>
      <c r="CR147" s="1679"/>
      <c r="CS147" s="1679"/>
      <c r="CT147" s="1679"/>
      <c r="CU147" s="1679"/>
      <c r="CV147" s="1679"/>
      <c r="CW147" s="1679"/>
      <c r="CX147" s="1679"/>
      <c r="CY147" s="819"/>
      <c r="CZ147" s="1679"/>
      <c r="DA147" s="1679"/>
      <c r="DB147" s="1679"/>
      <c r="DC147" s="768"/>
      <c r="DD147" s="1679"/>
      <c r="DE147" s="1679"/>
      <c r="DF147" s="1679"/>
      <c r="DG147" s="1679"/>
      <c r="DH147" s="1679"/>
      <c r="DI147" s="1679"/>
      <c r="DJ147" s="1679"/>
      <c r="DK147" s="1679"/>
      <c r="DL147" s="1679"/>
      <c r="DM147" s="1679"/>
      <c r="DN147" s="1679"/>
      <c r="DO147" s="768"/>
      <c r="DP147" s="1679"/>
      <c r="DQ147" s="1679"/>
      <c r="DR147" s="768"/>
      <c r="DS147" s="768"/>
      <c r="DT147" s="768"/>
      <c r="DU147" s="768"/>
      <c r="DV147" s="1685"/>
    </row>
    <row r="148" spans="1:256" ht="15" hidden="1">
      <c r="A148" s="1686"/>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679"/>
      <c r="CC148" s="1679"/>
      <c r="CD148" s="1679"/>
      <c r="CE148" s="1679"/>
      <c r="CF148" s="1679"/>
      <c r="CG148" s="1679"/>
      <c r="CH148" s="1679"/>
      <c r="CI148" s="1679"/>
      <c r="CJ148" s="1679"/>
      <c r="CK148" s="1679"/>
      <c r="CL148" s="1679"/>
      <c r="CM148" s="1679"/>
      <c r="CN148" s="1679"/>
      <c r="CO148" s="1679"/>
      <c r="CP148" s="1679"/>
      <c r="CQ148" s="1679"/>
      <c r="CR148" s="1679"/>
      <c r="CS148" s="1679"/>
      <c r="CT148" s="1679"/>
      <c r="CU148" s="1679"/>
      <c r="CV148" s="1679"/>
      <c r="CW148" s="1679"/>
      <c r="CX148" s="1679"/>
      <c r="CY148" s="819"/>
      <c r="CZ148" s="1679"/>
      <c r="DA148" s="1679"/>
      <c r="DB148" s="1679"/>
      <c r="DC148" s="768"/>
      <c r="DD148" s="1679"/>
      <c r="DE148" s="1679"/>
      <c r="DF148" s="1679"/>
      <c r="DG148" s="1679"/>
      <c r="DH148" s="1679"/>
      <c r="DI148" s="1679"/>
      <c r="DJ148" s="1679"/>
      <c r="DK148" s="1679"/>
      <c r="DL148" s="1679"/>
      <c r="DM148" s="1679"/>
      <c r="DN148" s="1679"/>
      <c r="DO148" s="768"/>
      <c r="DP148" s="1679"/>
      <c r="DQ148" s="1679"/>
      <c r="DR148" s="768"/>
      <c r="DS148" s="768"/>
      <c r="DT148" s="768"/>
      <c r="DU148" s="768"/>
      <c r="DV148" s="1685"/>
    </row>
    <row r="149" spans="1:256" ht="15" hidden="1">
      <c r="A149" s="1686"/>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679"/>
      <c r="CC149" s="1679"/>
      <c r="CD149" s="1679"/>
      <c r="CE149" s="1679"/>
      <c r="CF149" s="1679"/>
      <c r="CG149" s="1679"/>
      <c r="CH149" s="1679"/>
      <c r="CI149" s="1679"/>
      <c r="CJ149" s="1679"/>
      <c r="CK149" s="1679"/>
      <c r="CL149" s="1679"/>
      <c r="CM149" s="1679"/>
      <c r="CN149" s="1679"/>
      <c r="CO149" s="1679"/>
      <c r="CP149" s="1679"/>
      <c r="CQ149" s="1679"/>
      <c r="CR149" s="1679"/>
      <c r="CS149" s="1679"/>
      <c r="CT149" s="1679"/>
      <c r="CU149" s="1679"/>
      <c r="CV149" s="1679"/>
      <c r="CW149" s="1679"/>
      <c r="CX149" s="1679"/>
      <c r="CY149" s="819"/>
      <c r="CZ149" s="1679"/>
      <c r="DA149" s="1679"/>
      <c r="DB149" s="1679"/>
      <c r="DC149" s="768"/>
      <c r="DD149" s="1679"/>
      <c r="DE149" s="1679"/>
      <c r="DF149" s="1679"/>
      <c r="DG149" s="1679"/>
      <c r="DH149" s="1679"/>
      <c r="DI149" s="1679"/>
      <c r="DJ149" s="1679"/>
      <c r="DK149" s="1679"/>
      <c r="DL149" s="1679"/>
      <c r="DM149" s="1679"/>
      <c r="DN149" s="1679"/>
      <c r="DO149" s="768"/>
      <c r="DP149" s="1679"/>
      <c r="DQ149" s="1679"/>
      <c r="DR149" s="768"/>
      <c r="DS149" s="768"/>
      <c r="DT149" s="768"/>
      <c r="DU149" s="768"/>
      <c r="DV149" s="1685"/>
    </row>
    <row r="150" spans="1:256" ht="15" hidden="1">
      <c r="A150" s="1686"/>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679"/>
      <c r="CC150" s="1679"/>
      <c r="CD150" s="1679"/>
      <c r="CE150" s="1679"/>
      <c r="CF150" s="1679"/>
      <c r="CG150" s="1679"/>
      <c r="CH150" s="1679"/>
      <c r="CI150" s="1679"/>
      <c r="CJ150" s="1679"/>
      <c r="CK150" s="1679"/>
      <c r="CL150" s="1679"/>
      <c r="CM150" s="1679"/>
      <c r="CN150" s="1679"/>
      <c r="CO150" s="1679"/>
      <c r="CP150" s="1679"/>
      <c r="CQ150" s="1679"/>
      <c r="CR150" s="1679"/>
      <c r="CS150" s="1679"/>
      <c r="CT150" s="1679"/>
      <c r="CU150" s="1679"/>
      <c r="CV150" s="1679"/>
      <c r="CW150" s="1679"/>
      <c r="CX150" s="1679"/>
      <c r="CY150" s="819"/>
      <c r="CZ150" s="1679"/>
      <c r="DA150" s="1679"/>
      <c r="DB150" s="1679"/>
      <c r="DC150" s="768"/>
      <c r="DD150" s="1679"/>
      <c r="DE150" s="1679"/>
      <c r="DF150" s="1679"/>
      <c r="DG150" s="1679"/>
      <c r="DH150" s="1679"/>
      <c r="DI150" s="1679"/>
      <c r="DJ150" s="1679"/>
      <c r="DK150" s="1679"/>
      <c r="DL150" s="1679"/>
      <c r="DM150" s="1679"/>
      <c r="DN150" s="1679"/>
      <c r="DO150" s="768"/>
      <c r="DP150" s="1679"/>
      <c r="DQ150" s="1679"/>
      <c r="DR150" s="768"/>
      <c r="DS150" s="768"/>
      <c r="DT150" s="768"/>
      <c r="DU150" s="768"/>
      <c r="DV150" s="1685"/>
    </row>
    <row r="151" spans="1:256" ht="15" hidden="1">
      <c r="A151" s="1686"/>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679"/>
      <c r="CC151" s="1679"/>
      <c r="CD151" s="1679"/>
      <c r="CE151" s="1679"/>
      <c r="CF151" s="1679"/>
      <c r="CG151" s="1679"/>
      <c r="CH151" s="1679"/>
      <c r="CI151" s="1679"/>
      <c r="CJ151" s="1679"/>
      <c r="CK151" s="1679"/>
      <c r="CL151" s="1679"/>
      <c r="CM151" s="1679"/>
      <c r="CN151" s="1679"/>
      <c r="CO151" s="1679"/>
      <c r="CP151" s="1679"/>
      <c r="CQ151" s="1679"/>
      <c r="CR151" s="1679"/>
      <c r="CS151" s="1679"/>
      <c r="CT151" s="1679"/>
      <c r="CU151" s="1679"/>
      <c r="CV151" s="1679"/>
      <c r="CW151" s="1679"/>
      <c r="CX151" s="1679"/>
      <c r="CY151" s="819"/>
      <c r="CZ151" s="1679"/>
      <c r="DA151" s="1679"/>
      <c r="DB151" s="1679"/>
      <c r="DC151" s="768"/>
      <c r="DD151" s="1679"/>
      <c r="DE151" s="1679"/>
      <c r="DF151" s="1679"/>
      <c r="DG151" s="1679"/>
      <c r="DH151" s="1679"/>
      <c r="DI151" s="1679"/>
      <c r="DJ151" s="1679"/>
      <c r="DK151" s="1679"/>
      <c r="DL151" s="1679"/>
      <c r="DM151" s="1679"/>
      <c r="DN151" s="1679"/>
      <c r="DO151" s="768"/>
      <c r="DP151" s="1679"/>
      <c r="DQ151" s="1679"/>
      <c r="DR151" s="768"/>
      <c r="DS151" s="768"/>
      <c r="DT151" s="768"/>
      <c r="DU151" s="768"/>
      <c r="DV151" s="1685"/>
    </row>
    <row r="152" spans="1:256" ht="15" hidden="1">
      <c r="A152" s="1686"/>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679"/>
      <c r="CC152" s="1679"/>
      <c r="CD152" s="1679"/>
      <c r="CE152" s="1679"/>
      <c r="CF152" s="1679"/>
      <c r="CG152" s="1679"/>
      <c r="CH152" s="1679"/>
      <c r="CI152" s="1679"/>
      <c r="CJ152" s="1679"/>
      <c r="CK152" s="1679"/>
      <c r="CL152" s="1679"/>
      <c r="CM152" s="1679"/>
      <c r="CN152" s="1679"/>
      <c r="CO152" s="1679"/>
      <c r="CP152" s="1679"/>
      <c r="CQ152" s="1679"/>
      <c r="CR152" s="1679"/>
      <c r="CS152" s="1679"/>
      <c r="CT152" s="1679"/>
      <c r="CU152" s="1679"/>
      <c r="CV152" s="1679"/>
      <c r="CW152" s="1679"/>
      <c r="CX152" s="1679"/>
      <c r="CY152" s="819"/>
      <c r="CZ152" s="1679"/>
      <c r="DA152" s="1679"/>
      <c r="DB152" s="1679"/>
      <c r="DC152" s="768"/>
      <c r="DD152" s="1679"/>
      <c r="DE152" s="1679"/>
      <c r="DF152" s="1679"/>
      <c r="DG152" s="1679"/>
      <c r="DH152" s="1679"/>
      <c r="DI152" s="1679"/>
      <c r="DJ152" s="1679"/>
      <c r="DK152" s="1679"/>
      <c r="DL152" s="1679"/>
      <c r="DM152" s="1679"/>
      <c r="DN152" s="1679"/>
      <c r="DO152" s="768"/>
      <c r="DP152" s="1679"/>
      <c r="DQ152" s="1679"/>
      <c r="DR152" s="768"/>
      <c r="DS152" s="768"/>
      <c r="DT152" s="768"/>
      <c r="DU152" s="768"/>
      <c r="DV152" s="1685"/>
    </row>
    <row r="153" spans="1:256" ht="15" hidden="1">
      <c r="A153" s="1686"/>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679"/>
      <c r="CC153" s="1679"/>
      <c r="CD153" s="1679"/>
      <c r="CE153" s="1679"/>
      <c r="CF153" s="1679"/>
      <c r="CG153" s="1679"/>
      <c r="CH153" s="1679"/>
      <c r="CI153" s="1679"/>
      <c r="CJ153" s="1679"/>
      <c r="CK153" s="1679"/>
      <c r="CL153" s="1679"/>
      <c r="CM153" s="1679"/>
      <c r="CN153" s="1679"/>
      <c r="CO153" s="1679"/>
      <c r="CP153" s="1679"/>
      <c r="CQ153" s="1679"/>
      <c r="CR153" s="1679"/>
      <c r="CS153" s="1679"/>
      <c r="CT153" s="1679"/>
      <c r="CU153" s="1679"/>
      <c r="CV153" s="1679"/>
      <c r="CW153" s="1679"/>
      <c r="CX153" s="1679"/>
      <c r="CY153" s="819"/>
      <c r="CZ153" s="1679"/>
      <c r="DA153" s="1679"/>
      <c r="DB153" s="1679"/>
      <c r="DC153" s="768"/>
      <c r="DD153" s="1679"/>
      <c r="DE153" s="1679"/>
      <c r="DF153" s="1679"/>
      <c r="DG153" s="1679"/>
      <c r="DH153" s="1679"/>
      <c r="DI153" s="1679"/>
      <c r="DJ153" s="1679"/>
      <c r="DK153" s="1679"/>
      <c r="DL153" s="1679"/>
      <c r="DM153" s="1679"/>
      <c r="DN153" s="1679"/>
      <c r="DO153" s="768"/>
      <c r="DP153" s="1679"/>
      <c r="DQ153" s="1679"/>
      <c r="DR153" s="768"/>
      <c r="DS153" s="768"/>
      <c r="DT153" s="768"/>
      <c r="DU153" s="768"/>
      <c r="DV153" s="1685"/>
    </row>
    <row r="154" spans="1:256" ht="15" hidden="1">
      <c r="A154" s="1686"/>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679"/>
      <c r="CC154" s="1679"/>
      <c r="CD154" s="1679"/>
      <c r="CE154" s="1679"/>
      <c r="CF154" s="1679"/>
      <c r="CG154" s="1679"/>
      <c r="CH154" s="1679"/>
      <c r="CI154" s="1679"/>
      <c r="CJ154" s="1679"/>
      <c r="CK154" s="1679"/>
      <c r="CL154" s="1679"/>
      <c r="CM154" s="1679"/>
      <c r="CN154" s="1679"/>
      <c r="CO154" s="1679"/>
      <c r="CP154" s="1679"/>
      <c r="CQ154" s="1679"/>
      <c r="CR154" s="1679"/>
      <c r="CS154" s="1679"/>
      <c r="CT154" s="1679"/>
      <c r="CU154" s="1679"/>
      <c r="CV154" s="1679"/>
      <c r="CW154" s="1679"/>
      <c r="CX154" s="1679"/>
      <c r="CY154" s="819"/>
      <c r="CZ154" s="1679"/>
      <c r="DA154" s="1679"/>
      <c r="DB154" s="1679"/>
      <c r="DC154" s="768"/>
      <c r="DD154" s="1679"/>
      <c r="DE154" s="1679"/>
      <c r="DF154" s="1679"/>
      <c r="DG154" s="1679"/>
      <c r="DH154" s="1679"/>
      <c r="DI154" s="1679"/>
      <c r="DJ154" s="1679"/>
      <c r="DK154" s="1679"/>
      <c r="DL154" s="1679"/>
      <c r="DM154" s="1679"/>
      <c r="DN154" s="1679"/>
      <c r="DO154" s="768"/>
      <c r="DP154" s="1679"/>
      <c r="DQ154" s="1679"/>
      <c r="DR154" s="768"/>
      <c r="DS154" s="768"/>
      <c r="DT154" s="768"/>
      <c r="DU154" s="768"/>
      <c r="DV154" s="1685"/>
    </row>
    <row r="155" spans="1:256" ht="15" hidden="1">
      <c r="A155" s="1686"/>
      <c r="B155" s="1711"/>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679"/>
      <c r="CC155" s="1679"/>
      <c r="CD155" s="1679"/>
      <c r="CE155" s="1679"/>
      <c r="CF155" s="1679"/>
      <c r="CG155" s="1679"/>
      <c r="CH155" s="1679"/>
      <c r="CI155" s="1679"/>
      <c r="CJ155" s="1679"/>
      <c r="CK155" s="1679"/>
      <c r="CL155" s="1679"/>
      <c r="CM155" s="1679"/>
      <c r="CN155" s="1679"/>
      <c r="CO155" s="1679"/>
      <c r="CP155" s="1679"/>
      <c r="CQ155" s="1679"/>
      <c r="CR155" s="1679"/>
      <c r="CS155" s="1679"/>
      <c r="CT155" s="1679"/>
      <c r="CU155" s="1679"/>
      <c r="CV155" s="1679"/>
      <c r="CW155" s="1679"/>
      <c r="CX155" s="1679"/>
      <c r="CY155" s="819"/>
      <c r="CZ155" s="1679"/>
      <c r="DA155" s="1679"/>
      <c r="DB155" s="1679"/>
      <c r="DC155" s="768"/>
      <c r="DD155" s="1679"/>
      <c r="DE155" s="1679"/>
      <c r="DF155" s="1679"/>
      <c r="DG155" s="1679"/>
      <c r="DH155" s="1679"/>
      <c r="DI155" s="1679"/>
      <c r="DJ155" s="1679"/>
      <c r="DK155" s="1679"/>
      <c r="DL155" s="1679"/>
      <c r="DM155" s="1679"/>
      <c r="DN155" s="1679"/>
      <c r="DO155" s="768"/>
      <c r="DP155" s="1679"/>
      <c r="DQ155" s="1679"/>
      <c r="DR155" s="768"/>
      <c r="DS155" s="768"/>
      <c r="DT155" s="768"/>
      <c r="DU155" s="768"/>
      <c r="DV155" s="1685"/>
    </row>
    <row r="156" spans="1:256" ht="15" hidden="1">
      <c r="A156" s="1686"/>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679"/>
      <c r="CC156" s="1679"/>
      <c r="CD156" s="1679"/>
      <c r="CE156" s="1679"/>
      <c r="CF156" s="1679"/>
      <c r="CG156" s="1679"/>
      <c r="CH156" s="1679"/>
      <c r="CI156" s="1679"/>
      <c r="CJ156" s="1679"/>
      <c r="CK156" s="1679"/>
      <c r="CL156" s="1679"/>
      <c r="CM156" s="1679"/>
      <c r="CN156" s="1679"/>
      <c r="CO156" s="1679"/>
      <c r="CP156" s="1679"/>
      <c r="CQ156" s="1679"/>
      <c r="CR156" s="1679"/>
      <c r="CS156" s="1679"/>
      <c r="CT156" s="1679"/>
      <c r="CU156" s="1679"/>
      <c r="CV156" s="1679"/>
      <c r="CW156" s="1679"/>
      <c r="CX156" s="1679"/>
      <c r="CY156" s="819"/>
      <c r="CZ156" s="1679"/>
      <c r="DA156" s="1679"/>
      <c r="DB156" s="1679"/>
      <c r="DC156" s="768"/>
      <c r="DD156" s="1679"/>
      <c r="DE156" s="1679"/>
      <c r="DF156" s="1679"/>
      <c r="DG156" s="1679"/>
      <c r="DH156" s="1679"/>
      <c r="DI156" s="1679"/>
      <c r="DJ156" s="1679"/>
      <c r="DK156" s="1679"/>
      <c r="DL156" s="1679"/>
      <c r="DM156" s="1679"/>
      <c r="DN156" s="1679"/>
      <c r="DO156" s="768"/>
      <c r="DP156" s="1679"/>
      <c r="DQ156" s="1679"/>
      <c r="DR156" s="768"/>
      <c r="DS156" s="768"/>
      <c r="DT156" s="768"/>
      <c r="DU156" s="768"/>
      <c r="DV156" s="1685"/>
    </row>
    <row r="157" spans="1:256" ht="15" hidden="1">
      <c r="A157" s="1686"/>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679"/>
      <c r="CC157" s="1679"/>
      <c r="CD157" s="1679"/>
      <c r="CE157" s="1679"/>
      <c r="CF157" s="1679"/>
      <c r="CG157" s="1679"/>
      <c r="CH157" s="1679"/>
      <c r="CI157" s="1679"/>
      <c r="CJ157" s="1679"/>
      <c r="CK157" s="1679"/>
      <c r="CL157" s="1679"/>
      <c r="CM157" s="1679"/>
      <c r="CN157" s="1679"/>
      <c r="CO157" s="1679"/>
      <c r="CP157" s="1679"/>
      <c r="CQ157" s="1679"/>
      <c r="CR157" s="1679"/>
      <c r="CS157" s="1679"/>
      <c r="CT157" s="1679"/>
      <c r="CU157" s="1679"/>
      <c r="CV157" s="1679"/>
      <c r="CW157" s="1679"/>
      <c r="CX157" s="1679"/>
      <c r="CY157" s="819"/>
      <c r="CZ157" s="1679"/>
      <c r="DA157" s="1679"/>
      <c r="DB157" s="1679"/>
      <c r="DC157" s="768"/>
      <c r="DD157" s="1679"/>
      <c r="DE157" s="1679"/>
      <c r="DF157" s="1679"/>
      <c r="DG157" s="1679"/>
      <c r="DH157" s="1679"/>
      <c r="DI157" s="1679"/>
      <c r="DJ157" s="1679"/>
      <c r="DK157" s="1679"/>
      <c r="DL157" s="1679"/>
      <c r="DM157" s="1679"/>
      <c r="DN157" s="1679"/>
      <c r="DO157" s="768"/>
      <c r="DP157" s="1679"/>
      <c r="DQ157" s="1679"/>
      <c r="DR157" s="768"/>
      <c r="DS157" s="768"/>
      <c r="DT157" s="768"/>
      <c r="DU157" s="768"/>
      <c r="DV157" s="1685"/>
    </row>
    <row r="158" spans="1:256" ht="15" hidden="1">
      <c r="A158" s="1686"/>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679"/>
      <c r="CC158" s="1679"/>
      <c r="CD158" s="1679"/>
      <c r="CE158" s="1679"/>
      <c r="CF158" s="1679"/>
      <c r="CG158" s="1679"/>
      <c r="CH158" s="1679"/>
      <c r="CI158" s="1679"/>
      <c r="CJ158" s="1679"/>
      <c r="CK158" s="1679"/>
      <c r="CL158" s="1679"/>
      <c r="CM158" s="1679"/>
      <c r="CN158" s="1679"/>
      <c r="CO158" s="1679"/>
      <c r="CP158" s="1679"/>
      <c r="CQ158" s="1679"/>
      <c r="CR158" s="1679"/>
      <c r="CS158" s="1679"/>
      <c r="CT158" s="1679"/>
      <c r="CU158" s="1679"/>
      <c r="CV158" s="1679"/>
      <c r="CW158" s="1679"/>
      <c r="CX158" s="1679"/>
      <c r="CY158" s="819"/>
      <c r="CZ158" s="1679"/>
      <c r="DA158" s="1679"/>
      <c r="DB158" s="1679"/>
      <c r="DC158" s="768"/>
      <c r="DD158" s="1679"/>
      <c r="DE158" s="1679"/>
      <c r="DF158" s="1679"/>
      <c r="DG158" s="1679"/>
      <c r="DH158" s="1679"/>
      <c r="DI158" s="1679"/>
      <c r="DJ158" s="1679"/>
      <c r="DK158" s="1679"/>
      <c r="DL158" s="1679"/>
      <c r="DM158" s="1679"/>
      <c r="DN158" s="1679"/>
      <c r="DO158" s="768"/>
      <c r="DP158" s="1679"/>
      <c r="DQ158" s="1679"/>
      <c r="DR158" s="768"/>
      <c r="DS158" s="768"/>
      <c r="DT158" s="768"/>
      <c r="DU158" s="768"/>
      <c r="DV158" s="1685"/>
    </row>
    <row r="159" spans="1:256" ht="15" hidden="1">
      <c r="A159" s="1686"/>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679"/>
      <c r="CC159" s="1679"/>
      <c r="CD159" s="1679"/>
      <c r="CE159" s="1679"/>
      <c r="CF159" s="1679"/>
      <c r="CG159" s="1679"/>
      <c r="CH159" s="1679"/>
      <c r="CI159" s="1679"/>
      <c r="CJ159" s="1679"/>
      <c r="CK159" s="1679"/>
      <c r="CL159" s="1679"/>
      <c r="CM159" s="1679"/>
      <c r="CN159" s="1679"/>
      <c r="CO159" s="1679"/>
      <c r="CP159" s="1679"/>
      <c r="CQ159" s="1679"/>
      <c r="CR159" s="1679"/>
      <c r="CS159" s="1679"/>
      <c r="CT159" s="1679"/>
      <c r="CU159" s="1679"/>
      <c r="CV159" s="1679"/>
      <c r="CW159" s="1679"/>
      <c r="CX159" s="1679"/>
      <c r="CY159" s="819"/>
      <c r="CZ159" s="1679"/>
      <c r="DA159" s="1679"/>
      <c r="DB159" s="1679"/>
      <c r="DC159" s="768"/>
      <c r="DD159" s="1679"/>
      <c r="DE159" s="1679"/>
      <c r="DF159" s="1679"/>
      <c r="DG159" s="1679"/>
      <c r="DH159" s="1679"/>
      <c r="DI159" s="1679"/>
      <c r="DJ159" s="1679"/>
      <c r="DK159" s="1679"/>
      <c r="DL159" s="1679"/>
      <c r="DM159" s="1679"/>
      <c r="DN159" s="1679"/>
      <c r="DO159" s="768"/>
      <c r="DP159" s="1679"/>
      <c r="DQ159" s="1679"/>
      <c r="DR159" s="768"/>
      <c r="DS159" s="768"/>
      <c r="DT159" s="768"/>
      <c r="DU159" s="768"/>
      <c r="DV159" s="1685"/>
    </row>
    <row r="160" spans="1:256" s="679" customFormat="1" ht="15" hidden="1">
      <c r="A160" s="1686"/>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679"/>
      <c r="CC160" s="1679"/>
      <c r="CD160" s="1679"/>
      <c r="CE160" s="1679"/>
      <c r="CF160" s="1679"/>
      <c r="CG160" s="1679"/>
      <c r="CH160" s="1679"/>
      <c r="CI160" s="1679"/>
      <c r="CJ160" s="1679"/>
      <c r="CK160" s="1679"/>
      <c r="CL160" s="1679"/>
      <c r="CM160" s="1679"/>
      <c r="CN160" s="1679"/>
      <c r="CO160" s="1679"/>
      <c r="CP160" s="1679"/>
      <c r="CQ160" s="1679"/>
      <c r="CR160" s="1679"/>
      <c r="CS160" s="1679"/>
      <c r="CT160" s="1679"/>
      <c r="CU160" s="1679"/>
      <c r="CV160" s="1679"/>
      <c r="CW160" s="1679"/>
      <c r="CX160" s="1679"/>
      <c r="CY160" s="819"/>
      <c r="CZ160" s="1679"/>
      <c r="DA160" s="1679"/>
      <c r="DB160" s="1679"/>
      <c r="DC160" s="768"/>
      <c r="DD160" s="1679"/>
      <c r="DE160" s="1679"/>
      <c r="DF160" s="1679"/>
      <c r="DG160" s="1679"/>
      <c r="DH160" s="1679"/>
      <c r="DI160" s="1679"/>
      <c r="DJ160" s="1679"/>
      <c r="DK160" s="1679"/>
      <c r="DL160" s="1679"/>
      <c r="DM160" s="1679"/>
      <c r="DN160" s="1679"/>
      <c r="DO160" s="768"/>
      <c r="DP160" s="1679"/>
      <c r="DQ160" s="1679"/>
      <c r="DR160" s="768"/>
      <c r="DS160" s="768"/>
      <c r="DT160" s="768"/>
      <c r="DU160" s="768"/>
      <c r="DV160" s="1685"/>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5" hidden="1">
      <c r="A161" s="1696"/>
      <c r="B161" s="1697"/>
      <c r="C161" s="1698"/>
      <c r="D161" s="1698"/>
      <c r="E161" s="1698"/>
      <c r="F161" s="1698"/>
      <c r="G161" s="1698"/>
      <c r="H161" s="1698"/>
      <c r="I161" s="1698"/>
      <c r="J161" s="1698"/>
      <c r="K161" s="1698"/>
      <c r="L161" s="1698"/>
      <c r="M161" s="1698"/>
      <c r="N161" s="1698"/>
      <c r="O161" s="1698"/>
      <c r="P161" s="1698"/>
      <c r="Q161" s="1698"/>
      <c r="R161" s="1698"/>
      <c r="S161" s="1698"/>
      <c r="T161" s="1698"/>
      <c r="U161" s="1698"/>
      <c r="V161" s="1698"/>
      <c r="W161" s="1698"/>
      <c r="X161" s="1698"/>
      <c r="Y161" s="1698"/>
      <c r="Z161" s="1698"/>
      <c r="AA161" s="1698"/>
      <c r="AB161" s="1698"/>
      <c r="AC161" s="1698"/>
      <c r="AD161" s="1698"/>
      <c r="AE161" s="1698"/>
      <c r="AF161" s="1698"/>
      <c r="AG161" s="1698"/>
      <c r="AH161" s="1698"/>
      <c r="AI161" s="1698"/>
      <c r="AJ161" s="1698"/>
      <c r="AK161" s="1698"/>
      <c r="AL161" s="1698"/>
      <c r="AM161" s="1698"/>
      <c r="AN161" s="1698"/>
      <c r="AO161" s="1698"/>
      <c r="AP161" s="1698"/>
      <c r="AQ161" s="1698"/>
      <c r="AR161" s="1698"/>
      <c r="AS161" s="1698"/>
      <c r="AT161" s="1698"/>
      <c r="AU161" s="1698"/>
      <c r="AV161" s="1698"/>
      <c r="AW161" s="1698"/>
      <c r="AX161" s="1698"/>
      <c r="AY161" s="1698"/>
      <c r="AZ161" s="1698"/>
      <c r="BA161" s="1698"/>
      <c r="BB161" s="1698"/>
      <c r="BC161" s="1698"/>
      <c r="BD161" s="1698"/>
      <c r="BE161" s="1698"/>
      <c r="BF161" s="1698"/>
      <c r="BG161" s="1698"/>
      <c r="BH161" s="1698"/>
      <c r="BI161" s="1698"/>
      <c r="BJ161" s="1698"/>
      <c r="BK161" s="1698"/>
      <c r="BL161" s="1698"/>
      <c r="BM161" s="1698"/>
      <c r="BN161" s="1698"/>
      <c r="BO161" s="1698"/>
      <c r="BP161" s="1698"/>
      <c r="BQ161" s="1698"/>
      <c r="BR161" s="1698"/>
      <c r="BS161" s="1698"/>
      <c r="BT161" s="1698"/>
      <c r="BU161" s="1698"/>
      <c r="BV161" s="1698"/>
      <c r="BW161" s="1698"/>
      <c r="BX161" s="1698"/>
      <c r="BY161" s="1698"/>
      <c r="BZ161" s="1698"/>
      <c r="CA161" s="1698"/>
      <c r="CB161" s="1698"/>
      <c r="CC161" s="1698"/>
      <c r="CD161" s="1698"/>
      <c r="CE161" s="1679"/>
      <c r="CF161" s="1698"/>
      <c r="CG161" s="1698"/>
      <c r="CH161" s="1698"/>
      <c r="CI161" s="1698"/>
      <c r="CJ161" s="1698"/>
      <c r="CK161" s="1698"/>
      <c r="CL161" s="1698"/>
      <c r="CM161" s="1698"/>
      <c r="CN161" s="1698"/>
      <c r="CO161" s="1698"/>
      <c r="CP161" s="1698"/>
      <c r="CQ161" s="1698"/>
      <c r="CR161" s="1698"/>
      <c r="CS161" s="1698"/>
      <c r="CT161" s="1698"/>
      <c r="CU161" s="1698"/>
      <c r="CV161" s="1698"/>
      <c r="CW161" s="1698"/>
      <c r="CX161" s="1698"/>
      <c r="CY161" s="1699"/>
      <c r="CZ161" s="1698"/>
      <c r="DA161" s="1698"/>
      <c r="DB161" s="1698"/>
      <c r="DC161" s="1698"/>
      <c r="DD161" s="1698"/>
      <c r="DE161" s="1698"/>
      <c r="DF161" s="1698"/>
      <c r="DG161" s="1698"/>
      <c r="DH161" s="1698"/>
      <c r="DI161" s="1698"/>
      <c r="DJ161" s="1698"/>
      <c r="DK161" s="1698"/>
      <c r="DL161" s="1698"/>
      <c r="DM161" s="1698"/>
      <c r="DN161" s="1698"/>
      <c r="DO161" s="1698"/>
      <c r="DP161" s="1698"/>
      <c r="DQ161" s="1698"/>
      <c r="DR161" s="1698"/>
      <c r="DS161" s="1698"/>
      <c r="DT161" s="1698"/>
      <c r="DU161" s="1698"/>
      <c r="DV161" s="1700"/>
      <c r="DW161" s="689">
        <f>+DU161*0.4</f>
        <v>0</v>
      </c>
      <c r="DX161" s="689">
        <f>+DW161/0.22</f>
        <v>0</v>
      </c>
    </row>
    <row r="162" spans="1:256" s="554" customFormat="1" ht="18.75" hidden="1" customHeight="1">
      <c r="A162" s="1712"/>
      <c r="B162" s="1713"/>
      <c r="C162" s="1713"/>
      <c r="D162" s="1713"/>
      <c r="E162" s="1713"/>
      <c r="F162" s="1713"/>
      <c r="G162" s="1713"/>
      <c r="H162" s="1713"/>
      <c r="I162" s="1713"/>
      <c r="J162" s="1713"/>
      <c r="K162" s="1713"/>
      <c r="L162" s="1713"/>
      <c r="M162" s="1713"/>
      <c r="N162" s="1713"/>
      <c r="O162" s="1713"/>
      <c r="P162" s="1713"/>
      <c r="Q162" s="1713"/>
      <c r="R162" s="1713"/>
      <c r="S162" s="1714"/>
      <c r="T162" s="1714"/>
      <c r="U162" s="1714"/>
      <c r="V162" s="1714"/>
      <c r="W162" s="1714"/>
      <c r="X162" s="1714"/>
      <c r="Y162" s="1714"/>
      <c r="Z162" s="1714"/>
      <c r="AA162" s="1714"/>
      <c r="AB162" s="1714"/>
      <c r="AC162" s="1714"/>
      <c r="AD162" s="1714"/>
      <c r="AE162" s="1714"/>
      <c r="AF162" s="1714"/>
      <c r="AG162" s="1714"/>
      <c r="AH162" s="1714"/>
      <c r="AI162" s="1714"/>
      <c r="AJ162" s="1714"/>
      <c r="AK162" s="1714"/>
      <c r="AL162" s="1714"/>
      <c r="AM162" s="1714"/>
      <c r="AN162" s="1714"/>
      <c r="AO162" s="1714"/>
      <c r="AP162" s="1714"/>
      <c r="AQ162" s="1714"/>
      <c r="AR162" s="1714"/>
      <c r="AS162" s="1714"/>
      <c r="AT162" s="1714"/>
      <c r="AU162" s="1714"/>
      <c r="AV162" s="1714"/>
      <c r="AW162" s="1714"/>
      <c r="AX162" s="1714"/>
      <c r="AY162" s="1714"/>
      <c r="AZ162" s="1714"/>
      <c r="BA162" s="1714"/>
      <c r="BB162" s="1714"/>
      <c r="BC162" s="1714"/>
      <c r="BD162" s="1714"/>
      <c r="BE162" s="1714"/>
      <c r="BF162" s="1714"/>
      <c r="BG162" s="1714"/>
      <c r="BH162" s="1714"/>
      <c r="BI162" s="1714"/>
      <c r="BJ162" s="1714"/>
      <c r="BK162" s="1714"/>
      <c r="BL162" s="1714"/>
      <c r="BM162" s="1714"/>
      <c r="BN162" s="1714"/>
      <c r="BO162" s="1714"/>
      <c r="BP162" s="1714"/>
      <c r="BQ162" s="1714"/>
      <c r="BR162" s="1714"/>
      <c r="BS162" s="1714"/>
      <c r="BT162" s="1714"/>
      <c r="BU162" s="1714"/>
      <c r="BV162" s="1714"/>
      <c r="BW162" s="1714"/>
      <c r="BX162" s="1714"/>
      <c r="BY162" s="1714"/>
      <c r="BZ162" s="1714"/>
      <c r="CA162" s="1714"/>
      <c r="CB162" s="1714"/>
      <c r="CC162" s="1714"/>
      <c r="CD162" s="1714"/>
      <c r="CE162" s="1679"/>
      <c r="CF162" s="1714"/>
      <c r="CG162" s="1714"/>
      <c r="CH162" s="1714"/>
      <c r="CI162" s="1714"/>
      <c r="CJ162" s="1714"/>
      <c r="CK162" s="1714"/>
      <c r="CL162" s="1714"/>
      <c r="CM162" s="1714"/>
      <c r="CN162" s="1714"/>
      <c r="CO162" s="1714"/>
      <c r="CP162" s="1714"/>
      <c r="CQ162" s="1714"/>
      <c r="CR162" s="1714"/>
      <c r="CS162" s="1714"/>
      <c r="CT162" s="1714"/>
      <c r="CU162" s="1714"/>
      <c r="CV162" s="1714"/>
      <c r="CW162" s="1714"/>
      <c r="CX162" s="1714"/>
      <c r="CY162" s="1715"/>
      <c r="CZ162" s="1714"/>
      <c r="DA162" s="1714"/>
      <c r="DB162" s="1714"/>
      <c r="DC162" s="1714"/>
      <c r="DD162" s="1714"/>
      <c r="DE162" s="1714"/>
      <c r="DF162" s="1714"/>
      <c r="DG162" s="1714"/>
      <c r="DH162" s="1714"/>
      <c r="DI162" s="1714"/>
      <c r="DJ162" s="1714"/>
      <c r="DK162" s="1714"/>
      <c r="DL162" s="1714"/>
      <c r="DM162" s="1714"/>
      <c r="DN162" s="1714"/>
      <c r="DO162" s="1714"/>
      <c r="DP162" s="1714"/>
      <c r="DQ162" s="1714"/>
      <c r="DR162" s="1714"/>
      <c r="DS162" s="1714"/>
      <c r="DT162" s="1714"/>
      <c r="DU162" s="1714"/>
      <c r="DV162" s="1716"/>
      <c r="IR162" s="531"/>
      <c r="IS162" s="531"/>
      <c r="IT162" s="531"/>
      <c r="IU162" s="531"/>
      <c r="IV162" s="531"/>
    </row>
    <row r="163" spans="1:256" ht="17.25" hidden="1" customHeight="1">
      <c r="A163" s="1686"/>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679"/>
      <c r="CF163" s="551"/>
      <c r="CG163" s="551"/>
      <c r="CH163" s="551"/>
      <c r="CI163" s="551"/>
      <c r="CJ163" s="551"/>
      <c r="CK163" s="551"/>
      <c r="CL163" s="551"/>
      <c r="CM163" s="551"/>
      <c r="CN163" s="551"/>
      <c r="CO163" s="551"/>
      <c r="CP163" s="551"/>
      <c r="CQ163" s="551"/>
      <c r="CR163" s="551"/>
      <c r="CS163" s="551"/>
      <c r="CT163" s="551"/>
      <c r="CU163" s="551"/>
      <c r="CV163" s="551"/>
      <c r="CW163" s="551"/>
      <c r="CX163" s="551"/>
      <c r="CY163" s="1717"/>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685"/>
      <c r="IR163" s="543"/>
      <c r="IS163" s="543"/>
      <c r="IT163" s="543"/>
      <c r="IU163" s="543"/>
      <c r="IV163" s="543"/>
    </row>
    <row r="164" spans="1:256" ht="18.75" hidden="1" customHeight="1">
      <c r="A164" s="1718"/>
      <c r="B164" s="1719"/>
      <c r="C164" s="1720"/>
      <c r="D164" s="1720"/>
      <c r="E164" s="1720"/>
      <c r="F164" s="1720"/>
      <c r="G164" s="1720"/>
      <c r="H164" s="1720"/>
      <c r="I164" s="1720"/>
      <c r="J164" s="1720"/>
      <c r="K164" s="1720"/>
      <c r="L164" s="1720"/>
      <c r="M164" s="1720"/>
      <c r="N164" s="1720"/>
      <c r="O164" s="1720"/>
      <c r="P164" s="1720"/>
      <c r="Q164" s="1720"/>
      <c r="R164" s="1720"/>
      <c r="S164" s="1720"/>
      <c r="T164" s="1720"/>
      <c r="U164" s="1720"/>
      <c r="V164" s="1720"/>
      <c r="W164" s="1720"/>
      <c r="X164" s="1720"/>
      <c r="Y164" s="1720"/>
      <c r="Z164" s="1720"/>
      <c r="AA164" s="1720"/>
      <c r="AB164" s="1720"/>
      <c r="AC164" s="1720"/>
      <c r="AD164" s="1720"/>
      <c r="AE164" s="1720"/>
      <c r="AF164" s="1720"/>
      <c r="AG164" s="1720"/>
      <c r="AH164" s="1720"/>
      <c r="AI164" s="1720"/>
      <c r="AJ164" s="1720"/>
      <c r="AK164" s="1720"/>
      <c r="AL164" s="1720"/>
      <c r="AM164" s="1720"/>
      <c r="AN164" s="1720"/>
      <c r="AO164" s="1720"/>
      <c r="AP164" s="1720"/>
      <c r="AQ164" s="1720"/>
      <c r="AR164" s="1720"/>
      <c r="AS164" s="1720"/>
      <c r="AT164" s="1720"/>
      <c r="AU164" s="1720"/>
      <c r="AV164" s="1720"/>
      <c r="AW164" s="1720"/>
      <c r="AX164" s="1720"/>
      <c r="AY164" s="1720"/>
      <c r="AZ164" s="1720"/>
      <c r="BA164" s="1720"/>
      <c r="BB164" s="1720"/>
      <c r="BC164" s="1720"/>
      <c r="BD164" s="1720"/>
      <c r="BE164" s="1720"/>
      <c r="BF164" s="1720"/>
      <c r="BG164" s="1720"/>
      <c r="BH164" s="1720"/>
      <c r="BI164" s="1720"/>
      <c r="BJ164" s="1720"/>
      <c r="BK164" s="1720"/>
      <c r="BL164" s="1720"/>
      <c r="BM164" s="1720"/>
      <c r="BN164" s="1720"/>
      <c r="BO164" s="1720"/>
      <c r="BP164" s="1720"/>
      <c r="BQ164" s="1720"/>
      <c r="BR164" s="1720"/>
      <c r="BS164" s="1720"/>
      <c r="BT164" s="1720"/>
      <c r="BU164" s="1720"/>
      <c r="BV164" s="1720"/>
      <c r="BW164" s="1720"/>
      <c r="BX164" s="1720"/>
      <c r="BY164" s="1720"/>
      <c r="BZ164" s="1720"/>
      <c r="CA164" s="1720"/>
      <c r="CB164" s="1720"/>
      <c r="CC164" s="1720"/>
      <c r="CD164" s="1720"/>
      <c r="CE164" s="1679"/>
      <c r="CF164" s="1720"/>
      <c r="CG164" s="1720"/>
      <c r="CH164" s="1720"/>
      <c r="CI164" s="1720"/>
      <c r="CJ164" s="1720"/>
      <c r="CK164" s="1720"/>
      <c r="CL164" s="1720"/>
      <c r="CM164" s="1720"/>
      <c r="CN164" s="1720"/>
      <c r="CO164" s="1720"/>
      <c r="CP164" s="1720"/>
      <c r="CQ164" s="1720"/>
      <c r="CR164" s="1720"/>
      <c r="CS164" s="1720"/>
      <c r="CT164" s="1720"/>
      <c r="CU164" s="1720"/>
      <c r="CV164" s="1720"/>
      <c r="CW164" s="1720"/>
      <c r="CX164" s="1720"/>
      <c r="CY164" s="1721"/>
      <c r="CZ164" s="1720"/>
      <c r="DA164" s="1720"/>
      <c r="DB164" s="1720"/>
      <c r="DC164" s="1720"/>
      <c r="DD164" s="1720"/>
      <c r="DE164" s="1720"/>
      <c r="DF164" s="1720"/>
      <c r="DG164" s="1720"/>
      <c r="DH164" s="1720"/>
      <c r="DI164" s="1720"/>
      <c r="DJ164" s="1720"/>
      <c r="DK164" s="1720"/>
      <c r="DL164" s="1720"/>
      <c r="DM164" s="1720"/>
      <c r="DN164" s="1720"/>
      <c r="DO164" s="1720"/>
      <c r="DP164" s="1720"/>
      <c r="DQ164" s="1720"/>
      <c r="DR164" s="1720"/>
      <c r="DS164" s="1720"/>
      <c r="DT164" s="1720"/>
      <c r="DU164" s="1720"/>
      <c r="DV164" s="1716"/>
    </row>
    <row r="165" spans="1:256" s="546" customFormat="1" ht="18" hidden="1" customHeight="1">
      <c r="A165" s="1692"/>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679"/>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693"/>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694"/>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22"/>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679"/>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693"/>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694"/>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695"/>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679"/>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693"/>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694"/>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686"/>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679"/>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685"/>
      <c r="IR168" s="543"/>
      <c r="IS168" s="543"/>
      <c r="IT168" s="543"/>
      <c r="IU168" s="543"/>
      <c r="IV168" s="543"/>
    </row>
    <row r="169" spans="1:256" ht="17.25" hidden="1" customHeight="1">
      <c r="A169" s="1686"/>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679"/>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685"/>
    </row>
    <row r="170" spans="1:256" ht="17.25" hidden="1" customHeight="1">
      <c r="A170" s="1686"/>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679"/>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685"/>
    </row>
    <row r="171" spans="1:256" ht="17.25" hidden="1" customHeight="1">
      <c r="A171" s="1686"/>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679"/>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685"/>
    </row>
    <row r="172" spans="1:256" ht="17.25" hidden="1" customHeight="1">
      <c r="A172" s="1686"/>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679"/>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685"/>
    </row>
    <row r="173" spans="1:256" ht="17.25" hidden="1" customHeight="1">
      <c r="A173" s="1686"/>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679"/>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685"/>
    </row>
    <row r="174" spans="1:256" ht="17.25" hidden="1" customHeight="1">
      <c r="A174" s="1686"/>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679"/>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685"/>
    </row>
    <row r="175" spans="1:256" ht="17.25" hidden="1" customHeight="1">
      <c r="A175" s="1686"/>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679"/>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685"/>
    </row>
    <row r="176" spans="1:256" s="679" customFormat="1" ht="17.25" hidden="1" customHeight="1">
      <c r="A176" s="1686"/>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679"/>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685"/>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23"/>
      <c r="B177" s="1724"/>
      <c r="C177" s="1723"/>
      <c r="D177" s="1723"/>
      <c r="E177" s="1723"/>
      <c r="F177" s="1723"/>
      <c r="G177" s="1723"/>
      <c r="H177" s="1723"/>
      <c r="I177" s="1723"/>
      <c r="J177" s="1723"/>
      <c r="K177" s="1723"/>
      <c r="L177" s="1723"/>
      <c r="M177" s="1723"/>
      <c r="N177" s="1723"/>
      <c r="O177" s="1723"/>
      <c r="P177" s="1723"/>
      <c r="Q177" s="1723"/>
      <c r="R177" s="1723"/>
      <c r="S177" s="1723"/>
      <c r="T177" s="1723"/>
      <c r="U177" s="1723"/>
      <c r="V177" s="1723"/>
      <c r="W177" s="1723"/>
      <c r="X177" s="1723"/>
      <c r="Y177" s="1723"/>
      <c r="Z177" s="1723"/>
      <c r="AA177" s="1723"/>
      <c r="AB177" s="1723"/>
      <c r="AC177" s="1723"/>
      <c r="AD177" s="1723"/>
      <c r="AE177" s="1723"/>
      <c r="AF177" s="1723"/>
      <c r="AG177" s="1723"/>
      <c r="AH177" s="1723"/>
      <c r="AI177" s="1723"/>
      <c r="AJ177" s="1723"/>
      <c r="AK177" s="1723"/>
      <c r="AL177" s="1723"/>
      <c r="AM177" s="1723"/>
      <c r="AN177" s="1723"/>
      <c r="AO177" s="1723"/>
      <c r="AP177" s="1723"/>
      <c r="AQ177" s="1723"/>
      <c r="AR177" s="1723"/>
      <c r="AS177" s="1723"/>
      <c r="AT177" s="1723"/>
      <c r="AU177" s="1723"/>
      <c r="AV177" s="1723"/>
      <c r="AW177" s="1723"/>
      <c r="AX177" s="1723"/>
      <c r="AY177" s="1723"/>
      <c r="AZ177" s="1723"/>
      <c r="BA177" s="1723"/>
      <c r="BB177" s="1723"/>
      <c r="BC177" s="1723"/>
      <c r="BD177" s="1723"/>
      <c r="BE177" s="1723"/>
      <c r="BF177" s="1723"/>
      <c r="BG177" s="1723"/>
      <c r="BH177" s="1723"/>
      <c r="BI177" s="1723"/>
      <c r="BJ177" s="1723"/>
      <c r="BK177" s="1723"/>
      <c r="BL177" s="1723"/>
      <c r="BM177" s="1723"/>
      <c r="BN177" s="1723"/>
      <c r="BO177" s="1723"/>
      <c r="BP177" s="1723"/>
      <c r="BQ177" s="1723"/>
      <c r="BR177" s="1723"/>
      <c r="BS177" s="1723"/>
      <c r="BT177" s="1723"/>
      <c r="BU177" s="1723"/>
      <c r="BV177" s="1723"/>
      <c r="BW177" s="1723"/>
      <c r="BX177" s="1723"/>
      <c r="BY177" s="1723"/>
      <c r="BZ177" s="1723"/>
      <c r="CA177" s="1723"/>
      <c r="CB177" s="1723"/>
      <c r="CC177" s="1723"/>
      <c r="CD177" s="1723"/>
      <c r="CE177" s="1679"/>
      <c r="CF177" s="1723"/>
      <c r="CG177" s="1723"/>
      <c r="CH177" s="1723"/>
      <c r="CI177" s="1723"/>
      <c r="CJ177" s="1723"/>
      <c r="CK177" s="1723"/>
      <c r="CL177" s="1723"/>
      <c r="CM177" s="1723"/>
      <c r="CN177" s="1723"/>
      <c r="CO177" s="1723"/>
      <c r="CP177" s="1723"/>
      <c r="CQ177" s="1723"/>
      <c r="CR177" s="1723"/>
      <c r="CS177" s="1723"/>
      <c r="CT177" s="1723"/>
      <c r="CU177" s="1723"/>
      <c r="CV177" s="1723"/>
      <c r="CW177" s="1723"/>
      <c r="CX177" s="1723"/>
      <c r="CY177" s="1690"/>
      <c r="CZ177" s="1723"/>
      <c r="DA177" s="1723"/>
      <c r="DB177" s="1723"/>
      <c r="DC177" s="1723"/>
      <c r="DD177" s="1723"/>
      <c r="DE177" s="1723"/>
      <c r="DF177" s="1723"/>
      <c r="DG177" s="1723"/>
      <c r="DH177" s="1723"/>
      <c r="DI177" s="1723"/>
      <c r="DJ177" s="1723"/>
      <c r="DK177" s="1723"/>
      <c r="DL177" s="1723"/>
      <c r="DM177" s="1723"/>
      <c r="DN177" s="1723"/>
      <c r="DO177" s="1723"/>
      <c r="DP177" s="1723"/>
      <c r="DQ177" s="1723"/>
      <c r="DR177" s="1723"/>
      <c r="DS177" s="1723"/>
      <c r="DT177" s="1723"/>
      <c r="DU177" s="1725"/>
      <c r="DV177" s="1726"/>
    </row>
    <row r="178" spans="1:256" s="546" customFormat="1" ht="18" hidden="1" customHeight="1">
      <c r="A178" s="1695"/>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679"/>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693"/>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694"/>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686"/>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679"/>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685"/>
      <c r="IR179" s="543"/>
      <c r="IS179" s="543"/>
      <c r="IT179" s="543"/>
      <c r="IU179" s="543"/>
      <c r="IV179" s="543"/>
    </row>
    <row r="180" spans="1:256" ht="17.25" hidden="1" customHeight="1">
      <c r="A180" s="1686"/>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679"/>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685"/>
    </row>
    <row r="181" spans="1:256" ht="17.25" hidden="1" customHeight="1">
      <c r="A181" s="1686"/>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679"/>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685"/>
    </row>
    <row r="182" spans="1:256" ht="17.25" hidden="1" customHeight="1">
      <c r="A182" s="1686"/>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679"/>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685"/>
    </row>
    <row r="183" spans="1:256" ht="17.25" hidden="1" customHeight="1">
      <c r="A183" s="1686"/>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679"/>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685"/>
    </row>
    <row r="184" spans="1:256" ht="17.25" hidden="1" customHeight="1">
      <c r="A184" s="1686"/>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679"/>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685"/>
    </row>
    <row r="185" spans="1:256" ht="17.25" hidden="1" customHeight="1">
      <c r="A185" s="1686"/>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679"/>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685"/>
    </row>
    <row r="186" spans="1:256" s="679" customFormat="1" ht="17.25" hidden="1" customHeight="1">
      <c r="A186" s="1686"/>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679"/>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685"/>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23"/>
      <c r="B187" s="1724"/>
      <c r="C187" s="1723"/>
      <c r="D187" s="1723"/>
      <c r="E187" s="1723"/>
      <c r="F187" s="1723"/>
      <c r="G187" s="1723"/>
      <c r="H187" s="1723"/>
      <c r="I187" s="1723"/>
      <c r="J187" s="1723"/>
      <c r="K187" s="1723"/>
      <c r="L187" s="1723"/>
      <c r="M187" s="1723"/>
      <c r="N187" s="1723"/>
      <c r="O187" s="1723"/>
      <c r="P187" s="1723"/>
      <c r="Q187" s="1723"/>
      <c r="R187" s="1723"/>
      <c r="S187" s="1723"/>
      <c r="T187" s="1723"/>
      <c r="U187" s="1723"/>
      <c r="V187" s="1723"/>
      <c r="W187" s="1723"/>
      <c r="X187" s="1723"/>
      <c r="Y187" s="1723"/>
      <c r="Z187" s="1723"/>
      <c r="AA187" s="1723"/>
      <c r="AB187" s="1723"/>
      <c r="AC187" s="1723"/>
      <c r="AD187" s="1723"/>
      <c r="AE187" s="1723"/>
      <c r="AF187" s="1723"/>
      <c r="AG187" s="1723"/>
      <c r="AH187" s="1723"/>
      <c r="AI187" s="1723"/>
      <c r="AJ187" s="1723"/>
      <c r="AK187" s="1723"/>
      <c r="AL187" s="1723"/>
      <c r="AM187" s="1723"/>
      <c r="AN187" s="1723"/>
      <c r="AO187" s="1723"/>
      <c r="AP187" s="1723"/>
      <c r="AQ187" s="1723"/>
      <c r="AR187" s="1723"/>
      <c r="AS187" s="1723"/>
      <c r="AT187" s="1723"/>
      <c r="AU187" s="1723"/>
      <c r="AV187" s="1723"/>
      <c r="AW187" s="1723"/>
      <c r="AX187" s="1723"/>
      <c r="AY187" s="1723"/>
      <c r="AZ187" s="1723"/>
      <c r="BA187" s="1723"/>
      <c r="BB187" s="1723"/>
      <c r="BC187" s="1723"/>
      <c r="BD187" s="1723"/>
      <c r="BE187" s="1723"/>
      <c r="BF187" s="1723"/>
      <c r="BG187" s="1723"/>
      <c r="BH187" s="1723"/>
      <c r="BI187" s="1723"/>
      <c r="BJ187" s="1723"/>
      <c r="BK187" s="1723"/>
      <c r="BL187" s="1723"/>
      <c r="BM187" s="1723"/>
      <c r="BN187" s="1723"/>
      <c r="BO187" s="1723"/>
      <c r="BP187" s="1723"/>
      <c r="BQ187" s="1723"/>
      <c r="BR187" s="1723"/>
      <c r="BS187" s="1723"/>
      <c r="BT187" s="1723"/>
      <c r="BU187" s="1723"/>
      <c r="BV187" s="1723"/>
      <c r="BW187" s="1723"/>
      <c r="BX187" s="1723"/>
      <c r="BY187" s="1723"/>
      <c r="BZ187" s="1723"/>
      <c r="CA187" s="1723"/>
      <c r="CB187" s="1723"/>
      <c r="CC187" s="1723"/>
      <c r="CD187" s="1723"/>
      <c r="CE187" s="1679"/>
      <c r="CF187" s="1723"/>
      <c r="CG187" s="1723"/>
      <c r="CH187" s="1723"/>
      <c r="CI187" s="1723"/>
      <c r="CJ187" s="1723"/>
      <c r="CK187" s="1723"/>
      <c r="CL187" s="1723"/>
      <c r="CM187" s="1723"/>
      <c r="CN187" s="1723"/>
      <c r="CO187" s="1723"/>
      <c r="CP187" s="1723"/>
      <c r="CQ187" s="1723"/>
      <c r="CR187" s="1723"/>
      <c r="CS187" s="1723"/>
      <c r="CT187" s="1723"/>
      <c r="CU187" s="1723"/>
      <c r="CV187" s="1723"/>
      <c r="CW187" s="1723"/>
      <c r="CX187" s="1723"/>
      <c r="CY187" s="1690"/>
      <c r="CZ187" s="1723"/>
      <c r="DA187" s="1723"/>
      <c r="DB187" s="1723"/>
      <c r="DC187" s="1723"/>
      <c r="DD187" s="1723"/>
      <c r="DE187" s="1723"/>
      <c r="DF187" s="1723"/>
      <c r="DG187" s="1723"/>
      <c r="DH187" s="1723"/>
      <c r="DI187" s="1723"/>
      <c r="DJ187" s="1723"/>
      <c r="DK187" s="1723"/>
      <c r="DL187" s="1723"/>
      <c r="DM187" s="1723"/>
      <c r="DN187" s="1723"/>
      <c r="DO187" s="1723"/>
      <c r="DP187" s="1723"/>
      <c r="DQ187" s="1723"/>
      <c r="DR187" s="1723"/>
      <c r="DS187" s="1723"/>
      <c r="DT187" s="1723"/>
      <c r="DU187" s="1725"/>
      <c r="DV187" s="1726"/>
    </row>
    <row r="188" spans="1:256" s="546" customFormat="1" ht="18" hidden="1" customHeight="1">
      <c r="A188" s="1695"/>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679"/>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693"/>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694"/>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686"/>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679"/>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685"/>
      <c r="IR189" s="543"/>
      <c r="IS189" s="543"/>
      <c r="IT189" s="543"/>
      <c r="IU189" s="543"/>
      <c r="IV189" s="543"/>
    </row>
    <row r="190" spans="1:256" ht="17.25" hidden="1" customHeight="1">
      <c r="A190" s="1686"/>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679"/>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685"/>
    </row>
    <row r="191" spans="1:256" ht="17.25" hidden="1" customHeight="1">
      <c r="A191" s="1686"/>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679"/>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685"/>
    </row>
    <row r="192" spans="1:256" ht="17.25" hidden="1" customHeight="1">
      <c r="A192" s="1686"/>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679"/>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685"/>
    </row>
    <row r="193" spans="1:256" ht="17.25" hidden="1" customHeight="1">
      <c r="A193" s="1686"/>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679"/>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685"/>
    </row>
    <row r="194" spans="1:256" ht="17.25" hidden="1" customHeight="1">
      <c r="A194" s="1686"/>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679"/>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685"/>
    </row>
    <row r="195" spans="1:256" s="679" customFormat="1" ht="17.25" hidden="1" customHeight="1">
      <c r="A195" s="1686"/>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679"/>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685"/>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23"/>
      <c r="B196" s="1724"/>
      <c r="C196" s="1723"/>
      <c r="D196" s="1723"/>
      <c r="E196" s="1723"/>
      <c r="F196" s="1723"/>
      <c r="G196" s="1723"/>
      <c r="H196" s="1723"/>
      <c r="I196" s="1723"/>
      <c r="J196" s="1723"/>
      <c r="K196" s="1723"/>
      <c r="L196" s="1723"/>
      <c r="M196" s="1723"/>
      <c r="N196" s="1723"/>
      <c r="O196" s="1723"/>
      <c r="P196" s="1723"/>
      <c r="Q196" s="1723"/>
      <c r="R196" s="1723"/>
      <c r="S196" s="1723"/>
      <c r="T196" s="1723"/>
      <c r="U196" s="1723"/>
      <c r="V196" s="1723"/>
      <c r="W196" s="1723"/>
      <c r="X196" s="1723"/>
      <c r="Y196" s="1723"/>
      <c r="Z196" s="1723"/>
      <c r="AA196" s="1723"/>
      <c r="AB196" s="1723"/>
      <c r="AC196" s="1723"/>
      <c r="AD196" s="1723"/>
      <c r="AE196" s="1723"/>
      <c r="AF196" s="1723"/>
      <c r="AG196" s="1723"/>
      <c r="AH196" s="1723"/>
      <c r="AI196" s="1723"/>
      <c r="AJ196" s="1723"/>
      <c r="AK196" s="1723"/>
      <c r="AL196" s="1723"/>
      <c r="AM196" s="1723"/>
      <c r="AN196" s="1723"/>
      <c r="AO196" s="1723"/>
      <c r="AP196" s="1723"/>
      <c r="AQ196" s="1723"/>
      <c r="AR196" s="1723"/>
      <c r="AS196" s="1723"/>
      <c r="AT196" s="1723"/>
      <c r="AU196" s="1723"/>
      <c r="AV196" s="1723"/>
      <c r="AW196" s="1723"/>
      <c r="AX196" s="1723"/>
      <c r="AY196" s="1723"/>
      <c r="AZ196" s="1723"/>
      <c r="BA196" s="1723"/>
      <c r="BB196" s="1723"/>
      <c r="BC196" s="1723"/>
      <c r="BD196" s="1723"/>
      <c r="BE196" s="1723"/>
      <c r="BF196" s="1723"/>
      <c r="BG196" s="1723"/>
      <c r="BH196" s="1723"/>
      <c r="BI196" s="1723"/>
      <c r="BJ196" s="1723"/>
      <c r="BK196" s="1723"/>
      <c r="BL196" s="1723"/>
      <c r="BM196" s="1723"/>
      <c r="BN196" s="1723"/>
      <c r="BO196" s="1723"/>
      <c r="BP196" s="1723"/>
      <c r="BQ196" s="1723"/>
      <c r="BR196" s="1723"/>
      <c r="BS196" s="1723"/>
      <c r="BT196" s="1723"/>
      <c r="BU196" s="1723"/>
      <c r="BV196" s="1723"/>
      <c r="BW196" s="1723"/>
      <c r="BX196" s="1723"/>
      <c r="BY196" s="1723"/>
      <c r="BZ196" s="1723"/>
      <c r="CA196" s="1723"/>
      <c r="CB196" s="1723"/>
      <c r="CC196" s="1723"/>
      <c r="CD196" s="1723"/>
      <c r="CE196" s="1679"/>
      <c r="CF196" s="1723"/>
      <c r="CG196" s="1723"/>
      <c r="CH196" s="1723"/>
      <c r="CI196" s="1723"/>
      <c r="CJ196" s="1723"/>
      <c r="CK196" s="1723"/>
      <c r="CL196" s="1723"/>
      <c r="CM196" s="1723"/>
      <c r="CN196" s="1723"/>
      <c r="CO196" s="1723"/>
      <c r="CP196" s="1723"/>
      <c r="CQ196" s="1723"/>
      <c r="CR196" s="1723"/>
      <c r="CS196" s="1723"/>
      <c r="CT196" s="1723"/>
      <c r="CU196" s="1723"/>
      <c r="CV196" s="1723"/>
      <c r="CW196" s="1723"/>
      <c r="CX196" s="1723"/>
      <c r="CY196" s="1690"/>
      <c r="CZ196" s="1723"/>
      <c r="DA196" s="1723"/>
      <c r="DB196" s="1723"/>
      <c r="DC196" s="1723"/>
      <c r="DD196" s="1723"/>
      <c r="DE196" s="1723"/>
      <c r="DF196" s="1723"/>
      <c r="DG196" s="1723"/>
      <c r="DH196" s="1723"/>
      <c r="DI196" s="1723"/>
      <c r="DJ196" s="1723"/>
      <c r="DK196" s="1723"/>
      <c r="DL196" s="1723"/>
      <c r="DM196" s="1723"/>
      <c r="DN196" s="1723"/>
      <c r="DO196" s="1723"/>
      <c r="DP196" s="1723"/>
      <c r="DQ196" s="1723"/>
      <c r="DR196" s="1723"/>
      <c r="DS196" s="1723"/>
      <c r="DT196" s="1723"/>
      <c r="DU196" s="1725"/>
      <c r="DV196" s="1726"/>
    </row>
    <row r="197" spans="1:256" s="546" customFormat="1" ht="18" hidden="1" customHeight="1">
      <c r="A197" s="1695"/>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679"/>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693"/>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694"/>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686"/>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679"/>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685"/>
      <c r="IR198" s="543"/>
      <c r="IS198" s="543"/>
      <c r="IT198" s="543"/>
      <c r="IU198" s="543"/>
      <c r="IV198" s="543"/>
    </row>
    <row r="199" spans="1:256" ht="17.25" hidden="1" customHeight="1">
      <c r="A199" s="1686"/>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679"/>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685"/>
    </row>
    <row r="200" spans="1:256" ht="17.25" hidden="1" customHeight="1">
      <c r="A200" s="1686"/>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679"/>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685"/>
    </row>
    <row r="201" spans="1:256" ht="17.25" hidden="1" customHeight="1">
      <c r="A201" s="1686"/>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679"/>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685"/>
    </row>
    <row r="202" spans="1:256" ht="17.25" hidden="1" customHeight="1">
      <c r="A202" s="1686"/>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679"/>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685"/>
    </row>
    <row r="203" spans="1:256" ht="17.25" hidden="1" customHeight="1">
      <c r="A203" s="1686"/>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679"/>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685"/>
    </row>
    <row r="204" spans="1:256" ht="17.25" hidden="1" customHeight="1">
      <c r="A204" s="1686"/>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679"/>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685"/>
    </row>
    <row r="205" spans="1:256" ht="17.25" hidden="1" customHeight="1">
      <c r="A205" s="1686"/>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679"/>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685"/>
    </row>
    <row r="206" spans="1:256" ht="17.25" hidden="1" customHeight="1">
      <c r="A206" s="1686"/>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679"/>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685"/>
    </row>
    <row r="207" spans="1:256" ht="17.25" hidden="1" customHeight="1">
      <c r="A207" s="1686"/>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679"/>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685"/>
    </row>
    <row r="208" spans="1:256" s="679" customFormat="1" ht="17.25" hidden="1" customHeight="1">
      <c r="A208" s="1686"/>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679"/>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685"/>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23"/>
      <c r="B209" s="1724"/>
      <c r="C209" s="1723"/>
      <c r="D209" s="1723"/>
      <c r="E209" s="1723"/>
      <c r="F209" s="1723"/>
      <c r="G209" s="1723"/>
      <c r="H209" s="1723"/>
      <c r="I209" s="1723"/>
      <c r="J209" s="1723"/>
      <c r="K209" s="1723"/>
      <c r="L209" s="1723"/>
      <c r="M209" s="1723"/>
      <c r="N209" s="1723"/>
      <c r="O209" s="1723"/>
      <c r="P209" s="1723"/>
      <c r="Q209" s="1723"/>
      <c r="R209" s="1723"/>
      <c r="S209" s="1723"/>
      <c r="T209" s="1723"/>
      <c r="U209" s="1723"/>
      <c r="V209" s="1723"/>
      <c r="W209" s="1723"/>
      <c r="X209" s="1723"/>
      <c r="Y209" s="1723"/>
      <c r="Z209" s="1723"/>
      <c r="AA209" s="1723"/>
      <c r="AB209" s="1723"/>
      <c r="AC209" s="1723"/>
      <c r="AD209" s="1723"/>
      <c r="AE209" s="1723"/>
      <c r="AF209" s="1723"/>
      <c r="AG209" s="1723"/>
      <c r="AH209" s="1723"/>
      <c r="AI209" s="1723"/>
      <c r="AJ209" s="1723"/>
      <c r="AK209" s="1723"/>
      <c r="AL209" s="1723"/>
      <c r="AM209" s="1723"/>
      <c r="AN209" s="1723"/>
      <c r="AO209" s="1723"/>
      <c r="AP209" s="1723"/>
      <c r="AQ209" s="1723"/>
      <c r="AR209" s="1723"/>
      <c r="AS209" s="1723"/>
      <c r="AT209" s="1723"/>
      <c r="AU209" s="1723"/>
      <c r="AV209" s="1723"/>
      <c r="AW209" s="1723"/>
      <c r="AX209" s="1723"/>
      <c r="AY209" s="1723"/>
      <c r="AZ209" s="1723"/>
      <c r="BA209" s="1723"/>
      <c r="BB209" s="1723"/>
      <c r="BC209" s="1723"/>
      <c r="BD209" s="1723"/>
      <c r="BE209" s="1723"/>
      <c r="BF209" s="1723"/>
      <c r="BG209" s="1723"/>
      <c r="BH209" s="1723"/>
      <c r="BI209" s="1723"/>
      <c r="BJ209" s="1723"/>
      <c r="BK209" s="1723"/>
      <c r="BL209" s="1723"/>
      <c r="BM209" s="1723"/>
      <c r="BN209" s="1723"/>
      <c r="BO209" s="1723"/>
      <c r="BP209" s="1723"/>
      <c r="BQ209" s="1723"/>
      <c r="BR209" s="1723"/>
      <c r="BS209" s="1723"/>
      <c r="BT209" s="1723"/>
      <c r="BU209" s="1723"/>
      <c r="BV209" s="1723"/>
      <c r="BW209" s="1723"/>
      <c r="BX209" s="1723"/>
      <c r="BY209" s="1723"/>
      <c r="BZ209" s="1723"/>
      <c r="CA209" s="1723"/>
      <c r="CB209" s="1723"/>
      <c r="CC209" s="1723"/>
      <c r="CD209" s="1723"/>
      <c r="CE209" s="1679"/>
      <c r="CF209" s="1723"/>
      <c r="CG209" s="1723"/>
      <c r="CH209" s="1723"/>
      <c r="CI209" s="1723"/>
      <c r="CJ209" s="1723"/>
      <c r="CK209" s="1723"/>
      <c r="CL209" s="1723"/>
      <c r="CM209" s="1723"/>
      <c r="CN209" s="1723"/>
      <c r="CO209" s="1723"/>
      <c r="CP209" s="1723"/>
      <c r="CQ209" s="1723"/>
      <c r="CR209" s="1723"/>
      <c r="CS209" s="1723"/>
      <c r="CT209" s="1723"/>
      <c r="CU209" s="1723"/>
      <c r="CV209" s="1723"/>
      <c r="CW209" s="1723"/>
      <c r="CX209" s="1723"/>
      <c r="CY209" s="1690"/>
      <c r="CZ209" s="1723"/>
      <c r="DA209" s="1723"/>
      <c r="DB209" s="1723"/>
      <c r="DC209" s="1723"/>
      <c r="DD209" s="1723"/>
      <c r="DE209" s="1723"/>
      <c r="DF209" s="1723"/>
      <c r="DG209" s="1723"/>
      <c r="DH209" s="1723"/>
      <c r="DI209" s="1723"/>
      <c r="DJ209" s="1723"/>
      <c r="DK209" s="1723"/>
      <c r="DL209" s="1723"/>
      <c r="DM209" s="1723"/>
      <c r="DN209" s="1723"/>
      <c r="DO209" s="1723"/>
      <c r="DP209" s="1723"/>
      <c r="DQ209" s="1723"/>
      <c r="DR209" s="1723"/>
      <c r="DS209" s="1723"/>
      <c r="DT209" s="1723"/>
      <c r="DU209" s="1725"/>
      <c r="DV209" s="1726"/>
    </row>
    <row r="210" spans="1:256" s="546" customFormat="1" ht="18" hidden="1" customHeight="1">
      <c r="A210" s="1695"/>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679"/>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693"/>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694"/>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686"/>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679"/>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685"/>
      <c r="IR211" s="543"/>
      <c r="IS211" s="543"/>
      <c r="IT211" s="543"/>
      <c r="IU211" s="543"/>
      <c r="IV211" s="543"/>
    </row>
    <row r="212" spans="1:256" ht="17.25" hidden="1" customHeight="1">
      <c r="A212" s="1686"/>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679"/>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685"/>
    </row>
    <row r="213" spans="1:256" ht="17.25" hidden="1" customHeight="1">
      <c r="A213" s="1686"/>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679"/>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685"/>
    </row>
    <row r="214" spans="1:256" ht="17.25" hidden="1" customHeight="1">
      <c r="A214" s="1686"/>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679"/>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685"/>
    </row>
    <row r="215" spans="1:256" s="679" customFormat="1" ht="17.25" hidden="1" customHeight="1">
      <c r="A215" s="1686"/>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679"/>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685"/>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23"/>
      <c r="B216" s="1724"/>
      <c r="C216" s="1723"/>
      <c r="D216" s="1723"/>
      <c r="E216" s="1723"/>
      <c r="F216" s="1723"/>
      <c r="G216" s="1723"/>
      <c r="H216" s="1723"/>
      <c r="I216" s="1723"/>
      <c r="J216" s="1723"/>
      <c r="K216" s="1723"/>
      <c r="L216" s="1723"/>
      <c r="M216" s="1723"/>
      <c r="N216" s="1723"/>
      <c r="O216" s="1723"/>
      <c r="P216" s="1723"/>
      <c r="Q216" s="1723"/>
      <c r="R216" s="1723"/>
      <c r="S216" s="1723"/>
      <c r="T216" s="1723"/>
      <c r="U216" s="1723"/>
      <c r="V216" s="1723"/>
      <c r="W216" s="1723"/>
      <c r="X216" s="1723"/>
      <c r="Y216" s="1723"/>
      <c r="Z216" s="1723"/>
      <c r="AA216" s="1723"/>
      <c r="AB216" s="1723"/>
      <c r="AC216" s="1723"/>
      <c r="AD216" s="1723"/>
      <c r="AE216" s="1723"/>
      <c r="AF216" s="1723"/>
      <c r="AG216" s="1723"/>
      <c r="AH216" s="1723"/>
      <c r="AI216" s="1723"/>
      <c r="AJ216" s="1723"/>
      <c r="AK216" s="1723"/>
      <c r="AL216" s="1723"/>
      <c r="AM216" s="1723"/>
      <c r="AN216" s="1723"/>
      <c r="AO216" s="1723"/>
      <c r="AP216" s="1723"/>
      <c r="AQ216" s="1723"/>
      <c r="AR216" s="1723"/>
      <c r="AS216" s="1723"/>
      <c r="AT216" s="1723"/>
      <c r="AU216" s="1723"/>
      <c r="AV216" s="1723"/>
      <c r="AW216" s="1723"/>
      <c r="AX216" s="1723"/>
      <c r="AY216" s="1723"/>
      <c r="AZ216" s="1723"/>
      <c r="BA216" s="1723"/>
      <c r="BB216" s="1723"/>
      <c r="BC216" s="1723"/>
      <c r="BD216" s="1723"/>
      <c r="BE216" s="1723"/>
      <c r="BF216" s="1723"/>
      <c r="BG216" s="1723"/>
      <c r="BH216" s="1723"/>
      <c r="BI216" s="1723"/>
      <c r="BJ216" s="1723"/>
      <c r="BK216" s="1723"/>
      <c r="BL216" s="1723"/>
      <c r="BM216" s="1723"/>
      <c r="BN216" s="1723"/>
      <c r="BO216" s="1723"/>
      <c r="BP216" s="1723"/>
      <c r="BQ216" s="1723"/>
      <c r="BR216" s="1723"/>
      <c r="BS216" s="1723"/>
      <c r="BT216" s="1723"/>
      <c r="BU216" s="1723"/>
      <c r="BV216" s="1723"/>
      <c r="BW216" s="1723"/>
      <c r="BX216" s="1723"/>
      <c r="BY216" s="1723"/>
      <c r="BZ216" s="1723"/>
      <c r="CA216" s="1723"/>
      <c r="CB216" s="1723"/>
      <c r="CC216" s="1723"/>
      <c r="CD216" s="1723"/>
      <c r="CE216" s="1679"/>
      <c r="CF216" s="1723"/>
      <c r="CG216" s="1723"/>
      <c r="CH216" s="1723"/>
      <c r="CI216" s="1723"/>
      <c r="CJ216" s="1723"/>
      <c r="CK216" s="1723"/>
      <c r="CL216" s="1723"/>
      <c r="CM216" s="1723"/>
      <c r="CN216" s="1723"/>
      <c r="CO216" s="1723"/>
      <c r="CP216" s="1723"/>
      <c r="CQ216" s="1723"/>
      <c r="CR216" s="1723"/>
      <c r="CS216" s="1723"/>
      <c r="CT216" s="1723"/>
      <c r="CU216" s="1723"/>
      <c r="CV216" s="1723"/>
      <c r="CW216" s="1723"/>
      <c r="CX216" s="1723"/>
      <c r="CY216" s="1690"/>
      <c r="CZ216" s="1723"/>
      <c r="DA216" s="1723"/>
      <c r="DB216" s="1723"/>
      <c r="DC216" s="1723"/>
      <c r="DD216" s="1723"/>
      <c r="DE216" s="1723"/>
      <c r="DF216" s="1723"/>
      <c r="DG216" s="1723"/>
      <c r="DH216" s="1723"/>
      <c r="DI216" s="1723"/>
      <c r="DJ216" s="1723"/>
      <c r="DK216" s="1723"/>
      <c r="DL216" s="1723"/>
      <c r="DM216" s="1723"/>
      <c r="DN216" s="1723"/>
      <c r="DO216" s="1723"/>
      <c r="DP216" s="1723"/>
      <c r="DQ216" s="1723"/>
      <c r="DR216" s="1723"/>
      <c r="DS216" s="1723"/>
      <c r="DT216" s="1723"/>
      <c r="DU216" s="1725"/>
      <c r="DV216" s="1726"/>
    </row>
    <row r="217" spans="1:256" s="546" customFormat="1" ht="18" hidden="1" customHeight="1">
      <c r="A217" s="1695"/>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679"/>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693"/>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694"/>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686"/>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679"/>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685"/>
      <c r="IR218" s="543"/>
      <c r="IS218" s="543"/>
      <c r="IT218" s="543"/>
      <c r="IU218" s="543"/>
      <c r="IV218" s="543"/>
    </row>
    <row r="219" spans="1:256" ht="17.25" hidden="1" customHeight="1">
      <c r="A219" s="1686"/>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679"/>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685"/>
    </row>
    <row r="220" spans="1:256" ht="17.25" hidden="1" customHeight="1">
      <c r="A220" s="1686"/>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679"/>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685"/>
    </row>
    <row r="221" spans="1:256" ht="17.25" hidden="1" customHeight="1">
      <c r="A221" s="1686"/>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679"/>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685"/>
    </row>
    <row r="222" spans="1:256" s="679" customFormat="1" ht="17.25" hidden="1" customHeight="1">
      <c r="A222" s="1686"/>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679"/>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685"/>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23"/>
      <c r="B223" s="1724"/>
      <c r="C223" s="1723"/>
      <c r="D223" s="1723"/>
      <c r="E223" s="1723"/>
      <c r="F223" s="1723"/>
      <c r="G223" s="1723"/>
      <c r="H223" s="1723"/>
      <c r="I223" s="1723"/>
      <c r="J223" s="1723"/>
      <c r="K223" s="1723"/>
      <c r="L223" s="1723"/>
      <c r="M223" s="1723"/>
      <c r="N223" s="1723"/>
      <c r="O223" s="1723"/>
      <c r="P223" s="1723"/>
      <c r="Q223" s="1723"/>
      <c r="R223" s="1723"/>
      <c r="S223" s="1723"/>
      <c r="T223" s="1723"/>
      <c r="U223" s="1723"/>
      <c r="V223" s="1723"/>
      <c r="W223" s="1723"/>
      <c r="X223" s="1723"/>
      <c r="Y223" s="1723"/>
      <c r="Z223" s="1723"/>
      <c r="AA223" s="1723"/>
      <c r="AB223" s="1723"/>
      <c r="AC223" s="1723"/>
      <c r="AD223" s="1723"/>
      <c r="AE223" s="1723"/>
      <c r="AF223" s="1723"/>
      <c r="AG223" s="1723"/>
      <c r="AH223" s="1723"/>
      <c r="AI223" s="1723"/>
      <c r="AJ223" s="1723"/>
      <c r="AK223" s="1723"/>
      <c r="AL223" s="1723"/>
      <c r="AM223" s="1723"/>
      <c r="AN223" s="1723"/>
      <c r="AO223" s="1723"/>
      <c r="AP223" s="1723"/>
      <c r="AQ223" s="1723"/>
      <c r="AR223" s="1723"/>
      <c r="AS223" s="1723"/>
      <c r="AT223" s="1723"/>
      <c r="AU223" s="1723"/>
      <c r="AV223" s="1723"/>
      <c r="AW223" s="1723"/>
      <c r="AX223" s="1723"/>
      <c r="AY223" s="1723"/>
      <c r="AZ223" s="1723"/>
      <c r="BA223" s="1723"/>
      <c r="BB223" s="1723"/>
      <c r="BC223" s="1723"/>
      <c r="BD223" s="1723"/>
      <c r="BE223" s="1723"/>
      <c r="BF223" s="1723"/>
      <c r="BG223" s="1723"/>
      <c r="BH223" s="1723"/>
      <c r="BI223" s="1723"/>
      <c r="BJ223" s="1723"/>
      <c r="BK223" s="1723"/>
      <c r="BL223" s="1723"/>
      <c r="BM223" s="1723"/>
      <c r="BN223" s="1723"/>
      <c r="BO223" s="1723"/>
      <c r="BP223" s="1723"/>
      <c r="BQ223" s="1723"/>
      <c r="BR223" s="1723"/>
      <c r="BS223" s="1723"/>
      <c r="BT223" s="1723"/>
      <c r="BU223" s="1723"/>
      <c r="BV223" s="1723"/>
      <c r="BW223" s="1723"/>
      <c r="BX223" s="1723"/>
      <c r="BY223" s="1723"/>
      <c r="BZ223" s="1723"/>
      <c r="CA223" s="1723"/>
      <c r="CB223" s="1723"/>
      <c r="CC223" s="1723"/>
      <c r="CD223" s="1723"/>
      <c r="CE223" s="1679"/>
      <c r="CF223" s="1723"/>
      <c r="CG223" s="1723"/>
      <c r="CH223" s="1723"/>
      <c r="CI223" s="1723"/>
      <c r="CJ223" s="1723"/>
      <c r="CK223" s="1723"/>
      <c r="CL223" s="1723"/>
      <c r="CM223" s="1723"/>
      <c r="CN223" s="1723"/>
      <c r="CO223" s="1723"/>
      <c r="CP223" s="1723"/>
      <c r="CQ223" s="1723"/>
      <c r="CR223" s="1723"/>
      <c r="CS223" s="1723"/>
      <c r="CT223" s="1723"/>
      <c r="CU223" s="1723"/>
      <c r="CV223" s="1723"/>
      <c r="CW223" s="1723"/>
      <c r="CX223" s="1723"/>
      <c r="CY223" s="1690"/>
      <c r="CZ223" s="1723"/>
      <c r="DA223" s="1723"/>
      <c r="DB223" s="1723"/>
      <c r="DC223" s="1723"/>
      <c r="DD223" s="1723"/>
      <c r="DE223" s="1723"/>
      <c r="DF223" s="1723"/>
      <c r="DG223" s="1723"/>
      <c r="DH223" s="1723"/>
      <c r="DI223" s="1723"/>
      <c r="DJ223" s="1723"/>
      <c r="DK223" s="1723"/>
      <c r="DL223" s="1723"/>
      <c r="DM223" s="1723"/>
      <c r="DN223" s="1723"/>
      <c r="DO223" s="1723"/>
      <c r="DP223" s="1723"/>
      <c r="DQ223" s="1723"/>
      <c r="DR223" s="1723"/>
      <c r="DS223" s="1723"/>
      <c r="DT223" s="1723"/>
      <c r="DU223" s="1725"/>
      <c r="DV223" s="1726"/>
    </row>
    <row r="224" spans="1:256" s="546" customFormat="1" ht="18" hidden="1" customHeight="1">
      <c r="A224" s="1695"/>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679"/>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693"/>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694"/>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686"/>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679"/>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685"/>
      <c r="IR225" s="543"/>
      <c r="IS225" s="543"/>
      <c r="IT225" s="543"/>
      <c r="IU225" s="543"/>
      <c r="IV225" s="543"/>
    </row>
    <row r="226" spans="1:256" ht="17.25" hidden="1" customHeight="1">
      <c r="A226" s="1686"/>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679"/>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685"/>
    </row>
    <row r="227" spans="1:256" ht="17.25" hidden="1" customHeight="1">
      <c r="A227" s="1686"/>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679"/>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685"/>
    </row>
    <row r="228" spans="1:256" ht="17.25" hidden="1" customHeight="1">
      <c r="A228" s="1686"/>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679"/>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685"/>
    </row>
    <row r="229" spans="1:256" ht="17.25" hidden="1" customHeight="1">
      <c r="A229" s="1686"/>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679"/>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685"/>
    </row>
    <row r="230" spans="1:256" ht="17.25" hidden="1" customHeight="1">
      <c r="A230" s="1686"/>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679"/>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685"/>
    </row>
    <row r="231" spans="1:256" ht="17.25" hidden="1" customHeight="1">
      <c r="A231" s="1686"/>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679"/>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685"/>
    </row>
    <row r="232" spans="1:256" ht="17.25" hidden="1" customHeight="1">
      <c r="A232" s="1686"/>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679"/>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685"/>
    </row>
    <row r="233" spans="1:256" ht="17.25" hidden="1" customHeight="1">
      <c r="A233" s="1686"/>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679"/>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685"/>
    </row>
    <row r="234" spans="1:256" ht="17.25" hidden="1" customHeight="1">
      <c r="A234" s="1686"/>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679"/>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685"/>
    </row>
    <row r="235" spans="1:256" s="679" customFormat="1" ht="17.25" hidden="1" customHeight="1">
      <c r="A235" s="1686"/>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679"/>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685"/>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23"/>
      <c r="B236" s="1724"/>
      <c r="C236" s="1723"/>
      <c r="D236" s="1723"/>
      <c r="E236" s="1723"/>
      <c r="F236" s="1723"/>
      <c r="G236" s="1723"/>
      <c r="H236" s="1723"/>
      <c r="I236" s="1723"/>
      <c r="J236" s="1723"/>
      <c r="K236" s="1723"/>
      <c r="L236" s="1723"/>
      <c r="M236" s="1723"/>
      <c r="N236" s="1723"/>
      <c r="O236" s="1723"/>
      <c r="P236" s="1723"/>
      <c r="Q236" s="1723"/>
      <c r="R236" s="1723"/>
      <c r="S236" s="1723"/>
      <c r="T236" s="1723"/>
      <c r="U236" s="1723"/>
      <c r="V236" s="1723"/>
      <c r="W236" s="1723"/>
      <c r="X236" s="1723"/>
      <c r="Y236" s="1723"/>
      <c r="Z236" s="1723"/>
      <c r="AA236" s="1723"/>
      <c r="AB236" s="1723"/>
      <c r="AC236" s="1723"/>
      <c r="AD236" s="1723"/>
      <c r="AE236" s="1723"/>
      <c r="AF236" s="1723"/>
      <c r="AG236" s="1723"/>
      <c r="AH236" s="1723"/>
      <c r="AI236" s="1723"/>
      <c r="AJ236" s="1723"/>
      <c r="AK236" s="1723"/>
      <c r="AL236" s="1723"/>
      <c r="AM236" s="1723"/>
      <c r="AN236" s="1723"/>
      <c r="AO236" s="1723"/>
      <c r="AP236" s="1723"/>
      <c r="AQ236" s="1723"/>
      <c r="AR236" s="1723"/>
      <c r="AS236" s="1723"/>
      <c r="AT236" s="1723"/>
      <c r="AU236" s="1723"/>
      <c r="AV236" s="1723"/>
      <c r="AW236" s="1723"/>
      <c r="AX236" s="1723"/>
      <c r="AY236" s="1723"/>
      <c r="AZ236" s="1723"/>
      <c r="BA236" s="1723"/>
      <c r="BB236" s="1723"/>
      <c r="BC236" s="1723"/>
      <c r="BD236" s="1723"/>
      <c r="BE236" s="1723"/>
      <c r="BF236" s="1723"/>
      <c r="BG236" s="1723"/>
      <c r="BH236" s="1723"/>
      <c r="BI236" s="1723"/>
      <c r="BJ236" s="1723"/>
      <c r="BK236" s="1723"/>
      <c r="BL236" s="1723"/>
      <c r="BM236" s="1723"/>
      <c r="BN236" s="1723"/>
      <c r="BO236" s="1723"/>
      <c r="BP236" s="1723"/>
      <c r="BQ236" s="1723"/>
      <c r="BR236" s="1723"/>
      <c r="BS236" s="1723"/>
      <c r="BT236" s="1723"/>
      <c r="BU236" s="1723"/>
      <c r="BV236" s="1723"/>
      <c r="BW236" s="1723"/>
      <c r="BX236" s="1723"/>
      <c r="BY236" s="1723"/>
      <c r="BZ236" s="1723"/>
      <c r="CA236" s="1723"/>
      <c r="CB236" s="1723"/>
      <c r="CC236" s="1723"/>
      <c r="CD236" s="1723"/>
      <c r="CE236" s="1679"/>
      <c r="CF236" s="1723"/>
      <c r="CG236" s="1723"/>
      <c r="CH236" s="1723"/>
      <c r="CI236" s="1723"/>
      <c r="CJ236" s="1723"/>
      <c r="CK236" s="1723"/>
      <c r="CL236" s="1723"/>
      <c r="CM236" s="1723"/>
      <c r="CN236" s="1723"/>
      <c r="CO236" s="1723"/>
      <c r="CP236" s="1723"/>
      <c r="CQ236" s="1723"/>
      <c r="CR236" s="1723"/>
      <c r="CS236" s="1723"/>
      <c r="CT236" s="1723"/>
      <c r="CU236" s="1723"/>
      <c r="CV236" s="1723"/>
      <c r="CW236" s="1723"/>
      <c r="CX236" s="1723"/>
      <c r="CY236" s="1690"/>
      <c r="CZ236" s="1723"/>
      <c r="DA236" s="1723"/>
      <c r="DB236" s="1723"/>
      <c r="DC236" s="1723"/>
      <c r="DD236" s="1723"/>
      <c r="DE236" s="1723"/>
      <c r="DF236" s="1723"/>
      <c r="DG236" s="1723"/>
      <c r="DH236" s="1723"/>
      <c r="DI236" s="1723"/>
      <c r="DJ236" s="1723"/>
      <c r="DK236" s="1723"/>
      <c r="DL236" s="1723"/>
      <c r="DM236" s="1723"/>
      <c r="DN236" s="1723"/>
      <c r="DO236" s="1723"/>
      <c r="DP236" s="1723"/>
      <c r="DQ236" s="1723"/>
      <c r="DR236" s="1723"/>
      <c r="DS236" s="1723"/>
      <c r="DT236" s="1723"/>
      <c r="DU236" s="1725"/>
      <c r="DV236" s="1726"/>
    </row>
    <row r="237" spans="1:256" s="546" customFormat="1" ht="18" hidden="1" customHeight="1">
      <c r="A237" s="1695"/>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679"/>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693"/>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694"/>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686"/>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679"/>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685"/>
      <c r="IR238" s="543"/>
      <c r="IS238" s="543"/>
      <c r="IT238" s="543"/>
      <c r="IU238" s="543"/>
      <c r="IV238" s="543"/>
    </row>
    <row r="239" spans="1:256" ht="17.25" hidden="1" customHeight="1">
      <c r="A239" s="1686"/>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679"/>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685"/>
    </row>
    <row r="240" spans="1:256" ht="17.25" hidden="1" customHeight="1">
      <c r="A240" s="1686"/>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679"/>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685"/>
    </row>
    <row r="241" spans="1:256" ht="17.25" hidden="1" customHeight="1">
      <c r="A241" s="1686"/>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679"/>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685"/>
    </row>
    <row r="242" spans="1:256" ht="17.25" hidden="1" customHeight="1">
      <c r="A242" s="1686"/>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679"/>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685"/>
    </row>
    <row r="243" spans="1:256" ht="17.25" hidden="1" customHeight="1">
      <c r="A243" s="1686"/>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679"/>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685"/>
    </row>
    <row r="244" spans="1:256" ht="17.25" hidden="1" customHeight="1">
      <c r="A244" s="1686"/>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679"/>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685"/>
    </row>
    <row r="245" spans="1:256" ht="17.25" hidden="1" customHeight="1">
      <c r="A245" s="1686"/>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679"/>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685"/>
    </row>
    <row r="246" spans="1:256" ht="17.25" hidden="1" customHeight="1">
      <c r="A246" s="1686"/>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679"/>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685"/>
    </row>
    <row r="247" spans="1:256" ht="17.25" hidden="1" customHeight="1">
      <c r="A247" s="1686"/>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679"/>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685"/>
    </row>
    <row r="248" spans="1:256" ht="17.25" hidden="1" customHeight="1">
      <c r="A248" s="1686"/>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679"/>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685"/>
    </row>
    <row r="249" spans="1:256" ht="17.25" hidden="1" customHeight="1">
      <c r="A249" s="1686"/>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679"/>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685"/>
    </row>
    <row r="250" spans="1:256" ht="17.25" hidden="1" customHeight="1">
      <c r="A250" s="1686"/>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679"/>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685"/>
    </row>
    <row r="251" spans="1:256" ht="17.25" hidden="1" customHeight="1">
      <c r="A251" s="1686"/>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679"/>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685"/>
    </row>
    <row r="252" spans="1:256" ht="17.25" hidden="1" customHeight="1">
      <c r="A252" s="1686"/>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679"/>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685"/>
    </row>
    <row r="253" spans="1:256" ht="17.25" hidden="1" customHeight="1">
      <c r="A253" s="1686"/>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679"/>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685"/>
    </row>
    <row r="254" spans="1:256" s="679" customFormat="1" ht="17.25" hidden="1" customHeight="1">
      <c r="A254" s="1686"/>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679"/>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685"/>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23"/>
      <c r="B255" s="1724"/>
      <c r="C255" s="1723"/>
      <c r="D255" s="1723"/>
      <c r="E255" s="1723"/>
      <c r="F255" s="1723"/>
      <c r="G255" s="1723"/>
      <c r="H255" s="1723"/>
      <c r="I255" s="1723"/>
      <c r="J255" s="1723"/>
      <c r="K255" s="1723"/>
      <c r="L255" s="1723"/>
      <c r="M255" s="1723"/>
      <c r="N255" s="1723"/>
      <c r="O255" s="1723"/>
      <c r="P255" s="1723"/>
      <c r="Q255" s="1723"/>
      <c r="R255" s="1723"/>
      <c r="S255" s="1723"/>
      <c r="T255" s="1723"/>
      <c r="U255" s="1723"/>
      <c r="V255" s="1723"/>
      <c r="W255" s="1723"/>
      <c r="X255" s="1723"/>
      <c r="Y255" s="1723"/>
      <c r="Z255" s="1723"/>
      <c r="AA255" s="1723"/>
      <c r="AB255" s="1723"/>
      <c r="AC255" s="1723"/>
      <c r="AD255" s="1723"/>
      <c r="AE255" s="1723"/>
      <c r="AF255" s="1723"/>
      <c r="AG255" s="1723"/>
      <c r="AH255" s="1723"/>
      <c r="AI255" s="1723"/>
      <c r="AJ255" s="1723"/>
      <c r="AK255" s="1723"/>
      <c r="AL255" s="1723"/>
      <c r="AM255" s="1723"/>
      <c r="AN255" s="1723"/>
      <c r="AO255" s="1723"/>
      <c r="AP255" s="1723"/>
      <c r="AQ255" s="1723"/>
      <c r="AR255" s="1723"/>
      <c r="AS255" s="1723"/>
      <c r="AT255" s="1723"/>
      <c r="AU255" s="1723"/>
      <c r="AV255" s="1723"/>
      <c r="AW255" s="1723"/>
      <c r="AX255" s="1723"/>
      <c r="AY255" s="1723"/>
      <c r="AZ255" s="1723"/>
      <c r="BA255" s="1723"/>
      <c r="BB255" s="1723"/>
      <c r="BC255" s="1723"/>
      <c r="BD255" s="1723"/>
      <c r="BE255" s="1723"/>
      <c r="BF255" s="1723"/>
      <c r="BG255" s="1723"/>
      <c r="BH255" s="1723"/>
      <c r="BI255" s="1723"/>
      <c r="BJ255" s="1723"/>
      <c r="BK255" s="1723"/>
      <c r="BL255" s="1723"/>
      <c r="BM255" s="1723"/>
      <c r="BN255" s="1723"/>
      <c r="BO255" s="1723"/>
      <c r="BP255" s="1723"/>
      <c r="BQ255" s="1723"/>
      <c r="BR255" s="1723"/>
      <c r="BS255" s="1723"/>
      <c r="BT255" s="1723"/>
      <c r="BU255" s="1723"/>
      <c r="BV255" s="1723"/>
      <c r="BW255" s="1723"/>
      <c r="BX255" s="1723"/>
      <c r="BY255" s="1723"/>
      <c r="BZ255" s="1723"/>
      <c r="CA255" s="1723"/>
      <c r="CB255" s="1723"/>
      <c r="CC255" s="1723"/>
      <c r="CD255" s="1723"/>
      <c r="CE255" s="1679"/>
      <c r="CF255" s="1723"/>
      <c r="CG255" s="1723"/>
      <c r="CH255" s="1723"/>
      <c r="CI255" s="1723"/>
      <c r="CJ255" s="1723"/>
      <c r="CK255" s="1723"/>
      <c r="CL255" s="1723"/>
      <c r="CM255" s="1723"/>
      <c r="CN255" s="1723"/>
      <c r="CO255" s="1723"/>
      <c r="CP255" s="1723"/>
      <c r="CQ255" s="1723"/>
      <c r="CR255" s="1723"/>
      <c r="CS255" s="1723"/>
      <c r="CT255" s="1723"/>
      <c r="CU255" s="1723"/>
      <c r="CV255" s="1723"/>
      <c r="CW255" s="1723"/>
      <c r="CX255" s="1723"/>
      <c r="CY255" s="1690"/>
      <c r="CZ255" s="1723"/>
      <c r="DA255" s="1723"/>
      <c r="DB255" s="1723"/>
      <c r="DC255" s="1723"/>
      <c r="DD255" s="1723"/>
      <c r="DE255" s="1723"/>
      <c r="DF255" s="1723"/>
      <c r="DG255" s="1723"/>
      <c r="DH255" s="1723"/>
      <c r="DI255" s="1723"/>
      <c r="DJ255" s="1723"/>
      <c r="DK255" s="1723"/>
      <c r="DL255" s="1723"/>
      <c r="DM255" s="1723"/>
      <c r="DN255" s="1723"/>
      <c r="DO255" s="1723"/>
      <c r="DP255" s="1723"/>
      <c r="DQ255" s="1723"/>
      <c r="DR255" s="1723"/>
      <c r="DS255" s="1723"/>
      <c r="DT255" s="1723"/>
      <c r="DU255" s="1725"/>
      <c r="DV255" s="1726"/>
    </row>
    <row r="256" spans="1:256" s="554" customFormat="1" ht="18.75" hidden="1" customHeight="1">
      <c r="A256" s="1727"/>
      <c r="B256" s="1713"/>
      <c r="C256" s="1713"/>
      <c r="D256" s="1713"/>
      <c r="E256" s="1713"/>
      <c r="F256" s="1713"/>
      <c r="G256" s="1713"/>
      <c r="H256" s="1713"/>
      <c r="I256" s="1713"/>
      <c r="J256" s="1713"/>
      <c r="K256" s="1713"/>
      <c r="L256" s="1713"/>
      <c r="M256" s="1713"/>
      <c r="N256" s="1713"/>
      <c r="O256" s="1713"/>
      <c r="P256" s="1713"/>
      <c r="Q256" s="1713"/>
      <c r="R256" s="1713"/>
      <c r="S256" s="1713"/>
      <c r="T256" s="1713"/>
      <c r="U256" s="1713"/>
      <c r="V256" s="1713"/>
      <c r="W256" s="1713"/>
      <c r="X256" s="1713"/>
      <c r="Y256" s="1713"/>
      <c r="Z256" s="1713"/>
      <c r="AA256" s="1713"/>
      <c r="AB256" s="1713"/>
      <c r="AC256" s="1713"/>
      <c r="AD256" s="1713"/>
      <c r="AE256" s="1713"/>
      <c r="AF256" s="1713"/>
      <c r="AG256" s="1713"/>
      <c r="AH256" s="1713"/>
      <c r="AI256" s="1713"/>
      <c r="AJ256" s="1713"/>
      <c r="AK256" s="1713"/>
      <c r="AL256" s="1713"/>
      <c r="AM256" s="1713"/>
      <c r="AN256" s="1713"/>
      <c r="AO256" s="1713"/>
      <c r="AP256" s="1713"/>
      <c r="AQ256" s="1713"/>
      <c r="AR256" s="1713"/>
      <c r="AS256" s="1713"/>
      <c r="AT256" s="1713"/>
      <c r="AU256" s="1713"/>
      <c r="AV256" s="1713"/>
      <c r="AW256" s="1713"/>
      <c r="AX256" s="1713"/>
      <c r="AY256" s="1713"/>
      <c r="AZ256" s="1713"/>
      <c r="BA256" s="1713"/>
      <c r="BB256" s="1713"/>
      <c r="BC256" s="1713"/>
      <c r="BD256" s="1713"/>
      <c r="BE256" s="1713"/>
      <c r="BF256" s="1713"/>
      <c r="BG256" s="1713"/>
      <c r="BH256" s="1713"/>
      <c r="BI256" s="1713"/>
      <c r="BJ256" s="1713"/>
      <c r="BK256" s="1713"/>
      <c r="BL256" s="1713"/>
      <c r="BM256" s="1713"/>
      <c r="BN256" s="1713"/>
      <c r="BO256" s="1713"/>
      <c r="BP256" s="1713"/>
      <c r="BQ256" s="1713"/>
      <c r="BR256" s="1713"/>
      <c r="BS256" s="1713"/>
      <c r="BT256" s="1713"/>
      <c r="BU256" s="1713"/>
      <c r="BV256" s="1713"/>
      <c r="BW256" s="1713"/>
      <c r="BX256" s="1713"/>
      <c r="BY256" s="1713"/>
      <c r="BZ256" s="1713"/>
      <c r="CA256" s="1713"/>
      <c r="CB256" s="1713"/>
      <c r="CC256" s="1713"/>
      <c r="CD256" s="1713"/>
      <c r="CE256" s="1679"/>
      <c r="CF256" s="1713"/>
      <c r="CG256" s="1713"/>
      <c r="CH256" s="1713"/>
      <c r="CI256" s="1713"/>
      <c r="CJ256" s="1713"/>
      <c r="CK256" s="1713"/>
      <c r="CL256" s="1713"/>
      <c r="CM256" s="1713"/>
      <c r="CN256" s="1713"/>
      <c r="CO256" s="1713"/>
      <c r="CP256" s="1713"/>
      <c r="CQ256" s="1713"/>
      <c r="CR256" s="1713"/>
      <c r="CS256" s="1713"/>
      <c r="CT256" s="1713"/>
      <c r="CU256" s="1713"/>
      <c r="CV256" s="1713"/>
      <c r="CW256" s="1713"/>
      <c r="CX256" s="1713"/>
      <c r="CY256" s="1728"/>
      <c r="CZ256" s="1713"/>
      <c r="DA256" s="1713"/>
      <c r="DB256" s="1713"/>
      <c r="DC256" s="1713"/>
      <c r="DD256" s="1713"/>
      <c r="DE256" s="1713"/>
      <c r="DF256" s="1713"/>
      <c r="DG256" s="1713"/>
      <c r="DH256" s="1713"/>
      <c r="DI256" s="1713"/>
      <c r="DJ256" s="1713"/>
      <c r="DK256" s="1713"/>
      <c r="DL256" s="1713"/>
      <c r="DM256" s="1713"/>
      <c r="DN256" s="1713"/>
      <c r="DO256" s="1713"/>
      <c r="DP256" s="1713"/>
      <c r="DQ256" s="1713"/>
      <c r="DR256" s="1713"/>
      <c r="DS256" s="1713"/>
      <c r="DT256" s="1713"/>
      <c r="DU256" s="1713"/>
      <c r="DV256" s="1716"/>
      <c r="IR256" s="531"/>
      <c r="IS256" s="531"/>
      <c r="IT256" s="531"/>
      <c r="IU256" s="531"/>
      <c r="IV256" s="531"/>
    </row>
    <row r="257" spans="1:256" s="546" customFormat="1" ht="18" hidden="1" customHeight="1">
      <c r="A257" s="1722"/>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679"/>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693"/>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694"/>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695"/>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679"/>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693"/>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694"/>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686"/>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679"/>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685"/>
      <c r="IR259" s="543"/>
      <c r="IS259" s="543"/>
      <c r="IT259" s="543"/>
      <c r="IU259" s="543"/>
      <c r="IV259" s="543"/>
    </row>
    <row r="260" spans="1:256" ht="17.25" hidden="1" customHeight="1">
      <c r="A260" s="1686"/>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679"/>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685"/>
    </row>
    <row r="261" spans="1:256" ht="17.25" hidden="1" customHeight="1">
      <c r="A261" s="1686"/>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679"/>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685"/>
    </row>
    <row r="262" spans="1:256" ht="17.25" hidden="1" customHeight="1">
      <c r="A262" s="1686"/>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679"/>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685"/>
    </row>
    <row r="263" spans="1:256" ht="17.25" hidden="1" customHeight="1">
      <c r="A263" s="1686"/>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679"/>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685"/>
    </row>
    <row r="264" spans="1:256" ht="17.25" hidden="1" customHeight="1">
      <c r="A264" s="1686"/>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679"/>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685"/>
    </row>
    <row r="265" spans="1:256" ht="17.25" hidden="1" customHeight="1">
      <c r="A265" s="1686"/>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679"/>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685"/>
    </row>
    <row r="266" spans="1:256" ht="17.25" hidden="1" customHeight="1">
      <c r="A266" s="1686"/>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679"/>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685"/>
    </row>
    <row r="267" spans="1:256" ht="17.25" hidden="1" customHeight="1">
      <c r="A267" s="1686"/>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679"/>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685"/>
    </row>
    <row r="268" spans="1:256" ht="17.25" hidden="1" customHeight="1">
      <c r="A268" s="1686"/>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679"/>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685"/>
    </row>
    <row r="269" spans="1:256" ht="17.25" hidden="1" customHeight="1">
      <c r="A269" s="1686"/>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679"/>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685"/>
    </row>
    <row r="270" spans="1:256" ht="17.25" hidden="1" customHeight="1">
      <c r="A270" s="1686"/>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679"/>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685"/>
    </row>
    <row r="271" spans="1:256" ht="17.25" hidden="1" customHeight="1">
      <c r="A271" s="1686"/>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679"/>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685"/>
    </row>
    <row r="272" spans="1:256" ht="17.25" hidden="1" customHeight="1">
      <c r="A272" s="1686"/>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679"/>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685"/>
    </row>
    <row r="273" spans="1:256" ht="17.25" hidden="1" customHeight="1">
      <c r="A273" s="1686"/>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679"/>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685"/>
    </row>
    <row r="274" spans="1:256" s="679" customFormat="1" ht="17.25" hidden="1" customHeight="1">
      <c r="A274" s="1686"/>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679"/>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685"/>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23"/>
      <c r="B275" s="1724"/>
      <c r="C275" s="1723"/>
      <c r="D275" s="1723"/>
      <c r="E275" s="1723"/>
      <c r="F275" s="1723"/>
      <c r="G275" s="1723"/>
      <c r="H275" s="1723"/>
      <c r="I275" s="1723"/>
      <c r="J275" s="1723"/>
      <c r="K275" s="1723"/>
      <c r="L275" s="1723"/>
      <c r="M275" s="1723"/>
      <c r="N275" s="1723"/>
      <c r="O275" s="1723"/>
      <c r="P275" s="1723"/>
      <c r="Q275" s="1723"/>
      <c r="R275" s="1723"/>
      <c r="S275" s="1723"/>
      <c r="T275" s="1723"/>
      <c r="U275" s="1723"/>
      <c r="V275" s="1723"/>
      <c r="W275" s="1723"/>
      <c r="X275" s="1723"/>
      <c r="Y275" s="1723"/>
      <c r="Z275" s="1723"/>
      <c r="AA275" s="1723"/>
      <c r="AB275" s="1723"/>
      <c r="AC275" s="1723"/>
      <c r="AD275" s="1723"/>
      <c r="AE275" s="1723"/>
      <c r="AF275" s="1723"/>
      <c r="AG275" s="1723"/>
      <c r="AH275" s="1723"/>
      <c r="AI275" s="1723"/>
      <c r="AJ275" s="1723"/>
      <c r="AK275" s="1723"/>
      <c r="AL275" s="1723"/>
      <c r="AM275" s="1723"/>
      <c r="AN275" s="1723"/>
      <c r="AO275" s="1723"/>
      <c r="AP275" s="1723"/>
      <c r="AQ275" s="1723"/>
      <c r="AR275" s="1723"/>
      <c r="AS275" s="1723"/>
      <c r="AT275" s="1723"/>
      <c r="AU275" s="1723"/>
      <c r="AV275" s="1723"/>
      <c r="AW275" s="1723"/>
      <c r="AX275" s="1723"/>
      <c r="AY275" s="1723"/>
      <c r="AZ275" s="1723"/>
      <c r="BA275" s="1723"/>
      <c r="BB275" s="1723"/>
      <c r="BC275" s="1723"/>
      <c r="BD275" s="1723"/>
      <c r="BE275" s="1723"/>
      <c r="BF275" s="1723"/>
      <c r="BG275" s="1723"/>
      <c r="BH275" s="1723"/>
      <c r="BI275" s="1723"/>
      <c r="BJ275" s="1723"/>
      <c r="BK275" s="1723"/>
      <c r="BL275" s="1723"/>
      <c r="BM275" s="1723"/>
      <c r="BN275" s="1723"/>
      <c r="BO275" s="1723"/>
      <c r="BP275" s="1723"/>
      <c r="BQ275" s="1723"/>
      <c r="BR275" s="1723"/>
      <c r="BS275" s="1723"/>
      <c r="BT275" s="1723"/>
      <c r="BU275" s="1723"/>
      <c r="BV275" s="1723"/>
      <c r="BW275" s="1723"/>
      <c r="BX275" s="1723"/>
      <c r="BY275" s="1723"/>
      <c r="BZ275" s="1723"/>
      <c r="CA275" s="1723"/>
      <c r="CB275" s="1723"/>
      <c r="CC275" s="1723"/>
      <c r="CD275" s="1723"/>
      <c r="CE275" s="1679"/>
      <c r="CF275" s="1723"/>
      <c r="CG275" s="1723"/>
      <c r="CH275" s="1723"/>
      <c r="CI275" s="1723"/>
      <c r="CJ275" s="1723"/>
      <c r="CK275" s="1723"/>
      <c r="CL275" s="1723"/>
      <c r="CM275" s="1723"/>
      <c r="CN275" s="1723"/>
      <c r="CO275" s="1723"/>
      <c r="CP275" s="1723"/>
      <c r="CQ275" s="1723"/>
      <c r="CR275" s="1723"/>
      <c r="CS275" s="1723"/>
      <c r="CT275" s="1723"/>
      <c r="CU275" s="1723"/>
      <c r="CV275" s="1723"/>
      <c r="CW275" s="1723"/>
      <c r="CX275" s="1723"/>
      <c r="CY275" s="1690"/>
      <c r="CZ275" s="1723"/>
      <c r="DA275" s="1723"/>
      <c r="DB275" s="1723"/>
      <c r="DC275" s="1723"/>
      <c r="DD275" s="1723"/>
      <c r="DE275" s="1723"/>
      <c r="DF275" s="1723"/>
      <c r="DG275" s="1723"/>
      <c r="DH275" s="1723"/>
      <c r="DI275" s="1723"/>
      <c r="DJ275" s="1723"/>
      <c r="DK275" s="1723"/>
      <c r="DL275" s="1723"/>
      <c r="DM275" s="1723"/>
      <c r="DN275" s="1723"/>
      <c r="DO275" s="1723"/>
      <c r="DP275" s="1723"/>
      <c r="DQ275" s="1723"/>
      <c r="DR275" s="1723"/>
      <c r="DS275" s="1723"/>
      <c r="DT275" s="1723"/>
      <c r="DU275" s="1725"/>
      <c r="DV275" s="1726"/>
    </row>
    <row r="276" spans="1:256" s="546" customFormat="1" ht="18" hidden="1" customHeight="1">
      <c r="A276" s="1695"/>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679"/>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693"/>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694"/>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686"/>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679"/>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685"/>
      <c r="IR277" s="543"/>
      <c r="IS277" s="543"/>
      <c r="IT277" s="543"/>
      <c r="IU277" s="543"/>
      <c r="IV277" s="543"/>
    </row>
    <row r="278" spans="1:256" ht="17.25" hidden="1" customHeight="1">
      <c r="A278" s="1686"/>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679"/>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685"/>
    </row>
    <row r="279" spans="1:256" ht="17.25" hidden="1" customHeight="1">
      <c r="A279" s="1686"/>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679"/>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685"/>
    </row>
    <row r="280" spans="1:256" ht="17.25" hidden="1" customHeight="1">
      <c r="A280" s="1686"/>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679"/>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685"/>
    </row>
    <row r="281" spans="1:256" s="679" customFormat="1" ht="17.25" hidden="1" customHeight="1">
      <c r="A281" s="1686"/>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679"/>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685"/>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23"/>
      <c r="B282" s="1724"/>
      <c r="C282" s="1723"/>
      <c r="D282" s="1723"/>
      <c r="E282" s="1723"/>
      <c r="F282" s="1723"/>
      <c r="G282" s="1723"/>
      <c r="H282" s="1723"/>
      <c r="I282" s="1723"/>
      <c r="J282" s="1723"/>
      <c r="K282" s="1723"/>
      <c r="L282" s="1723"/>
      <c r="M282" s="1723"/>
      <c r="N282" s="1723"/>
      <c r="O282" s="1723"/>
      <c r="P282" s="1723"/>
      <c r="Q282" s="1723"/>
      <c r="R282" s="1723"/>
      <c r="S282" s="1723"/>
      <c r="T282" s="1723"/>
      <c r="U282" s="1723"/>
      <c r="V282" s="1723"/>
      <c r="W282" s="1723"/>
      <c r="X282" s="1723"/>
      <c r="Y282" s="1723"/>
      <c r="Z282" s="1723"/>
      <c r="AA282" s="1723"/>
      <c r="AB282" s="1723"/>
      <c r="AC282" s="1723"/>
      <c r="AD282" s="1723"/>
      <c r="AE282" s="1723"/>
      <c r="AF282" s="1723"/>
      <c r="AG282" s="1723"/>
      <c r="AH282" s="1723"/>
      <c r="AI282" s="1723"/>
      <c r="AJ282" s="1723"/>
      <c r="AK282" s="1723"/>
      <c r="AL282" s="1723"/>
      <c r="AM282" s="1723"/>
      <c r="AN282" s="1723"/>
      <c r="AO282" s="1723"/>
      <c r="AP282" s="1723"/>
      <c r="AQ282" s="1723"/>
      <c r="AR282" s="1723"/>
      <c r="AS282" s="1723"/>
      <c r="AT282" s="1723"/>
      <c r="AU282" s="1723"/>
      <c r="AV282" s="1723"/>
      <c r="AW282" s="1723"/>
      <c r="AX282" s="1723"/>
      <c r="AY282" s="1723"/>
      <c r="AZ282" s="1723"/>
      <c r="BA282" s="1723"/>
      <c r="BB282" s="1723"/>
      <c r="BC282" s="1723"/>
      <c r="BD282" s="1723"/>
      <c r="BE282" s="1723"/>
      <c r="BF282" s="1723"/>
      <c r="BG282" s="1723"/>
      <c r="BH282" s="1723"/>
      <c r="BI282" s="1723"/>
      <c r="BJ282" s="1723"/>
      <c r="BK282" s="1723"/>
      <c r="BL282" s="1723"/>
      <c r="BM282" s="1723"/>
      <c r="BN282" s="1723"/>
      <c r="BO282" s="1723"/>
      <c r="BP282" s="1723"/>
      <c r="BQ282" s="1723"/>
      <c r="BR282" s="1723"/>
      <c r="BS282" s="1723"/>
      <c r="BT282" s="1723"/>
      <c r="BU282" s="1723"/>
      <c r="BV282" s="1723"/>
      <c r="BW282" s="1723"/>
      <c r="BX282" s="1723"/>
      <c r="BY282" s="1723"/>
      <c r="BZ282" s="1723"/>
      <c r="CA282" s="1723"/>
      <c r="CB282" s="1723"/>
      <c r="CC282" s="1723"/>
      <c r="CD282" s="1723"/>
      <c r="CE282" s="1679"/>
      <c r="CF282" s="1723"/>
      <c r="CG282" s="1723"/>
      <c r="CH282" s="1723"/>
      <c r="CI282" s="1723"/>
      <c r="CJ282" s="1723"/>
      <c r="CK282" s="1723"/>
      <c r="CL282" s="1723"/>
      <c r="CM282" s="1723"/>
      <c r="CN282" s="1723"/>
      <c r="CO282" s="1723"/>
      <c r="CP282" s="1723"/>
      <c r="CQ282" s="1723"/>
      <c r="CR282" s="1723"/>
      <c r="CS282" s="1723"/>
      <c r="CT282" s="1723"/>
      <c r="CU282" s="1723"/>
      <c r="CV282" s="1723"/>
      <c r="CW282" s="1723"/>
      <c r="CX282" s="1723"/>
      <c r="CY282" s="1690"/>
      <c r="CZ282" s="1723"/>
      <c r="DA282" s="1723"/>
      <c r="DB282" s="1723"/>
      <c r="DC282" s="1723"/>
      <c r="DD282" s="1723"/>
      <c r="DE282" s="1723"/>
      <c r="DF282" s="1723"/>
      <c r="DG282" s="1723"/>
      <c r="DH282" s="1723"/>
      <c r="DI282" s="1723"/>
      <c r="DJ282" s="1723"/>
      <c r="DK282" s="1723"/>
      <c r="DL282" s="1723"/>
      <c r="DM282" s="1723"/>
      <c r="DN282" s="1723"/>
      <c r="DO282" s="1723"/>
      <c r="DP282" s="1723"/>
      <c r="DQ282" s="1723"/>
      <c r="DR282" s="1723"/>
      <c r="DS282" s="1723"/>
      <c r="DT282" s="1723"/>
      <c r="DU282" s="1725"/>
      <c r="DV282" s="1726"/>
    </row>
    <row r="283" spans="1:256" s="546" customFormat="1" ht="18" hidden="1" customHeight="1">
      <c r="A283" s="1695"/>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679"/>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693"/>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694"/>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686"/>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679"/>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685"/>
      <c r="IR284" s="543"/>
      <c r="IS284" s="543"/>
      <c r="IT284" s="543"/>
      <c r="IU284" s="543"/>
      <c r="IV284" s="543"/>
    </row>
    <row r="285" spans="1:256" ht="17.25" hidden="1" customHeight="1">
      <c r="A285" s="1686"/>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679"/>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685"/>
    </row>
    <row r="286" spans="1:256" ht="17.25" hidden="1" customHeight="1">
      <c r="A286" s="1686"/>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679"/>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685"/>
    </row>
    <row r="287" spans="1:256" ht="17.25" hidden="1" customHeight="1">
      <c r="A287" s="1686"/>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679"/>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685"/>
    </row>
    <row r="288" spans="1:256" ht="17.25" hidden="1" customHeight="1">
      <c r="A288" s="1686"/>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679"/>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685"/>
    </row>
    <row r="289" spans="1:256" ht="17.25" hidden="1" customHeight="1">
      <c r="A289" s="1686"/>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679"/>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685"/>
    </row>
    <row r="290" spans="1:256" ht="17.25" hidden="1" customHeight="1">
      <c r="A290" s="1686"/>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679"/>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685"/>
    </row>
    <row r="291" spans="1:256" ht="17.25" hidden="1" customHeight="1">
      <c r="A291" s="1686"/>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679"/>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685"/>
    </row>
    <row r="292" spans="1:256" ht="17.25" hidden="1" customHeight="1">
      <c r="A292" s="1686"/>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679"/>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685"/>
    </row>
    <row r="293" spans="1:256" ht="17.25" hidden="1" customHeight="1">
      <c r="A293" s="1686"/>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679"/>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685"/>
    </row>
    <row r="294" spans="1:256" ht="17.25" hidden="1" customHeight="1">
      <c r="A294" s="1686"/>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679"/>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685"/>
    </row>
    <row r="295" spans="1:256" ht="17.25" hidden="1" customHeight="1">
      <c r="A295" s="1686"/>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679"/>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685"/>
    </row>
    <row r="296" spans="1:256" ht="17.25" hidden="1" customHeight="1">
      <c r="A296" s="1686"/>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679"/>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685"/>
    </row>
    <row r="297" spans="1:256" ht="17.25" hidden="1" customHeight="1">
      <c r="A297" s="1686"/>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679"/>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685"/>
    </row>
    <row r="298" spans="1:256" ht="17.25" hidden="1" customHeight="1">
      <c r="A298" s="1686"/>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679"/>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685"/>
    </row>
    <row r="299" spans="1:256" ht="17.25" hidden="1" customHeight="1">
      <c r="A299" s="1686"/>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679"/>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685"/>
    </row>
    <row r="300" spans="1:256" s="679" customFormat="1" ht="17.25" hidden="1" customHeight="1">
      <c r="A300" s="1686"/>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679"/>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685"/>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23"/>
      <c r="B301" s="1724"/>
      <c r="C301" s="1723"/>
      <c r="D301" s="1723"/>
      <c r="E301" s="1723"/>
      <c r="F301" s="1723"/>
      <c r="G301" s="1723"/>
      <c r="H301" s="1723"/>
      <c r="I301" s="1723"/>
      <c r="J301" s="1723"/>
      <c r="K301" s="1723"/>
      <c r="L301" s="1723"/>
      <c r="M301" s="1723"/>
      <c r="N301" s="1723"/>
      <c r="O301" s="1723"/>
      <c r="P301" s="1723"/>
      <c r="Q301" s="1723"/>
      <c r="R301" s="1723"/>
      <c r="S301" s="1723"/>
      <c r="T301" s="1723"/>
      <c r="U301" s="1723"/>
      <c r="V301" s="1723"/>
      <c r="W301" s="1723"/>
      <c r="X301" s="1723"/>
      <c r="Y301" s="1723"/>
      <c r="Z301" s="1723"/>
      <c r="AA301" s="1723"/>
      <c r="AB301" s="1723"/>
      <c r="AC301" s="1723"/>
      <c r="AD301" s="1723"/>
      <c r="AE301" s="1723"/>
      <c r="AF301" s="1723"/>
      <c r="AG301" s="1723"/>
      <c r="AH301" s="1723"/>
      <c r="AI301" s="1723"/>
      <c r="AJ301" s="1723"/>
      <c r="AK301" s="1723"/>
      <c r="AL301" s="1723"/>
      <c r="AM301" s="1723"/>
      <c r="AN301" s="1723"/>
      <c r="AO301" s="1723"/>
      <c r="AP301" s="1723"/>
      <c r="AQ301" s="1723"/>
      <c r="AR301" s="1723"/>
      <c r="AS301" s="1723"/>
      <c r="AT301" s="1723"/>
      <c r="AU301" s="1723"/>
      <c r="AV301" s="1723"/>
      <c r="AW301" s="1723"/>
      <c r="AX301" s="1723"/>
      <c r="AY301" s="1723"/>
      <c r="AZ301" s="1723"/>
      <c r="BA301" s="1723"/>
      <c r="BB301" s="1723"/>
      <c r="BC301" s="1723"/>
      <c r="BD301" s="1723"/>
      <c r="BE301" s="1723"/>
      <c r="BF301" s="1723"/>
      <c r="BG301" s="1723"/>
      <c r="BH301" s="1723"/>
      <c r="BI301" s="1723"/>
      <c r="BJ301" s="1723"/>
      <c r="BK301" s="1723"/>
      <c r="BL301" s="1723"/>
      <c r="BM301" s="1723"/>
      <c r="BN301" s="1723"/>
      <c r="BO301" s="1723"/>
      <c r="BP301" s="1723"/>
      <c r="BQ301" s="1723"/>
      <c r="BR301" s="1723"/>
      <c r="BS301" s="1723"/>
      <c r="BT301" s="1723"/>
      <c r="BU301" s="1723"/>
      <c r="BV301" s="1723"/>
      <c r="BW301" s="1723"/>
      <c r="BX301" s="1723"/>
      <c r="BY301" s="1723"/>
      <c r="BZ301" s="1723"/>
      <c r="CA301" s="1723"/>
      <c r="CB301" s="1723"/>
      <c r="CC301" s="1723"/>
      <c r="CD301" s="1723"/>
      <c r="CE301" s="1679"/>
      <c r="CF301" s="1723"/>
      <c r="CG301" s="1723"/>
      <c r="CH301" s="1723"/>
      <c r="CI301" s="1723"/>
      <c r="CJ301" s="1723"/>
      <c r="CK301" s="1723"/>
      <c r="CL301" s="1723"/>
      <c r="CM301" s="1723"/>
      <c r="CN301" s="1723"/>
      <c r="CO301" s="1723"/>
      <c r="CP301" s="1723"/>
      <c r="CQ301" s="1723"/>
      <c r="CR301" s="1723"/>
      <c r="CS301" s="1723"/>
      <c r="CT301" s="1723"/>
      <c r="CU301" s="1723"/>
      <c r="CV301" s="1723"/>
      <c r="CW301" s="1723"/>
      <c r="CX301" s="1723"/>
      <c r="CY301" s="1690"/>
      <c r="CZ301" s="1723"/>
      <c r="DA301" s="1723"/>
      <c r="DB301" s="1723"/>
      <c r="DC301" s="1723"/>
      <c r="DD301" s="1723"/>
      <c r="DE301" s="1723"/>
      <c r="DF301" s="1723"/>
      <c r="DG301" s="1723"/>
      <c r="DH301" s="1723"/>
      <c r="DI301" s="1723"/>
      <c r="DJ301" s="1723"/>
      <c r="DK301" s="1723"/>
      <c r="DL301" s="1723"/>
      <c r="DM301" s="1723"/>
      <c r="DN301" s="1723"/>
      <c r="DO301" s="1723"/>
      <c r="DP301" s="1723"/>
      <c r="DQ301" s="1723"/>
      <c r="DR301" s="1723"/>
      <c r="DS301" s="1723"/>
      <c r="DT301" s="1723"/>
      <c r="DU301" s="1725"/>
      <c r="DV301" s="1726"/>
    </row>
    <row r="302" spans="1:256" s="546" customFormat="1" ht="18" hidden="1" customHeight="1">
      <c r="A302" s="1695"/>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679"/>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693"/>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694"/>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686"/>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679"/>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685"/>
      <c r="IR303" s="543"/>
      <c r="IS303" s="543"/>
      <c r="IT303" s="543"/>
      <c r="IU303" s="543"/>
      <c r="IV303" s="543"/>
    </row>
    <row r="304" spans="1:256" ht="17.25" hidden="1" customHeight="1">
      <c r="A304" s="1686"/>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679"/>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685"/>
    </row>
    <row r="305" spans="1:256" ht="17.25" hidden="1" customHeight="1">
      <c r="A305" s="1686"/>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679"/>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685"/>
    </row>
    <row r="306" spans="1:256" ht="17.25" hidden="1" customHeight="1">
      <c r="A306" s="1686"/>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679"/>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685"/>
    </row>
    <row r="307" spans="1:256" ht="17.25" hidden="1" customHeight="1">
      <c r="A307" s="1686"/>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679"/>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685"/>
    </row>
    <row r="308" spans="1:256" ht="17.25" hidden="1" customHeight="1">
      <c r="A308" s="1686"/>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679"/>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685"/>
    </row>
    <row r="309" spans="1:256" ht="17.25" hidden="1" customHeight="1">
      <c r="A309" s="1686"/>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679"/>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685"/>
    </row>
    <row r="310" spans="1:256" ht="17.25" hidden="1" customHeight="1">
      <c r="A310" s="1686"/>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679"/>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685"/>
    </row>
    <row r="311" spans="1:256" ht="17.25" hidden="1" customHeight="1">
      <c r="A311" s="1686"/>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679"/>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685"/>
    </row>
    <row r="312" spans="1:256" s="679" customFormat="1" ht="17.25" hidden="1" customHeight="1">
      <c r="A312" s="1686"/>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679"/>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685"/>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23"/>
      <c r="B313" s="1724"/>
      <c r="C313" s="1723"/>
      <c r="D313" s="1723"/>
      <c r="E313" s="1723"/>
      <c r="F313" s="1723"/>
      <c r="G313" s="1723"/>
      <c r="H313" s="1723"/>
      <c r="I313" s="1723"/>
      <c r="J313" s="1723"/>
      <c r="K313" s="1723"/>
      <c r="L313" s="1723"/>
      <c r="M313" s="1723"/>
      <c r="N313" s="1723"/>
      <c r="O313" s="1723"/>
      <c r="P313" s="1723"/>
      <c r="Q313" s="1723"/>
      <c r="R313" s="1723"/>
      <c r="S313" s="1723"/>
      <c r="T313" s="1723"/>
      <c r="U313" s="1723"/>
      <c r="V313" s="1723"/>
      <c r="W313" s="1723"/>
      <c r="X313" s="1723"/>
      <c r="Y313" s="1723"/>
      <c r="Z313" s="1723"/>
      <c r="AA313" s="1723"/>
      <c r="AB313" s="1723"/>
      <c r="AC313" s="1723"/>
      <c r="AD313" s="1723"/>
      <c r="AE313" s="1723"/>
      <c r="AF313" s="1723"/>
      <c r="AG313" s="1723"/>
      <c r="AH313" s="1723"/>
      <c r="AI313" s="1723"/>
      <c r="AJ313" s="1723"/>
      <c r="AK313" s="1723"/>
      <c r="AL313" s="1723"/>
      <c r="AM313" s="1723"/>
      <c r="AN313" s="1723"/>
      <c r="AO313" s="1723"/>
      <c r="AP313" s="1723"/>
      <c r="AQ313" s="1723"/>
      <c r="AR313" s="1723"/>
      <c r="AS313" s="1723"/>
      <c r="AT313" s="1723"/>
      <c r="AU313" s="1723"/>
      <c r="AV313" s="1723"/>
      <c r="AW313" s="1723"/>
      <c r="AX313" s="1723"/>
      <c r="AY313" s="1723"/>
      <c r="AZ313" s="1723"/>
      <c r="BA313" s="1723"/>
      <c r="BB313" s="1723"/>
      <c r="BC313" s="1723"/>
      <c r="BD313" s="1723"/>
      <c r="BE313" s="1723"/>
      <c r="BF313" s="1723"/>
      <c r="BG313" s="1723"/>
      <c r="BH313" s="1723"/>
      <c r="BI313" s="1723"/>
      <c r="BJ313" s="1723"/>
      <c r="BK313" s="1723"/>
      <c r="BL313" s="1723"/>
      <c r="BM313" s="1723"/>
      <c r="BN313" s="1723"/>
      <c r="BO313" s="1723"/>
      <c r="BP313" s="1723"/>
      <c r="BQ313" s="1723"/>
      <c r="BR313" s="1723"/>
      <c r="BS313" s="1723"/>
      <c r="BT313" s="1723"/>
      <c r="BU313" s="1723"/>
      <c r="BV313" s="1723"/>
      <c r="BW313" s="1723"/>
      <c r="BX313" s="1723"/>
      <c r="BY313" s="1723"/>
      <c r="BZ313" s="1723"/>
      <c r="CA313" s="1723"/>
      <c r="CB313" s="1723"/>
      <c r="CC313" s="1723"/>
      <c r="CD313" s="1723"/>
      <c r="CE313" s="1679"/>
      <c r="CF313" s="1723"/>
      <c r="CG313" s="1723"/>
      <c r="CH313" s="1723"/>
      <c r="CI313" s="1723"/>
      <c r="CJ313" s="1723"/>
      <c r="CK313" s="1723"/>
      <c r="CL313" s="1723"/>
      <c r="CM313" s="1723"/>
      <c r="CN313" s="1723"/>
      <c r="CO313" s="1723"/>
      <c r="CP313" s="1723"/>
      <c r="CQ313" s="1723"/>
      <c r="CR313" s="1723"/>
      <c r="CS313" s="1723"/>
      <c r="CT313" s="1723"/>
      <c r="CU313" s="1723"/>
      <c r="CV313" s="1723"/>
      <c r="CW313" s="1723"/>
      <c r="CX313" s="1723"/>
      <c r="CY313" s="1690"/>
      <c r="CZ313" s="1723"/>
      <c r="DA313" s="1723"/>
      <c r="DB313" s="1723"/>
      <c r="DC313" s="1723"/>
      <c r="DD313" s="1723"/>
      <c r="DE313" s="1723"/>
      <c r="DF313" s="1723"/>
      <c r="DG313" s="1723"/>
      <c r="DH313" s="1723"/>
      <c r="DI313" s="1723"/>
      <c r="DJ313" s="1723"/>
      <c r="DK313" s="1723"/>
      <c r="DL313" s="1723"/>
      <c r="DM313" s="1723"/>
      <c r="DN313" s="1723"/>
      <c r="DO313" s="1723"/>
      <c r="DP313" s="1723"/>
      <c r="DQ313" s="1723"/>
      <c r="DR313" s="1723"/>
      <c r="DS313" s="1723"/>
      <c r="DT313" s="1723"/>
      <c r="DU313" s="1725"/>
      <c r="DV313" s="1726"/>
    </row>
    <row r="314" spans="1:256" s="546" customFormat="1" ht="18" hidden="1" customHeight="1">
      <c r="A314" s="1695"/>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679"/>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693"/>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694"/>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686"/>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679"/>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685"/>
      <c r="IR315" s="543"/>
      <c r="IS315" s="543"/>
      <c r="IT315" s="543"/>
      <c r="IU315" s="543"/>
      <c r="IV315" s="543"/>
    </row>
    <row r="316" spans="1:256" ht="17.25" hidden="1" customHeight="1">
      <c r="A316" s="1686"/>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679"/>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685"/>
    </row>
    <row r="317" spans="1:256" ht="17.25" hidden="1" customHeight="1">
      <c r="A317" s="1686"/>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679"/>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685"/>
    </row>
    <row r="318" spans="1:256" ht="17.25" hidden="1" customHeight="1">
      <c r="A318" s="1686"/>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679"/>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685"/>
    </row>
    <row r="319" spans="1:256" s="679" customFormat="1" ht="17.25" hidden="1" customHeight="1">
      <c r="A319" s="1686"/>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679"/>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685"/>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23"/>
      <c r="B320" s="1724"/>
      <c r="C320" s="1723"/>
      <c r="D320" s="1723"/>
      <c r="E320" s="1723"/>
      <c r="F320" s="1723"/>
      <c r="G320" s="1723"/>
      <c r="H320" s="1723"/>
      <c r="I320" s="1723"/>
      <c r="J320" s="1723"/>
      <c r="K320" s="1723"/>
      <c r="L320" s="1723"/>
      <c r="M320" s="1723"/>
      <c r="N320" s="1723"/>
      <c r="O320" s="1723"/>
      <c r="P320" s="1723"/>
      <c r="Q320" s="1723"/>
      <c r="R320" s="1723"/>
      <c r="S320" s="1723"/>
      <c r="T320" s="1723"/>
      <c r="U320" s="1723"/>
      <c r="V320" s="1723"/>
      <c r="W320" s="1723"/>
      <c r="X320" s="1723"/>
      <c r="Y320" s="1723"/>
      <c r="Z320" s="1723"/>
      <c r="AA320" s="1723"/>
      <c r="AB320" s="1723"/>
      <c r="AC320" s="1723"/>
      <c r="AD320" s="1723"/>
      <c r="AE320" s="1723"/>
      <c r="AF320" s="1723"/>
      <c r="AG320" s="1723"/>
      <c r="AH320" s="1723"/>
      <c r="AI320" s="1723"/>
      <c r="AJ320" s="1723"/>
      <c r="AK320" s="1723"/>
      <c r="AL320" s="1723"/>
      <c r="AM320" s="1723"/>
      <c r="AN320" s="1723"/>
      <c r="AO320" s="1723"/>
      <c r="AP320" s="1723"/>
      <c r="AQ320" s="1723"/>
      <c r="AR320" s="1723"/>
      <c r="AS320" s="1723"/>
      <c r="AT320" s="1723"/>
      <c r="AU320" s="1723"/>
      <c r="AV320" s="1723"/>
      <c r="AW320" s="1723"/>
      <c r="AX320" s="1723"/>
      <c r="AY320" s="1723"/>
      <c r="AZ320" s="1723"/>
      <c r="BA320" s="1723"/>
      <c r="BB320" s="1723"/>
      <c r="BC320" s="1723"/>
      <c r="BD320" s="1723"/>
      <c r="BE320" s="1723"/>
      <c r="BF320" s="1723"/>
      <c r="BG320" s="1723"/>
      <c r="BH320" s="1723"/>
      <c r="BI320" s="1723"/>
      <c r="BJ320" s="1723"/>
      <c r="BK320" s="1723"/>
      <c r="BL320" s="1723"/>
      <c r="BM320" s="1723"/>
      <c r="BN320" s="1723"/>
      <c r="BO320" s="1723"/>
      <c r="BP320" s="1723"/>
      <c r="BQ320" s="1723"/>
      <c r="BR320" s="1723"/>
      <c r="BS320" s="1723"/>
      <c r="BT320" s="1723"/>
      <c r="BU320" s="1723"/>
      <c r="BV320" s="1723"/>
      <c r="BW320" s="1723"/>
      <c r="BX320" s="1723"/>
      <c r="BY320" s="1723"/>
      <c r="BZ320" s="1723"/>
      <c r="CA320" s="1723"/>
      <c r="CB320" s="1723"/>
      <c r="CC320" s="1723"/>
      <c r="CD320" s="1723"/>
      <c r="CE320" s="1679"/>
      <c r="CF320" s="1723"/>
      <c r="CG320" s="1723"/>
      <c r="CH320" s="1723"/>
      <c r="CI320" s="1723"/>
      <c r="CJ320" s="1723"/>
      <c r="CK320" s="1723"/>
      <c r="CL320" s="1723"/>
      <c r="CM320" s="1723"/>
      <c r="CN320" s="1723"/>
      <c r="CO320" s="1723"/>
      <c r="CP320" s="1723"/>
      <c r="CQ320" s="1723"/>
      <c r="CR320" s="1723"/>
      <c r="CS320" s="1723"/>
      <c r="CT320" s="1723"/>
      <c r="CU320" s="1723"/>
      <c r="CV320" s="1723"/>
      <c r="CW320" s="1723"/>
      <c r="CX320" s="1723"/>
      <c r="CY320" s="1690"/>
      <c r="CZ320" s="1723"/>
      <c r="DA320" s="1723"/>
      <c r="DB320" s="1723"/>
      <c r="DC320" s="1723"/>
      <c r="DD320" s="1723"/>
      <c r="DE320" s="1723"/>
      <c r="DF320" s="1723"/>
      <c r="DG320" s="1723"/>
      <c r="DH320" s="1723"/>
      <c r="DI320" s="1723"/>
      <c r="DJ320" s="1723"/>
      <c r="DK320" s="1723"/>
      <c r="DL320" s="1723"/>
      <c r="DM320" s="1723"/>
      <c r="DN320" s="1723"/>
      <c r="DO320" s="1723"/>
      <c r="DP320" s="1723"/>
      <c r="DQ320" s="1723"/>
      <c r="DR320" s="1723"/>
      <c r="DS320" s="1723"/>
      <c r="DT320" s="1723"/>
      <c r="DU320" s="1725"/>
      <c r="DV320" s="1726"/>
    </row>
    <row r="321" spans="1:256" s="546" customFormat="1" ht="18" hidden="1" customHeight="1">
      <c r="A321" s="1695"/>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679"/>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693"/>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694"/>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686"/>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679"/>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685"/>
      <c r="IR322" s="543"/>
      <c r="IS322" s="543"/>
      <c r="IT322" s="543"/>
      <c r="IU322" s="543"/>
      <c r="IV322" s="543"/>
    </row>
    <row r="323" spans="1:256" ht="17.25" hidden="1" customHeight="1">
      <c r="A323" s="1686"/>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679"/>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685"/>
    </row>
    <row r="324" spans="1:256" s="679" customFormat="1" ht="17.25" hidden="1" customHeight="1">
      <c r="A324" s="1686"/>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679"/>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685"/>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23"/>
      <c r="B325" s="1724"/>
      <c r="C325" s="1723"/>
      <c r="D325" s="1723"/>
      <c r="E325" s="1723"/>
      <c r="F325" s="1723"/>
      <c r="G325" s="1723"/>
      <c r="H325" s="1723"/>
      <c r="I325" s="1723"/>
      <c r="J325" s="1723"/>
      <c r="K325" s="1723"/>
      <c r="L325" s="1723"/>
      <c r="M325" s="1723"/>
      <c r="N325" s="1723"/>
      <c r="O325" s="1723"/>
      <c r="P325" s="1723"/>
      <c r="Q325" s="1723"/>
      <c r="R325" s="1723"/>
      <c r="S325" s="1723"/>
      <c r="T325" s="1723"/>
      <c r="U325" s="1723"/>
      <c r="V325" s="1723"/>
      <c r="W325" s="1723"/>
      <c r="X325" s="1723"/>
      <c r="Y325" s="1723"/>
      <c r="Z325" s="1723"/>
      <c r="AA325" s="1723"/>
      <c r="AB325" s="1723"/>
      <c r="AC325" s="1723"/>
      <c r="AD325" s="1723"/>
      <c r="AE325" s="1723"/>
      <c r="AF325" s="1723"/>
      <c r="AG325" s="1723"/>
      <c r="AH325" s="1723"/>
      <c r="AI325" s="1723"/>
      <c r="AJ325" s="1723"/>
      <c r="AK325" s="1723"/>
      <c r="AL325" s="1723"/>
      <c r="AM325" s="1723"/>
      <c r="AN325" s="1723"/>
      <c r="AO325" s="1723"/>
      <c r="AP325" s="1723"/>
      <c r="AQ325" s="1723"/>
      <c r="AR325" s="1723"/>
      <c r="AS325" s="1723"/>
      <c r="AT325" s="1723"/>
      <c r="AU325" s="1723"/>
      <c r="AV325" s="1723"/>
      <c r="AW325" s="1723"/>
      <c r="AX325" s="1723"/>
      <c r="AY325" s="1723"/>
      <c r="AZ325" s="1723"/>
      <c r="BA325" s="1723"/>
      <c r="BB325" s="1723"/>
      <c r="BC325" s="1723"/>
      <c r="BD325" s="1723"/>
      <c r="BE325" s="1723"/>
      <c r="BF325" s="1723"/>
      <c r="BG325" s="1723"/>
      <c r="BH325" s="1723"/>
      <c r="BI325" s="1723"/>
      <c r="BJ325" s="1723"/>
      <c r="BK325" s="1723"/>
      <c r="BL325" s="1723"/>
      <c r="BM325" s="1723"/>
      <c r="BN325" s="1723"/>
      <c r="BO325" s="1723"/>
      <c r="BP325" s="1723"/>
      <c r="BQ325" s="1723"/>
      <c r="BR325" s="1723"/>
      <c r="BS325" s="1723"/>
      <c r="BT325" s="1723"/>
      <c r="BU325" s="1723"/>
      <c r="BV325" s="1723"/>
      <c r="BW325" s="1723"/>
      <c r="BX325" s="1723"/>
      <c r="BY325" s="1723"/>
      <c r="BZ325" s="1723"/>
      <c r="CA325" s="1723"/>
      <c r="CB325" s="1723"/>
      <c r="CC325" s="1723"/>
      <c r="CD325" s="1723"/>
      <c r="CE325" s="1679"/>
      <c r="CF325" s="1723"/>
      <c r="CG325" s="1723"/>
      <c r="CH325" s="1723"/>
      <c r="CI325" s="1723"/>
      <c r="CJ325" s="1723"/>
      <c r="CK325" s="1723"/>
      <c r="CL325" s="1723"/>
      <c r="CM325" s="1723"/>
      <c r="CN325" s="1723"/>
      <c r="CO325" s="1723"/>
      <c r="CP325" s="1723"/>
      <c r="CQ325" s="1723"/>
      <c r="CR325" s="1723"/>
      <c r="CS325" s="1723"/>
      <c r="CT325" s="1723"/>
      <c r="CU325" s="1723"/>
      <c r="CV325" s="1723"/>
      <c r="CW325" s="1723"/>
      <c r="CX325" s="1723"/>
      <c r="CY325" s="1690"/>
      <c r="CZ325" s="1723"/>
      <c r="DA325" s="1723"/>
      <c r="DB325" s="1723"/>
      <c r="DC325" s="1723"/>
      <c r="DD325" s="1723"/>
      <c r="DE325" s="1723"/>
      <c r="DF325" s="1723"/>
      <c r="DG325" s="1723"/>
      <c r="DH325" s="1723"/>
      <c r="DI325" s="1723"/>
      <c r="DJ325" s="1723"/>
      <c r="DK325" s="1723"/>
      <c r="DL325" s="1723"/>
      <c r="DM325" s="1723"/>
      <c r="DN325" s="1723"/>
      <c r="DO325" s="1723"/>
      <c r="DP325" s="1723"/>
      <c r="DQ325" s="1723"/>
      <c r="DR325" s="1723"/>
      <c r="DS325" s="1723"/>
      <c r="DT325" s="1723"/>
      <c r="DU325" s="1725"/>
      <c r="DV325" s="1726"/>
    </row>
    <row r="326" spans="1:256" s="546" customFormat="1" ht="18" hidden="1" customHeight="1">
      <c r="A326" s="1695"/>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679"/>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693"/>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694"/>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686"/>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679"/>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685"/>
      <c r="IR327" s="543"/>
      <c r="IS327" s="543"/>
      <c r="IT327" s="543"/>
      <c r="IU327" s="543"/>
      <c r="IV327" s="543"/>
    </row>
    <row r="328" spans="1:256" ht="17.25" hidden="1" customHeight="1">
      <c r="A328" s="1686"/>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679"/>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685"/>
    </row>
    <row r="329" spans="1:256" ht="17.25" hidden="1" customHeight="1">
      <c r="A329" s="1686"/>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679"/>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685"/>
    </row>
    <row r="330" spans="1:256" ht="17.25" hidden="1" customHeight="1">
      <c r="A330" s="1686"/>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679"/>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685"/>
    </row>
    <row r="331" spans="1:256" ht="17.25" hidden="1" customHeight="1">
      <c r="A331" s="1686"/>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679"/>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685"/>
    </row>
    <row r="332" spans="1:256" s="679" customFormat="1" ht="17.25" hidden="1" customHeight="1">
      <c r="A332" s="1686"/>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679"/>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685"/>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23"/>
      <c r="B333" s="1724"/>
      <c r="C333" s="1723"/>
      <c r="D333" s="1723"/>
      <c r="E333" s="1723"/>
      <c r="F333" s="1723"/>
      <c r="G333" s="1723"/>
      <c r="H333" s="1723"/>
      <c r="I333" s="1723"/>
      <c r="J333" s="1723"/>
      <c r="K333" s="1723"/>
      <c r="L333" s="1723"/>
      <c r="M333" s="1723"/>
      <c r="N333" s="1723"/>
      <c r="O333" s="1723"/>
      <c r="P333" s="1723"/>
      <c r="Q333" s="1723"/>
      <c r="R333" s="1723"/>
      <c r="S333" s="1723"/>
      <c r="T333" s="1723"/>
      <c r="U333" s="1723"/>
      <c r="V333" s="1723"/>
      <c r="W333" s="1723"/>
      <c r="X333" s="1723"/>
      <c r="Y333" s="1723"/>
      <c r="Z333" s="1723"/>
      <c r="AA333" s="1723"/>
      <c r="AB333" s="1723"/>
      <c r="AC333" s="1723"/>
      <c r="AD333" s="1723"/>
      <c r="AE333" s="1723"/>
      <c r="AF333" s="1723"/>
      <c r="AG333" s="1723"/>
      <c r="AH333" s="1723"/>
      <c r="AI333" s="1723"/>
      <c r="AJ333" s="1723"/>
      <c r="AK333" s="1723"/>
      <c r="AL333" s="1723"/>
      <c r="AM333" s="1723"/>
      <c r="AN333" s="1723"/>
      <c r="AO333" s="1723"/>
      <c r="AP333" s="1723"/>
      <c r="AQ333" s="1723"/>
      <c r="AR333" s="1723"/>
      <c r="AS333" s="1723"/>
      <c r="AT333" s="1723"/>
      <c r="AU333" s="1723"/>
      <c r="AV333" s="1723"/>
      <c r="AW333" s="1723"/>
      <c r="AX333" s="1723"/>
      <c r="AY333" s="1723"/>
      <c r="AZ333" s="1723"/>
      <c r="BA333" s="1723"/>
      <c r="BB333" s="1723"/>
      <c r="BC333" s="1723"/>
      <c r="BD333" s="1723"/>
      <c r="BE333" s="1723"/>
      <c r="BF333" s="1723"/>
      <c r="BG333" s="1723"/>
      <c r="BH333" s="1723"/>
      <c r="BI333" s="1723"/>
      <c r="BJ333" s="1723"/>
      <c r="BK333" s="1723"/>
      <c r="BL333" s="1723"/>
      <c r="BM333" s="1723"/>
      <c r="BN333" s="1723"/>
      <c r="BO333" s="1723"/>
      <c r="BP333" s="1723"/>
      <c r="BQ333" s="1723"/>
      <c r="BR333" s="1723"/>
      <c r="BS333" s="1723"/>
      <c r="BT333" s="1723"/>
      <c r="BU333" s="1723"/>
      <c r="BV333" s="1723"/>
      <c r="BW333" s="1723"/>
      <c r="BX333" s="1723"/>
      <c r="BY333" s="1723"/>
      <c r="BZ333" s="1723"/>
      <c r="CA333" s="1723"/>
      <c r="CB333" s="1723"/>
      <c r="CC333" s="1723"/>
      <c r="CD333" s="1723"/>
      <c r="CE333" s="1679"/>
      <c r="CF333" s="1723"/>
      <c r="CG333" s="1723"/>
      <c r="CH333" s="1723"/>
      <c r="CI333" s="1723"/>
      <c r="CJ333" s="1723"/>
      <c r="CK333" s="1723"/>
      <c r="CL333" s="1723"/>
      <c r="CM333" s="1723"/>
      <c r="CN333" s="1723"/>
      <c r="CO333" s="1723"/>
      <c r="CP333" s="1723"/>
      <c r="CQ333" s="1723"/>
      <c r="CR333" s="1723"/>
      <c r="CS333" s="1723"/>
      <c r="CT333" s="1723"/>
      <c r="CU333" s="1723"/>
      <c r="CV333" s="1723"/>
      <c r="CW333" s="1723"/>
      <c r="CX333" s="1723"/>
      <c r="CY333" s="1690"/>
      <c r="CZ333" s="1723"/>
      <c r="DA333" s="1723"/>
      <c r="DB333" s="1723"/>
      <c r="DC333" s="1723"/>
      <c r="DD333" s="1723"/>
      <c r="DE333" s="1723"/>
      <c r="DF333" s="1723"/>
      <c r="DG333" s="1723"/>
      <c r="DH333" s="1723"/>
      <c r="DI333" s="1723"/>
      <c r="DJ333" s="1723"/>
      <c r="DK333" s="1723"/>
      <c r="DL333" s="1723"/>
      <c r="DM333" s="1723"/>
      <c r="DN333" s="1723"/>
      <c r="DO333" s="1723"/>
      <c r="DP333" s="1723"/>
      <c r="DQ333" s="1723"/>
      <c r="DR333" s="1723"/>
      <c r="DS333" s="1723"/>
      <c r="DT333" s="1723"/>
      <c r="DU333" s="1725"/>
      <c r="DV333" s="1726"/>
    </row>
    <row r="334" spans="1:256" s="554" customFormat="1" ht="18.75" hidden="1" customHeight="1">
      <c r="A334" s="1727"/>
      <c r="B334" s="1727"/>
      <c r="C334" s="1713"/>
      <c r="D334" s="1713"/>
      <c r="E334" s="1713"/>
      <c r="F334" s="1713"/>
      <c r="G334" s="1713"/>
      <c r="H334" s="1713"/>
      <c r="I334" s="1713"/>
      <c r="J334" s="1713"/>
      <c r="K334" s="1713"/>
      <c r="L334" s="1713"/>
      <c r="M334" s="1713"/>
      <c r="N334" s="1713"/>
      <c r="O334" s="1713"/>
      <c r="P334" s="1713"/>
      <c r="Q334" s="1713"/>
      <c r="R334" s="1713"/>
      <c r="S334" s="1713"/>
      <c r="T334" s="1713"/>
      <c r="U334" s="1713"/>
      <c r="V334" s="1713"/>
      <c r="W334" s="1713"/>
      <c r="X334" s="1713"/>
      <c r="Y334" s="1713"/>
      <c r="Z334" s="1713"/>
      <c r="AA334" s="1713"/>
      <c r="AB334" s="1713"/>
      <c r="AC334" s="1713"/>
      <c r="AD334" s="1713"/>
      <c r="AE334" s="1713"/>
      <c r="AF334" s="1713"/>
      <c r="AG334" s="1713"/>
      <c r="AH334" s="1713"/>
      <c r="AI334" s="1713"/>
      <c r="AJ334" s="1713"/>
      <c r="AK334" s="1713"/>
      <c r="AL334" s="1713"/>
      <c r="AM334" s="1713"/>
      <c r="AN334" s="1713"/>
      <c r="AO334" s="1713"/>
      <c r="AP334" s="1713"/>
      <c r="AQ334" s="1713"/>
      <c r="AR334" s="1713"/>
      <c r="AS334" s="1713"/>
      <c r="AT334" s="1713"/>
      <c r="AU334" s="1713"/>
      <c r="AV334" s="1713"/>
      <c r="AW334" s="1713"/>
      <c r="AX334" s="1713"/>
      <c r="AY334" s="1713"/>
      <c r="AZ334" s="1713"/>
      <c r="BA334" s="1713"/>
      <c r="BB334" s="1713"/>
      <c r="BC334" s="1713"/>
      <c r="BD334" s="1713"/>
      <c r="BE334" s="1713"/>
      <c r="BF334" s="1713"/>
      <c r="BG334" s="1713"/>
      <c r="BH334" s="1713"/>
      <c r="BI334" s="1713"/>
      <c r="BJ334" s="1713"/>
      <c r="BK334" s="1713"/>
      <c r="BL334" s="1713"/>
      <c r="BM334" s="1713"/>
      <c r="BN334" s="1713"/>
      <c r="BO334" s="1713"/>
      <c r="BP334" s="1713"/>
      <c r="BQ334" s="1713"/>
      <c r="BR334" s="1713"/>
      <c r="BS334" s="1713"/>
      <c r="BT334" s="1713"/>
      <c r="BU334" s="1713"/>
      <c r="BV334" s="1713"/>
      <c r="BW334" s="1713"/>
      <c r="BX334" s="1713"/>
      <c r="BY334" s="1713"/>
      <c r="BZ334" s="1713"/>
      <c r="CA334" s="1713"/>
      <c r="CB334" s="1713"/>
      <c r="CC334" s="1713"/>
      <c r="CD334" s="1713"/>
      <c r="CE334" s="1679"/>
      <c r="CF334" s="1713"/>
      <c r="CG334" s="1713"/>
      <c r="CH334" s="1713"/>
      <c r="CI334" s="1713"/>
      <c r="CJ334" s="1713"/>
      <c r="CK334" s="1713"/>
      <c r="CL334" s="1713"/>
      <c r="CM334" s="1713"/>
      <c r="CN334" s="1713"/>
      <c r="CO334" s="1713"/>
      <c r="CP334" s="1713"/>
      <c r="CQ334" s="1713"/>
      <c r="CR334" s="1713"/>
      <c r="CS334" s="1713"/>
      <c r="CT334" s="1713"/>
      <c r="CU334" s="1713"/>
      <c r="CV334" s="1713"/>
      <c r="CW334" s="1713"/>
      <c r="CX334" s="1713"/>
      <c r="CY334" s="1728"/>
      <c r="CZ334" s="1713"/>
      <c r="DA334" s="1713"/>
      <c r="DB334" s="1713"/>
      <c r="DC334" s="1713"/>
      <c r="DD334" s="1713"/>
      <c r="DE334" s="1713"/>
      <c r="DF334" s="1713"/>
      <c r="DG334" s="1713"/>
      <c r="DH334" s="1713"/>
      <c r="DI334" s="1713"/>
      <c r="DJ334" s="1713"/>
      <c r="DK334" s="1713"/>
      <c r="DL334" s="1713"/>
      <c r="DM334" s="1713"/>
      <c r="DN334" s="1713"/>
      <c r="DO334" s="1713"/>
      <c r="DP334" s="1713"/>
      <c r="DQ334" s="1713"/>
      <c r="DR334" s="1713"/>
      <c r="DS334" s="1713"/>
      <c r="DT334" s="1713"/>
      <c r="DU334" s="1713"/>
      <c r="DV334" s="1716"/>
      <c r="IR334" s="531"/>
      <c r="IS334" s="531"/>
      <c r="IT334" s="531"/>
      <c r="IU334" s="531"/>
      <c r="IV334" s="531"/>
    </row>
    <row r="335" spans="1:256" ht="18.75" hidden="1" customHeight="1">
      <c r="A335" s="1729"/>
      <c r="B335" s="1730"/>
      <c r="C335" s="1731"/>
      <c r="D335" s="1731"/>
      <c r="E335" s="1731"/>
      <c r="F335" s="1731"/>
      <c r="G335" s="1731"/>
      <c r="H335" s="1731"/>
      <c r="I335" s="1731"/>
      <c r="J335" s="1731"/>
      <c r="K335" s="1731"/>
      <c r="L335" s="1731"/>
      <c r="M335" s="1731"/>
      <c r="N335" s="1731"/>
      <c r="O335" s="1731"/>
      <c r="P335" s="1731"/>
      <c r="Q335" s="1731"/>
      <c r="R335" s="1731"/>
      <c r="S335" s="1731"/>
      <c r="T335" s="1731"/>
      <c r="U335" s="1731"/>
      <c r="V335" s="1731"/>
      <c r="W335" s="1731"/>
      <c r="X335" s="1731"/>
      <c r="Y335" s="1731"/>
      <c r="Z335" s="1731"/>
      <c r="AA335" s="1731"/>
      <c r="AB335" s="1731"/>
      <c r="AC335" s="1731"/>
      <c r="AD335" s="1731"/>
      <c r="AE335" s="1731"/>
      <c r="AF335" s="1731"/>
      <c r="AG335" s="1731"/>
      <c r="AH335" s="1731"/>
      <c r="AI335" s="1731"/>
      <c r="AJ335" s="1731"/>
      <c r="AK335" s="1731"/>
      <c r="AL335" s="1731"/>
      <c r="AM335" s="1731"/>
      <c r="AN335" s="1731"/>
      <c r="AO335" s="1731"/>
      <c r="AP335" s="1731"/>
      <c r="AQ335" s="1731"/>
      <c r="AR335" s="1731"/>
      <c r="AS335" s="1731"/>
      <c r="AT335" s="1731"/>
      <c r="AU335" s="1731"/>
      <c r="AV335" s="1731"/>
      <c r="AW335" s="1731"/>
      <c r="AX335" s="1731"/>
      <c r="AY335" s="1731"/>
      <c r="AZ335" s="1731"/>
      <c r="BA335" s="1731"/>
      <c r="BB335" s="1731"/>
      <c r="BC335" s="1731"/>
      <c r="BD335" s="1731"/>
      <c r="BE335" s="1731"/>
      <c r="BF335" s="1731"/>
      <c r="BG335" s="1731"/>
      <c r="BH335" s="1731"/>
      <c r="BI335" s="1731"/>
      <c r="BJ335" s="1731"/>
      <c r="BK335" s="1731"/>
      <c r="BL335" s="1731"/>
      <c r="BM335" s="1731"/>
      <c r="BN335" s="1731"/>
      <c r="BO335" s="1731"/>
      <c r="BP335" s="1731"/>
      <c r="BQ335" s="1731"/>
      <c r="BR335" s="1731"/>
      <c r="BS335" s="1731"/>
      <c r="BT335" s="1731"/>
      <c r="BU335" s="1731"/>
      <c r="BV335" s="1731"/>
      <c r="BW335" s="1731"/>
      <c r="BX335" s="1731"/>
      <c r="BY335" s="1731"/>
      <c r="BZ335" s="1731"/>
      <c r="CA335" s="1731"/>
      <c r="CB335" s="1731"/>
      <c r="CC335" s="1731"/>
      <c r="CD335" s="1731"/>
      <c r="CE335" s="1732"/>
      <c r="CF335" s="1731"/>
      <c r="CG335" s="1731"/>
      <c r="CH335" s="1731"/>
      <c r="CI335" s="1731"/>
      <c r="CJ335" s="1731"/>
      <c r="CK335" s="1731"/>
      <c r="CL335" s="1731"/>
      <c r="CM335" s="1731"/>
      <c r="CN335" s="1731"/>
      <c r="CO335" s="1731"/>
      <c r="CP335" s="1731"/>
      <c r="CQ335" s="1731"/>
      <c r="CR335" s="1731"/>
      <c r="CS335" s="1731"/>
      <c r="CT335" s="1731"/>
      <c r="CU335" s="1731"/>
      <c r="CV335" s="1731"/>
      <c r="CW335" s="1731"/>
      <c r="CX335" s="1731"/>
      <c r="CY335" s="1733"/>
      <c r="CZ335" s="1731"/>
      <c r="DA335" s="1731"/>
      <c r="DB335" s="1731"/>
      <c r="DC335" s="1731"/>
      <c r="DD335" s="1731"/>
      <c r="DE335" s="1731"/>
      <c r="DF335" s="1731"/>
      <c r="DG335" s="1731"/>
      <c r="DH335" s="1731"/>
      <c r="DI335" s="1731"/>
      <c r="DJ335" s="1731"/>
      <c r="DK335" s="1731"/>
      <c r="DL335" s="1731"/>
      <c r="DM335" s="1731"/>
      <c r="DN335" s="1731"/>
      <c r="DO335" s="1731"/>
      <c r="DP335" s="1731"/>
      <c r="DQ335" s="1731"/>
      <c r="DR335" s="1731"/>
      <c r="DS335" s="1731"/>
      <c r="DT335" s="1731"/>
      <c r="DU335" s="1731"/>
      <c r="DV335" s="1734"/>
    </row>
    <row r="336" spans="1:256" ht="15" hidden="1">
      <c r="A336" s="1667"/>
      <c r="B336" s="1668"/>
      <c r="C336" s="1669"/>
      <c r="D336" s="1670"/>
      <c r="E336" s="1670"/>
      <c r="F336" s="1670"/>
      <c r="G336" s="1670"/>
      <c r="H336" s="1670"/>
      <c r="I336" s="1670"/>
      <c r="J336" s="1670"/>
      <c r="K336" s="1670"/>
      <c r="L336" s="1670"/>
      <c r="M336" s="1670"/>
      <c r="N336" s="1670"/>
      <c r="O336" s="1670"/>
      <c r="P336" s="1670"/>
      <c r="Q336" s="1670"/>
      <c r="R336" s="1670"/>
      <c r="S336" s="1670"/>
      <c r="T336" s="1670"/>
      <c r="U336" s="1670"/>
      <c r="V336" s="1670"/>
      <c r="W336" s="1670"/>
      <c r="X336" s="1670"/>
      <c r="Y336" s="1670"/>
      <c r="Z336" s="1670"/>
      <c r="AA336" s="1670"/>
      <c r="AB336" s="1670"/>
      <c r="AC336" s="1670"/>
      <c r="AD336" s="1670"/>
      <c r="AE336" s="1670"/>
      <c r="AF336" s="1670"/>
      <c r="AG336" s="1670"/>
      <c r="AH336" s="1670"/>
      <c r="AI336" s="1670"/>
      <c r="AJ336" s="1670"/>
      <c r="AK336" s="1670"/>
      <c r="AL336" s="1670"/>
      <c r="AM336" s="1670"/>
      <c r="AN336" s="1670"/>
      <c r="AO336" s="1670"/>
      <c r="AP336" s="1670"/>
      <c r="AQ336" s="1670"/>
      <c r="AR336" s="1670"/>
      <c r="AS336" s="1670"/>
      <c r="AT336" s="1670"/>
      <c r="AU336" s="1670"/>
      <c r="AV336" s="1670"/>
      <c r="AW336" s="1670"/>
      <c r="AX336" s="1670"/>
      <c r="AY336" s="1670"/>
      <c r="AZ336" s="1670"/>
      <c r="BA336" s="1670"/>
      <c r="BB336" s="1670"/>
      <c r="BC336" s="1670"/>
      <c r="BD336" s="1670"/>
      <c r="BE336" s="1670"/>
      <c r="BF336" s="1670"/>
      <c r="BG336" s="1670"/>
      <c r="BH336" s="1670"/>
      <c r="BI336" s="1670"/>
      <c r="BJ336" s="1670"/>
      <c r="BK336" s="1670"/>
      <c r="BL336" s="1670"/>
      <c r="BM336" s="1670"/>
      <c r="BN336" s="1670"/>
      <c r="BO336" s="1670"/>
      <c r="BP336" s="1670"/>
      <c r="BQ336" s="1670"/>
      <c r="BR336" s="1670"/>
      <c r="BS336" s="1670"/>
      <c r="BT336" s="1670"/>
      <c r="BU336" s="1670"/>
      <c r="BV336" s="1670"/>
      <c r="BW336" s="1670"/>
      <c r="BX336" s="1670"/>
      <c r="BY336" s="1670"/>
      <c r="BZ336" s="1670"/>
      <c r="CA336" s="1670"/>
      <c r="CB336" s="1670"/>
      <c r="CC336" s="1670"/>
      <c r="CD336" s="1670"/>
      <c r="CE336" s="754"/>
      <c r="CF336" s="1670"/>
      <c r="CG336" s="1670"/>
      <c r="CH336" s="1670"/>
      <c r="CI336" s="1670"/>
      <c r="CJ336" s="1670"/>
      <c r="CK336" s="1670"/>
      <c r="CL336" s="1670"/>
      <c r="CM336" s="1670"/>
      <c r="CN336" s="1670"/>
      <c r="CO336" s="1670"/>
      <c r="CP336" s="1670"/>
      <c r="CQ336" s="1670"/>
      <c r="CR336" s="1670"/>
      <c r="CS336" s="1670"/>
      <c r="CT336" s="1670"/>
      <c r="CU336" s="1670"/>
      <c r="CV336" s="1670"/>
      <c r="CW336" s="1670"/>
      <c r="CX336" s="1670"/>
      <c r="CY336" s="1671"/>
      <c r="CZ336" s="1670"/>
      <c r="DA336" s="1670"/>
      <c r="DB336" s="1670"/>
      <c r="DC336" s="1670"/>
      <c r="DD336" s="1670"/>
      <c r="DE336" s="1670"/>
      <c r="DF336" s="1670"/>
      <c r="DG336" s="1670"/>
      <c r="DH336" s="1670"/>
      <c r="DI336" s="1670"/>
      <c r="DJ336" s="1670"/>
      <c r="DK336" s="1670"/>
      <c r="DL336" s="1670"/>
      <c r="DM336" s="1670"/>
      <c r="DN336" s="1670"/>
      <c r="DO336" s="1670"/>
      <c r="DP336" s="1670"/>
      <c r="DQ336" s="1670"/>
      <c r="DR336" s="1670"/>
      <c r="DS336" s="1670"/>
      <c r="DT336" s="1670"/>
      <c r="DU336" s="1670"/>
      <c r="DV336" s="706"/>
    </row>
    <row r="337" spans="1:256" ht="13.9" hidden="1" customHeight="1">
      <c r="A337" s="947" t="s">
        <v>4077</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5"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4061</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3925</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95" hidden="1" customHeight="1">
      <c r="A343" s="2643" t="s">
        <v>4160</v>
      </c>
      <c r="B343" s="2643"/>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95" hidden="1" customHeight="1">
      <c r="A344" s="2643" t="s">
        <v>4161</v>
      </c>
      <c r="B344" s="2643"/>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95" hidden="1" customHeight="1">
      <c r="A345" s="2643" t="s">
        <v>4162</v>
      </c>
      <c r="B345" s="2643"/>
      <c r="C345" s="837"/>
      <c r="D345" s="838"/>
      <c r="E345" s="838"/>
      <c r="F345" s="838"/>
      <c r="G345" s="838"/>
      <c r="H345" s="838"/>
      <c r="I345" s="838"/>
      <c r="J345" s="838"/>
      <c r="W345" s="839"/>
      <c r="AB345" s="831"/>
      <c r="AD345" s="831"/>
      <c r="AE345" s="840"/>
      <c r="AF345" s="830"/>
      <c r="AG345" s="830"/>
      <c r="DV345" s="833"/>
    </row>
    <row r="346" spans="1:256" s="829" customFormat="1" ht="18.95" hidden="1" customHeight="1">
      <c r="A346" s="2643" t="s">
        <v>4163</v>
      </c>
      <c r="B346" s="2643"/>
      <c r="C346" s="837"/>
      <c r="D346" s="838"/>
      <c r="E346" s="838"/>
      <c r="F346" s="838"/>
      <c r="G346" s="838"/>
      <c r="H346" s="838"/>
      <c r="I346" s="838"/>
      <c r="J346" s="838"/>
      <c r="W346" s="839"/>
      <c r="AB346" s="831"/>
      <c r="AD346" s="831"/>
      <c r="AE346" s="840"/>
      <c r="AF346" s="830"/>
      <c r="AG346" s="830"/>
      <c r="DV346" s="833"/>
      <c r="DX346" s="833"/>
      <c r="DZ346" s="833"/>
    </row>
    <row r="347" spans="1:256" s="829" customFormat="1" ht="18.95" hidden="1" customHeight="1">
      <c r="A347" s="2643" t="s">
        <v>4164</v>
      </c>
      <c r="B347" s="2643"/>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95" hidden="1" customHeight="1">
      <c r="A348" s="2643" t="s">
        <v>4165</v>
      </c>
      <c r="B348" s="2643"/>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95" hidden="1" customHeight="1">
      <c r="A349" s="846" t="s">
        <v>4166</v>
      </c>
      <c r="B349" s="831"/>
      <c r="C349" s="837">
        <f>+M339</f>
        <v>0</v>
      </c>
      <c r="D349" s="847"/>
      <c r="E349" s="847"/>
      <c r="F349" s="847"/>
      <c r="G349" s="847"/>
      <c r="H349" s="847"/>
      <c r="I349" s="847"/>
      <c r="J349" s="847"/>
      <c r="AB349" s="831"/>
      <c r="AD349" s="831"/>
      <c r="AF349" s="830"/>
      <c r="DV349" s="833"/>
    </row>
    <row r="350" spans="1:256" s="829" customFormat="1" ht="18.95" hidden="1" customHeight="1">
      <c r="A350" s="846" t="s">
        <v>4167</v>
      </c>
      <c r="C350" s="837"/>
      <c r="DV350" s="833"/>
      <c r="IR350" s="834"/>
      <c r="IS350" s="834"/>
      <c r="IT350" s="834"/>
      <c r="IU350" s="834"/>
      <c r="IV350" s="834"/>
    </row>
    <row r="351" spans="1:256" ht="18.95" customHeight="1">
      <c r="Q351" s="936"/>
      <c r="BQ351" s="531"/>
      <c r="BR351" s="531"/>
      <c r="BS351" s="531"/>
      <c r="BT351" s="531"/>
      <c r="BU351" s="531"/>
      <c r="BV351" s="531"/>
      <c r="DV351" s="891"/>
    </row>
    <row r="352" spans="1:256" ht="18.95" customHeight="1">
      <c r="Q352" s="853"/>
      <c r="BQ352" s="531"/>
      <c r="BR352" s="531"/>
      <c r="BS352" s="531"/>
      <c r="BT352" s="531"/>
      <c r="BU352" s="531"/>
      <c r="BV352" s="531"/>
      <c r="DV352" s="852"/>
    </row>
    <row r="353" spans="10:256" ht="18.95" customHeight="1">
      <c r="Q353" s="853"/>
      <c r="BQ353" s="531"/>
      <c r="BR353" s="531"/>
      <c r="BS353" s="531"/>
      <c r="BT353" s="531"/>
      <c r="BU353" s="531"/>
      <c r="BV353" s="531"/>
      <c r="DV353" s="852"/>
    </row>
    <row r="354" spans="10:256" ht="18.95" customHeight="1">
      <c r="Q354" s="853"/>
      <c r="BQ354" s="531"/>
      <c r="BR354" s="531"/>
      <c r="BS354" s="531"/>
      <c r="BT354" s="531"/>
      <c r="BU354" s="531"/>
      <c r="BV354" s="531"/>
      <c r="DV354" s="852"/>
    </row>
    <row r="355" spans="10:256" ht="18.95" customHeight="1">
      <c r="Q355" s="853"/>
      <c r="BQ355" s="531"/>
      <c r="BR355" s="531"/>
      <c r="BS355" s="531"/>
      <c r="BT355" s="531"/>
      <c r="BU355" s="531"/>
      <c r="BV355" s="531"/>
      <c r="DV355" s="852"/>
      <c r="IR355" s="543"/>
      <c r="IS355" s="543"/>
      <c r="IT355" s="543"/>
      <c r="IU355" s="543"/>
      <c r="IV355" s="543"/>
    </row>
    <row r="356" spans="10:256" ht="18.95" customHeight="1">
      <c r="Q356" s="934"/>
      <c r="BQ356" s="531"/>
      <c r="BR356" s="531"/>
      <c r="BS356" s="531"/>
      <c r="BT356" s="531"/>
      <c r="BU356" s="531"/>
      <c r="BV356" s="531"/>
      <c r="DV356" s="851"/>
    </row>
    <row r="357" spans="10:256" ht="18.95" customHeight="1">
      <c r="BQ357" s="531"/>
      <c r="BR357" s="531"/>
      <c r="BS357" s="531"/>
      <c r="BT357" s="531"/>
      <c r="BU357" s="531"/>
      <c r="BV357" s="531"/>
    </row>
    <row r="358" spans="10:256" ht="18.95" customHeight="1">
      <c r="J358" s="853"/>
      <c r="BQ358" s="531"/>
      <c r="BR358" s="531"/>
      <c r="BS358" s="531"/>
      <c r="BT358" s="531"/>
      <c r="BU358" s="531"/>
      <c r="BV358" s="531"/>
      <c r="DI358" s="852"/>
    </row>
    <row r="359" spans="10:256" ht="18.95" customHeight="1">
      <c r="J359" s="935"/>
      <c r="BQ359" s="531"/>
      <c r="BR359" s="531"/>
      <c r="BS359" s="531"/>
      <c r="BT359" s="531"/>
      <c r="BU359" s="531"/>
      <c r="BV359" s="531"/>
    </row>
    <row r="360" spans="10:256" ht="18.95" customHeight="1">
      <c r="BQ360" s="531"/>
      <c r="BR360" s="531"/>
      <c r="BS360" s="531"/>
      <c r="BT360" s="531"/>
      <c r="BU360" s="531"/>
      <c r="BV360" s="531"/>
    </row>
    <row r="361" spans="10:256" ht="18.95" customHeight="1">
      <c r="BQ361" s="531"/>
      <c r="BR361" s="531"/>
      <c r="BS361" s="531"/>
      <c r="BT361" s="531"/>
      <c r="BU361" s="531"/>
      <c r="BV361" s="531"/>
    </row>
    <row r="362" spans="10:256" ht="18.95" customHeight="1">
      <c r="BQ362" s="531"/>
      <c r="BR362" s="531"/>
      <c r="BS362" s="531"/>
      <c r="BT362" s="531"/>
      <c r="BU362" s="531"/>
      <c r="BV362" s="531"/>
      <c r="IR362" s="543"/>
      <c r="IS362" s="543"/>
      <c r="IT362" s="543"/>
      <c r="IU362" s="543"/>
      <c r="IV362" s="543"/>
    </row>
    <row r="363" spans="10:256" ht="18.95" customHeight="1">
      <c r="BQ363" s="531"/>
      <c r="BR363" s="531"/>
      <c r="BS363" s="531"/>
      <c r="BT363" s="531"/>
      <c r="BU363" s="531"/>
      <c r="BV363" s="531"/>
    </row>
    <row r="364" spans="10:256" ht="18.95" customHeight="1">
      <c r="BQ364" s="531"/>
      <c r="BR364" s="531"/>
      <c r="BS364" s="531"/>
      <c r="BT364" s="531"/>
      <c r="BU364" s="531"/>
      <c r="BV364" s="531"/>
    </row>
    <row r="365" spans="10:256" ht="18.95" customHeight="1">
      <c r="BQ365" s="531"/>
      <c r="BR365" s="531"/>
      <c r="BS365" s="531"/>
      <c r="BT365" s="531"/>
      <c r="BU365" s="531"/>
      <c r="BV365" s="531"/>
    </row>
    <row r="366" spans="10:256" ht="18.95" customHeight="1">
      <c r="BQ366" s="531"/>
      <c r="BR366" s="531"/>
      <c r="BS366" s="531"/>
      <c r="BT366" s="531"/>
      <c r="BU366" s="531"/>
      <c r="BV366" s="531"/>
    </row>
    <row r="367" spans="10:256" ht="18.95" customHeight="1">
      <c r="BQ367" s="531"/>
      <c r="BR367" s="531"/>
      <c r="BS367" s="531"/>
      <c r="BT367" s="531"/>
      <c r="BU367" s="531"/>
      <c r="BV367" s="531"/>
    </row>
    <row r="368" spans="10:256" ht="18.95" customHeight="1">
      <c r="BQ368" s="531"/>
      <c r="BR368" s="531"/>
      <c r="BS368" s="531"/>
      <c r="BT368" s="531"/>
      <c r="BU368" s="531"/>
      <c r="BV368" s="531"/>
    </row>
    <row r="369" spans="69:74" ht="18.95" customHeight="1">
      <c r="BQ369" s="531"/>
      <c r="BR369" s="531"/>
      <c r="BS369" s="531"/>
      <c r="BT369" s="531"/>
      <c r="BU369" s="531"/>
      <c r="BV369" s="531"/>
    </row>
    <row r="370" spans="69:74" ht="18.95" customHeight="1">
      <c r="BQ370" s="531"/>
      <c r="BR370" s="531"/>
      <c r="BS370" s="531"/>
      <c r="BT370" s="531"/>
      <c r="BU370" s="531"/>
      <c r="BV370" s="531"/>
    </row>
    <row r="371" spans="69:74" ht="18.95" customHeight="1">
      <c r="BQ371" s="531"/>
      <c r="BR371" s="531"/>
      <c r="BS371" s="531"/>
      <c r="BT371" s="531"/>
      <c r="BU371" s="531"/>
      <c r="BV371" s="531"/>
    </row>
    <row r="372" spans="69:74" ht="18.95" customHeight="1">
      <c r="BQ372" s="531"/>
      <c r="BR372" s="531"/>
      <c r="BS372" s="531"/>
      <c r="BT372" s="531"/>
      <c r="BU372" s="531"/>
      <c r="BV372" s="531"/>
    </row>
    <row r="373" spans="69:74" ht="18.95" customHeight="1">
      <c r="BQ373" s="531"/>
      <c r="BR373" s="531"/>
      <c r="BS373" s="531"/>
      <c r="BT373" s="531"/>
      <c r="BU373" s="531"/>
      <c r="BV373" s="531"/>
    </row>
    <row r="374" spans="69:74" ht="18.95" customHeight="1">
      <c r="BQ374" s="531"/>
      <c r="BR374" s="531"/>
      <c r="BS374" s="531"/>
      <c r="BT374" s="531"/>
      <c r="BU374" s="531"/>
      <c r="BV374" s="531"/>
    </row>
    <row r="375" spans="69:74" ht="18.95" customHeight="1">
      <c r="BQ375" s="531"/>
      <c r="BR375" s="531"/>
      <c r="BS375" s="531"/>
      <c r="BT375" s="531"/>
      <c r="BU375" s="531"/>
      <c r="BV375" s="531"/>
    </row>
    <row r="376" spans="69:74" ht="18.95" customHeight="1">
      <c r="BQ376" s="531"/>
      <c r="BR376" s="531"/>
      <c r="BS376" s="531"/>
      <c r="BT376" s="531"/>
      <c r="BU376" s="531"/>
      <c r="BV376" s="531"/>
    </row>
    <row r="377" spans="69:74" ht="18.95" customHeight="1">
      <c r="BQ377" s="531"/>
      <c r="BR377" s="531"/>
      <c r="BS377" s="531"/>
      <c r="BT377" s="531"/>
      <c r="BU377" s="531"/>
      <c r="BV377" s="531"/>
    </row>
    <row r="378" spans="69:74" ht="18.95" customHeight="1">
      <c r="BQ378" s="531"/>
      <c r="BR378" s="531"/>
      <c r="BS378" s="531"/>
      <c r="BT378" s="531"/>
      <c r="BU378" s="531"/>
      <c r="BV378" s="531"/>
    </row>
    <row r="379" spans="69:74" ht="18.95" customHeight="1">
      <c r="BQ379" s="531"/>
      <c r="BR379" s="531"/>
      <c r="BS379" s="531"/>
      <c r="BT379" s="531"/>
      <c r="BU379" s="531"/>
      <c r="BV379" s="531"/>
    </row>
    <row r="380" spans="69:74" ht="18.95" customHeight="1">
      <c r="BQ380" s="531"/>
      <c r="BR380" s="531"/>
      <c r="BS380" s="531"/>
      <c r="BT380" s="531"/>
      <c r="BU380" s="531"/>
      <c r="BV380" s="531"/>
    </row>
    <row r="381" spans="69:74" ht="18.95" customHeight="1">
      <c r="BQ381" s="531"/>
      <c r="BR381" s="531"/>
      <c r="BS381" s="531"/>
      <c r="BT381" s="531"/>
      <c r="BU381" s="531"/>
      <c r="BV381" s="531"/>
    </row>
    <row r="382" spans="69:74" ht="18.95" customHeight="1">
      <c r="BQ382" s="531"/>
      <c r="BR382" s="531"/>
      <c r="BS382" s="531"/>
      <c r="BT382" s="531"/>
      <c r="BU382" s="531"/>
      <c r="BV382" s="531"/>
    </row>
    <row r="383" spans="69:74" ht="18.95" customHeight="1">
      <c r="BQ383" s="531"/>
      <c r="BR383" s="531"/>
      <c r="BS383" s="531"/>
      <c r="BT383" s="531"/>
      <c r="BU383" s="531"/>
      <c r="BV383" s="531"/>
    </row>
    <row r="384" spans="69:74" ht="18.95" customHeight="1">
      <c r="BQ384" s="531"/>
      <c r="BR384" s="531"/>
      <c r="BS384" s="531"/>
      <c r="BT384" s="531"/>
      <c r="BU384" s="531"/>
      <c r="BV384" s="531"/>
    </row>
    <row r="385" spans="69:74" ht="18.95" customHeight="1">
      <c r="BQ385" s="531"/>
      <c r="BR385" s="531"/>
      <c r="BS385" s="531"/>
      <c r="BT385" s="531"/>
      <c r="BU385" s="531"/>
      <c r="BV385" s="531"/>
    </row>
    <row r="386" spans="69:74" ht="18.95" customHeight="1">
      <c r="BQ386" s="531"/>
      <c r="BR386" s="531"/>
      <c r="BS386" s="531"/>
      <c r="BT386" s="531"/>
      <c r="BU386" s="531"/>
      <c r="BV386" s="531"/>
    </row>
    <row r="387" spans="69:74" ht="18.95" customHeight="1">
      <c r="BQ387" s="531"/>
      <c r="BR387" s="531"/>
      <c r="BS387" s="531"/>
      <c r="BT387" s="531"/>
      <c r="BU387" s="531"/>
      <c r="BV387" s="531"/>
    </row>
    <row r="388" spans="69:74" ht="18.95" customHeight="1">
      <c r="BQ388" s="531"/>
      <c r="BR388" s="531"/>
      <c r="BS388" s="531"/>
      <c r="BT388" s="531"/>
      <c r="BU388" s="531"/>
      <c r="BV388" s="531"/>
    </row>
    <row r="389" spans="69:74" ht="18.95" customHeight="1">
      <c r="BQ389" s="531"/>
      <c r="BR389" s="531"/>
      <c r="BS389" s="531"/>
      <c r="BT389" s="531"/>
      <c r="BU389" s="531"/>
      <c r="BV389" s="531"/>
    </row>
    <row r="390" spans="69:74" ht="18.95" customHeight="1">
      <c r="BQ390" s="531"/>
      <c r="BR390" s="531"/>
      <c r="BS390" s="531"/>
      <c r="BT390" s="531"/>
      <c r="BU390" s="531"/>
      <c r="BV390" s="531"/>
    </row>
    <row r="391" spans="69:74" ht="18.95" customHeight="1">
      <c r="BQ391" s="531"/>
      <c r="BR391" s="531"/>
      <c r="BS391" s="531"/>
      <c r="BT391" s="531"/>
      <c r="BU391" s="531"/>
      <c r="BV391" s="531"/>
    </row>
    <row r="392" spans="69:74" ht="18.95" customHeight="1">
      <c r="BQ392" s="531"/>
      <c r="BR392" s="531"/>
      <c r="BS392" s="531"/>
      <c r="BT392" s="531"/>
      <c r="BU392" s="531"/>
      <c r="BV392" s="531"/>
    </row>
    <row r="393" spans="69:74" ht="18.95" customHeight="1">
      <c r="BQ393" s="531"/>
      <c r="BR393" s="531"/>
      <c r="BS393" s="531"/>
      <c r="BT393" s="531"/>
      <c r="BU393" s="531"/>
      <c r="BV393" s="531"/>
    </row>
    <row r="394" spans="69:74" ht="18.95" customHeight="1">
      <c r="BQ394" s="531"/>
      <c r="BR394" s="531"/>
      <c r="BS394" s="531"/>
      <c r="BT394" s="531"/>
      <c r="BU394" s="531"/>
      <c r="BV394" s="531"/>
    </row>
    <row r="395" spans="69:74" ht="18.95" customHeight="1">
      <c r="BQ395" s="531"/>
      <c r="BR395" s="531"/>
      <c r="BS395" s="531"/>
      <c r="BT395" s="531"/>
      <c r="BU395" s="531"/>
      <c r="BV395" s="531"/>
    </row>
    <row r="396" spans="69:74" ht="18.95" customHeight="1">
      <c r="BQ396" s="531"/>
      <c r="BR396" s="531"/>
      <c r="BS396" s="531"/>
      <c r="BT396" s="531"/>
      <c r="BU396" s="531"/>
      <c r="BV396" s="531"/>
    </row>
    <row r="397" spans="69:74" ht="18.95" customHeight="1">
      <c r="BQ397" s="531"/>
      <c r="BR397" s="531"/>
      <c r="BS397" s="531"/>
      <c r="BT397" s="531"/>
      <c r="BU397" s="531"/>
      <c r="BV397" s="531"/>
    </row>
    <row r="398" spans="69:74" ht="18.95" customHeight="1">
      <c r="BQ398" s="531"/>
      <c r="BR398" s="531"/>
      <c r="BS398" s="531"/>
      <c r="BT398" s="531"/>
      <c r="BU398" s="531"/>
      <c r="BV398" s="531"/>
    </row>
    <row r="399" spans="69:74" ht="18.95" customHeight="1">
      <c r="BQ399" s="531"/>
      <c r="BR399" s="531"/>
      <c r="BS399" s="531"/>
      <c r="BT399" s="531"/>
      <c r="BU399" s="531"/>
      <c r="BV399" s="531"/>
    </row>
    <row r="400" spans="69:74" ht="18.95" customHeight="1">
      <c r="BQ400" s="531"/>
      <c r="BR400" s="531"/>
      <c r="BS400" s="531"/>
      <c r="BT400" s="531"/>
      <c r="BU400" s="531"/>
      <c r="BV400" s="531"/>
    </row>
    <row r="401" spans="69:74" ht="18.95" customHeight="1">
      <c r="BQ401" s="531"/>
      <c r="BR401" s="531"/>
      <c r="BS401" s="531"/>
      <c r="BT401" s="531"/>
      <c r="BU401" s="531"/>
      <c r="BV401" s="531"/>
    </row>
    <row r="402" spans="69:74" ht="18.95" customHeight="1">
      <c r="BQ402" s="531"/>
      <c r="BR402" s="531"/>
      <c r="BS402" s="531"/>
      <c r="BT402" s="531"/>
      <c r="BU402" s="531"/>
      <c r="BV402" s="531"/>
    </row>
    <row r="403" spans="69:74" ht="18.95" customHeight="1">
      <c r="BQ403" s="531"/>
      <c r="BR403" s="531"/>
      <c r="BS403" s="531"/>
      <c r="BT403" s="531"/>
      <c r="BU403" s="531"/>
      <c r="BV403" s="531"/>
    </row>
    <row r="404" spans="69:74" ht="18.95" customHeight="1">
      <c r="BQ404" s="531"/>
      <c r="BR404" s="531"/>
      <c r="BS404" s="531"/>
      <c r="BT404" s="531"/>
      <c r="BU404" s="531"/>
      <c r="BV404" s="531"/>
    </row>
    <row r="405" spans="69:74" ht="18.95" customHeight="1">
      <c r="BQ405" s="531"/>
      <c r="BR405" s="531"/>
      <c r="BS405" s="531"/>
      <c r="BT405" s="531"/>
      <c r="BU405" s="531"/>
      <c r="BV405" s="531"/>
    </row>
    <row r="406" spans="69:74" ht="18.95" customHeight="1">
      <c r="BQ406" s="531"/>
      <c r="BR406" s="531"/>
      <c r="BS406" s="531"/>
      <c r="BT406" s="531"/>
      <c r="BU406" s="531"/>
      <c r="BV406" s="531"/>
    </row>
    <row r="407" spans="69:74" ht="18.95" customHeight="1">
      <c r="BQ407" s="531"/>
      <c r="BR407" s="531"/>
      <c r="BS407" s="531"/>
      <c r="BT407" s="531"/>
      <c r="BU407" s="531"/>
      <c r="BV407" s="531"/>
    </row>
    <row r="408" spans="69:74" ht="18.95" customHeight="1">
      <c r="BQ408" s="531"/>
      <c r="BR408" s="531"/>
      <c r="BS408" s="531"/>
      <c r="BT408" s="531"/>
      <c r="BU408" s="531"/>
      <c r="BV408" s="531"/>
    </row>
    <row r="409" spans="69:74" ht="18.95" customHeight="1">
      <c r="BQ409" s="531"/>
      <c r="BR409" s="531"/>
      <c r="BS409" s="531"/>
      <c r="BT409" s="531"/>
      <c r="BU409" s="531"/>
      <c r="BV409" s="531"/>
    </row>
    <row r="410" spans="69:74" ht="18.95" customHeight="1">
      <c r="BQ410" s="531"/>
      <c r="BR410" s="531"/>
      <c r="BS410" s="531"/>
      <c r="BT410" s="531"/>
      <c r="BU410" s="531"/>
      <c r="BV410" s="531"/>
    </row>
    <row r="411" spans="69:74" ht="18.95" customHeight="1">
      <c r="BQ411" s="531"/>
      <c r="BR411" s="531"/>
      <c r="BS411" s="531"/>
      <c r="BT411" s="531"/>
      <c r="BU411" s="531"/>
      <c r="BV411" s="531"/>
    </row>
    <row r="412" spans="69:74" ht="18.95" customHeight="1">
      <c r="BQ412" s="531"/>
      <c r="BR412" s="531"/>
      <c r="BS412" s="531"/>
      <c r="BT412" s="531"/>
      <c r="BU412" s="531"/>
      <c r="BV412" s="531"/>
    </row>
    <row r="413" spans="69:74" ht="18.95" customHeight="1">
      <c r="BQ413" s="531"/>
      <c r="BR413" s="531"/>
      <c r="BS413" s="531"/>
      <c r="BT413" s="531"/>
      <c r="BU413" s="531"/>
      <c r="BV413" s="531"/>
    </row>
    <row r="414" spans="69:74" ht="18.95" customHeight="1">
      <c r="BQ414" s="531"/>
      <c r="BR414" s="531"/>
      <c r="BS414" s="531"/>
      <c r="BT414" s="531"/>
      <c r="BU414" s="531"/>
      <c r="BV414" s="531"/>
    </row>
    <row r="415" spans="69:74" ht="18.95" customHeight="1">
      <c r="BQ415" s="531"/>
      <c r="BR415" s="531"/>
      <c r="BS415" s="531"/>
      <c r="BT415" s="531"/>
      <c r="BU415" s="531"/>
      <c r="BV415" s="531"/>
    </row>
    <row r="416" spans="69:74" ht="18.95" customHeight="1">
      <c r="BQ416" s="531"/>
      <c r="BR416" s="531"/>
      <c r="BS416" s="531"/>
      <c r="BT416" s="531"/>
      <c r="BU416" s="531"/>
      <c r="BV416" s="531"/>
    </row>
    <row r="417" spans="69:74" ht="18.95" customHeight="1">
      <c r="BQ417" s="531"/>
      <c r="BR417" s="531"/>
      <c r="BS417" s="531"/>
      <c r="BT417" s="531"/>
      <c r="BU417" s="531"/>
      <c r="BV417" s="531"/>
    </row>
    <row r="418" spans="69:74" ht="18.95" customHeight="1">
      <c r="BQ418" s="531"/>
      <c r="BR418" s="531"/>
      <c r="BS418" s="531"/>
      <c r="BT418" s="531"/>
      <c r="BU418" s="531"/>
      <c r="BV418" s="531"/>
    </row>
    <row r="419" spans="69:74" ht="18.95" customHeight="1">
      <c r="BQ419" s="531"/>
      <c r="BR419" s="531"/>
      <c r="BS419" s="531"/>
      <c r="BT419" s="531"/>
      <c r="BU419" s="531"/>
      <c r="BV419" s="531"/>
    </row>
    <row r="420" spans="69:74" ht="18.95" customHeight="1">
      <c r="BQ420" s="531"/>
      <c r="BR420" s="531"/>
      <c r="BS420" s="531"/>
      <c r="BT420" s="531"/>
      <c r="BU420" s="531"/>
      <c r="BV420" s="531"/>
    </row>
    <row r="421" spans="69:74" ht="18.95" customHeight="1">
      <c r="BQ421" s="531"/>
      <c r="BR421" s="531"/>
      <c r="BS421" s="531"/>
      <c r="BT421" s="531"/>
      <c r="BU421" s="531"/>
      <c r="BV421" s="531"/>
    </row>
    <row r="422" spans="69:74" ht="18.95" customHeight="1">
      <c r="BQ422" s="531"/>
      <c r="BR422" s="531"/>
      <c r="BS422" s="531"/>
      <c r="BT422" s="531"/>
      <c r="BU422" s="531"/>
      <c r="BV422" s="531"/>
    </row>
    <row r="423" spans="69:74" ht="18.95" customHeight="1">
      <c r="BQ423" s="531"/>
      <c r="BR423" s="531"/>
      <c r="BS423" s="531"/>
      <c r="BT423" s="531"/>
      <c r="BU423" s="531"/>
      <c r="BV423" s="531"/>
    </row>
    <row r="424" spans="69:74" ht="18.95" customHeight="1">
      <c r="BQ424" s="531"/>
      <c r="BR424" s="531"/>
      <c r="BS424" s="531"/>
      <c r="BT424" s="531"/>
      <c r="BU424" s="531"/>
      <c r="BV424" s="531"/>
    </row>
    <row r="425" spans="69:74" ht="18.95" customHeight="1">
      <c r="BQ425" s="531"/>
      <c r="BR425" s="531"/>
      <c r="BS425" s="531"/>
      <c r="BT425" s="531"/>
      <c r="BU425" s="531"/>
      <c r="BV425" s="531"/>
    </row>
    <row r="426" spans="69:74" ht="18.95" customHeight="1">
      <c r="BQ426" s="531"/>
      <c r="BR426" s="531"/>
      <c r="BS426" s="531"/>
      <c r="BT426" s="531"/>
      <c r="BU426" s="531"/>
      <c r="BV426" s="531"/>
    </row>
    <row r="427" spans="69:74" ht="18.95" customHeight="1">
      <c r="BQ427" s="531"/>
      <c r="BR427" s="531"/>
      <c r="BS427" s="531"/>
      <c r="BT427" s="531"/>
      <c r="BU427" s="531"/>
      <c r="BV427" s="531"/>
    </row>
    <row r="428" spans="69:74" ht="18.95" customHeight="1">
      <c r="BQ428" s="531"/>
      <c r="BR428" s="531"/>
      <c r="BS428" s="531"/>
      <c r="BT428" s="531"/>
      <c r="BU428" s="531"/>
      <c r="BV428" s="531"/>
    </row>
    <row r="429" spans="69:74" ht="18.95" customHeight="1">
      <c r="BQ429" s="531"/>
      <c r="BR429" s="531"/>
      <c r="BS429" s="531"/>
      <c r="BT429" s="531"/>
      <c r="BU429" s="531"/>
      <c r="BV429" s="531"/>
    </row>
    <row r="430" spans="69:74" ht="18.95" customHeight="1">
      <c r="BQ430" s="531"/>
      <c r="BR430" s="531"/>
      <c r="BS430" s="531"/>
      <c r="BT430" s="531"/>
      <c r="BU430" s="531"/>
      <c r="BV430" s="531"/>
    </row>
    <row r="431" spans="69:74" ht="18.95" customHeight="1">
      <c r="BQ431" s="531"/>
      <c r="BR431" s="531"/>
      <c r="BS431" s="531"/>
      <c r="BT431" s="531"/>
      <c r="BU431" s="531"/>
      <c r="BV431" s="531"/>
    </row>
    <row r="432" spans="69:74" ht="18.95" customHeight="1">
      <c r="BQ432" s="531"/>
      <c r="BR432" s="531"/>
      <c r="BS432" s="531"/>
      <c r="BT432" s="531"/>
      <c r="BU432" s="531"/>
      <c r="BV432" s="531"/>
    </row>
    <row r="433" spans="69:74" ht="18.95" customHeight="1">
      <c r="BQ433" s="531"/>
      <c r="BR433" s="531"/>
      <c r="BS433" s="531"/>
      <c r="BT433" s="531"/>
      <c r="BU433" s="531"/>
      <c r="BV433" s="531"/>
    </row>
    <row r="434" spans="69:74" ht="18.95" customHeight="1">
      <c r="BQ434" s="531"/>
      <c r="BR434" s="531"/>
      <c r="BS434" s="531"/>
      <c r="BT434" s="531"/>
      <c r="BU434" s="531"/>
      <c r="BV434" s="531"/>
    </row>
    <row r="435" spans="69:74" ht="18.95" customHeight="1">
      <c r="BQ435" s="531"/>
      <c r="BR435" s="531"/>
      <c r="BS435" s="531"/>
      <c r="BT435" s="531"/>
      <c r="BU435" s="531"/>
      <c r="BV435" s="531"/>
    </row>
    <row r="436" spans="69:74" ht="18.95" customHeight="1">
      <c r="BQ436" s="531"/>
      <c r="BR436" s="531"/>
      <c r="BS436" s="531"/>
      <c r="BT436" s="531"/>
      <c r="BU436" s="531"/>
      <c r="BV436" s="531"/>
    </row>
    <row r="437" spans="69:74" ht="18.95" customHeight="1">
      <c r="BQ437" s="531"/>
      <c r="BR437" s="531"/>
      <c r="BS437" s="531"/>
      <c r="BT437" s="531"/>
      <c r="BU437" s="531"/>
      <c r="BV437" s="531"/>
    </row>
    <row r="438" spans="69:74" ht="18.95" customHeight="1">
      <c r="BQ438" s="531"/>
      <c r="BR438" s="531"/>
      <c r="BS438" s="531"/>
      <c r="BT438" s="531"/>
      <c r="BU438" s="531"/>
      <c r="BV438" s="531"/>
    </row>
    <row r="439" spans="69:74" ht="18.95" customHeight="1">
      <c r="BQ439" s="531"/>
      <c r="BR439" s="531"/>
      <c r="BS439" s="531"/>
      <c r="BT439" s="531"/>
      <c r="BU439" s="531"/>
      <c r="BV439" s="531"/>
    </row>
    <row r="440" spans="69:74" ht="18.95" customHeight="1">
      <c r="BQ440" s="531"/>
      <c r="BR440" s="531"/>
      <c r="BS440" s="531"/>
      <c r="BT440" s="531"/>
      <c r="BU440" s="531"/>
      <c r="BV440" s="531"/>
    </row>
    <row r="441" spans="69:74" ht="18.95" customHeight="1">
      <c r="BQ441" s="531"/>
      <c r="BR441" s="531"/>
      <c r="BS441" s="531"/>
      <c r="BT441" s="531"/>
      <c r="BU441" s="531"/>
      <c r="BV441" s="531"/>
    </row>
    <row r="442" spans="69:74" ht="18.95" customHeight="1">
      <c r="BQ442" s="531"/>
      <c r="BR442" s="531"/>
      <c r="BS442" s="531"/>
      <c r="BT442" s="531"/>
      <c r="BU442" s="531"/>
      <c r="BV442" s="531"/>
    </row>
    <row r="443" spans="69:74" ht="18.95" customHeight="1">
      <c r="BQ443" s="531"/>
      <c r="BR443" s="531"/>
      <c r="BS443" s="531"/>
      <c r="BT443" s="531"/>
      <c r="BU443" s="531"/>
      <c r="BV443" s="531"/>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A461"/>
  <sheetViews>
    <sheetView topLeftCell="A7" zoomScale="85" zoomScaleNormal="85" workbookViewId="0">
      <pane xSplit="1" topLeftCell="V1" activePane="topRight" state="frozen"/>
      <selection activeCell="A5" sqref="A5"/>
      <selection pane="topRight" activeCell="A11" sqref="A11"/>
    </sheetView>
  </sheetViews>
  <sheetFormatPr defaultColWidth="8.88671875" defaultRowHeight="18.95" customHeight="1" outlineLevelRow="1"/>
  <cols>
    <col min="1" max="1" width="6.5546875" style="770" customWidth="1"/>
    <col min="2" max="2" width="6.21875" style="770" customWidth="1"/>
    <col min="3" max="3" width="6" style="789" customWidth="1"/>
    <col min="4" max="4" width="5.109375" style="789" hidden="1" customWidth="1"/>
    <col min="5" max="11" width="3.88671875" style="789" hidden="1" customWidth="1"/>
    <col min="12" max="12" width="4.44140625" style="789" hidden="1" customWidth="1"/>
    <col min="13" max="17" width="5.77734375" style="789" hidden="1" customWidth="1"/>
    <col min="18" max="19" width="5.77734375" style="790" hidden="1" customWidth="1"/>
    <col min="20" max="21" width="3.88671875" style="770" hidden="1" customWidth="1"/>
    <col min="22" max="22" width="6.88671875" style="472" customWidth="1"/>
    <col min="23" max="24" width="3.88671875" style="770" hidden="1" customWidth="1"/>
    <col min="25" max="26" width="4.77734375" style="770" customWidth="1"/>
    <col min="27" max="29" width="4.33203125" style="770" hidden="1" customWidth="1"/>
    <col min="30" max="30" width="3.88671875" style="472" hidden="1" customWidth="1"/>
    <col min="31" max="31" width="3.77734375" style="472" customWidth="1"/>
    <col min="32" max="32" width="4.88671875" style="472" hidden="1" customWidth="1"/>
    <col min="33" max="44" width="4.33203125" style="472" hidden="1" customWidth="1"/>
    <col min="45" max="45" width="4.33203125" style="472" customWidth="1"/>
    <col min="46" max="58" width="4.33203125" style="472" hidden="1" customWidth="1"/>
    <col min="59" max="61" width="4.33203125" style="770" hidden="1" customWidth="1"/>
    <col min="62" max="62" width="4.77734375" style="770" hidden="1" customWidth="1"/>
    <col min="63" max="63" width="4.33203125" style="770" customWidth="1"/>
    <col min="64" max="71" width="4.33203125" style="770" hidden="1" customWidth="1"/>
    <col min="72" max="72" width="4.5546875" style="472" hidden="1" customWidth="1"/>
    <col min="73" max="73" width="4.109375" style="472" bestFit="1" customWidth="1"/>
    <col min="74" max="83" width="4.33203125" style="472" hidden="1" customWidth="1"/>
    <col min="84" max="84" width="4.33203125" style="770" hidden="1" customWidth="1"/>
    <col min="85" max="85" width="3.77734375" style="770" hidden="1" customWidth="1"/>
    <col min="86" max="86" width="4.33203125" style="770" customWidth="1"/>
    <col min="87" max="91" width="4.33203125" style="770" hidden="1" customWidth="1"/>
    <col min="92" max="92" width="4.33203125" style="472" hidden="1" customWidth="1"/>
    <col min="93" max="94" width="4.33203125" style="472" customWidth="1"/>
    <col min="95" max="99" width="4.33203125" style="472" hidden="1" customWidth="1"/>
    <col min="100" max="101" width="4.33203125" style="472" customWidth="1"/>
    <col min="102" max="105" width="4.33203125" style="472" hidden="1" customWidth="1"/>
    <col min="106" max="106" width="4.33203125" style="472" customWidth="1"/>
    <col min="107" max="108" width="4.33203125" style="770" hidden="1" customWidth="1"/>
    <col min="109" max="110" width="4.33203125" style="770" customWidth="1"/>
    <col min="111" max="113" width="4.33203125" style="770" hidden="1" customWidth="1"/>
    <col min="114" max="114" width="4.33203125" style="770" customWidth="1"/>
    <col min="115" max="116" width="4.33203125" style="770" hidden="1" customWidth="1"/>
    <col min="117" max="117" width="4.33203125" style="770" customWidth="1"/>
    <col min="118" max="121" width="4.33203125" style="770" hidden="1" customWidth="1"/>
    <col min="122" max="128" width="4.33203125" style="472" hidden="1" customWidth="1"/>
    <col min="129" max="131" width="4.33203125" style="770" hidden="1" customWidth="1"/>
    <col min="132" max="132" width="4.33203125" style="771" customWidth="1"/>
    <col min="133" max="133" width="4.33203125" style="472" customWidth="1"/>
    <col min="134" max="136" width="4.33203125" style="472" hidden="1" customWidth="1"/>
    <col min="137" max="137" width="4.44140625" style="472" customWidth="1"/>
    <col min="138" max="141" width="4.33203125" style="472" hidden="1" customWidth="1"/>
    <col min="142" max="142" width="4.33203125" style="472" customWidth="1"/>
    <col min="143" max="153" width="4.33203125" style="472" hidden="1" customWidth="1"/>
    <col min="154" max="156" width="4.33203125" style="472" customWidth="1"/>
    <col min="157" max="191" width="4.33203125" style="472" hidden="1" customWidth="1"/>
    <col min="192" max="192" width="4.33203125" style="770" hidden="1" customWidth="1"/>
    <col min="193" max="193" width="9.109375" style="772" customWidth="1"/>
    <col min="194" max="195" width="4.44140625" customWidth="1"/>
    <col min="196" max="196" width="4.44140625" style="770" customWidth="1"/>
    <col min="197" max="16384" width="8.88671875" style="770"/>
  </cols>
  <sheetData>
    <row r="1" spans="1:235" s="2272" customFormat="1" ht="69" customHeight="1" outlineLevel="1">
      <c r="A1" s="2272" t="str">
        <f t="shared" ref="A1" si="0">IF(LEN(A9)&gt;0,A9,A8)</f>
        <v>Số trụ</v>
      </c>
      <c r="B1" s="2274" t="str">
        <f t="shared" ref="B1:AD1" si="1">IF(LEN(B10)&gt;0,B10,IF(LEN(B9)&gt;0,B9,B8))</f>
        <v>AC50</v>
      </c>
      <c r="C1" s="2274" t="str">
        <f t="shared" si="1"/>
        <v>Cộng dồn 3ACXV50 + AC50</v>
      </c>
      <c r="D1" s="2274" t="str">
        <f t="shared" si="1"/>
        <v>Cộng dồn 2xAC50  thu hồi</v>
      </c>
      <c r="E1" s="2274" t="str">
        <f t="shared" si="1"/>
        <v>Cộng dồn 3xAC70+AC50</v>
      </c>
      <c r="F1" s="2274" t="str">
        <f t="shared" si="1"/>
        <v>Cộng dồn 3xAC95+AC50</v>
      </c>
      <c r="G1" s="2274" t="str">
        <f t="shared" si="1"/>
        <v>Cộng dồn 3xAC120+AC70</v>
      </c>
      <c r="H1" s="2274" t="str">
        <f t="shared" si="1"/>
        <v>Cộng dồn 3xAC150+AC95</v>
      </c>
      <c r="I1" s="2274" t="str">
        <f t="shared" si="1"/>
        <v>Cộng dồn 3xAC185+AC120</v>
      </c>
      <c r="J1" s="2274" t="str">
        <f t="shared" si="1"/>
        <v>Cộng dồn 3xAC240+AC150</v>
      </c>
      <c r="K1" s="2274" t="str">
        <f t="shared" si="1"/>
        <v>Cộng dồn 3CXV25+AC50</v>
      </c>
      <c r="L1" s="2274" t="str">
        <f t="shared" si="1"/>
        <v>Cộng dồn 3AXV50mm2+AC50mm2</v>
      </c>
      <c r="M1" s="2274" t="str">
        <f t="shared" si="1"/>
        <v>Cộng dồn 3AXV70+AC50</v>
      </c>
      <c r="N1" s="2274" t="str">
        <f t="shared" si="1"/>
        <v>Cộng dồn 3AXV95+AC50</v>
      </c>
      <c r="O1" s="2274" t="str">
        <f t="shared" si="1"/>
        <v>Cộng dồn 3AXV120+AC70</v>
      </c>
      <c r="P1" s="2274" t="str">
        <f t="shared" si="1"/>
        <v>Cộng dồn 3AXV185+AC120</v>
      </c>
      <c r="Q1" s="2274" t="str">
        <f t="shared" si="1"/>
        <v>Cộng dồn 3AXV240+AC150</v>
      </c>
      <c r="R1" s="2274" t="str">
        <f t="shared" si="1"/>
        <v>Cộng dồn C/XLPE/PVC25+M25</v>
      </c>
      <c r="S1" s="2274" t="str">
        <f t="shared" si="1"/>
        <v>Cộng dồn C/XLPE/PVC50+M25</v>
      </c>
      <c r="T1" s="2274" t="str">
        <f t="shared" si="1"/>
        <v>Hướng: T (trái), P (phải)</v>
      </c>
      <c r="U1" s="2274" t="str">
        <f t="shared" si="1"/>
        <v>góc (độ)</v>
      </c>
      <c r="V1" s="2274" t="str">
        <f t="shared" si="1"/>
        <v>Hình thức trụ</v>
      </c>
      <c r="W1" s="2274" t="str">
        <f t="shared" si="1"/>
        <v>BTLT HH</v>
      </c>
      <c r="X1" s="2274" t="str">
        <f t="shared" si="1"/>
        <v>BTLT 10.5</v>
      </c>
      <c r="Y1" s="2274" t="str">
        <f t="shared" si="1"/>
        <v>BTLT 12HH</v>
      </c>
      <c r="Z1" s="2274" t="str">
        <f t="shared" si="1"/>
        <v>BTLT 12</v>
      </c>
      <c r="AA1" s="2274" t="str">
        <f t="shared" si="1"/>
        <v>BTLT 12 TC</v>
      </c>
      <c r="AB1" s="2274" t="str">
        <f t="shared" si="1"/>
        <v>BTLT 14</v>
      </c>
      <c r="AC1" s="2274" t="str">
        <f t="shared" si="1"/>
        <v>BTLT 20</v>
      </c>
      <c r="AD1" s="2274" t="str">
        <f t="shared" si="1"/>
        <v>M8a</v>
      </c>
      <c r="AE1" s="2274" t="str">
        <f>IF(LEN(AE10)&gt;0,AE10,IF(LEN(AE9)&gt;0,AE9,AE8))</f>
        <v>M12</v>
      </c>
      <c r="AF1" s="2274" t="str">
        <f t="shared" ref="AF1:CQ1" si="2">IF(LEN(AF10)&gt;0,AF10,IF(LEN(AF9)&gt;0,AF9,AF8))</f>
        <v>M12a</v>
      </c>
      <c r="AG1" s="2274" t="str">
        <f t="shared" si="2"/>
        <v>M12b</v>
      </c>
      <c r="AH1" s="2274" t="str">
        <f t="shared" si="2"/>
        <v>M12aa</v>
      </c>
      <c r="AI1" s="2274" t="str">
        <f t="shared" si="2"/>
        <v>M12ba</v>
      </c>
      <c r="AJ1" s="2274" t="str">
        <f t="shared" si="2"/>
        <v>M12bb</v>
      </c>
      <c r="AK1" s="2274" t="str">
        <f t="shared" si="2"/>
        <v>M12-2a</v>
      </c>
      <c r="AL1" s="2274" t="str">
        <f t="shared" si="2"/>
        <v>M12-2b</v>
      </c>
      <c r="AM1" s="2274" t="str">
        <f t="shared" si="2"/>
        <v>M12-2bn</v>
      </c>
      <c r="AN1" s="2274" t="str">
        <f t="shared" si="2"/>
        <v>M12b-aa(hh)</v>
      </c>
      <c r="AO1" s="2274" t="str">
        <f t="shared" si="2"/>
        <v>M12 CN</v>
      </c>
      <c r="AP1" s="2274" t="str">
        <f t="shared" si="2"/>
        <v>M12 PĐ</v>
      </c>
      <c r="AQ1" s="2274" t="str">
        <f t="shared" si="2"/>
        <v>M12BT ĐƠN</v>
      </c>
      <c r="AR1" s="2274" t="str">
        <f t="shared" si="2"/>
        <v>M12BT P500</v>
      </c>
      <c r="AS1" s="2274" t="str">
        <f t="shared" si="2"/>
        <v>M12BT ĐÔI</v>
      </c>
      <c r="AT1" s="2274" t="str">
        <f t="shared" si="2"/>
        <v>M14</v>
      </c>
      <c r="AU1" s="2274" t="str">
        <f t="shared" si="2"/>
        <v>M14a</v>
      </c>
      <c r="AV1" s="2274" t="str">
        <f t="shared" si="2"/>
        <v>M14b</v>
      </c>
      <c r="AW1" s="2274" t="str">
        <f t="shared" si="2"/>
        <v>M14BT ĐƠN</v>
      </c>
      <c r="AX1" s="2274" t="str">
        <f t="shared" si="2"/>
        <v>M14aa</v>
      </c>
      <c r="AY1" s="2274" t="str">
        <f t="shared" si="2"/>
        <v>M14ba</v>
      </c>
      <c r="AZ1" s="2274" t="str">
        <f t="shared" si="2"/>
        <v>M14bb</v>
      </c>
      <c r="BA1" s="2274" t="str">
        <f t="shared" si="2"/>
        <v>M14-2a</v>
      </c>
      <c r="BB1" s="2274" t="str">
        <f t="shared" si="2"/>
        <v>M14-2b</v>
      </c>
      <c r="BC1" s="2274" t="str">
        <f t="shared" si="2"/>
        <v>M14-2bn</v>
      </c>
      <c r="BD1" s="2274" t="str">
        <f t="shared" si="2"/>
        <v>M14-4b</v>
      </c>
      <c r="BE1" s="2274" t="str">
        <f t="shared" si="2"/>
        <v>BTCL-14-500</v>
      </c>
      <c r="BF1" s="2274" t="str">
        <f t="shared" si="2"/>
        <v>M20-4b</v>
      </c>
      <c r="BG1" s="2274" t="str">
        <f t="shared" si="2"/>
        <v>CX10-B</v>
      </c>
      <c r="BH1" s="2274" t="str">
        <f t="shared" si="2"/>
        <v>CL10-B</v>
      </c>
      <c r="BI1" s="2274" t="str">
        <f t="shared" si="2"/>
        <v>CXX10-B</v>
      </c>
      <c r="BJ1" s="2274" t="str">
        <f t="shared" si="2"/>
        <v>CX12-B</v>
      </c>
      <c r="BK1" s="2274" t="str">
        <f t="shared" si="2"/>
        <v>CL12-B</v>
      </c>
      <c r="BL1" s="2274" t="str">
        <f t="shared" si="2"/>
        <v>CXX12-B</v>
      </c>
      <c r="BM1" s="2274" t="str">
        <f t="shared" si="2"/>
        <v>CX14-B</v>
      </c>
      <c r="BN1" s="2274" t="str">
        <f t="shared" si="2"/>
        <v>CL14-B</v>
      </c>
      <c r="BO1" s="2274" t="str">
        <f t="shared" si="2"/>
        <v>CXX14-B</v>
      </c>
      <c r="BP1" s="2274" t="str">
        <f t="shared" si="2"/>
        <v>CX20-B</v>
      </c>
      <c r="BQ1" s="2274" t="str">
        <f t="shared" si="2"/>
        <v>CK-B</v>
      </c>
      <c r="BR1" s="2274" t="str">
        <f t="shared" si="2"/>
        <v>CKK-B</v>
      </c>
      <c r="BS1" s="2274" t="str">
        <f t="shared" si="2"/>
        <v>Khoảng cách</v>
      </c>
      <c r="BT1" s="2274" t="str">
        <f t="shared" si="2"/>
        <v>NXX</v>
      </c>
      <c r="BU1" s="2274" t="str">
        <f t="shared" si="2"/>
        <v>NXL</v>
      </c>
      <c r="BV1" s="2274" t="str">
        <f t="shared" si="2"/>
        <v xml:space="preserve">MNX12-2 </v>
      </c>
      <c r="BW1" s="2274" t="str">
        <f t="shared" si="2"/>
        <v>MNL12-2</v>
      </c>
      <c r="BX1" s="2274" t="str">
        <f t="shared" si="2"/>
        <v xml:space="preserve">MNX12-4 </v>
      </c>
      <c r="BY1" s="2274" t="str">
        <f t="shared" si="2"/>
        <v xml:space="preserve">MNL12-4 </v>
      </c>
      <c r="BZ1" s="2274" t="str">
        <f t="shared" si="2"/>
        <v xml:space="preserve">MNX15-4 </v>
      </c>
      <c r="CA1" s="2274" t="str">
        <f t="shared" si="2"/>
        <v>MNL15-4</v>
      </c>
      <c r="CB1" s="2274" t="str">
        <f t="shared" si="2"/>
        <v xml:space="preserve">MNX15-6 </v>
      </c>
      <c r="CC1" s="2274" t="str">
        <f t="shared" si="2"/>
        <v xml:space="preserve">MNL15-6 </v>
      </c>
      <c r="CD1" s="2274" t="str">
        <f t="shared" si="2"/>
        <v xml:space="preserve">MNX18-6 </v>
      </c>
      <c r="CE1" s="2274" t="str">
        <f t="shared" si="2"/>
        <v xml:space="preserve">MNL18-6 </v>
      </c>
      <c r="CF1" s="2274" t="str">
        <f t="shared" si="2"/>
        <v>Tiếp địa lặp lại (trụ 10.5m)</v>
      </c>
      <c r="CG1" s="2274" t="str">
        <f t="shared" si="2"/>
        <v>Tiếp địa lặp lại (trụ 12m)</v>
      </c>
      <c r="CH1" s="2274" t="str">
        <f t="shared" si="2"/>
        <v>TDLL12</v>
      </c>
      <c r="CI1" s="2274" t="str">
        <f t="shared" si="2"/>
        <v>Tiếp địa mái tole</v>
      </c>
      <c r="CJ1" s="2274" t="str">
        <f t="shared" si="2"/>
        <v>Tiếp địa trụ đo đếm</v>
      </c>
      <c r="CK1" s="2274" t="str">
        <f t="shared" si="2"/>
        <v>Tiếp địa Recloser</v>
      </c>
      <c r="CL1" s="2274" t="str">
        <f t="shared" si="2"/>
        <v>Tiếp địa lặp lại (trụ 14m)</v>
      </c>
      <c r="CM1" s="2274" t="str">
        <f t="shared" si="2"/>
        <v>Tiếp địa lặp lại (trụ 20m)</v>
      </c>
      <c r="CN1" s="2274" t="str">
        <f t="shared" si="2"/>
        <v>X-20Đ</v>
      </c>
      <c r="CO1" s="2274" t="str">
        <f t="shared" si="2"/>
        <v>X-22K-Đ</v>
      </c>
      <c r="CP1" s="2274" t="str">
        <f t="shared" si="2"/>
        <v>X-22K-K</v>
      </c>
      <c r="CQ1" s="2274" t="str">
        <f t="shared" si="2"/>
        <v>X-22Đ</v>
      </c>
      <c r="CR1" s="2274" t="str">
        <f t="shared" ref="CR1:FC1" si="3">IF(LEN(CR10)&gt;0,CR10,IF(LEN(CR9)&gt;0,CR9,CR8))</f>
        <v>X-22K-Đ-C920</v>
      </c>
      <c r="CS1" s="2274" t="str">
        <f t="shared" si="3"/>
        <v>X-22K-K-C920</v>
      </c>
      <c r="CT1" s="2274" t="str">
        <f t="shared" si="3"/>
        <v>X-1,66K</v>
      </c>
      <c r="CU1" s="2274" t="str">
        <f t="shared" si="3"/>
        <v>X-1,66Đ</v>
      </c>
      <c r="CV1" s="2274" t="str">
        <f t="shared" si="3"/>
        <v>X-21KL</v>
      </c>
      <c r="CW1" s="2274" t="str">
        <f t="shared" si="3"/>
        <v>X-21ĐL</v>
      </c>
      <c r="CX1" s="2274" t="str">
        <f t="shared" si="3"/>
        <v>X-20ĐL2/3</v>
      </c>
      <c r="CY1" s="2274" t="str">
        <f t="shared" si="3"/>
        <v>X-20KL2/3</v>
      </c>
      <c r="CZ1" s="2274" t="str">
        <f t="shared" si="3"/>
        <v>X-24Đ</v>
      </c>
      <c r="DA1" s="2274" t="str">
        <f t="shared" si="3"/>
        <v>X-24KP500</v>
      </c>
      <c r="DB1" s="2274" t="str">
        <f t="shared" si="3"/>
        <v>X-24COMPOSITE</v>
      </c>
      <c r="DC1" s="2274" t="str">
        <f t="shared" si="3"/>
        <v>Bộ sứ đỉnh SĐI</v>
      </c>
      <c r="DD1" s="2274" t="str">
        <f t="shared" si="3"/>
        <v>Bộ sứ đỉnh SĐG</v>
      </c>
      <c r="DE1" s="2274" t="str">
        <f t="shared" si="3"/>
        <v>SĐU</v>
      </c>
      <c r="DF1" s="2274" t="str">
        <f t="shared" si="3"/>
        <v>CĐTply-X</v>
      </c>
      <c r="DG1" s="2274" t="str">
        <f t="shared" si="3"/>
        <v xml:space="preserve">Chuỗi Polymer lắp vào trụ CĐT </v>
      </c>
      <c r="DH1" s="2274" t="str">
        <f t="shared" si="3"/>
        <v>Ốc xiết cáp cỡ 25mm2</v>
      </c>
      <c r="DI1" s="2274" t="str">
        <f t="shared" si="3"/>
        <v>Ốc xiết cáp cỡ 50mm2</v>
      </c>
      <c r="DJ1" s="2274" t="str">
        <f t="shared" si="3"/>
        <v>Đth-U</v>
      </c>
      <c r="DK1" s="2274" t="str">
        <f t="shared" si="3"/>
        <v>Bộ đỡ dây T.H  trụ ghép: Đth-U-g</v>
      </c>
      <c r="DL1" s="2274" t="str">
        <f t="shared" si="3"/>
        <v>Bộ đỡ dây T.H : Đth-UX</v>
      </c>
      <c r="DM1" s="2274" t="str">
        <f t="shared" si="3"/>
        <v>Nth-T</v>
      </c>
      <c r="DN1" s="2274" t="str">
        <f t="shared" si="3"/>
        <v>Bộ néo dây T.H vao xa: Nth-X</v>
      </c>
      <c r="DO1" s="2274" t="str">
        <f t="shared" si="3"/>
        <v>Bộ khoá néo dây T.H vao xa: Nth- X</v>
      </c>
      <c r="DP1" s="2274" t="str">
        <f t="shared" si="3"/>
        <v>Bộ khóa néo T.H vào trụ : Nth-T-g</v>
      </c>
      <c r="DQ1" s="2274" t="str">
        <f t="shared" si="3"/>
        <v>Bộ khóa néo T.H vào trụ : Nth-T</v>
      </c>
      <c r="DR1" s="2274" t="str">
        <f t="shared" si="3"/>
        <v>Kẹp 2 rãnh cỡ dây 50mm2</v>
      </c>
      <c r="DS1" s="2274" t="str">
        <f t="shared" si="3"/>
        <v>Kẹp 2 rãnh cỡ dây 70mm2</v>
      </c>
      <c r="DT1" s="2274" t="str">
        <f t="shared" si="3"/>
        <v>Kẹp 2 rãnh cỡ dây 95mm2</v>
      </c>
      <c r="DU1" s="2274" t="str">
        <f t="shared" si="3"/>
        <v>Kẹp 2 rãnh cỡ dây 120mm2</v>
      </c>
      <c r="DV1" s="2274" t="str">
        <f t="shared" si="3"/>
        <v>Kẹp 2 rãnh cỡ dây 150mm2</v>
      </c>
      <c r="DW1" s="2274" t="str">
        <f t="shared" si="3"/>
        <v>Kẹp 2rãnh cỡ dây 185mm2</v>
      </c>
      <c r="DX1" s="2274" t="str">
        <f t="shared" si="3"/>
        <v>Kẹp 2rãnh cỡ dây 240mm2</v>
      </c>
      <c r="DY1" s="2274" t="str">
        <f t="shared" si="3"/>
        <v>Rack 2 sứ hạ thế + bulon</v>
      </c>
      <c r="DZ1" s="2274" t="str">
        <f t="shared" si="3"/>
        <v>Rack 3 sứ hạ thế + bulon</v>
      </c>
      <c r="EA1" s="2274" t="str">
        <f t="shared" si="3"/>
        <v>Rack 4 sứ hạ thế + bulon</v>
      </c>
      <c r="EB1" s="2274" t="str">
        <f t="shared" si="3"/>
        <v xml:space="preserve">KQ2/0 </v>
      </c>
      <c r="EC1" s="2274" t="str">
        <f t="shared" si="3"/>
        <v>KH2/0</v>
      </c>
      <c r="ED1" s="2274" t="str">
        <f t="shared" si="3"/>
        <v xml:space="preserve">KQ4/0 </v>
      </c>
      <c r="EE1" s="2274" t="str">
        <f t="shared" si="3"/>
        <v>KH4/0</v>
      </c>
      <c r="EF1" s="2274" t="str">
        <f t="shared" si="3"/>
        <v>Kẹp ép cỡ 35mm2</v>
      </c>
      <c r="EG1" s="2274" t="str">
        <f t="shared" si="3"/>
        <v>ke50</v>
      </c>
      <c r="EH1" s="2274" t="str">
        <f t="shared" si="3"/>
        <v>Kẹp ép cỡ 70mm2</v>
      </c>
      <c r="EI1" s="2274" t="str">
        <f t="shared" si="3"/>
        <v>Kẹp ép cỡ 95mm2</v>
      </c>
      <c r="EJ1" s="2274" t="str">
        <f t="shared" si="3"/>
        <v>ke120</v>
      </c>
      <c r="EK1" s="2274" t="str">
        <f t="shared" si="3"/>
        <v>ke150</v>
      </c>
      <c r="EL1" s="2274" t="str">
        <f t="shared" si="3"/>
        <v>Kẹp ép cỡ 185mm2</v>
      </c>
      <c r="EM1" s="2274" t="str">
        <f t="shared" si="3"/>
        <v>Kẹp ép cỡ 240mm2</v>
      </c>
      <c r="EN1" s="2274" t="str">
        <f t="shared" si="3"/>
        <v>Kẹp APC 2 rảnh</v>
      </c>
      <c r="EO1" s="2274" t="str">
        <f t="shared" si="3"/>
        <v>Đầu cốt ép cỡ dây 50mm2</v>
      </c>
      <c r="EP1" s="2274" t="str">
        <f t="shared" si="3"/>
        <v>Đầu cốt ép cỡ dây 95mm2</v>
      </c>
      <c r="EQ1" s="2274" t="str">
        <f t="shared" si="3"/>
        <v>Đầu cốt ép cỡ dây 120mm2</v>
      </c>
      <c r="ER1" s="2274" t="str">
        <f t="shared" si="3"/>
        <v>Đầu cốt ép cỡ dây 150mm2</v>
      </c>
      <c r="ES1" s="2274" t="str">
        <f t="shared" si="3"/>
        <v>Đầu cốt ép cỡ dây 185mm2</v>
      </c>
      <c r="ET1" s="2274" t="str">
        <f t="shared" si="3"/>
        <v>Đầu cốt ép cỡ dây 240mm2</v>
      </c>
      <c r="EU1" s="2274" t="str">
        <f t="shared" si="3"/>
        <v>LBFCO100</v>
      </c>
      <c r="EV1" s="2274" t="str">
        <f t="shared" si="3"/>
        <v>LBFCO200</v>
      </c>
      <c r="EW1" s="2274" t="str">
        <f t="shared" si="3"/>
        <v>FCO200</v>
      </c>
      <c r="EX1" s="2274" t="str">
        <f t="shared" si="3"/>
        <v>FCO100-22</v>
      </c>
      <c r="EY1" s="2274" t="str">
        <f t="shared" si="3"/>
        <v>ssf50</v>
      </c>
      <c r="EZ1" s="2274" t="str">
        <f t="shared" si="3"/>
        <v>ttf50</v>
      </c>
      <c r="FA1" s="2274" t="str">
        <f t="shared" si="3"/>
        <v>BMOC16300</v>
      </c>
      <c r="FB1" s="2274" t="str">
        <f t="shared" si="3"/>
        <v>KNGUNG95</v>
      </c>
      <c r="FC1" s="2274" t="str">
        <f t="shared" si="3"/>
        <v>Ống co nhiệt ф65/25</v>
      </c>
      <c r="FD1" s="2274" t="str">
        <f t="shared" ref="FD1:GJ1" si="4">IF(LEN(FD10)&gt;0,FD10,IF(LEN(FD9)&gt;0,FD9,FD8))</f>
        <v>DS3p</v>
      </c>
      <c r="FE1" s="2274" t="str">
        <f t="shared" si="4"/>
        <v>LBS</v>
      </c>
      <c r="FF1" s="2274" t="str">
        <f t="shared" si="4"/>
        <v>LTD</v>
      </c>
      <c r="FG1" s="2274" t="str">
        <f t="shared" si="4"/>
        <v>LA 12kV 10kA</v>
      </c>
      <c r="FH1" s="2274" t="str">
        <f t="shared" si="4"/>
        <v>LA 18kV 10kA</v>
      </c>
      <c r="FI1" s="2274" t="str">
        <f t="shared" si="4"/>
        <v>Tháo sứ đứng</v>
      </c>
      <c r="FJ1" s="2274" t="str">
        <f t="shared" si="4"/>
        <v>Tháo sứ đỉnh thẳng</v>
      </c>
      <c r="FK1" s="2274" t="str">
        <f t="shared" si="4"/>
        <v>Tháo sứ đỉnh góc</v>
      </c>
      <c r="FL1" s="2274" t="str">
        <f t="shared" si="4"/>
        <v>Tháo và lắp sứ thủy tinh 2 bát</v>
      </c>
      <c r="FM1" s="2274" t="str">
        <f t="shared" si="4"/>
        <v>Tháo và lắp sứ treo Polymer</v>
      </c>
      <c r="FN1" s="2274" t="str">
        <f t="shared" si="4"/>
        <v>Tháo và lắp Ulevit và sứ ống chỉ</v>
      </c>
      <c r="FO1" s="2274" t="str">
        <f t="shared" si="4"/>
        <v>Tháo và lắp sứ đứng + chân sứ</v>
      </c>
      <c r="FP1" s="2274" t="str">
        <f t="shared" si="4"/>
        <v>Tháo và lắp rack 2 sứ</v>
      </c>
      <c r="FQ1" s="2274" t="str">
        <f t="shared" si="4"/>
        <v>Tháo và lắp rack 3 sứ</v>
      </c>
      <c r="FR1" s="2274" t="str">
        <f t="shared" si="4"/>
        <v>Tháo và lắp rack 4 sứ</v>
      </c>
      <c r="FS1" s="2274" t="str">
        <f t="shared" si="4"/>
        <v>Tháo bộ chằng xuống đơn CX-12B</v>
      </c>
      <c r="FT1" s="2274" t="str">
        <f t="shared" si="4"/>
        <v>Tháo bộ chằng lệch đơn CL-12B</v>
      </c>
      <c r="FU1" s="2274" t="str">
        <f t="shared" si="4"/>
        <v>Tháo bộ chằng lệch hạ thế</v>
      </c>
      <c r="FV1" s="2274" t="str">
        <f t="shared" si="4"/>
        <v>Nhổ và trồng trụ 12m</v>
      </c>
      <c r="FW1" s="2274" t="str">
        <f t="shared" si="4"/>
        <v>Nhổ thu hồi trụ 10,5m</v>
      </c>
      <c r="FX1" s="2274" t="str">
        <f t="shared" si="4"/>
        <v>Nhổ và trồng trụ 8,4m</v>
      </c>
      <c r="FY1" s="2274" t="str">
        <f t="shared" si="4"/>
        <v>Nhổ trụ 8,4m</v>
      </c>
      <c r="FZ1" s="2274" t="str">
        <f t="shared" si="4"/>
        <v>Tháo thu hồi giá đỡ FCO</v>
      </c>
      <c r="GA1" s="2274" t="str">
        <f t="shared" si="4"/>
        <v>Tháo và lắp giá đỡ FCO</v>
      </c>
      <c r="GB1" s="2274" t="str">
        <f t="shared" si="4"/>
        <v>Tháo FCO</v>
      </c>
      <c r="GC1" s="2274" t="str">
        <f t="shared" si="4"/>
        <v>Tháo và lắp FCO</v>
      </c>
      <c r="GD1" s="2274" t="str">
        <f t="shared" si="4"/>
        <v>Tháo và lắp LA</v>
      </c>
      <c r="GE1" s="2274" t="str">
        <f t="shared" si="4"/>
        <v>Tháo lắp  TU</v>
      </c>
      <c r="GF1" s="2274" t="str">
        <f t="shared" si="4"/>
        <v>Tháo và lắp xà X-2.6K trụ PI</v>
      </c>
      <c r="GG1" s="2274" t="str">
        <f t="shared" si="4"/>
        <v>Tháo và lắp xà X-2.1K</v>
      </c>
      <c r="GH1" s="2274" t="str">
        <f t="shared" si="4"/>
        <v>Tháo lắp MBA 1 pha 50kVA</v>
      </c>
      <c r="GI1" s="2274" t="str">
        <f t="shared" si="4"/>
        <v>Tháo lắp MBA 1 pha 75kVA</v>
      </c>
      <c r="GJ1" s="2274" t="str">
        <f t="shared" si="4"/>
        <v>Vị trí vượt đường</v>
      </c>
      <c r="GK1" s="2272" t="str">
        <f t="shared" ref="GK1" si="5">IF(LEN(GK9)&gt;0,GK9,GK8)</f>
        <v>GHI CHÚ</v>
      </c>
      <c r="GL1" s="2273" t="s">
        <v>1492</v>
      </c>
      <c r="GM1" s="2273" t="s">
        <v>699</v>
      </c>
      <c r="GN1" s="2272" t="s">
        <v>550</v>
      </c>
      <c r="GO1" s="2272" t="s">
        <v>4372</v>
      </c>
      <c r="GP1" s="2272" t="s">
        <v>4763</v>
      </c>
      <c r="GQ1" s="2272" t="s">
        <v>4760</v>
      </c>
    </row>
    <row r="2" spans="1:235" ht="18.95" customHeight="1" outlineLevel="1">
      <c r="A2" s="770" t="s">
        <v>4408</v>
      </c>
      <c r="B2" s="770">
        <f>B3</f>
        <v>755.7</v>
      </c>
      <c r="C2" s="770">
        <f t="shared" ref="C2:BN2" si="6">C3</f>
        <v>0</v>
      </c>
      <c r="D2" s="770">
        <f t="shared" si="6"/>
        <v>0</v>
      </c>
      <c r="E2" s="770">
        <f t="shared" si="6"/>
        <v>0</v>
      </c>
      <c r="F2" s="770">
        <f t="shared" si="6"/>
        <v>0</v>
      </c>
      <c r="G2" s="770">
        <f t="shared" si="6"/>
        <v>0</v>
      </c>
      <c r="H2" s="770">
        <f t="shared" si="6"/>
        <v>0</v>
      </c>
      <c r="I2" s="770">
        <f t="shared" si="6"/>
        <v>0</v>
      </c>
      <c r="J2" s="770">
        <f t="shared" si="6"/>
        <v>0</v>
      </c>
      <c r="K2" s="770">
        <f t="shared" si="6"/>
        <v>0</v>
      </c>
      <c r="L2" s="770">
        <f t="shared" si="6"/>
        <v>0</v>
      </c>
      <c r="M2" s="770">
        <f t="shared" si="6"/>
        <v>0</v>
      </c>
      <c r="N2" s="770">
        <f t="shared" si="6"/>
        <v>0</v>
      </c>
      <c r="O2" s="770">
        <f t="shared" si="6"/>
        <v>0</v>
      </c>
      <c r="P2" s="770">
        <f t="shared" si="6"/>
        <v>0</v>
      </c>
      <c r="Q2" s="770">
        <f t="shared" si="6"/>
        <v>0</v>
      </c>
      <c r="R2" s="770">
        <f t="shared" si="6"/>
        <v>0</v>
      </c>
      <c r="S2" s="770">
        <f t="shared" si="6"/>
        <v>0</v>
      </c>
      <c r="T2" s="770">
        <f t="shared" si="6"/>
        <v>0</v>
      </c>
      <c r="U2" s="770">
        <f t="shared" si="6"/>
        <v>0</v>
      </c>
      <c r="V2" s="770">
        <f t="shared" si="6"/>
        <v>0</v>
      </c>
      <c r="W2" s="770">
        <f t="shared" si="6"/>
        <v>0</v>
      </c>
      <c r="X2" s="770">
        <f t="shared" si="6"/>
        <v>0</v>
      </c>
      <c r="Y2" s="770">
        <f t="shared" si="6"/>
        <v>1</v>
      </c>
      <c r="Z2" s="770">
        <f t="shared" si="6"/>
        <v>25</v>
      </c>
      <c r="AA2" s="770">
        <f t="shared" si="6"/>
        <v>0</v>
      </c>
      <c r="AB2" s="770">
        <f t="shared" si="6"/>
        <v>0</v>
      </c>
      <c r="AC2" s="770">
        <f t="shared" si="6"/>
        <v>0</v>
      </c>
      <c r="AD2" s="770">
        <f t="shared" si="6"/>
        <v>0</v>
      </c>
      <c r="AE2" s="770">
        <f t="shared" si="6"/>
        <v>15</v>
      </c>
      <c r="AF2" s="770">
        <f t="shared" si="6"/>
        <v>0</v>
      </c>
      <c r="AG2" s="770">
        <f t="shared" si="6"/>
        <v>0</v>
      </c>
      <c r="AH2" s="770">
        <f t="shared" si="6"/>
        <v>0</v>
      </c>
      <c r="AI2" s="770">
        <f t="shared" si="6"/>
        <v>0</v>
      </c>
      <c r="AJ2" s="770">
        <f t="shared" si="6"/>
        <v>0</v>
      </c>
      <c r="AK2" s="770">
        <f t="shared" si="6"/>
        <v>0</v>
      </c>
      <c r="AL2" s="770">
        <f t="shared" si="6"/>
        <v>0</v>
      </c>
      <c r="AM2" s="770">
        <f t="shared" si="6"/>
        <v>0</v>
      </c>
      <c r="AN2" s="770">
        <f t="shared" si="6"/>
        <v>0</v>
      </c>
      <c r="AO2" s="770">
        <f t="shared" si="6"/>
        <v>0</v>
      </c>
      <c r="AP2" s="770">
        <f t="shared" si="6"/>
        <v>0</v>
      </c>
      <c r="AQ2" s="770">
        <f t="shared" si="6"/>
        <v>0</v>
      </c>
      <c r="AR2" s="770">
        <f t="shared" si="6"/>
        <v>0</v>
      </c>
      <c r="AS2" s="770">
        <f t="shared" si="6"/>
        <v>5</v>
      </c>
      <c r="AT2" s="770">
        <f t="shared" si="6"/>
        <v>0</v>
      </c>
      <c r="AU2" s="770">
        <f t="shared" si="6"/>
        <v>0</v>
      </c>
      <c r="AV2" s="770">
        <f t="shared" si="6"/>
        <v>0</v>
      </c>
      <c r="AW2" s="770">
        <f t="shared" si="6"/>
        <v>0</v>
      </c>
      <c r="AX2" s="770">
        <f t="shared" si="6"/>
        <v>0</v>
      </c>
      <c r="AY2" s="770">
        <f t="shared" si="6"/>
        <v>0</v>
      </c>
      <c r="AZ2" s="770">
        <f t="shared" si="6"/>
        <v>0</v>
      </c>
      <c r="BA2" s="770">
        <f t="shared" si="6"/>
        <v>0</v>
      </c>
      <c r="BB2" s="770">
        <f t="shared" si="6"/>
        <v>0</v>
      </c>
      <c r="BC2" s="770">
        <f t="shared" si="6"/>
        <v>0</v>
      </c>
      <c r="BD2" s="770">
        <f t="shared" si="6"/>
        <v>0</v>
      </c>
      <c r="BE2" s="770">
        <f t="shared" si="6"/>
        <v>0</v>
      </c>
      <c r="BF2" s="770">
        <f t="shared" si="6"/>
        <v>0</v>
      </c>
      <c r="BG2" s="770">
        <f t="shared" si="6"/>
        <v>0</v>
      </c>
      <c r="BH2" s="770">
        <f t="shared" si="6"/>
        <v>0</v>
      </c>
      <c r="BI2" s="770">
        <f t="shared" si="6"/>
        <v>0</v>
      </c>
      <c r="BJ2" s="770">
        <f t="shared" si="6"/>
        <v>0</v>
      </c>
      <c r="BK2" s="770">
        <f t="shared" si="6"/>
        <v>1</v>
      </c>
      <c r="BL2" s="770">
        <f t="shared" si="6"/>
        <v>0</v>
      </c>
      <c r="BM2" s="770">
        <f t="shared" si="6"/>
        <v>0</v>
      </c>
      <c r="BN2" s="770">
        <f t="shared" si="6"/>
        <v>0</v>
      </c>
      <c r="BO2" s="770">
        <f t="shared" ref="BO2:EA2" si="7">BO3</f>
        <v>0</v>
      </c>
      <c r="BP2" s="770">
        <f t="shared" si="7"/>
        <v>0</v>
      </c>
      <c r="BQ2" s="770">
        <f t="shared" si="7"/>
        <v>0</v>
      </c>
      <c r="BR2" s="770">
        <f t="shared" si="7"/>
        <v>0</v>
      </c>
      <c r="BS2" s="770">
        <f t="shared" si="7"/>
        <v>0</v>
      </c>
      <c r="BT2" s="770">
        <f t="shared" si="7"/>
        <v>0</v>
      </c>
      <c r="BU2" s="770">
        <f t="shared" si="7"/>
        <v>1</v>
      </c>
      <c r="BV2" s="770">
        <f t="shared" si="7"/>
        <v>0</v>
      </c>
      <c r="BW2" s="770">
        <f t="shared" si="7"/>
        <v>0</v>
      </c>
      <c r="BX2" s="770">
        <f t="shared" si="7"/>
        <v>0</v>
      </c>
      <c r="BY2" s="770">
        <f t="shared" si="7"/>
        <v>0</v>
      </c>
      <c r="BZ2" s="770">
        <f t="shared" si="7"/>
        <v>0</v>
      </c>
      <c r="CA2" s="770">
        <f t="shared" si="7"/>
        <v>0</v>
      </c>
      <c r="CB2" s="770">
        <f t="shared" si="7"/>
        <v>0</v>
      </c>
      <c r="CC2" s="770">
        <f t="shared" si="7"/>
        <v>0</v>
      </c>
      <c r="CD2" s="770">
        <f t="shared" si="7"/>
        <v>0</v>
      </c>
      <c r="CE2" s="770">
        <f t="shared" si="7"/>
        <v>0</v>
      </c>
      <c r="CF2" s="770">
        <f t="shared" si="7"/>
        <v>0</v>
      </c>
      <c r="CG2" s="770">
        <f t="shared" si="7"/>
        <v>0</v>
      </c>
      <c r="CH2" s="770">
        <f t="shared" si="7"/>
        <v>4</v>
      </c>
      <c r="CI2" s="770">
        <f t="shared" si="7"/>
        <v>0</v>
      </c>
      <c r="CJ2" s="770">
        <f t="shared" si="7"/>
        <v>0</v>
      </c>
      <c r="CK2" s="770">
        <f t="shared" si="7"/>
        <v>0</v>
      </c>
      <c r="CL2" s="770">
        <f t="shared" si="7"/>
        <v>0</v>
      </c>
      <c r="CM2" s="770">
        <f t="shared" si="7"/>
        <v>0</v>
      </c>
      <c r="CN2" s="770">
        <f t="shared" si="7"/>
        <v>0</v>
      </c>
      <c r="CO2" s="770">
        <f t="shared" si="7"/>
        <v>4</v>
      </c>
      <c r="CP2" s="770">
        <f t="shared" si="7"/>
        <v>3</v>
      </c>
      <c r="CQ2" s="770">
        <f t="shared" si="7"/>
        <v>0</v>
      </c>
      <c r="CR2" s="770">
        <f t="shared" si="7"/>
        <v>0</v>
      </c>
      <c r="CS2" s="770">
        <f t="shared" si="7"/>
        <v>0</v>
      </c>
      <c r="CT2" s="770">
        <f t="shared" si="7"/>
        <v>0</v>
      </c>
      <c r="CU2" s="770">
        <f t="shared" si="7"/>
        <v>0</v>
      </c>
      <c r="CV2" s="770">
        <f t="shared" si="7"/>
        <v>1</v>
      </c>
      <c r="CW2" s="770">
        <f t="shared" si="7"/>
        <v>15</v>
      </c>
      <c r="CX2" s="770">
        <f t="shared" si="7"/>
        <v>0</v>
      </c>
      <c r="CY2" s="770">
        <f t="shared" si="7"/>
        <v>0</v>
      </c>
      <c r="CZ2" s="770">
        <f t="shared" si="7"/>
        <v>0</v>
      </c>
      <c r="DA2" s="770">
        <f t="shared" si="7"/>
        <v>0</v>
      </c>
      <c r="DB2" s="770">
        <f t="shared" si="7"/>
        <v>1</v>
      </c>
      <c r="DC2" s="770">
        <f t="shared" si="7"/>
        <v>0</v>
      </c>
      <c r="DD2" s="770">
        <f t="shared" si="7"/>
        <v>0</v>
      </c>
      <c r="DE2" s="770">
        <f t="shared" si="7"/>
        <v>69</v>
      </c>
      <c r="DF2" s="770">
        <f t="shared" si="7"/>
        <v>24</v>
      </c>
      <c r="DG2" s="770">
        <f t="shared" si="7"/>
        <v>0</v>
      </c>
      <c r="DH2" s="770">
        <f t="shared" si="7"/>
        <v>0</v>
      </c>
      <c r="DI2" s="770">
        <f t="shared" si="7"/>
        <v>0</v>
      </c>
      <c r="DJ2" s="770">
        <f t="shared" si="7"/>
        <v>17</v>
      </c>
      <c r="DK2" s="770">
        <f t="shared" si="7"/>
        <v>0</v>
      </c>
      <c r="DL2" s="770">
        <f t="shared" si="7"/>
        <v>0</v>
      </c>
      <c r="DM2" s="770">
        <f t="shared" si="7"/>
        <v>8</v>
      </c>
      <c r="DN2" s="770">
        <f t="shared" si="7"/>
        <v>0</v>
      </c>
      <c r="DO2" s="770">
        <f t="shared" si="7"/>
        <v>0</v>
      </c>
      <c r="DP2" s="770">
        <f t="shared" si="7"/>
        <v>0</v>
      </c>
      <c r="DQ2" s="770">
        <f t="shared" si="7"/>
        <v>0</v>
      </c>
      <c r="DR2" s="770">
        <f t="shared" si="7"/>
        <v>0</v>
      </c>
      <c r="DS2" s="770">
        <f t="shared" si="7"/>
        <v>0</v>
      </c>
      <c r="DT2" s="770">
        <f t="shared" si="7"/>
        <v>0</v>
      </c>
      <c r="DU2" s="770">
        <f t="shared" si="7"/>
        <v>0</v>
      </c>
      <c r="DV2" s="770">
        <f t="shared" si="7"/>
        <v>0</v>
      </c>
      <c r="DW2" s="770">
        <f t="shared" si="7"/>
        <v>0</v>
      </c>
      <c r="DX2" s="770">
        <f t="shared" si="7"/>
        <v>0</v>
      </c>
      <c r="DY2" s="770">
        <f t="shared" si="7"/>
        <v>0</v>
      </c>
      <c r="DZ2" s="770">
        <f t="shared" si="7"/>
        <v>0</v>
      </c>
      <c r="EA2" s="770">
        <f t="shared" si="7"/>
        <v>0</v>
      </c>
      <c r="EB2" s="770">
        <f t="shared" ref="EB2:GN2" si="8">EB3</f>
        <v>6</v>
      </c>
      <c r="EC2" s="770">
        <f t="shared" si="8"/>
        <v>6</v>
      </c>
      <c r="ED2" s="770">
        <f t="shared" si="8"/>
        <v>0</v>
      </c>
      <c r="EE2" s="770">
        <f t="shared" si="8"/>
        <v>0</v>
      </c>
      <c r="EF2" s="770">
        <f t="shared" si="8"/>
        <v>0</v>
      </c>
      <c r="EG2" s="770">
        <f t="shared" si="8"/>
        <v>18</v>
      </c>
      <c r="EH2" s="770">
        <f t="shared" si="8"/>
        <v>0</v>
      </c>
      <c r="EI2" s="770">
        <f t="shared" si="8"/>
        <v>0</v>
      </c>
      <c r="EJ2" s="770">
        <f t="shared" si="8"/>
        <v>0</v>
      </c>
      <c r="EK2" s="770">
        <f t="shared" si="8"/>
        <v>0</v>
      </c>
      <c r="EL2" s="770">
        <f t="shared" si="8"/>
        <v>6</v>
      </c>
      <c r="EM2" s="770">
        <f t="shared" si="8"/>
        <v>0</v>
      </c>
      <c r="EN2" s="770">
        <f t="shared" si="8"/>
        <v>0</v>
      </c>
      <c r="EO2" s="770">
        <f t="shared" si="8"/>
        <v>0</v>
      </c>
      <c r="EP2" s="770">
        <f t="shared" si="8"/>
        <v>0</v>
      </c>
      <c r="EQ2" s="770">
        <f t="shared" si="8"/>
        <v>0</v>
      </c>
      <c r="ER2" s="770">
        <f t="shared" si="8"/>
        <v>0</v>
      </c>
      <c r="ES2" s="770">
        <f t="shared" si="8"/>
        <v>0</v>
      </c>
      <c r="ET2" s="770">
        <f t="shared" si="8"/>
        <v>0</v>
      </c>
      <c r="EU2" s="770">
        <f t="shared" si="8"/>
        <v>0</v>
      </c>
      <c r="EV2" s="770">
        <f t="shared" si="8"/>
        <v>0</v>
      </c>
      <c r="EW2" s="770">
        <f t="shared" si="8"/>
        <v>0</v>
      </c>
      <c r="EX2" s="770">
        <f t="shared" si="8"/>
        <v>3</v>
      </c>
      <c r="EY2" s="770">
        <f t="shared" si="8"/>
        <v>6</v>
      </c>
      <c r="EZ2" s="770">
        <f t="shared" si="8"/>
        <v>63</v>
      </c>
      <c r="FA2" s="770">
        <f t="shared" si="8"/>
        <v>0</v>
      </c>
      <c r="FB2" s="770">
        <f t="shared" si="8"/>
        <v>0</v>
      </c>
      <c r="FC2" s="770">
        <f t="shared" si="8"/>
        <v>0</v>
      </c>
      <c r="FD2" s="770">
        <f t="shared" si="8"/>
        <v>0</v>
      </c>
      <c r="FE2" s="770">
        <f t="shared" si="8"/>
        <v>0</v>
      </c>
      <c r="FF2" s="770">
        <f t="shared" si="8"/>
        <v>0</v>
      </c>
      <c r="FG2" s="770">
        <f t="shared" si="8"/>
        <v>0</v>
      </c>
      <c r="FH2" s="770">
        <f t="shared" si="8"/>
        <v>0</v>
      </c>
      <c r="FI2" s="770">
        <f t="shared" si="8"/>
        <v>0</v>
      </c>
      <c r="FJ2" s="770">
        <f t="shared" si="8"/>
        <v>0</v>
      </c>
      <c r="FK2" s="770">
        <f t="shared" si="8"/>
        <v>0</v>
      </c>
      <c r="FL2" s="770">
        <f t="shared" si="8"/>
        <v>0</v>
      </c>
      <c r="FM2" s="770">
        <f t="shared" si="8"/>
        <v>0</v>
      </c>
      <c r="FN2" s="770">
        <f t="shared" si="8"/>
        <v>0</v>
      </c>
      <c r="FO2" s="770">
        <f t="shared" si="8"/>
        <v>0</v>
      </c>
      <c r="FP2" s="770">
        <f t="shared" si="8"/>
        <v>0</v>
      </c>
      <c r="FQ2" s="770">
        <f t="shared" si="8"/>
        <v>0</v>
      </c>
      <c r="FR2" s="770">
        <f t="shared" si="8"/>
        <v>0</v>
      </c>
      <c r="FS2" s="770">
        <f t="shared" si="8"/>
        <v>0</v>
      </c>
      <c r="FT2" s="770">
        <f t="shared" si="8"/>
        <v>0</v>
      </c>
      <c r="FU2" s="770">
        <f t="shared" si="8"/>
        <v>0</v>
      </c>
      <c r="FV2" s="770">
        <f t="shared" si="8"/>
        <v>0</v>
      </c>
      <c r="FW2" s="770">
        <f t="shared" si="8"/>
        <v>0</v>
      </c>
      <c r="FX2" s="770">
        <f t="shared" si="8"/>
        <v>0</v>
      </c>
      <c r="FY2" s="770">
        <f t="shared" si="8"/>
        <v>0</v>
      </c>
      <c r="FZ2" s="770">
        <f t="shared" si="8"/>
        <v>0</v>
      </c>
      <c r="GA2" s="770">
        <f t="shared" si="8"/>
        <v>0</v>
      </c>
      <c r="GB2" s="770">
        <f t="shared" si="8"/>
        <v>0</v>
      </c>
      <c r="GC2" s="770">
        <f t="shared" si="8"/>
        <v>0</v>
      </c>
      <c r="GD2" s="770">
        <f t="shared" si="8"/>
        <v>0</v>
      </c>
      <c r="GE2" s="770">
        <f t="shared" si="8"/>
        <v>0</v>
      </c>
      <c r="GF2" s="770">
        <f t="shared" si="8"/>
        <v>0</v>
      </c>
      <c r="GG2" s="770">
        <f t="shared" si="8"/>
        <v>0</v>
      </c>
      <c r="GH2" s="770">
        <f t="shared" si="8"/>
        <v>0</v>
      </c>
      <c r="GI2" s="770">
        <f t="shared" si="8"/>
        <v>0</v>
      </c>
      <c r="GJ2" s="770">
        <f t="shared" si="8"/>
        <v>0</v>
      </c>
      <c r="GK2" s="770">
        <f t="shared" si="8"/>
        <v>0</v>
      </c>
      <c r="GL2" s="770">
        <f t="shared" si="8"/>
        <v>0</v>
      </c>
      <c r="GM2" s="770">
        <f t="shared" si="8"/>
        <v>9</v>
      </c>
      <c r="GN2" s="770">
        <f t="shared" si="8"/>
        <v>0</v>
      </c>
      <c r="GO2" s="770">
        <f t="shared" ref="GO2:GW2" si="9">GO3</f>
        <v>0</v>
      </c>
      <c r="GP2" s="770">
        <f t="shared" si="9"/>
        <v>3</v>
      </c>
      <c r="GQ2" s="770">
        <f t="shared" si="9"/>
        <v>0</v>
      </c>
      <c r="GR2" s="770">
        <f t="shared" si="9"/>
        <v>0</v>
      </c>
      <c r="GS2" s="770">
        <f t="shared" si="9"/>
        <v>0</v>
      </c>
      <c r="GT2" s="770">
        <f t="shared" si="9"/>
        <v>0</v>
      </c>
      <c r="GU2" s="770">
        <f t="shared" si="9"/>
        <v>0</v>
      </c>
      <c r="GV2" s="770">
        <f t="shared" si="9"/>
        <v>0</v>
      </c>
      <c r="GW2" s="770">
        <f t="shared" si="9"/>
        <v>0</v>
      </c>
    </row>
    <row r="3" spans="1:235" ht="18.95" customHeight="1" outlineLevel="1">
      <c r="A3" s="770" t="s">
        <v>4200</v>
      </c>
      <c r="B3" s="770">
        <f>SUM(B11:B112)</f>
        <v>755.7</v>
      </c>
      <c r="C3" s="770"/>
      <c r="D3" s="770">
        <f t="shared" ref="D3:BE3" si="10">SUM(D11:D112)</f>
        <v>0</v>
      </c>
      <c r="E3" s="770">
        <f t="shared" si="10"/>
        <v>0</v>
      </c>
      <c r="F3" s="770">
        <f t="shared" si="10"/>
        <v>0</v>
      </c>
      <c r="G3" s="770">
        <f t="shared" si="10"/>
        <v>0</v>
      </c>
      <c r="H3" s="770">
        <f t="shared" si="10"/>
        <v>0</v>
      </c>
      <c r="I3" s="770">
        <f t="shared" si="10"/>
        <v>0</v>
      </c>
      <c r="J3" s="770">
        <f t="shared" si="10"/>
        <v>0</v>
      </c>
      <c r="K3" s="770">
        <f t="shared" si="10"/>
        <v>0</v>
      </c>
      <c r="L3" s="770">
        <f t="shared" si="10"/>
        <v>0</v>
      </c>
      <c r="M3" s="770">
        <f t="shared" si="10"/>
        <v>0</v>
      </c>
      <c r="N3" s="770">
        <f t="shared" si="10"/>
        <v>0</v>
      </c>
      <c r="O3" s="770">
        <f t="shared" si="10"/>
        <v>0</v>
      </c>
      <c r="P3" s="770">
        <f t="shared" si="10"/>
        <v>0</v>
      </c>
      <c r="Q3" s="770">
        <f t="shared" si="10"/>
        <v>0</v>
      </c>
      <c r="R3" s="770">
        <f t="shared" si="10"/>
        <v>0</v>
      </c>
      <c r="S3" s="770">
        <f t="shared" si="10"/>
        <v>0</v>
      </c>
      <c r="T3" s="770">
        <f t="shared" si="10"/>
        <v>0</v>
      </c>
      <c r="U3" s="770">
        <f t="shared" si="10"/>
        <v>0</v>
      </c>
      <c r="V3" s="770">
        <f t="shared" si="10"/>
        <v>0</v>
      </c>
      <c r="W3" s="770">
        <f t="shared" si="10"/>
        <v>0</v>
      </c>
      <c r="X3" s="770">
        <f t="shared" si="10"/>
        <v>0</v>
      </c>
      <c r="Y3" s="770">
        <f t="shared" si="10"/>
        <v>1</v>
      </c>
      <c r="Z3" s="770">
        <f t="shared" si="10"/>
        <v>25</v>
      </c>
      <c r="AA3" s="770">
        <f t="shared" si="10"/>
        <v>0</v>
      </c>
      <c r="AB3" s="770">
        <f t="shared" si="10"/>
        <v>0</v>
      </c>
      <c r="AC3" s="770">
        <f t="shared" si="10"/>
        <v>0</v>
      </c>
      <c r="AD3" s="770">
        <f t="shared" si="10"/>
        <v>0</v>
      </c>
      <c r="AE3" s="770">
        <f t="shared" si="10"/>
        <v>15</v>
      </c>
      <c r="AF3" s="770">
        <f t="shared" si="10"/>
        <v>0</v>
      </c>
      <c r="AG3" s="770">
        <f t="shared" si="10"/>
        <v>0</v>
      </c>
      <c r="AH3" s="770">
        <f t="shared" si="10"/>
        <v>0</v>
      </c>
      <c r="AI3" s="770">
        <f t="shared" si="10"/>
        <v>0</v>
      </c>
      <c r="AJ3" s="770">
        <f t="shared" si="10"/>
        <v>0</v>
      </c>
      <c r="AK3" s="770">
        <f t="shared" si="10"/>
        <v>0</v>
      </c>
      <c r="AL3" s="770">
        <f t="shared" si="10"/>
        <v>0</v>
      </c>
      <c r="AM3" s="770">
        <f t="shared" si="10"/>
        <v>0</v>
      </c>
      <c r="AN3" s="770">
        <f t="shared" si="10"/>
        <v>0</v>
      </c>
      <c r="AO3" s="770">
        <f t="shared" si="10"/>
        <v>0</v>
      </c>
      <c r="AP3" s="770">
        <f t="shared" si="10"/>
        <v>0</v>
      </c>
      <c r="AQ3" s="770">
        <f t="shared" si="10"/>
        <v>0</v>
      </c>
      <c r="AR3" s="770">
        <f t="shared" si="10"/>
        <v>0</v>
      </c>
      <c r="AS3" s="770">
        <f t="shared" si="10"/>
        <v>5</v>
      </c>
      <c r="AT3" s="770">
        <f t="shared" si="10"/>
        <v>0</v>
      </c>
      <c r="AU3" s="770">
        <f t="shared" si="10"/>
        <v>0</v>
      </c>
      <c r="AV3" s="770">
        <f t="shared" si="10"/>
        <v>0</v>
      </c>
      <c r="AW3" s="770">
        <f t="shared" si="10"/>
        <v>0</v>
      </c>
      <c r="AX3" s="770">
        <f t="shared" si="10"/>
        <v>0</v>
      </c>
      <c r="AY3" s="770">
        <f t="shared" si="10"/>
        <v>0</v>
      </c>
      <c r="AZ3" s="770">
        <f t="shared" si="10"/>
        <v>0</v>
      </c>
      <c r="BA3" s="770">
        <f t="shared" si="10"/>
        <v>0</v>
      </c>
      <c r="BB3" s="770">
        <f t="shared" si="10"/>
        <v>0</v>
      </c>
      <c r="BC3" s="770">
        <f t="shared" si="10"/>
        <v>0</v>
      </c>
      <c r="BD3" s="770">
        <f t="shared" si="10"/>
        <v>0</v>
      </c>
      <c r="BE3" s="770">
        <f t="shared" si="10"/>
        <v>0</v>
      </c>
      <c r="BF3" s="770">
        <f t="shared" ref="BF3:DC3" si="11">SUM(BF11:BF112)</f>
        <v>0</v>
      </c>
      <c r="BG3" s="770">
        <f t="shared" si="11"/>
        <v>0</v>
      </c>
      <c r="BH3" s="770">
        <f t="shared" si="11"/>
        <v>0</v>
      </c>
      <c r="BI3" s="770">
        <f t="shared" si="11"/>
        <v>0</v>
      </c>
      <c r="BJ3" s="770">
        <f t="shared" si="11"/>
        <v>0</v>
      </c>
      <c r="BK3" s="770">
        <f t="shared" si="11"/>
        <v>1</v>
      </c>
      <c r="BL3" s="770">
        <f t="shared" si="11"/>
        <v>0</v>
      </c>
      <c r="BM3" s="770">
        <f t="shared" si="11"/>
        <v>0</v>
      </c>
      <c r="BN3" s="770">
        <f t="shared" si="11"/>
        <v>0</v>
      </c>
      <c r="BO3" s="770">
        <f t="shared" si="11"/>
        <v>0</v>
      </c>
      <c r="BP3" s="770">
        <f t="shared" si="11"/>
        <v>0</v>
      </c>
      <c r="BQ3" s="770">
        <f t="shared" si="11"/>
        <v>0</v>
      </c>
      <c r="BR3" s="770">
        <f t="shared" si="11"/>
        <v>0</v>
      </c>
      <c r="BS3" s="770">
        <f t="shared" si="11"/>
        <v>0</v>
      </c>
      <c r="BT3" s="770">
        <f t="shared" si="11"/>
        <v>0</v>
      </c>
      <c r="BU3" s="770">
        <f t="shared" si="11"/>
        <v>1</v>
      </c>
      <c r="BV3" s="770">
        <f t="shared" si="11"/>
        <v>0</v>
      </c>
      <c r="BW3" s="770">
        <f t="shared" si="11"/>
        <v>0</v>
      </c>
      <c r="BX3" s="770">
        <f t="shared" si="11"/>
        <v>0</v>
      </c>
      <c r="BY3" s="770">
        <f t="shared" si="11"/>
        <v>0</v>
      </c>
      <c r="BZ3" s="770">
        <f t="shared" si="11"/>
        <v>0</v>
      </c>
      <c r="CA3" s="770">
        <f t="shared" si="11"/>
        <v>0</v>
      </c>
      <c r="CB3" s="770">
        <f t="shared" si="11"/>
        <v>0</v>
      </c>
      <c r="CC3" s="770">
        <f t="shared" si="11"/>
        <v>0</v>
      </c>
      <c r="CD3" s="770">
        <f t="shared" si="11"/>
        <v>0</v>
      </c>
      <c r="CE3" s="770">
        <f t="shared" si="11"/>
        <v>0</v>
      </c>
      <c r="CF3" s="770">
        <f t="shared" si="11"/>
        <v>0</v>
      </c>
      <c r="CG3" s="770">
        <f t="shared" si="11"/>
        <v>0</v>
      </c>
      <c r="CH3" s="770">
        <f t="shared" si="11"/>
        <v>4</v>
      </c>
      <c r="CI3" s="770">
        <f t="shared" si="11"/>
        <v>0</v>
      </c>
      <c r="CJ3" s="770">
        <f t="shared" si="11"/>
        <v>0</v>
      </c>
      <c r="CK3" s="770">
        <f t="shared" si="11"/>
        <v>0</v>
      </c>
      <c r="CL3" s="770">
        <f t="shared" si="11"/>
        <v>0</v>
      </c>
      <c r="CM3" s="770">
        <f t="shared" si="11"/>
        <v>0</v>
      </c>
      <c r="CN3" s="770">
        <f t="shared" si="11"/>
        <v>0</v>
      </c>
      <c r="CO3" s="770">
        <f t="shared" si="11"/>
        <v>4</v>
      </c>
      <c r="CP3" s="770">
        <f t="shared" si="11"/>
        <v>3</v>
      </c>
      <c r="CQ3" s="770">
        <f t="shared" si="11"/>
        <v>0</v>
      </c>
      <c r="CR3" s="770">
        <f t="shared" ref="CR3:CS3" si="12">SUM(CR11:CR112)</f>
        <v>0</v>
      </c>
      <c r="CS3" s="770">
        <f t="shared" si="12"/>
        <v>0</v>
      </c>
      <c r="CT3" s="770">
        <f t="shared" si="11"/>
        <v>0</v>
      </c>
      <c r="CU3" s="770">
        <f t="shared" si="11"/>
        <v>0</v>
      </c>
      <c r="CV3" s="770">
        <f t="shared" ref="CV3:CW3" si="13">SUM(CV11:CV112)</f>
        <v>1</v>
      </c>
      <c r="CW3" s="770">
        <f t="shared" si="13"/>
        <v>15</v>
      </c>
      <c r="CX3" s="770">
        <f t="shared" si="11"/>
        <v>0</v>
      </c>
      <c r="CY3" s="770">
        <f t="shared" si="11"/>
        <v>0</v>
      </c>
      <c r="CZ3" s="770">
        <f t="shared" si="11"/>
        <v>0</v>
      </c>
      <c r="DA3" s="770">
        <f t="shared" si="11"/>
        <v>0</v>
      </c>
      <c r="DB3" s="770">
        <f t="shared" ref="DB3" si="14">SUM(DB11:DB112)</f>
        <v>1</v>
      </c>
      <c r="DC3" s="770">
        <f t="shared" si="11"/>
        <v>0</v>
      </c>
      <c r="DD3" s="770">
        <f t="shared" ref="DD3:EZ3" si="15">SUM(DD11:DD112)</f>
        <v>0</v>
      </c>
      <c r="DE3" s="770">
        <f t="shared" si="15"/>
        <v>69</v>
      </c>
      <c r="DF3" s="770">
        <f t="shared" si="15"/>
        <v>24</v>
      </c>
      <c r="DG3" s="770">
        <f t="shared" si="15"/>
        <v>0</v>
      </c>
      <c r="DH3" s="770">
        <f t="shared" si="15"/>
        <v>0</v>
      </c>
      <c r="DI3" s="770">
        <f t="shared" si="15"/>
        <v>0</v>
      </c>
      <c r="DJ3" s="770">
        <f t="shared" si="15"/>
        <v>17</v>
      </c>
      <c r="DK3" s="770">
        <f t="shared" si="15"/>
        <v>0</v>
      </c>
      <c r="DL3" s="770">
        <f t="shared" si="15"/>
        <v>0</v>
      </c>
      <c r="DM3" s="770">
        <f t="shared" si="15"/>
        <v>8</v>
      </c>
      <c r="DN3" s="770">
        <f t="shared" si="15"/>
        <v>0</v>
      </c>
      <c r="DO3" s="770">
        <f t="shared" si="15"/>
        <v>0</v>
      </c>
      <c r="DP3" s="770">
        <f t="shared" si="15"/>
        <v>0</v>
      </c>
      <c r="DQ3" s="770">
        <f t="shared" si="15"/>
        <v>0</v>
      </c>
      <c r="DR3" s="770">
        <f t="shared" si="15"/>
        <v>0</v>
      </c>
      <c r="DS3" s="770">
        <f t="shared" si="15"/>
        <v>0</v>
      </c>
      <c r="DT3" s="770">
        <f t="shared" si="15"/>
        <v>0</v>
      </c>
      <c r="DU3" s="770">
        <f t="shared" si="15"/>
        <v>0</v>
      </c>
      <c r="DV3" s="770">
        <f t="shared" si="15"/>
        <v>0</v>
      </c>
      <c r="DW3" s="770">
        <f t="shared" si="15"/>
        <v>0</v>
      </c>
      <c r="DX3" s="770">
        <f t="shared" si="15"/>
        <v>0</v>
      </c>
      <c r="DY3" s="770">
        <f t="shared" si="15"/>
        <v>0</v>
      </c>
      <c r="DZ3" s="770">
        <f t="shared" si="15"/>
        <v>0</v>
      </c>
      <c r="EA3" s="770">
        <f t="shared" si="15"/>
        <v>0</v>
      </c>
      <c r="EB3" s="770">
        <f t="shared" si="15"/>
        <v>6</v>
      </c>
      <c r="EC3" s="770">
        <f t="shared" si="15"/>
        <v>6</v>
      </c>
      <c r="ED3" s="770">
        <f t="shared" si="15"/>
        <v>0</v>
      </c>
      <c r="EE3" s="770">
        <f t="shared" si="15"/>
        <v>0</v>
      </c>
      <c r="EF3" s="770">
        <f t="shared" si="15"/>
        <v>0</v>
      </c>
      <c r="EG3" s="770">
        <f t="shared" si="15"/>
        <v>18</v>
      </c>
      <c r="EH3" s="770">
        <f t="shared" si="15"/>
        <v>0</v>
      </c>
      <c r="EI3" s="770">
        <f t="shared" si="15"/>
        <v>0</v>
      </c>
      <c r="EJ3" s="770">
        <f t="shared" si="15"/>
        <v>0</v>
      </c>
      <c r="EK3" s="770">
        <f t="shared" si="15"/>
        <v>0</v>
      </c>
      <c r="EL3" s="770">
        <f t="shared" si="15"/>
        <v>6</v>
      </c>
      <c r="EM3" s="770">
        <f t="shared" si="15"/>
        <v>0</v>
      </c>
      <c r="EN3" s="770">
        <f t="shared" si="15"/>
        <v>0</v>
      </c>
      <c r="EO3" s="770">
        <f t="shared" si="15"/>
        <v>0</v>
      </c>
      <c r="EP3" s="770">
        <f t="shared" si="15"/>
        <v>0</v>
      </c>
      <c r="EQ3" s="770">
        <f t="shared" si="15"/>
        <v>0</v>
      </c>
      <c r="ER3" s="770">
        <f t="shared" si="15"/>
        <v>0</v>
      </c>
      <c r="ES3" s="770">
        <f t="shared" si="15"/>
        <v>0</v>
      </c>
      <c r="ET3" s="770">
        <f t="shared" si="15"/>
        <v>0</v>
      </c>
      <c r="EU3" s="770">
        <f t="shared" si="15"/>
        <v>0</v>
      </c>
      <c r="EV3" s="770">
        <f t="shared" si="15"/>
        <v>0</v>
      </c>
      <c r="EW3" s="770">
        <f t="shared" si="15"/>
        <v>0</v>
      </c>
      <c r="EX3" s="770">
        <f t="shared" si="15"/>
        <v>3</v>
      </c>
      <c r="EY3" s="770">
        <f t="shared" si="15"/>
        <v>6</v>
      </c>
      <c r="EZ3" s="770">
        <f t="shared" si="15"/>
        <v>63</v>
      </c>
      <c r="FA3" s="770">
        <f t="shared" ref="FA3" si="16">SUM(FA11:FA112)</f>
        <v>0</v>
      </c>
      <c r="FB3" s="770">
        <f t="shared" ref="FB3" si="17">SUM(FB11:FB112)</f>
        <v>0</v>
      </c>
      <c r="FC3" s="770">
        <f t="shared" ref="FC3:GM3" si="18">SUM(FC11:FC112)</f>
        <v>0</v>
      </c>
      <c r="FD3" s="770">
        <f t="shared" si="18"/>
        <v>0</v>
      </c>
      <c r="FE3" s="770">
        <f t="shared" si="18"/>
        <v>0</v>
      </c>
      <c r="FF3" s="770">
        <f t="shared" si="18"/>
        <v>0</v>
      </c>
      <c r="FG3" s="770">
        <f t="shared" si="18"/>
        <v>0</v>
      </c>
      <c r="FH3" s="770">
        <f t="shared" si="18"/>
        <v>0</v>
      </c>
      <c r="FI3" s="770">
        <f t="shared" si="18"/>
        <v>0</v>
      </c>
      <c r="FJ3" s="770">
        <f t="shared" si="18"/>
        <v>0</v>
      </c>
      <c r="FK3" s="770">
        <f t="shared" si="18"/>
        <v>0</v>
      </c>
      <c r="FL3" s="770">
        <f t="shared" si="18"/>
        <v>0</v>
      </c>
      <c r="FM3" s="770">
        <f t="shared" si="18"/>
        <v>0</v>
      </c>
      <c r="FN3" s="770">
        <f t="shared" si="18"/>
        <v>0</v>
      </c>
      <c r="FO3" s="770">
        <f t="shared" si="18"/>
        <v>0</v>
      </c>
      <c r="FP3" s="770">
        <f t="shared" si="18"/>
        <v>0</v>
      </c>
      <c r="FQ3" s="770">
        <f t="shared" si="18"/>
        <v>0</v>
      </c>
      <c r="FR3" s="770">
        <f t="shared" si="18"/>
        <v>0</v>
      </c>
      <c r="FS3" s="770">
        <f t="shared" si="18"/>
        <v>0</v>
      </c>
      <c r="FT3" s="770">
        <f t="shared" si="18"/>
        <v>0</v>
      </c>
      <c r="FU3" s="770">
        <f t="shared" si="18"/>
        <v>0</v>
      </c>
      <c r="FV3" s="770">
        <f t="shared" si="18"/>
        <v>0</v>
      </c>
      <c r="FW3" s="770">
        <f t="shared" si="18"/>
        <v>0</v>
      </c>
      <c r="FX3" s="770">
        <f t="shared" si="18"/>
        <v>0</v>
      </c>
      <c r="FY3" s="770">
        <f t="shared" si="18"/>
        <v>0</v>
      </c>
      <c r="FZ3" s="770">
        <f t="shared" si="18"/>
        <v>0</v>
      </c>
      <c r="GA3" s="770">
        <f t="shared" si="18"/>
        <v>0</v>
      </c>
      <c r="GB3" s="770">
        <f t="shared" si="18"/>
        <v>0</v>
      </c>
      <c r="GC3" s="770">
        <f t="shared" si="18"/>
        <v>0</v>
      </c>
      <c r="GD3" s="770">
        <f t="shared" si="18"/>
        <v>0</v>
      </c>
      <c r="GE3" s="770">
        <f t="shared" si="18"/>
        <v>0</v>
      </c>
      <c r="GF3" s="770">
        <f t="shared" si="18"/>
        <v>0</v>
      </c>
      <c r="GG3" s="770">
        <f t="shared" si="18"/>
        <v>0</v>
      </c>
      <c r="GH3" s="770">
        <f t="shared" si="18"/>
        <v>0</v>
      </c>
      <c r="GI3" s="770">
        <f t="shared" si="18"/>
        <v>0</v>
      </c>
      <c r="GJ3" s="770">
        <f t="shared" si="18"/>
        <v>0</v>
      </c>
      <c r="GK3" s="770">
        <f t="shared" si="18"/>
        <v>0</v>
      </c>
      <c r="GL3" s="770">
        <f t="shared" si="18"/>
        <v>0</v>
      </c>
      <c r="GM3" s="770">
        <f t="shared" si="18"/>
        <v>9</v>
      </c>
      <c r="GN3" s="770">
        <f t="shared" ref="GN3:GW3" si="19">SUM(GN11:GN112)</f>
        <v>0</v>
      </c>
      <c r="GO3" s="770">
        <f t="shared" si="19"/>
        <v>0</v>
      </c>
      <c r="GP3" s="770">
        <f t="shared" si="19"/>
        <v>3</v>
      </c>
      <c r="GQ3" s="770">
        <f t="shared" si="19"/>
        <v>0</v>
      </c>
      <c r="GR3" s="770">
        <f t="shared" si="19"/>
        <v>0</v>
      </c>
      <c r="GS3" s="770">
        <f t="shared" si="19"/>
        <v>0</v>
      </c>
      <c r="GT3" s="770">
        <f t="shared" si="19"/>
        <v>0</v>
      </c>
      <c r="GU3" s="770">
        <f t="shared" si="19"/>
        <v>0</v>
      </c>
      <c r="GV3" s="770">
        <f t="shared" si="19"/>
        <v>0</v>
      </c>
      <c r="GW3" s="770">
        <f t="shared" si="19"/>
        <v>0</v>
      </c>
    </row>
    <row r="4" spans="1:235" ht="18.95" customHeight="1" outlineLevel="1">
      <c r="GL4" s="1285"/>
      <c r="GM4" s="1285"/>
    </row>
    <row r="5" spans="1:235" s="775" customFormat="1" ht="24.75" customHeight="1">
      <c r="A5" s="401" t="s">
        <v>4078</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9"/>
      <c r="DC5" s="418"/>
      <c r="DD5" s="418"/>
      <c r="DE5" s="418"/>
      <c r="DF5" s="418"/>
      <c r="DG5" s="418"/>
      <c r="DH5" s="418"/>
      <c r="DI5" s="418"/>
      <c r="DJ5" s="418"/>
      <c r="DK5" s="418"/>
      <c r="DL5" s="418"/>
      <c r="DM5" s="418"/>
      <c r="DN5" s="418"/>
      <c r="DO5" s="418"/>
      <c r="DP5" s="418"/>
      <c r="DQ5" s="418"/>
      <c r="DR5" s="419"/>
      <c r="DS5" s="419"/>
      <c r="DT5" s="419"/>
      <c r="DU5" s="419"/>
      <c r="DV5" s="419"/>
      <c r="DW5" s="419"/>
      <c r="DX5" s="419"/>
      <c r="DY5" s="418"/>
      <c r="DZ5" s="418"/>
      <c r="EA5" s="418"/>
      <c r="EB5" s="774"/>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8"/>
      <c r="GK5" s="420"/>
      <c r="GL5"/>
      <c r="GM5"/>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row>
    <row r="6" spans="1:235" s="1967" customFormat="1" ht="24.75" customHeight="1">
      <c r="A6" s="1965" t="str">
        <f>CT_tram!D20</f>
        <v>Công trình: Đường dây trung thế &amp; TBA Suối Lá, ấp Gia Ui, xã Xuân Tâm</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524"/>
      <c r="CS6" s="664"/>
      <c r="CT6" s="664"/>
      <c r="CU6" s="664"/>
      <c r="CV6" s="664"/>
      <c r="CW6" s="664"/>
      <c r="CX6" s="524"/>
      <c r="CY6" s="664"/>
      <c r="CZ6" s="664"/>
      <c r="DA6" s="664"/>
      <c r="DB6" s="524"/>
      <c r="DC6" s="664"/>
      <c r="DD6" s="664"/>
      <c r="DE6" s="524"/>
      <c r="DF6" s="524"/>
      <c r="DG6" s="664"/>
      <c r="DH6" s="664"/>
      <c r="DI6" s="664"/>
      <c r="DJ6" s="524"/>
      <c r="DK6" s="664"/>
      <c r="DL6" s="664"/>
      <c r="DM6" s="524"/>
      <c r="DN6" s="664"/>
      <c r="DO6" s="664"/>
      <c r="DP6" s="664"/>
      <c r="DQ6" s="664"/>
      <c r="DR6" s="664"/>
      <c r="DS6" s="664"/>
      <c r="DT6" s="664"/>
      <c r="DU6" s="664"/>
      <c r="DV6" s="664"/>
      <c r="DW6" s="664"/>
      <c r="DX6" s="664"/>
      <c r="DY6" s="664"/>
      <c r="DZ6" s="664"/>
      <c r="EA6" s="664"/>
      <c r="EB6" s="524"/>
      <c r="EC6" s="524"/>
      <c r="ED6" s="664"/>
      <c r="EE6" s="664"/>
      <c r="EF6" s="664"/>
      <c r="EG6" s="524"/>
      <c r="EH6" s="664"/>
      <c r="EI6" s="664"/>
      <c r="EJ6" s="664"/>
      <c r="EK6" s="664"/>
      <c r="EL6" s="664"/>
      <c r="EM6" s="664"/>
      <c r="EN6" s="664"/>
      <c r="EO6" s="664"/>
      <c r="EP6" s="664"/>
      <c r="EQ6" s="664"/>
      <c r="ER6" s="664"/>
      <c r="ES6" s="664"/>
      <c r="ET6" s="664"/>
      <c r="EU6" s="664"/>
      <c r="EV6" s="664"/>
      <c r="EW6" s="664"/>
      <c r="EX6" s="52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524"/>
      <c r="GL6" s="1966"/>
      <c r="GM6" s="1966"/>
      <c r="GV6" s="1968"/>
      <c r="GW6" s="1968"/>
      <c r="GX6" s="1968"/>
      <c r="GY6" s="1968"/>
      <c r="GZ6" s="1968"/>
      <c r="HA6" s="1968"/>
      <c r="HB6" s="1968"/>
      <c r="HC6" s="1968"/>
      <c r="HD6" s="1968"/>
      <c r="HE6" s="1968"/>
      <c r="HF6" s="1968"/>
      <c r="HG6" s="1968"/>
      <c r="HH6" s="1968"/>
      <c r="HI6" s="1968"/>
      <c r="HJ6" s="1968"/>
      <c r="HK6" s="1968"/>
      <c r="HL6" s="1968"/>
      <c r="HM6" s="1968"/>
      <c r="HN6" s="1968"/>
      <c r="HO6" s="1968"/>
      <c r="HP6" s="1968"/>
      <c r="HQ6" s="1968"/>
      <c r="HR6" s="1968"/>
      <c r="HS6" s="1968"/>
      <c r="HT6" s="1968"/>
      <c r="HU6" s="1968"/>
      <c r="HV6" s="1968"/>
      <c r="HW6" s="1968"/>
      <c r="HX6" s="1968"/>
      <c r="HY6" s="1968"/>
      <c r="HZ6" s="1968"/>
      <c r="IA6" s="1968"/>
    </row>
    <row r="7" spans="1:235" s="775" customFormat="1" ht="24.75" customHeight="1" thickBot="1">
      <c r="A7" s="664" t="str">
        <f>CT_tram!D21</f>
        <v>Địa điểm: Xã Xuân Tâm - Huyện Xuân Lộc - TỉnhĐồngNai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776"/>
      <c r="CX7" s="664"/>
      <c r="CY7" s="664"/>
      <c r="CZ7" s="776"/>
      <c r="DA7" s="776"/>
      <c r="DB7" s="776"/>
      <c r="DC7" s="776"/>
      <c r="DD7" s="776"/>
      <c r="DE7" s="664"/>
      <c r="DF7" s="664"/>
      <c r="DG7" s="776"/>
      <c r="DH7" s="776"/>
      <c r="DI7" s="776"/>
      <c r="DJ7" s="664"/>
      <c r="DK7" s="776"/>
      <c r="DL7" s="776"/>
      <c r="DM7" s="776"/>
      <c r="DN7" s="776"/>
      <c r="DO7" s="776"/>
      <c r="DP7" s="776"/>
      <c r="DQ7" s="664"/>
      <c r="DR7" s="776"/>
      <c r="DS7" s="776"/>
      <c r="DT7" s="776"/>
      <c r="DU7" s="776"/>
      <c r="DV7" s="776"/>
      <c r="DW7" s="776"/>
      <c r="DX7" s="776"/>
      <c r="DY7" s="776"/>
      <c r="DZ7" s="776"/>
      <c r="EA7" s="776"/>
      <c r="EB7" s="776"/>
      <c r="EC7" s="776"/>
      <c r="ED7" s="776"/>
      <c r="EE7" s="776"/>
      <c r="EF7" s="776"/>
      <c r="EG7" s="664"/>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664"/>
      <c r="GL7"/>
      <c r="GM7"/>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row>
    <row r="8" spans="1:235" s="777" customFormat="1" ht="24.95" customHeight="1" thickTop="1">
      <c r="A8" s="2669" t="s">
        <v>3787</v>
      </c>
      <c r="B8" s="2647" t="s">
        <v>3788</v>
      </c>
      <c r="C8" s="2662" t="s">
        <v>4360</v>
      </c>
      <c r="D8" s="2662" t="s">
        <v>4079</v>
      </c>
      <c r="E8" s="2662" t="s">
        <v>4080</v>
      </c>
      <c r="F8" s="2662" t="s">
        <v>4081</v>
      </c>
      <c r="G8" s="2662" t="s">
        <v>4082</v>
      </c>
      <c r="H8" s="2662" t="s">
        <v>4083</v>
      </c>
      <c r="I8" s="2662" t="s">
        <v>4084</v>
      </c>
      <c r="J8" s="2662" t="s">
        <v>4085</v>
      </c>
      <c r="K8" s="2662" t="s">
        <v>4086</v>
      </c>
      <c r="L8" s="2662" t="s">
        <v>4087</v>
      </c>
      <c r="M8" s="2662" t="s">
        <v>4088</v>
      </c>
      <c r="N8" s="2662" t="s">
        <v>4089</v>
      </c>
      <c r="O8" s="2662" t="s">
        <v>4090</v>
      </c>
      <c r="P8" s="2662" t="s">
        <v>4091</v>
      </c>
      <c r="Q8" s="2662" t="s">
        <v>4092</v>
      </c>
      <c r="R8" s="2662" t="s">
        <v>4093</v>
      </c>
      <c r="S8" s="2662" t="s">
        <v>4094</v>
      </c>
      <c r="T8" s="2647" t="s">
        <v>4095</v>
      </c>
      <c r="U8" s="2647" t="s">
        <v>4096</v>
      </c>
      <c r="V8" s="2647" t="s">
        <v>3798</v>
      </c>
      <c r="W8" s="2665" t="s">
        <v>2285</v>
      </c>
      <c r="X8" s="2665"/>
      <c r="Y8" s="2665"/>
      <c r="Z8" s="2665"/>
      <c r="AA8" s="2665"/>
      <c r="AB8" s="2665"/>
      <c r="AC8" s="2665"/>
      <c r="AD8" s="2672"/>
      <c r="AE8" s="2672"/>
      <c r="AF8" s="2672"/>
      <c r="AG8" s="2672"/>
      <c r="AH8" s="2672"/>
      <c r="AI8" s="2672"/>
      <c r="AJ8" s="2672"/>
      <c r="AK8" s="2672"/>
      <c r="AL8" s="2672"/>
      <c r="AM8" s="2672"/>
      <c r="AN8" s="2672"/>
      <c r="AO8" s="2672"/>
      <c r="AP8" s="2672"/>
      <c r="AQ8" s="2672"/>
      <c r="AR8" s="2672"/>
      <c r="AS8" s="2672"/>
      <c r="AT8" s="2672"/>
      <c r="AU8" s="2672"/>
      <c r="AV8" s="2672"/>
      <c r="AW8" s="2672"/>
      <c r="AX8" s="2672"/>
      <c r="AY8" s="2672"/>
      <c r="AZ8" s="2672"/>
      <c r="BA8" s="2672"/>
      <c r="BB8" s="2672"/>
      <c r="BC8" s="2672"/>
      <c r="BD8" s="2672"/>
      <c r="BE8" s="2672"/>
      <c r="BF8" s="2673"/>
      <c r="BG8" s="2664" t="s">
        <v>3800</v>
      </c>
      <c r="BH8" s="2664"/>
      <c r="BI8" s="2664"/>
      <c r="BJ8" s="2664"/>
      <c r="BK8" s="2664"/>
      <c r="BL8" s="2664"/>
      <c r="BM8" s="2664"/>
      <c r="BN8" s="2664"/>
      <c r="BO8" s="2664"/>
      <c r="BP8" s="2664"/>
      <c r="BQ8" s="2664"/>
      <c r="BR8" s="2664"/>
      <c r="BS8" s="2664"/>
      <c r="BT8" s="2665" t="s">
        <v>3801</v>
      </c>
      <c r="BU8" s="2665"/>
      <c r="BV8" s="2665"/>
      <c r="BW8" s="2665"/>
      <c r="BX8" s="2665"/>
      <c r="BY8" s="2665"/>
      <c r="BZ8" s="2665"/>
      <c r="CA8" s="2665"/>
      <c r="CB8" s="2665"/>
      <c r="CC8" s="2665"/>
      <c r="CD8" s="2665"/>
      <c r="CE8" s="2665"/>
      <c r="CF8" s="2651" t="s">
        <v>2399</v>
      </c>
      <c r="CG8" s="2651" t="s">
        <v>2400</v>
      </c>
      <c r="CH8" s="2651" t="s">
        <v>2401</v>
      </c>
      <c r="CI8" s="2651" t="s">
        <v>2405</v>
      </c>
      <c r="CJ8" s="2651" t="s">
        <v>2406</v>
      </c>
      <c r="CK8" s="2651" t="s">
        <v>4097</v>
      </c>
      <c r="CL8" s="2651" t="s">
        <v>2403</v>
      </c>
      <c r="CM8" s="2651" t="s">
        <v>2404</v>
      </c>
      <c r="CN8" s="2667" t="s">
        <v>4098</v>
      </c>
      <c r="CO8" s="2664"/>
      <c r="CP8" s="2667"/>
      <c r="CQ8" s="2668"/>
      <c r="CR8" s="2668"/>
      <c r="CS8" s="2668"/>
      <c r="CT8" s="2668"/>
      <c r="CU8" s="2668"/>
      <c r="CV8" s="2668"/>
      <c r="CW8" s="2668"/>
      <c r="CX8" s="2664"/>
      <c r="CY8" s="2664"/>
      <c r="CZ8" s="2668"/>
      <c r="DA8" s="2668"/>
      <c r="DB8" s="2667"/>
      <c r="DC8" s="2647" t="s">
        <v>3905</v>
      </c>
      <c r="DD8" s="2647" t="s">
        <v>3906</v>
      </c>
      <c r="DE8" s="2649" t="s">
        <v>3907</v>
      </c>
      <c r="DF8" s="2649" t="s">
        <v>4099</v>
      </c>
      <c r="DG8" s="2649" t="s">
        <v>4100</v>
      </c>
      <c r="DH8" s="2647" t="s">
        <v>3602</v>
      </c>
      <c r="DI8" s="2647" t="s">
        <v>4101</v>
      </c>
      <c r="DJ8" s="2649" t="s">
        <v>3808</v>
      </c>
      <c r="DK8" s="2647" t="s">
        <v>4102</v>
      </c>
      <c r="DL8" s="2647" t="s">
        <v>3809</v>
      </c>
      <c r="DM8" s="2649" t="s">
        <v>3810</v>
      </c>
      <c r="DN8" s="2647" t="s">
        <v>4633</v>
      </c>
      <c r="DO8" s="2647" t="s">
        <v>4567</v>
      </c>
      <c r="DP8" s="2647" t="s">
        <v>4103</v>
      </c>
      <c r="DQ8" s="2647" t="s">
        <v>4104</v>
      </c>
      <c r="DR8" s="2651" t="s">
        <v>4105</v>
      </c>
      <c r="DS8" s="2651" t="s">
        <v>4106</v>
      </c>
      <c r="DT8" s="2651" t="s">
        <v>4107</v>
      </c>
      <c r="DU8" s="2651" t="s">
        <v>4108</v>
      </c>
      <c r="DV8" s="2651" t="s">
        <v>4109</v>
      </c>
      <c r="DW8" s="2651" t="s">
        <v>4110</v>
      </c>
      <c r="DX8" s="2651" t="s">
        <v>4111</v>
      </c>
      <c r="DY8" s="2647" t="s">
        <v>4112</v>
      </c>
      <c r="DZ8" s="2647" t="s">
        <v>4113</v>
      </c>
      <c r="EA8" s="2647" t="s">
        <v>4114</v>
      </c>
      <c r="EB8" s="2647" t="s">
        <v>4634</v>
      </c>
      <c r="EC8" s="2647" t="s">
        <v>1739</v>
      </c>
      <c r="ED8" s="2647" t="s">
        <v>2901</v>
      </c>
      <c r="EE8" s="2647" t="s">
        <v>406</v>
      </c>
      <c r="EF8" s="2647" t="s">
        <v>4115</v>
      </c>
      <c r="EG8" s="2653" t="s">
        <v>3814</v>
      </c>
      <c r="EH8" s="2647" t="s">
        <v>3815</v>
      </c>
      <c r="EI8" s="2647" t="s">
        <v>4116</v>
      </c>
      <c r="EJ8" s="2647" t="s">
        <v>3816</v>
      </c>
      <c r="EK8" s="2647" t="s">
        <v>3817</v>
      </c>
      <c r="EL8" s="2647" t="s">
        <v>4117</v>
      </c>
      <c r="EM8" s="2647" t="s">
        <v>4118</v>
      </c>
      <c r="EN8" s="2647" t="s">
        <v>4119</v>
      </c>
      <c r="EO8" s="2651" t="s">
        <v>3819</v>
      </c>
      <c r="EP8" s="2651" t="s">
        <v>3821</v>
      </c>
      <c r="EQ8" s="2651" t="s">
        <v>3822</v>
      </c>
      <c r="ER8" s="2651" t="s">
        <v>3823</v>
      </c>
      <c r="ES8" s="2651" t="s">
        <v>3824</v>
      </c>
      <c r="ET8" s="2651" t="s">
        <v>3825</v>
      </c>
      <c r="EU8" s="2651" t="s">
        <v>1736</v>
      </c>
      <c r="EV8" s="2651" t="s">
        <v>1380</v>
      </c>
      <c r="EW8" s="2651" t="s">
        <v>675</v>
      </c>
      <c r="EX8" s="2651" t="s">
        <v>1904</v>
      </c>
      <c r="EY8" s="2660" t="s">
        <v>4669</v>
      </c>
      <c r="EZ8" s="2660" t="s">
        <v>4670</v>
      </c>
      <c r="FA8" s="2657" t="s">
        <v>4805</v>
      </c>
      <c r="FB8" s="2657" t="s">
        <v>4806</v>
      </c>
      <c r="FC8" s="2657" t="s">
        <v>4807</v>
      </c>
      <c r="FD8" s="2657" t="s">
        <v>1927</v>
      </c>
      <c r="FE8" s="2651" t="s">
        <v>394</v>
      </c>
      <c r="FF8" s="2651" t="s">
        <v>790</v>
      </c>
      <c r="FG8" s="2651" t="s">
        <v>1196</v>
      </c>
      <c r="FH8" s="2651" t="s">
        <v>1195</v>
      </c>
      <c r="FI8" s="2647" t="s">
        <v>2557</v>
      </c>
      <c r="FJ8" s="2647" t="s">
        <v>4120</v>
      </c>
      <c r="FK8" s="2647" t="s">
        <v>4121</v>
      </c>
      <c r="FL8" s="2647" t="s">
        <v>4122</v>
      </c>
      <c r="FM8" s="2647" t="s">
        <v>4123</v>
      </c>
      <c r="FN8" s="2647" t="s">
        <v>4124</v>
      </c>
      <c r="FO8" s="2647" t="s">
        <v>3921</v>
      </c>
      <c r="FP8" s="2647" t="s">
        <v>4125</v>
      </c>
      <c r="FQ8" s="2647" t="s">
        <v>4126</v>
      </c>
      <c r="FR8" s="2647" t="s">
        <v>4127</v>
      </c>
      <c r="FS8" s="2647" t="s">
        <v>4128</v>
      </c>
      <c r="FT8" s="2647" t="s">
        <v>4129</v>
      </c>
      <c r="FU8" s="2647" t="s">
        <v>4130</v>
      </c>
      <c r="FV8" s="2647" t="s">
        <v>4131</v>
      </c>
      <c r="FW8" s="2647" t="s">
        <v>4132</v>
      </c>
      <c r="FX8" s="2647" t="s">
        <v>2414</v>
      </c>
      <c r="FY8" s="2647" t="s">
        <v>2411</v>
      </c>
      <c r="FZ8" s="2647" t="s">
        <v>4133</v>
      </c>
      <c r="GA8" s="2647" t="s">
        <v>4134</v>
      </c>
      <c r="GB8" s="2647" t="s">
        <v>4135</v>
      </c>
      <c r="GC8" s="2647" t="s">
        <v>4136</v>
      </c>
      <c r="GD8" s="2647" t="s">
        <v>3851</v>
      </c>
      <c r="GE8" s="2647" t="s">
        <v>4137</v>
      </c>
      <c r="GF8" s="2647" t="s">
        <v>4138</v>
      </c>
      <c r="GG8" s="2647" t="s">
        <v>4139</v>
      </c>
      <c r="GH8" s="2647" t="s">
        <v>4140</v>
      </c>
      <c r="GI8" s="2647" t="s">
        <v>4141</v>
      </c>
      <c r="GJ8" s="2651" t="s">
        <v>3939</v>
      </c>
      <c r="GK8" s="2655" t="s">
        <v>2610</v>
      </c>
      <c r="GL8"/>
      <c r="GM8"/>
      <c r="GN8" s="775"/>
      <c r="GO8" s="775"/>
      <c r="GP8" s="775"/>
      <c r="GQ8" s="775"/>
      <c r="GR8" s="775"/>
      <c r="GS8" s="775"/>
      <c r="GT8" s="775"/>
      <c r="GU8" s="775"/>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row>
    <row r="9" spans="1:235" s="778" customFormat="1" ht="114" customHeight="1">
      <c r="A9" s="2670"/>
      <c r="B9" s="2671"/>
      <c r="C9" s="2663"/>
      <c r="D9" s="2663"/>
      <c r="E9" s="2663"/>
      <c r="F9" s="2663"/>
      <c r="G9" s="2663"/>
      <c r="H9" s="2663"/>
      <c r="I9" s="2663"/>
      <c r="J9" s="2663"/>
      <c r="K9" s="2663"/>
      <c r="L9" s="2663"/>
      <c r="M9" s="2663"/>
      <c r="N9" s="2663"/>
      <c r="O9" s="2663"/>
      <c r="P9" s="2663"/>
      <c r="Q9" s="2663"/>
      <c r="R9" s="2663"/>
      <c r="S9" s="2666"/>
      <c r="T9" s="2648"/>
      <c r="U9" s="2648"/>
      <c r="V9" s="2648"/>
      <c r="W9" s="1027" t="s">
        <v>2265</v>
      </c>
      <c r="X9" s="1027" t="s">
        <v>300</v>
      </c>
      <c r="Y9" s="1027" t="s">
        <v>4566</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3882</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659"/>
      <c r="CG9" s="2659"/>
      <c r="CH9" s="2659"/>
      <c r="CI9" s="2659"/>
      <c r="CJ9" s="2659"/>
      <c r="CK9" s="2659"/>
      <c r="CL9" s="2659"/>
      <c r="CM9" s="2659"/>
      <c r="CN9" s="1028" t="s">
        <v>2299</v>
      </c>
      <c r="CO9" s="1028" t="s">
        <v>2303</v>
      </c>
      <c r="CP9" s="1028" t="s">
        <v>533</v>
      </c>
      <c r="CQ9" s="1028" t="s">
        <v>2302</v>
      </c>
      <c r="CR9" s="2267" t="s">
        <v>4861</v>
      </c>
      <c r="CS9" s="2267" t="s">
        <v>4862</v>
      </c>
      <c r="CT9" s="1028" t="s">
        <v>1296</v>
      </c>
      <c r="CU9" s="1028" t="s">
        <v>2317</v>
      </c>
      <c r="CV9" s="1028" t="s">
        <v>895</v>
      </c>
      <c r="CW9" s="1028" t="s">
        <v>2300</v>
      </c>
      <c r="CX9" s="1028" t="s">
        <v>2301</v>
      </c>
      <c r="CY9" s="1028" t="s">
        <v>2127</v>
      </c>
      <c r="CZ9" s="1028" t="s">
        <v>2304</v>
      </c>
      <c r="DA9" s="1028" t="s">
        <v>1874</v>
      </c>
      <c r="DB9" s="1028" t="s">
        <v>896</v>
      </c>
      <c r="DC9" s="2648"/>
      <c r="DD9" s="2648"/>
      <c r="DE9" s="2650"/>
      <c r="DF9" s="2650"/>
      <c r="DG9" s="2650"/>
      <c r="DH9" s="2648"/>
      <c r="DI9" s="2648"/>
      <c r="DJ9" s="2650"/>
      <c r="DK9" s="2648"/>
      <c r="DL9" s="2648"/>
      <c r="DM9" s="2650"/>
      <c r="DN9" s="2648"/>
      <c r="DO9" s="2648"/>
      <c r="DP9" s="2648"/>
      <c r="DQ9" s="2648"/>
      <c r="DR9" s="2652"/>
      <c r="DS9" s="2652"/>
      <c r="DT9" s="2652"/>
      <c r="DU9" s="2652"/>
      <c r="DV9" s="2652"/>
      <c r="DW9" s="2652"/>
      <c r="DX9" s="2652"/>
      <c r="DY9" s="2648"/>
      <c r="DZ9" s="2648"/>
      <c r="EA9" s="2648"/>
      <c r="EB9" s="2648"/>
      <c r="EC9" s="2648"/>
      <c r="ED9" s="2648"/>
      <c r="EE9" s="2648"/>
      <c r="EF9" s="2648"/>
      <c r="EG9" s="2654"/>
      <c r="EH9" s="2648"/>
      <c r="EI9" s="2648"/>
      <c r="EJ9" s="2648"/>
      <c r="EK9" s="2648"/>
      <c r="EL9" s="2648"/>
      <c r="EM9" s="2648"/>
      <c r="EN9" s="2648"/>
      <c r="EO9" s="2652"/>
      <c r="EP9" s="2652"/>
      <c r="EQ9" s="2652"/>
      <c r="ER9" s="2652"/>
      <c r="ES9" s="2652"/>
      <c r="ET9" s="2652"/>
      <c r="EU9" s="2652"/>
      <c r="EV9" s="2652"/>
      <c r="EW9" s="2652"/>
      <c r="EX9" s="2652"/>
      <c r="EY9" s="2661"/>
      <c r="EZ9" s="2661"/>
      <c r="FA9" s="2658"/>
      <c r="FB9" s="2658"/>
      <c r="FC9" s="2658"/>
      <c r="FD9" s="2658"/>
      <c r="FE9" s="2652"/>
      <c r="FF9" s="2652"/>
      <c r="FG9" s="2652"/>
      <c r="FH9" s="2652"/>
      <c r="FI9" s="2648"/>
      <c r="FJ9" s="2648"/>
      <c r="FK9" s="2648"/>
      <c r="FL9" s="2648"/>
      <c r="FM9" s="2648"/>
      <c r="FN9" s="2648"/>
      <c r="FO9" s="2648"/>
      <c r="FP9" s="2648"/>
      <c r="FQ9" s="2648"/>
      <c r="FR9" s="2648"/>
      <c r="FS9" s="2648"/>
      <c r="FT9" s="2648"/>
      <c r="FU9" s="2648"/>
      <c r="FV9" s="2648"/>
      <c r="FW9" s="2648"/>
      <c r="FX9" s="2648"/>
      <c r="FY9" s="2648"/>
      <c r="FZ9" s="2648"/>
      <c r="GA9" s="2648"/>
      <c r="GB9" s="2648"/>
      <c r="GC9" s="2648"/>
      <c r="GD9" s="2648"/>
      <c r="GE9" s="2648"/>
      <c r="GF9" s="2648"/>
      <c r="GG9" s="2648"/>
      <c r="GH9" s="2648"/>
      <c r="GI9" s="2648"/>
      <c r="GJ9" s="2659"/>
      <c r="GK9" s="2656"/>
      <c r="GL9"/>
      <c r="GM9"/>
      <c r="GN9" s="775"/>
      <c r="GO9" s="775"/>
      <c r="GP9" s="775"/>
      <c r="GQ9" s="775"/>
      <c r="GR9" s="775"/>
      <c r="GS9" s="775"/>
      <c r="GT9" s="775"/>
      <c r="GU9" s="775"/>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row>
    <row r="10" spans="1:235" ht="25.5">
      <c r="A10" s="1024"/>
      <c r="B10" s="1025" t="s">
        <v>88</v>
      </c>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2269" t="s">
        <v>2243</v>
      </c>
      <c r="CI10" s="1032"/>
      <c r="CJ10" s="1032"/>
      <c r="CK10" s="1032"/>
      <c r="CL10" s="1032"/>
      <c r="CM10" s="1032"/>
      <c r="CN10" s="1032"/>
      <c r="CO10" s="1032"/>
      <c r="CP10" s="1032"/>
      <c r="CQ10" s="1032"/>
      <c r="CR10" s="1032"/>
      <c r="CS10" s="1032"/>
      <c r="CT10" s="1032"/>
      <c r="CU10" s="1032"/>
      <c r="CV10" s="1032"/>
      <c r="CW10" s="1032"/>
      <c r="CX10" s="1032"/>
      <c r="CY10" s="1032"/>
      <c r="CZ10" s="1032"/>
      <c r="DA10" s="1032"/>
      <c r="DB10" s="1032" t="s">
        <v>361</v>
      </c>
      <c r="DC10" s="1033"/>
      <c r="DD10" s="1033"/>
      <c r="DE10" s="2270" t="s">
        <v>2513</v>
      </c>
      <c r="DF10" s="1033" t="s">
        <v>2551</v>
      </c>
      <c r="DG10" s="1033"/>
      <c r="DH10" s="1033"/>
      <c r="DI10" s="1033"/>
      <c r="DJ10" s="1033" t="s">
        <v>2508</v>
      </c>
      <c r="DK10" s="1033"/>
      <c r="DL10" s="1033"/>
      <c r="DM10" s="1033" t="s">
        <v>1627</v>
      </c>
      <c r="DN10" s="1033"/>
      <c r="DO10" s="1033"/>
      <c r="DP10" s="1033"/>
      <c r="DQ10" s="1033"/>
      <c r="DR10" s="1033"/>
      <c r="DS10" s="1033"/>
      <c r="DT10" s="1033"/>
      <c r="DU10" s="1033"/>
      <c r="DV10" s="1033"/>
      <c r="DW10" s="1033"/>
      <c r="DX10" s="1033"/>
      <c r="DY10" s="1033"/>
      <c r="DZ10" s="1033"/>
      <c r="EA10" s="1033"/>
      <c r="EB10" s="2222" t="s">
        <v>4494</v>
      </c>
      <c r="EC10" s="2223" t="s">
        <v>1482</v>
      </c>
      <c r="ED10" s="2222" t="s">
        <v>4528</v>
      </c>
      <c r="EE10" s="2223" t="s">
        <v>1051</v>
      </c>
      <c r="EF10" s="1033"/>
      <c r="EG10" s="1033" t="s">
        <v>907</v>
      </c>
      <c r="EH10" s="1033"/>
      <c r="EI10" s="1033"/>
      <c r="EJ10" s="1033" t="s">
        <v>13</v>
      </c>
      <c r="EK10" s="1033" t="s">
        <v>142</v>
      </c>
      <c r="EL10" s="1033"/>
      <c r="EM10" s="1033"/>
      <c r="EN10" s="1033"/>
      <c r="EO10" s="1033"/>
      <c r="EP10" s="1033"/>
      <c r="EQ10" s="1033"/>
      <c r="ER10" s="1033"/>
      <c r="ES10" s="1033"/>
      <c r="ET10" s="1033"/>
      <c r="EU10" s="1033"/>
      <c r="EV10" s="1033"/>
      <c r="EW10" s="1033" t="s">
        <v>675</v>
      </c>
      <c r="EX10" s="1033" t="s">
        <v>1657</v>
      </c>
      <c r="EY10" s="1033" t="s">
        <v>4755</v>
      </c>
      <c r="EZ10" s="1033" t="s">
        <v>4754</v>
      </c>
      <c r="FA10" s="1033" t="s">
        <v>854</v>
      </c>
      <c r="FB10" s="1033" t="s">
        <v>1434</v>
      </c>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3"/>
      <c r="GK10" s="1035"/>
    </row>
    <row r="11" spans="1:235" s="1385" customFormat="1" ht="28.5" customHeight="1">
      <c r="A11" s="2216" t="s">
        <v>5190</v>
      </c>
      <c r="B11" s="551"/>
      <c r="C11" s="1386"/>
      <c r="D11" s="550"/>
      <c r="E11" s="1036"/>
      <c r="F11" s="1036"/>
      <c r="G11" s="1036"/>
      <c r="H11" s="1036"/>
      <c r="I11" s="1036"/>
      <c r="J11" s="1036"/>
      <c r="K11" s="1036"/>
      <c r="L11" s="1036"/>
      <c r="M11" s="1036"/>
      <c r="N11" s="1036"/>
      <c r="O11" s="1036"/>
      <c r="P11" s="1036"/>
      <c r="Q11" s="1036"/>
      <c r="R11" s="1037"/>
      <c r="S11" s="1037"/>
      <c r="T11" s="1038"/>
      <c r="U11" s="1038"/>
      <c r="V11" s="1386" t="s">
        <v>658</v>
      </c>
      <c r="W11" s="758"/>
      <c r="X11" s="758"/>
      <c r="Y11" s="551">
        <v>1</v>
      </c>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7">
        <v>1</v>
      </c>
      <c r="BL11" s="440"/>
      <c r="BM11" s="440"/>
      <c r="BN11" s="440"/>
      <c r="BO11" s="440"/>
      <c r="BP11" s="440"/>
      <c r="BQ11" s="440"/>
      <c r="BR11" s="440"/>
      <c r="BS11" s="440"/>
      <c r="BT11" s="440"/>
      <c r="BU11" s="440">
        <v>1</v>
      </c>
      <c r="BV11" s="440"/>
      <c r="BW11" s="440"/>
      <c r="BX11" s="440"/>
      <c r="BY11" s="440"/>
      <c r="BZ11" s="440"/>
      <c r="CA11" s="440"/>
      <c r="CB11" s="440"/>
      <c r="CC11" s="440"/>
      <c r="CD11" s="440"/>
      <c r="CE11" s="440"/>
      <c r="CF11" s="440"/>
      <c r="CG11" s="440"/>
      <c r="CH11" s="440"/>
      <c r="CI11" s="440"/>
      <c r="CJ11" s="440"/>
      <c r="CK11" s="440"/>
      <c r="CL11" s="440"/>
      <c r="CM11" s="440"/>
      <c r="CN11" s="440"/>
      <c r="CO11" s="440">
        <v>1</v>
      </c>
      <c r="CP11" s="440"/>
      <c r="CQ11" s="440"/>
      <c r="CR11" s="440"/>
      <c r="CS11" s="440"/>
      <c r="CT11" s="440"/>
      <c r="CU11" s="440"/>
      <c r="CV11" s="440"/>
      <c r="CW11" s="440"/>
      <c r="CX11" s="440"/>
      <c r="CY11" s="440"/>
      <c r="CZ11" s="440"/>
      <c r="DA11" s="440"/>
      <c r="DB11" s="440"/>
      <c r="DC11" s="782"/>
      <c r="DD11" s="782"/>
      <c r="DE11" s="782">
        <v>2</v>
      </c>
      <c r="DF11" s="782"/>
      <c r="DG11" s="782"/>
      <c r="DH11" s="782"/>
      <c r="DI11" s="782"/>
      <c r="DJ11" s="782"/>
      <c r="DK11" s="782"/>
      <c r="DL11" s="782"/>
      <c r="DM11" s="782"/>
      <c r="DN11" s="782"/>
      <c r="DO11" s="782"/>
      <c r="DP11" s="782"/>
      <c r="DQ11" s="782"/>
      <c r="DR11" s="782"/>
      <c r="DS11" s="782"/>
      <c r="DT11" s="782"/>
      <c r="DU11" s="782"/>
      <c r="DV11" s="782"/>
      <c r="DW11" s="782"/>
      <c r="DX11" s="782"/>
      <c r="DY11" s="782"/>
      <c r="DZ11" s="782"/>
      <c r="EA11" s="782"/>
      <c r="EB11" s="1388"/>
      <c r="EC11" s="782"/>
      <c r="ED11" s="782"/>
      <c r="EE11" s="782"/>
      <c r="EF11" s="782"/>
      <c r="EG11" s="782">
        <v>2</v>
      </c>
      <c r="EH11" s="783"/>
      <c r="EI11" s="783"/>
      <c r="EJ11" s="782"/>
      <c r="EK11" s="783"/>
      <c r="EL11" s="783">
        <v>6</v>
      </c>
      <c r="EM11" s="783"/>
      <c r="EN11" s="783"/>
      <c r="EO11" s="783"/>
      <c r="EP11" s="783"/>
      <c r="EQ11" s="783"/>
      <c r="ER11" s="783"/>
      <c r="ES11" s="783"/>
      <c r="ET11" s="783"/>
      <c r="EU11" s="783"/>
      <c r="EV11" s="783"/>
      <c r="EW11" s="783"/>
      <c r="EX11" s="783"/>
      <c r="EY11" s="783"/>
      <c r="EZ11" s="782">
        <v>2</v>
      </c>
      <c r="FA11" s="782"/>
      <c r="FB11" s="782"/>
      <c r="FC11" s="782"/>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1039"/>
      <c r="GL11"/>
      <c r="GM11"/>
    </row>
    <row r="12" spans="1:235" s="1385" customFormat="1" ht="28.5" customHeight="1">
      <c r="A12" s="2216">
        <v>1</v>
      </c>
      <c r="B12" s="551">
        <v>15.7</v>
      </c>
      <c r="C12" s="1389">
        <f>C11+B12</f>
        <v>15.7</v>
      </c>
      <c r="D12" s="549"/>
      <c r="E12" s="549"/>
      <c r="F12" s="549"/>
      <c r="G12" s="549"/>
      <c r="H12" s="549"/>
      <c r="I12" s="549"/>
      <c r="J12" s="549"/>
      <c r="K12" s="549"/>
      <c r="L12" s="549"/>
      <c r="M12" s="549"/>
      <c r="N12" s="549"/>
      <c r="O12" s="549"/>
      <c r="P12" s="549"/>
      <c r="Q12" s="549"/>
      <c r="R12" s="549"/>
      <c r="S12" s="549"/>
      <c r="T12" s="440"/>
      <c r="U12" s="441"/>
      <c r="V12" s="1389" t="s">
        <v>546</v>
      </c>
      <c r="W12" s="441"/>
      <c r="X12" s="441"/>
      <c r="Y12" s="551"/>
      <c r="Z12" s="551">
        <v>2</v>
      </c>
      <c r="AA12" s="441"/>
      <c r="AB12" s="551"/>
      <c r="AC12" s="551"/>
      <c r="AD12" s="782"/>
      <c r="AE12" s="440"/>
      <c r="AF12" s="440"/>
      <c r="AG12" s="782"/>
      <c r="AH12" s="440"/>
      <c r="AI12" s="782"/>
      <c r="AJ12" s="782"/>
      <c r="AK12" s="782"/>
      <c r="AL12" s="782"/>
      <c r="AM12" s="782"/>
      <c r="AN12" s="782"/>
      <c r="AO12" s="782"/>
      <c r="AP12" s="782"/>
      <c r="AQ12" s="782"/>
      <c r="AR12" s="782"/>
      <c r="AS12" s="782">
        <v>1</v>
      </c>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v>1</v>
      </c>
      <c r="CI12" s="782"/>
      <c r="CJ12" s="782"/>
      <c r="CK12" s="782"/>
      <c r="CL12" s="782"/>
      <c r="CM12" s="782"/>
      <c r="CN12" s="782"/>
      <c r="CO12" s="782"/>
      <c r="CP12" s="782">
        <v>1</v>
      </c>
      <c r="CQ12" s="782"/>
      <c r="CR12" s="782"/>
      <c r="CS12" s="782"/>
      <c r="CT12" s="782"/>
      <c r="CU12" s="782"/>
      <c r="CV12" s="782"/>
      <c r="CW12" s="782"/>
      <c r="CX12" s="440"/>
      <c r="CY12" s="440"/>
      <c r="CZ12" s="782"/>
      <c r="DA12" s="782"/>
      <c r="DB12" s="782">
        <v>1</v>
      </c>
      <c r="DC12" s="782"/>
      <c r="DD12" s="782"/>
      <c r="DE12" s="782"/>
      <c r="DF12" s="782">
        <v>3</v>
      </c>
      <c r="DG12" s="782"/>
      <c r="DH12" s="782"/>
      <c r="DI12" s="782"/>
      <c r="DJ12" s="782">
        <v>1</v>
      </c>
      <c r="DK12" s="782"/>
      <c r="DL12" s="782"/>
      <c r="DM12" s="782">
        <v>1</v>
      </c>
      <c r="DN12" s="782"/>
      <c r="DO12" s="782"/>
      <c r="DP12" s="782"/>
      <c r="DQ12" s="782"/>
      <c r="DR12" s="782"/>
      <c r="DS12" s="782"/>
      <c r="DT12" s="782"/>
      <c r="DU12" s="782"/>
      <c r="DV12" s="782"/>
      <c r="DW12" s="782"/>
      <c r="DX12" s="782"/>
      <c r="DY12" s="782"/>
      <c r="DZ12" s="782"/>
      <c r="EA12" s="782"/>
      <c r="EB12" s="1388">
        <v>3</v>
      </c>
      <c r="EC12" s="782">
        <v>3</v>
      </c>
      <c r="ED12" s="782"/>
      <c r="EE12" s="782"/>
      <c r="EF12" s="782"/>
      <c r="EG12" s="782"/>
      <c r="EH12" s="782"/>
      <c r="EI12" s="782"/>
      <c r="EJ12" s="782"/>
      <c r="EK12" s="782"/>
      <c r="EL12" s="782"/>
      <c r="EM12" s="782"/>
      <c r="EN12" s="782"/>
      <c r="EO12" s="782"/>
      <c r="EP12" s="782"/>
      <c r="EQ12" s="782"/>
      <c r="ER12" s="782"/>
      <c r="ES12" s="782"/>
      <c r="ET12" s="782"/>
      <c r="EU12" s="782"/>
      <c r="EV12" s="782"/>
      <c r="EW12" s="782"/>
      <c r="EX12" s="782">
        <v>3</v>
      </c>
      <c r="EY12" s="782"/>
      <c r="EZ12" s="782"/>
      <c r="FA12" s="782"/>
      <c r="FB12" s="782"/>
      <c r="FC12" s="782"/>
      <c r="FD12" s="782"/>
      <c r="FE12" s="782"/>
      <c r="FF12" s="782"/>
      <c r="FG12" s="782"/>
      <c r="FH12" s="782"/>
      <c r="FI12" s="782"/>
      <c r="FJ12" s="782"/>
      <c r="FK12" s="782"/>
      <c r="FL12" s="782"/>
      <c r="FM12" s="782"/>
      <c r="FN12" s="782"/>
      <c r="FO12" s="782"/>
      <c r="FP12" s="782"/>
      <c r="FQ12" s="782"/>
      <c r="FR12" s="782"/>
      <c r="FS12" s="1387"/>
      <c r="FT12" s="1387"/>
      <c r="FU12" s="1387"/>
      <c r="FV12" s="1387"/>
      <c r="FW12" s="1387"/>
      <c r="FX12" s="1387"/>
      <c r="FY12" s="1387"/>
      <c r="FZ12" s="1387"/>
      <c r="GA12" s="1387"/>
      <c r="GB12" s="1387"/>
      <c r="GC12" s="1387"/>
      <c r="GD12" s="782"/>
      <c r="GE12" s="782"/>
      <c r="GF12" s="782"/>
      <c r="GG12" s="782"/>
      <c r="GH12" s="782"/>
      <c r="GI12" s="782"/>
      <c r="GJ12" s="783"/>
      <c r="GK12" s="1039"/>
      <c r="GL12"/>
      <c r="GM12">
        <v>3</v>
      </c>
      <c r="GP12" s="1385">
        <v>3</v>
      </c>
    </row>
    <row r="13" spans="1:235" s="1385" customFormat="1" ht="24.95" customHeight="1">
      <c r="A13" s="2216">
        <v>2</v>
      </c>
      <c r="B13" s="1336">
        <v>40</v>
      </c>
      <c r="C13" s="1389">
        <f t="shared" ref="C13:C31" si="20">C12+B13</f>
        <v>55.7</v>
      </c>
      <c r="D13" s="549"/>
      <c r="E13" s="549"/>
      <c r="F13" s="549"/>
      <c r="G13" s="549"/>
      <c r="H13" s="549"/>
      <c r="I13" s="549"/>
      <c r="J13" s="549"/>
      <c r="K13" s="549"/>
      <c r="L13" s="549"/>
      <c r="M13" s="549"/>
      <c r="N13" s="549"/>
      <c r="O13" s="549"/>
      <c r="P13" s="549"/>
      <c r="Q13" s="549"/>
      <c r="R13" s="549"/>
      <c r="S13" s="549"/>
      <c r="T13" s="440"/>
      <c r="U13" s="441"/>
      <c r="V13" s="1389" t="s">
        <v>4347</v>
      </c>
      <c r="W13" s="441"/>
      <c r="X13" s="1387"/>
      <c r="Y13" s="551"/>
      <c r="Z13" s="551">
        <v>2</v>
      </c>
      <c r="AA13" s="551"/>
      <c r="AB13" s="1387"/>
      <c r="AC13" s="1387"/>
      <c r="AD13" s="1387"/>
      <c r="AE13" s="440"/>
      <c r="AF13" s="440"/>
      <c r="AG13" s="1387"/>
      <c r="AH13" s="440"/>
      <c r="AI13" s="1387"/>
      <c r="AJ13" s="1387"/>
      <c r="AK13" s="1387"/>
      <c r="AL13" s="1387"/>
      <c r="AM13" s="1387"/>
      <c r="AN13" s="1387"/>
      <c r="AO13" s="1387"/>
      <c r="AP13" s="1387"/>
      <c r="AQ13" s="1387"/>
      <c r="AR13" s="1387"/>
      <c r="AS13" s="1387">
        <v>1</v>
      </c>
      <c r="AT13" s="1387"/>
      <c r="AU13" s="1387"/>
      <c r="AV13" s="1387"/>
      <c r="AW13" s="1387"/>
      <c r="AX13" s="1387"/>
      <c r="AY13" s="1387"/>
      <c r="AZ13" s="1387"/>
      <c r="BA13" s="1387"/>
      <c r="BB13" s="1387"/>
      <c r="BC13" s="1387"/>
      <c r="BD13" s="1387"/>
      <c r="BE13" s="1387"/>
      <c r="BF13" s="1387"/>
      <c r="BG13" s="1387"/>
      <c r="BH13" s="1387"/>
      <c r="BI13" s="1387"/>
      <c r="BJ13" s="1387"/>
      <c r="BK13" s="1387"/>
      <c r="BL13" s="1387"/>
      <c r="BM13" s="1387"/>
      <c r="BN13" s="1387"/>
      <c r="BO13" s="1387"/>
      <c r="BP13" s="1387"/>
      <c r="BQ13" s="1387"/>
      <c r="BR13" s="1387"/>
      <c r="BS13" s="1387"/>
      <c r="BT13" s="782"/>
      <c r="BU13" s="440"/>
      <c r="BV13" s="782"/>
      <c r="BW13" s="782"/>
      <c r="BX13" s="782"/>
      <c r="BY13" s="1387"/>
      <c r="BZ13" s="1387"/>
      <c r="CA13" s="1387"/>
      <c r="CB13" s="1387"/>
      <c r="CC13" s="1387"/>
      <c r="CD13" s="1387"/>
      <c r="CE13" s="1387"/>
      <c r="CF13" s="1387"/>
      <c r="CG13" s="1387"/>
      <c r="CH13" s="1387"/>
      <c r="CI13" s="1387"/>
      <c r="CJ13" s="1387"/>
      <c r="CK13" s="1387"/>
      <c r="CL13" s="1387"/>
      <c r="CM13" s="1387"/>
      <c r="CN13" s="1387"/>
      <c r="CO13" s="1387"/>
      <c r="CP13" s="1387"/>
      <c r="CQ13" s="1387"/>
      <c r="CR13" s="1387"/>
      <c r="CS13" s="1387"/>
      <c r="CT13" s="1387"/>
      <c r="CU13" s="782"/>
      <c r="CV13" s="782">
        <v>1</v>
      </c>
      <c r="CW13" s="782"/>
      <c r="CX13" s="440"/>
      <c r="CY13" s="440"/>
      <c r="CZ13" s="782"/>
      <c r="DA13" s="782"/>
      <c r="DB13" s="782"/>
      <c r="DC13" s="782"/>
      <c r="DD13" s="782"/>
      <c r="DE13" s="782">
        <v>6</v>
      </c>
      <c r="DF13" s="782">
        <v>6</v>
      </c>
      <c r="DG13" s="1387"/>
      <c r="DH13" s="1387"/>
      <c r="DI13" s="1387"/>
      <c r="DJ13" s="1387">
        <v>1</v>
      </c>
      <c r="DK13" s="1387"/>
      <c r="DL13" s="1387"/>
      <c r="DM13" s="1387">
        <v>2</v>
      </c>
      <c r="DN13" s="1387"/>
      <c r="DO13" s="1387"/>
      <c r="DP13" s="1387"/>
      <c r="DQ13" s="1387"/>
      <c r="DR13" s="1387"/>
      <c r="DS13" s="1387"/>
      <c r="DT13" s="1387"/>
      <c r="DU13" s="1387"/>
      <c r="DV13" s="1387"/>
      <c r="DW13" s="1387"/>
      <c r="DX13" s="1387"/>
      <c r="DY13" s="1387"/>
      <c r="DZ13" s="1387"/>
      <c r="EA13" s="1387"/>
      <c r="EB13" s="1390">
        <v>3</v>
      </c>
      <c r="EC13" s="1387">
        <v>3</v>
      </c>
      <c r="ED13" s="1387"/>
      <c r="EE13" s="1387"/>
      <c r="EF13" s="1387"/>
      <c r="EG13" s="1387"/>
      <c r="EH13" s="1387"/>
      <c r="EI13" s="1387"/>
      <c r="EJ13" s="1387"/>
      <c r="EK13" s="1387"/>
      <c r="EL13" s="1387"/>
      <c r="EM13" s="1387"/>
      <c r="EN13" s="1387"/>
      <c r="EO13" s="1387"/>
      <c r="EP13" s="1387"/>
      <c r="EQ13" s="1387"/>
      <c r="ER13" s="1387"/>
      <c r="ES13" s="1387"/>
      <c r="ET13" s="1387"/>
      <c r="EU13" s="1387"/>
      <c r="EV13" s="1387"/>
      <c r="EW13" s="1387"/>
      <c r="EX13" s="1387"/>
      <c r="EY13" s="1387">
        <v>6</v>
      </c>
      <c r="EZ13" s="1387"/>
      <c r="FA13" s="1387"/>
      <c r="FB13" s="1387"/>
      <c r="FC13" s="1387"/>
      <c r="FD13" s="1387"/>
      <c r="FE13" s="1387"/>
      <c r="FF13" s="1387"/>
      <c r="FG13" s="1387"/>
      <c r="FH13" s="1387"/>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1391"/>
      <c r="GL13"/>
      <c r="GM13">
        <v>6</v>
      </c>
    </row>
    <row r="14" spans="1:235" s="1385" customFormat="1" ht="19.899999999999999" customHeight="1">
      <c r="A14" s="2216">
        <v>3</v>
      </c>
      <c r="B14" s="1336">
        <v>40</v>
      </c>
      <c r="C14" s="1389">
        <f t="shared" si="20"/>
        <v>95.7</v>
      </c>
      <c r="D14" s="549"/>
      <c r="E14" s="549"/>
      <c r="F14" s="549"/>
      <c r="G14" s="549"/>
      <c r="H14" s="549"/>
      <c r="I14" s="549"/>
      <c r="J14" s="549"/>
      <c r="K14" s="549"/>
      <c r="L14" s="549"/>
      <c r="M14" s="549"/>
      <c r="N14" s="549"/>
      <c r="O14" s="549"/>
      <c r="P14" s="549"/>
      <c r="Q14" s="549"/>
      <c r="R14" s="549"/>
      <c r="S14" s="549"/>
      <c r="T14" s="440"/>
      <c r="U14" s="441"/>
      <c r="V14" s="1389" t="s">
        <v>501</v>
      </c>
      <c r="W14" s="441"/>
      <c r="X14" s="1387"/>
      <c r="Y14" s="551"/>
      <c r="Z14" s="551">
        <v>1</v>
      </c>
      <c r="AA14" s="551"/>
      <c r="AB14" s="1387"/>
      <c r="AC14" s="1387"/>
      <c r="AD14" s="1387"/>
      <c r="AE14" s="440">
        <v>1</v>
      </c>
      <c r="AF14" s="440"/>
      <c r="AG14" s="1387"/>
      <c r="AH14" s="440"/>
      <c r="AI14" s="1387"/>
      <c r="AJ14" s="1387"/>
      <c r="AK14" s="1387"/>
      <c r="AL14" s="1387"/>
      <c r="AM14" s="1387"/>
      <c r="AN14" s="1387"/>
      <c r="AO14" s="1387"/>
      <c r="AP14" s="1387"/>
      <c r="AQ14" s="1387"/>
      <c r="AR14" s="1387"/>
      <c r="AS14" s="551"/>
      <c r="AT14" s="1387"/>
      <c r="AU14" s="1387"/>
      <c r="AV14" s="1387"/>
      <c r="AW14" s="1387"/>
      <c r="AX14" s="1387"/>
      <c r="AY14" s="1387"/>
      <c r="AZ14" s="1387"/>
      <c r="BA14" s="1387"/>
      <c r="BB14" s="1387"/>
      <c r="BC14" s="1387"/>
      <c r="BD14" s="1387"/>
      <c r="BE14" s="1387"/>
      <c r="BF14" s="1387"/>
      <c r="BG14" s="1387"/>
      <c r="BH14" s="1387"/>
      <c r="BI14" s="1387"/>
      <c r="BJ14" s="1532"/>
      <c r="BK14" s="1532"/>
      <c r="BL14" s="1387"/>
      <c r="BM14" s="1387"/>
      <c r="BN14" s="1387"/>
      <c r="BO14" s="1387"/>
      <c r="BP14" s="1387"/>
      <c r="BQ14" s="1387"/>
      <c r="BR14" s="1387"/>
      <c r="BS14" s="1387"/>
      <c r="BT14" s="1532"/>
      <c r="BU14" s="1596"/>
      <c r="BV14" s="782"/>
      <c r="BW14" s="782"/>
      <c r="BX14" s="782"/>
      <c r="BY14" s="1387"/>
      <c r="BZ14" s="1387"/>
      <c r="CA14" s="1387"/>
      <c r="CB14" s="1387"/>
      <c r="CC14" s="1387"/>
      <c r="CD14" s="1387"/>
      <c r="CE14" s="1387"/>
      <c r="CF14" s="1387"/>
      <c r="CG14" s="1387"/>
      <c r="CH14" s="1387"/>
      <c r="CI14" s="1387"/>
      <c r="CJ14" s="1387"/>
      <c r="CK14" s="1387"/>
      <c r="CL14" s="1387"/>
      <c r="CM14" s="1387"/>
      <c r="CN14" s="1387"/>
      <c r="CO14" s="1387"/>
      <c r="CP14" s="1387"/>
      <c r="CQ14" s="1387"/>
      <c r="CR14" s="1387"/>
      <c r="CS14" s="1387"/>
      <c r="CT14" s="1387"/>
      <c r="CU14" s="782"/>
      <c r="CV14" s="782"/>
      <c r="CW14" s="782">
        <v>1</v>
      </c>
      <c r="CX14" s="440"/>
      <c r="CY14" s="440"/>
      <c r="CZ14" s="782"/>
      <c r="DA14" s="782"/>
      <c r="DB14" s="782"/>
      <c r="DC14" s="782"/>
      <c r="DD14" s="782"/>
      <c r="DE14" s="782">
        <v>3</v>
      </c>
      <c r="DF14" s="782"/>
      <c r="DG14" s="1387"/>
      <c r="DH14" s="1387"/>
      <c r="DI14" s="1387"/>
      <c r="DJ14" s="1387">
        <v>1</v>
      </c>
      <c r="DK14" s="1387"/>
      <c r="DL14" s="1387"/>
      <c r="DM14" s="1387"/>
      <c r="DN14" s="1387"/>
      <c r="DO14" s="1387"/>
      <c r="DP14" s="1387"/>
      <c r="DQ14" s="1387"/>
      <c r="DR14" s="1387"/>
      <c r="DS14" s="1387"/>
      <c r="DT14" s="1387"/>
      <c r="DU14" s="1387"/>
      <c r="DV14" s="1387"/>
      <c r="DW14" s="1387"/>
      <c r="DX14" s="1387"/>
      <c r="DY14" s="1387"/>
      <c r="DZ14" s="1387"/>
      <c r="EA14" s="1387"/>
      <c r="EB14" s="1390"/>
      <c r="EC14" s="1387"/>
      <c r="ED14" s="1387"/>
      <c r="EE14" s="1387"/>
      <c r="EF14" s="1387"/>
      <c r="EG14" s="1387"/>
      <c r="EH14" s="1387"/>
      <c r="EI14" s="1387"/>
      <c r="EJ14" s="1387"/>
      <c r="EK14" s="1387"/>
      <c r="EL14" s="1387"/>
      <c r="EM14" s="1387"/>
      <c r="EN14" s="1387"/>
      <c r="EO14" s="1387"/>
      <c r="EP14" s="1387"/>
      <c r="EQ14" s="1387"/>
      <c r="ER14" s="1387"/>
      <c r="ES14" s="1387"/>
      <c r="ET14" s="1387"/>
      <c r="EU14" s="1387"/>
      <c r="EV14" s="1387"/>
      <c r="EW14" s="1387"/>
      <c r="EX14" s="1387"/>
      <c r="EY14" s="1387"/>
      <c r="EZ14" s="1387">
        <v>3</v>
      </c>
      <c r="FA14" s="1387"/>
      <c r="FB14" s="1387"/>
      <c r="FC14" s="1387"/>
      <c r="FD14" s="1387"/>
      <c r="FE14" s="1387"/>
      <c r="FF14" s="1387"/>
      <c r="FG14" s="1387"/>
      <c r="FH14" s="1387"/>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1391"/>
      <c r="GL14"/>
      <c r="GM14"/>
    </row>
    <row r="15" spans="1:235" s="1385" customFormat="1" ht="19.899999999999999" customHeight="1">
      <c r="A15" s="2216">
        <v>4</v>
      </c>
      <c r="B15" s="1336">
        <v>35</v>
      </c>
      <c r="C15" s="1389">
        <f t="shared" si="20"/>
        <v>130.69999999999999</v>
      </c>
      <c r="D15" s="549"/>
      <c r="E15" s="549"/>
      <c r="F15" s="549"/>
      <c r="G15" s="549"/>
      <c r="H15" s="549"/>
      <c r="I15" s="549"/>
      <c r="J15" s="549"/>
      <c r="K15" s="549"/>
      <c r="L15" s="549"/>
      <c r="M15" s="549"/>
      <c r="N15" s="549"/>
      <c r="O15" s="549"/>
      <c r="P15" s="549"/>
      <c r="Q15" s="549"/>
      <c r="R15" s="549"/>
      <c r="S15" s="549"/>
      <c r="T15" s="440"/>
      <c r="U15" s="441"/>
      <c r="V15" s="1389" t="s">
        <v>501</v>
      </c>
      <c r="W15" s="441"/>
      <c r="X15" s="1387"/>
      <c r="Y15" s="551"/>
      <c r="Z15" s="551">
        <v>1</v>
      </c>
      <c r="AA15" s="551"/>
      <c r="AB15" s="1387"/>
      <c r="AC15" s="1387"/>
      <c r="AD15" s="1387"/>
      <c r="AE15" s="440">
        <v>1</v>
      </c>
      <c r="AF15" s="440"/>
      <c r="AG15" s="1387"/>
      <c r="AH15" s="440"/>
      <c r="AI15" s="1387"/>
      <c r="AJ15" s="1387"/>
      <c r="AK15" s="1387"/>
      <c r="AL15" s="1387"/>
      <c r="AM15" s="1387"/>
      <c r="AN15" s="1387"/>
      <c r="AO15" s="1387"/>
      <c r="AP15" s="1387"/>
      <c r="AQ15" s="1387"/>
      <c r="AR15" s="1387"/>
      <c r="AS15" s="1387"/>
      <c r="AT15" s="1387"/>
      <c r="AU15" s="1387"/>
      <c r="AV15" s="1387"/>
      <c r="AW15" s="1387"/>
      <c r="AX15" s="1387"/>
      <c r="AY15" s="1387"/>
      <c r="AZ15" s="1387"/>
      <c r="BA15" s="1387"/>
      <c r="BB15" s="1387"/>
      <c r="BC15" s="1387"/>
      <c r="BD15" s="1387"/>
      <c r="BE15" s="1387"/>
      <c r="BF15" s="1387"/>
      <c r="BG15" s="1387"/>
      <c r="BH15" s="1387"/>
      <c r="BI15" s="1387"/>
      <c r="BJ15" s="1532"/>
      <c r="BK15" s="1387"/>
      <c r="BL15" s="1387"/>
      <c r="BM15" s="1387"/>
      <c r="BN15" s="1387"/>
      <c r="BO15" s="1387"/>
      <c r="BP15" s="1387"/>
      <c r="BQ15" s="1387"/>
      <c r="BR15" s="1387"/>
      <c r="BS15" s="1387"/>
      <c r="BT15" s="1532"/>
      <c r="BU15" s="440"/>
      <c r="BV15" s="782"/>
      <c r="BW15" s="782"/>
      <c r="BX15" s="782"/>
      <c r="BY15" s="1387"/>
      <c r="BZ15" s="1387"/>
      <c r="CA15" s="1387"/>
      <c r="CB15" s="1387"/>
      <c r="CC15" s="1387"/>
      <c r="CD15" s="1387"/>
      <c r="CE15" s="1387"/>
      <c r="CF15" s="1387"/>
      <c r="CG15" s="1387"/>
      <c r="CH15" s="1387"/>
      <c r="CI15" s="1387"/>
      <c r="CJ15" s="1387"/>
      <c r="CK15" s="1387"/>
      <c r="CL15" s="1387"/>
      <c r="CM15" s="1387"/>
      <c r="CN15" s="1387"/>
      <c r="CO15" s="1387"/>
      <c r="CP15" s="1387"/>
      <c r="CQ15" s="1532"/>
      <c r="CR15" s="1532"/>
      <c r="CS15" s="1387"/>
      <c r="CT15" s="1387"/>
      <c r="CU15" s="782"/>
      <c r="CV15" s="782"/>
      <c r="CW15" s="782">
        <v>1</v>
      </c>
      <c r="CX15" s="440"/>
      <c r="CY15" s="440"/>
      <c r="CZ15" s="782"/>
      <c r="DA15" s="782"/>
      <c r="DB15" s="782"/>
      <c r="DC15" s="782"/>
      <c r="DD15" s="782"/>
      <c r="DE15" s="782">
        <v>3</v>
      </c>
      <c r="DF15" s="782"/>
      <c r="DG15" s="1387"/>
      <c r="DH15" s="1387"/>
      <c r="DI15" s="1387"/>
      <c r="DJ15" s="1387">
        <v>1</v>
      </c>
      <c r="DK15" s="1387"/>
      <c r="DL15" s="1387"/>
      <c r="DM15" s="1387"/>
      <c r="DN15" s="1387"/>
      <c r="DO15" s="1387"/>
      <c r="DP15" s="1387"/>
      <c r="DQ15" s="1387"/>
      <c r="DR15" s="1387"/>
      <c r="DS15" s="1387"/>
      <c r="DT15" s="1387"/>
      <c r="DU15" s="1387"/>
      <c r="DV15" s="1387"/>
      <c r="DW15" s="1387"/>
      <c r="DX15" s="1387"/>
      <c r="DY15" s="1387"/>
      <c r="DZ15" s="1387"/>
      <c r="EA15" s="1387"/>
      <c r="EB15" s="1390"/>
      <c r="EC15" s="1387"/>
      <c r="ED15" s="1387"/>
      <c r="EE15" s="1387"/>
      <c r="EF15" s="1387"/>
      <c r="EG15" s="1387"/>
      <c r="EH15" s="1387"/>
      <c r="EI15" s="1387"/>
      <c r="EJ15" s="1387"/>
      <c r="EK15" s="1387"/>
      <c r="EL15" s="1387"/>
      <c r="EM15" s="1387"/>
      <c r="EN15" s="1387"/>
      <c r="EO15" s="1387"/>
      <c r="EP15" s="1387"/>
      <c r="EQ15" s="1387"/>
      <c r="ER15" s="1387"/>
      <c r="ES15" s="1387"/>
      <c r="ET15" s="1387"/>
      <c r="EU15" s="1387"/>
      <c r="EV15" s="1387"/>
      <c r="EW15" s="1387"/>
      <c r="EX15" s="1387"/>
      <c r="EY15" s="1387"/>
      <c r="EZ15" s="1387">
        <v>3</v>
      </c>
      <c r="FA15" s="1387"/>
      <c r="FB15" s="1387"/>
      <c r="FC15" s="1387"/>
      <c r="FD15" s="1387"/>
      <c r="FE15" s="1387"/>
      <c r="FF15" s="1387"/>
      <c r="FG15" s="1387"/>
      <c r="FH15" s="1387"/>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1391"/>
      <c r="GL15"/>
      <c r="GM15"/>
    </row>
    <row r="16" spans="1:235" s="1385" customFormat="1" ht="19.899999999999999" customHeight="1">
      <c r="A16" s="2216">
        <v>5</v>
      </c>
      <c r="B16" s="1336">
        <v>40</v>
      </c>
      <c r="C16" s="1389">
        <f t="shared" si="20"/>
        <v>170.7</v>
      </c>
      <c r="D16" s="549"/>
      <c r="E16" s="549"/>
      <c r="F16" s="549"/>
      <c r="G16" s="549"/>
      <c r="H16" s="549"/>
      <c r="I16" s="549"/>
      <c r="J16" s="549"/>
      <c r="K16" s="549"/>
      <c r="L16" s="549"/>
      <c r="M16" s="549"/>
      <c r="N16" s="549"/>
      <c r="O16" s="549"/>
      <c r="P16" s="549"/>
      <c r="Q16" s="549"/>
      <c r="R16" s="549"/>
      <c r="S16" s="549"/>
      <c r="T16" s="440"/>
      <c r="U16" s="441"/>
      <c r="V16" s="1389" t="s">
        <v>501</v>
      </c>
      <c r="W16" s="441"/>
      <c r="X16" s="1387"/>
      <c r="Y16" s="551"/>
      <c r="Z16" s="551">
        <v>1</v>
      </c>
      <c r="AA16" s="551"/>
      <c r="AB16" s="1387"/>
      <c r="AC16" s="1387"/>
      <c r="AD16" s="1387"/>
      <c r="AE16" s="440">
        <v>1</v>
      </c>
      <c r="AF16" s="440"/>
      <c r="AG16" s="1387"/>
      <c r="AH16" s="440"/>
      <c r="AI16" s="1387"/>
      <c r="AJ16" s="1387"/>
      <c r="AK16" s="1387"/>
      <c r="AL16" s="1387"/>
      <c r="AM16" s="1387"/>
      <c r="AN16" s="1387"/>
      <c r="AO16" s="1387"/>
      <c r="AP16" s="1387"/>
      <c r="AQ16" s="1387"/>
      <c r="AR16" s="1387"/>
      <c r="AS16" s="551"/>
      <c r="AT16" s="1387"/>
      <c r="AU16" s="1387"/>
      <c r="AV16" s="1387"/>
      <c r="AW16" s="1387"/>
      <c r="AX16" s="1387"/>
      <c r="AY16" s="1387"/>
      <c r="AZ16" s="1387"/>
      <c r="BA16" s="1387"/>
      <c r="BB16" s="1387"/>
      <c r="BC16" s="1387"/>
      <c r="BD16" s="1387"/>
      <c r="BE16" s="1387"/>
      <c r="BF16" s="1387"/>
      <c r="BG16" s="1387"/>
      <c r="BH16" s="1387"/>
      <c r="BI16" s="1387"/>
      <c r="BJ16" s="1387"/>
      <c r="BK16" s="1387"/>
      <c r="BL16" s="1387"/>
      <c r="BM16" s="1387"/>
      <c r="BN16" s="1387"/>
      <c r="BO16" s="1387"/>
      <c r="BP16" s="1387"/>
      <c r="BQ16" s="1387"/>
      <c r="BR16" s="1387"/>
      <c r="BS16" s="1387"/>
      <c r="BT16" s="1387"/>
      <c r="BU16" s="440"/>
      <c r="BV16" s="782"/>
      <c r="BW16" s="782"/>
      <c r="BX16" s="782"/>
      <c r="BY16" s="1387"/>
      <c r="BZ16" s="1387"/>
      <c r="CA16" s="1387"/>
      <c r="CB16" s="1387"/>
      <c r="CC16" s="1387"/>
      <c r="CD16" s="1387"/>
      <c r="CE16" s="1387"/>
      <c r="CF16" s="1387"/>
      <c r="CG16" s="1387"/>
      <c r="CH16" s="1387"/>
      <c r="CI16" s="1387"/>
      <c r="CJ16" s="1387"/>
      <c r="CK16" s="1387"/>
      <c r="CL16" s="1387"/>
      <c r="CM16" s="1387"/>
      <c r="CN16" s="1387"/>
      <c r="CO16" s="1532"/>
      <c r="CP16" s="1387"/>
      <c r="CQ16" s="1387"/>
      <c r="CR16" s="1387"/>
      <c r="CS16" s="1387"/>
      <c r="CT16" s="1387"/>
      <c r="CU16" s="782"/>
      <c r="CV16" s="782"/>
      <c r="CW16" s="782">
        <v>1</v>
      </c>
      <c r="CX16" s="440"/>
      <c r="CY16" s="440"/>
      <c r="CZ16" s="782"/>
      <c r="DA16" s="782"/>
      <c r="DB16" s="782"/>
      <c r="DC16" s="782"/>
      <c r="DD16" s="782"/>
      <c r="DE16" s="782">
        <v>3</v>
      </c>
      <c r="DF16" s="782"/>
      <c r="DG16" s="1387"/>
      <c r="DH16" s="1387"/>
      <c r="DI16" s="1387"/>
      <c r="DJ16" s="1387">
        <v>1</v>
      </c>
      <c r="DK16" s="1387"/>
      <c r="DL16" s="1387"/>
      <c r="DM16" s="1387"/>
      <c r="DN16" s="1387"/>
      <c r="DO16" s="1387"/>
      <c r="DP16" s="1387"/>
      <c r="DQ16" s="1387"/>
      <c r="DR16" s="1387"/>
      <c r="DS16" s="1387"/>
      <c r="DT16" s="1387"/>
      <c r="DU16" s="1387"/>
      <c r="DV16" s="1387"/>
      <c r="DW16" s="1387"/>
      <c r="DX16" s="1387"/>
      <c r="DY16" s="1387"/>
      <c r="DZ16" s="1387"/>
      <c r="EA16" s="1387"/>
      <c r="EB16" s="1390"/>
      <c r="EC16" s="1387"/>
      <c r="ED16" s="1387"/>
      <c r="EE16" s="1387"/>
      <c r="EF16" s="1387"/>
      <c r="EG16" s="1387"/>
      <c r="EH16" s="1387"/>
      <c r="EI16" s="1387"/>
      <c r="EJ16" s="1387"/>
      <c r="EK16" s="1387"/>
      <c r="EL16" s="1387"/>
      <c r="EM16" s="1387"/>
      <c r="EN16" s="1387"/>
      <c r="EO16" s="1387"/>
      <c r="EP16" s="1387"/>
      <c r="EQ16" s="1387"/>
      <c r="ER16" s="1387"/>
      <c r="ES16" s="1387"/>
      <c r="ET16" s="1387"/>
      <c r="EU16" s="1387"/>
      <c r="EV16" s="1387"/>
      <c r="EW16" s="1387"/>
      <c r="EX16" s="1387"/>
      <c r="EY16" s="1387"/>
      <c r="EZ16" s="1387">
        <v>3</v>
      </c>
      <c r="FA16" s="1387"/>
      <c r="FB16" s="1387"/>
      <c r="FC16" s="1387"/>
      <c r="FD16" s="1387"/>
      <c r="FE16" s="1387"/>
      <c r="FF16" s="1387"/>
      <c r="FG16" s="1387"/>
      <c r="FH16" s="1387"/>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1391"/>
      <c r="GL16"/>
      <c r="GM16"/>
    </row>
    <row r="17" spans="1:195" ht="19.899999999999999" customHeight="1">
      <c r="A17" s="2216">
        <v>6</v>
      </c>
      <c r="B17" s="1336">
        <v>35</v>
      </c>
      <c r="C17" s="1389">
        <f t="shared" si="20"/>
        <v>205.7</v>
      </c>
      <c r="D17" s="549"/>
      <c r="E17" s="549"/>
      <c r="F17" s="549"/>
      <c r="G17" s="549"/>
      <c r="H17" s="549"/>
      <c r="I17" s="549"/>
      <c r="J17" s="549"/>
      <c r="K17" s="549"/>
      <c r="L17" s="549"/>
      <c r="M17" s="549"/>
      <c r="N17" s="549"/>
      <c r="O17" s="549"/>
      <c r="P17" s="549"/>
      <c r="Q17" s="549"/>
      <c r="R17" s="549"/>
      <c r="S17" s="549"/>
      <c r="T17" s="440"/>
      <c r="U17" s="441"/>
      <c r="V17" s="1389" t="s">
        <v>546</v>
      </c>
      <c r="W17" s="441"/>
      <c r="X17" s="442"/>
      <c r="Y17" s="779"/>
      <c r="Z17" s="551">
        <v>2</v>
      </c>
      <c r="AA17" s="551"/>
      <c r="AB17" s="442"/>
      <c r="AC17" s="442"/>
      <c r="AD17" s="442"/>
      <c r="AE17" s="780"/>
      <c r="AF17" s="780"/>
      <c r="AG17" s="442"/>
      <c r="AH17" s="780"/>
      <c r="AI17" s="442"/>
      <c r="AJ17" s="442"/>
      <c r="AK17" s="442"/>
      <c r="AL17" s="442"/>
      <c r="AM17" s="442"/>
      <c r="AN17" s="442"/>
      <c r="AO17" s="442"/>
      <c r="AP17" s="442"/>
      <c r="AQ17" s="442"/>
      <c r="AR17" s="442"/>
      <c r="AS17" s="551">
        <v>1</v>
      </c>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v>1</v>
      </c>
      <c r="CI17" s="442"/>
      <c r="CJ17" s="442"/>
      <c r="CK17" s="442"/>
      <c r="CL17" s="442"/>
      <c r="CM17" s="442"/>
      <c r="CN17" s="442"/>
      <c r="CO17" s="442">
        <v>1</v>
      </c>
      <c r="CP17" s="442">
        <v>1</v>
      </c>
      <c r="CQ17" s="442"/>
      <c r="CR17" s="442"/>
      <c r="CS17" s="442"/>
      <c r="CT17" s="442"/>
      <c r="CU17" s="552"/>
      <c r="CV17" s="782"/>
      <c r="CW17" s="552"/>
      <c r="CX17" s="780"/>
      <c r="CY17" s="780"/>
      <c r="CZ17" s="552"/>
      <c r="DA17" s="552"/>
      <c r="DB17" s="552"/>
      <c r="DC17" s="552"/>
      <c r="DD17" s="552"/>
      <c r="DE17" s="782">
        <v>8</v>
      </c>
      <c r="DF17" s="552">
        <v>6</v>
      </c>
      <c r="DG17" s="442"/>
      <c r="DH17" s="442"/>
      <c r="DI17" s="442"/>
      <c r="DJ17" s="1387"/>
      <c r="DK17" s="442"/>
      <c r="DL17" s="442"/>
      <c r="DM17" s="442">
        <v>2</v>
      </c>
      <c r="DN17" s="442"/>
      <c r="DO17" s="442"/>
      <c r="DP17" s="442"/>
      <c r="DQ17" s="442"/>
      <c r="DR17" s="442"/>
      <c r="DS17" s="442"/>
      <c r="DT17" s="442"/>
      <c r="DU17" s="442"/>
      <c r="DV17" s="442"/>
      <c r="DW17" s="442"/>
      <c r="DX17" s="442"/>
      <c r="DY17" s="442"/>
      <c r="DZ17" s="442"/>
      <c r="EA17" s="442"/>
      <c r="EB17" s="784"/>
      <c r="EC17" s="442"/>
      <c r="ED17" s="442"/>
      <c r="EE17" s="442"/>
      <c r="EF17" s="442"/>
      <c r="EG17" s="442">
        <v>8</v>
      </c>
      <c r="EH17" s="442"/>
      <c r="EI17" s="442"/>
      <c r="EJ17" s="442"/>
      <c r="EK17" s="442"/>
      <c r="EL17" s="442"/>
      <c r="EM17" s="442"/>
      <c r="EN17" s="442"/>
      <c r="EO17" s="442"/>
      <c r="EP17" s="442"/>
      <c r="EQ17" s="442"/>
      <c r="ER17" s="442"/>
      <c r="ES17" s="442"/>
      <c r="ET17" s="442"/>
      <c r="EU17" s="442"/>
      <c r="EV17" s="442"/>
      <c r="EW17" s="442"/>
      <c r="EX17" s="442"/>
      <c r="EY17" s="1387"/>
      <c r="EZ17" s="1387">
        <v>8</v>
      </c>
      <c r="FA17" s="442"/>
      <c r="FB17" s="442"/>
      <c r="FC17" s="442"/>
      <c r="FD17" s="442"/>
      <c r="FE17" s="442"/>
      <c r="FF17" s="442"/>
      <c r="FG17" s="442"/>
      <c r="FH17" s="44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1338"/>
    </row>
    <row r="18" spans="1:195" ht="19.899999999999999" customHeight="1">
      <c r="A18" s="2216">
        <v>7</v>
      </c>
      <c r="B18" s="1336">
        <v>40</v>
      </c>
      <c r="C18" s="1389">
        <f t="shared" si="20"/>
        <v>245.7</v>
      </c>
      <c r="D18" s="549"/>
      <c r="E18" s="549"/>
      <c r="F18" s="549"/>
      <c r="G18" s="549"/>
      <c r="H18" s="549"/>
      <c r="I18" s="549"/>
      <c r="J18" s="549"/>
      <c r="K18" s="549"/>
      <c r="L18" s="549"/>
      <c r="M18" s="549"/>
      <c r="N18" s="549"/>
      <c r="O18" s="549"/>
      <c r="P18" s="549"/>
      <c r="Q18" s="549"/>
      <c r="R18" s="549"/>
      <c r="S18" s="549"/>
      <c r="T18" s="440"/>
      <c r="U18" s="441"/>
      <c r="V18" s="1389" t="s">
        <v>501</v>
      </c>
      <c r="W18" s="441"/>
      <c r="X18" s="442"/>
      <c r="Y18" s="779"/>
      <c r="Z18" s="551">
        <v>1</v>
      </c>
      <c r="AA18" s="551"/>
      <c r="AB18" s="442"/>
      <c r="AC18" s="442"/>
      <c r="AD18" s="442"/>
      <c r="AE18" s="440">
        <v>1</v>
      </c>
      <c r="AF18" s="780"/>
      <c r="AG18" s="442"/>
      <c r="AH18" s="78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552"/>
      <c r="CV18" s="782"/>
      <c r="CW18" s="782">
        <v>1</v>
      </c>
      <c r="CX18" s="442"/>
      <c r="CY18" s="780"/>
      <c r="CZ18" s="552"/>
      <c r="DA18" s="552"/>
      <c r="DB18" s="552"/>
      <c r="DC18" s="552"/>
      <c r="DD18" s="552"/>
      <c r="DE18" s="782">
        <v>3</v>
      </c>
      <c r="DF18" s="552"/>
      <c r="DG18" s="442"/>
      <c r="DH18" s="442"/>
      <c r="DI18" s="442"/>
      <c r="DJ18" s="1387">
        <v>1</v>
      </c>
      <c r="DK18" s="442"/>
      <c r="DL18" s="442"/>
      <c r="DM18" s="442"/>
      <c r="DN18" s="442"/>
      <c r="DO18" s="442"/>
      <c r="DP18" s="442"/>
      <c r="DQ18" s="442"/>
      <c r="DR18" s="442"/>
      <c r="DS18" s="442"/>
      <c r="DT18" s="442"/>
      <c r="DU18" s="442"/>
      <c r="DV18" s="442"/>
      <c r="DW18" s="442"/>
      <c r="DX18" s="442"/>
      <c r="DY18" s="442"/>
      <c r="DZ18" s="442"/>
      <c r="EA18" s="442"/>
      <c r="EB18" s="784"/>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1387"/>
      <c r="EZ18" s="1387">
        <v>3</v>
      </c>
      <c r="FA18" s="442"/>
      <c r="FB18" s="442"/>
      <c r="FC18" s="442"/>
      <c r="FD18" s="442"/>
      <c r="FE18" s="442"/>
      <c r="FF18" s="442"/>
      <c r="FG18" s="442"/>
      <c r="FH18" s="44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1338"/>
    </row>
    <row r="19" spans="1:195" ht="19.899999999999999" customHeight="1">
      <c r="A19" s="2216">
        <v>8</v>
      </c>
      <c r="B19" s="1336">
        <v>40</v>
      </c>
      <c r="C19" s="1389">
        <f t="shared" si="20"/>
        <v>285.7</v>
      </c>
      <c r="D19" s="549"/>
      <c r="E19" s="549"/>
      <c r="F19" s="549"/>
      <c r="G19" s="549"/>
      <c r="H19" s="549"/>
      <c r="I19" s="549"/>
      <c r="J19" s="549"/>
      <c r="K19" s="549"/>
      <c r="L19" s="549"/>
      <c r="M19" s="549"/>
      <c r="N19" s="549"/>
      <c r="O19" s="549"/>
      <c r="P19" s="549"/>
      <c r="Q19" s="549"/>
      <c r="R19" s="549"/>
      <c r="S19" s="549"/>
      <c r="T19" s="758"/>
      <c r="U19" s="1040"/>
      <c r="V19" s="1389" t="s">
        <v>501</v>
      </c>
      <c r="W19" s="441"/>
      <c r="X19" s="442"/>
      <c r="Y19" s="779"/>
      <c r="Z19" s="551">
        <v>1</v>
      </c>
      <c r="AA19" s="551"/>
      <c r="AB19" s="442"/>
      <c r="AC19" s="442"/>
      <c r="AD19" s="442"/>
      <c r="AE19" s="440">
        <v>1</v>
      </c>
      <c r="AF19" s="780"/>
      <c r="AG19" s="442"/>
      <c r="AH19" s="780"/>
      <c r="AI19" s="442"/>
      <c r="AJ19" s="442"/>
      <c r="AK19" s="442"/>
      <c r="AL19" s="442"/>
      <c r="AM19" s="442"/>
      <c r="AN19" s="442"/>
      <c r="AO19" s="442"/>
      <c r="AP19" s="442"/>
      <c r="AQ19" s="442"/>
      <c r="AR19" s="442"/>
      <c r="AS19" s="551"/>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442"/>
      <c r="CU19" s="552"/>
      <c r="CV19" s="782"/>
      <c r="CW19" s="782">
        <v>1</v>
      </c>
      <c r="CX19" s="780"/>
      <c r="CY19" s="780"/>
      <c r="CZ19" s="552"/>
      <c r="DA19" s="552"/>
      <c r="DB19" s="552"/>
      <c r="DC19" s="552"/>
      <c r="DD19" s="552"/>
      <c r="DE19" s="782">
        <v>3</v>
      </c>
      <c r="DF19" s="552"/>
      <c r="DG19" s="442"/>
      <c r="DH19" s="442"/>
      <c r="DI19" s="442"/>
      <c r="DJ19" s="1387">
        <v>1</v>
      </c>
      <c r="DK19" s="785"/>
      <c r="DL19" s="785"/>
      <c r="DM19" s="785"/>
      <c r="DN19" s="785"/>
      <c r="DO19" s="785"/>
      <c r="DP19" s="785"/>
      <c r="DQ19" s="442"/>
      <c r="DR19" s="785"/>
      <c r="DS19" s="785"/>
      <c r="DT19" s="785"/>
      <c r="DU19" s="785"/>
      <c r="DV19" s="785"/>
      <c r="DW19" s="785"/>
      <c r="DX19" s="785"/>
      <c r="DY19" s="785"/>
      <c r="DZ19" s="785"/>
      <c r="EA19" s="785"/>
      <c r="EB19" s="786"/>
      <c r="EC19" s="785"/>
      <c r="ED19" s="785"/>
      <c r="EE19" s="785"/>
      <c r="EF19" s="785"/>
      <c r="EG19" s="442"/>
      <c r="EH19" s="785"/>
      <c r="EI19" s="785"/>
      <c r="EJ19" s="785"/>
      <c r="EK19" s="785"/>
      <c r="EL19" s="785"/>
      <c r="EM19" s="785"/>
      <c r="EN19" s="785"/>
      <c r="EO19" s="785"/>
      <c r="EP19" s="785"/>
      <c r="EQ19" s="785"/>
      <c r="ER19" s="785"/>
      <c r="ES19" s="785"/>
      <c r="ET19" s="785"/>
      <c r="EU19" s="785"/>
      <c r="EV19" s="785"/>
      <c r="EW19" s="785"/>
      <c r="EX19" s="785"/>
      <c r="EY19" s="1387"/>
      <c r="EZ19" s="1387">
        <v>3</v>
      </c>
      <c r="FA19" s="785"/>
      <c r="FB19" s="785"/>
      <c r="FC19" s="785"/>
      <c r="FD19" s="785"/>
      <c r="FE19" s="785"/>
      <c r="FF19" s="785"/>
      <c r="FG19" s="785"/>
      <c r="FH19" s="785"/>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1338"/>
    </row>
    <row r="20" spans="1:195" ht="19.899999999999999" customHeight="1">
      <c r="A20" s="2216">
        <v>9</v>
      </c>
      <c r="B20" s="1336">
        <v>40</v>
      </c>
      <c r="C20" s="1389">
        <f t="shared" si="20"/>
        <v>325.7</v>
      </c>
      <c r="D20" s="549"/>
      <c r="E20" s="549"/>
      <c r="F20" s="549"/>
      <c r="G20" s="549"/>
      <c r="H20" s="549"/>
      <c r="I20" s="549"/>
      <c r="J20" s="549"/>
      <c r="K20" s="549"/>
      <c r="L20" s="549"/>
      <c r="M20" s="549"/>
      <c r="N20" s="549"/>
      <c r="O20" s="549"/>
      <c r="P20" s="549"/>
      <c r="Q20" s="549"/>
      <c r="R20" s="549"/>
      <c r="S20" s="549"/>
      <c r="T20" s="440"/>
      <c r="U20" s="441"/>
      <c r="V20" s="1389" t="s">
        <v>501</v>
      </c>
      <c r="W20" s="441"/>
      <c r="X20" s="442"/>
      <c r="Y20" s="779"/>
      <c r="Z20" s="551">
        <v>1</v>
      </c>
      <c r="AA20" s="551"/>
      <c r="AB20" s="442"/>
      <c r="AC20" s="442"/>
      <c r="AD20" s="442"/>
      <c r="AE20" s="440">
        <v>1</v>
      </c>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552"/>
      <c r="CV20" s="552"/>
      <c r="CW20" s="782">
        <v>1</v>
      </c>
      <c r="CX20" s="780"/>
      <c r="CY20" s="780"/>
      <c r="CZ20" s="552"/>
      <c r="DA20" s="552"/>
      <c r="DB20" s="552"/>
      <c r="DC20" s="552"/>
      <c r="DD20" s="552"/>
      <c r="DE20" s="782">
        <v>3</v>
      </c>
      <c r="DF20" s="552"/>
      <c r="DG20" s="442"/>
      <c r="DH20" s="442"/>
      <c r="DI20" s="442"/>
      <c r="DJ20" s="1387">
        <v>1</v>
      </c>
      <c r="DK20" s="442"/>
      <c r="DL20" s="442"/>
      <c r="DM20" s="442"/>
      <c r="DN20" s="442"/>
      <c r="DO20" s="442"/>
      <c r="DP20" s="442"/>
      <c r="DQ20" s="442"/>
      <c r="DR20" s="442"/>
      <c r="DS20" s="442"/>
      <c r="DT20" s="442"/>
      <c r="DU20" s="442"/>
      <c r="DV20" s="442"/>
      <c r="DW20" s="442"/>
      <c r="DX20" s="442"/>
      <c r="DY20" s="442"/>
      <c r="DZ20" s="442"/>
      <c r="EA20" s="442"/>
      <c r="EB20" s="784"/>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1387">
        <v>3</v>
      </c>
      <c r="FA20" s="442"/>
      <c r="FB20" s="442"/>
      <c r="FC20" s="442"/>
      <c r="FD20" s="442"/>
      <c r="FE20" s="442"/>
      <c r="FF20" s="442"/>
      <c r="FG20" s="442"/>
      <c r="FH20" s="44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1338"/>
    </row>
    <row r="21" spans="1:195" ht="19.899999999999999" customHeight="1">
      <c r="A21" s="2216">
        <v>10</v>
      </c>
      <c r="B21" s="1336">
        <v>40</v>
      </c>
      <c r="C21" s="1389">
        <f t="shared" si="20"/>
        <v>365.7</v>
      </c>
      <c r="D21" s="549"/>
      <c r="E21" s="549"/>
      <c r="F21" s="549"/>
      <c r="G21" s="549"/>
      <c r="H21" s="549"/>
      <c r="I21" s="549"/>
      <c r="J21" s="549"/>
      <c r="K21" s="549"/>
      <c r="L21" s="549"/>
      <c r="M21" s="549"/>
      <c r="N21" s="549"/>
      <c r="O21" s="549"/>
      <c r="P21" s="549"/>
      <c r="Q21" s="549"/>
      <c r="R21" s="549"/>
      <c r="S21" s="549"/>
      <c r="T21" s="440"/>
      <c r="U21" s="441"/>
      <c r="V21" s="1389" t="s">
        <v>501</v>
      </c>
      <c r="W21" s="441"/>
      <c r="X21" s="442"/>
      <c r="Y21" s="779"/>
      <c r="Z21" s="551">
        <v>1</v>
      </c>
      <c r="AA21" s="442"/>
      <c r="AB21" s="442"/>
      <c r="AC21" s="442"/>
      <c r="AD21" s="442"/>
      <c r="AE21" s="440">
        <v>1</v>
      </c>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552"/>
      <c r="CV21" s="552"/>
      <c r="CW21" s="782">
        <v>1</v>
      </c>
      <c r="CX21" s="780"/>
      <c r="CY21" s="780"/>
      <c r="CZ21" s="552"/>
      <c r="DA21" s="552"/>
      <c r="DB21" s="552"/>
      <c r="DC21" s="552"/>
      <c r="DD21" s="552"/>
      <c r="DE21" s="782">
        <v>3</v>
      </c>
      <c r="DF21" s="552"/>
      <c r="DG21" s="442"/>
      <c r="DH21" s="442"/>
      <c r="DI21" s="442"/>
      <c r="DJ21" s="1387">
        <v>1</v>
      </c>
      <c r="DK21" s="442"/>
      <c r="DL21" s="442"/>
      <c r="DM21" s="442"/>
      <c r="DN21" s="442"/>
      <c r="DO21" s="442"/>
      <c r="DP21" s="442"/>
      <c r="DQ21" s="442"/>
      <c r="DR21" s="442"/>
      <c r="DS21" s="442"/>
      <c r="DT21" s="442"/>
      <c r="DU21" s="442"/>
      <c r="DV21" s="442"/>
      <c r="DW21" s="442"/>
      <c r="DX21" s="442"/>
      <c r="DY21" s="442"/>
      <c r="DZ21" s="442"/>
      <c r="EA21" s="442"/>
      <c r="EB21" s="784"/>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1387">
        <v>3</v>
      </c>
      <c r="FA21" s="442"/>
      <c r="FB21" s="442"/>
      <c r="FC21" s="442"/>
      <c r="FD21" s="442"/>
      <c r="FE21" s="442"/>
      <c r="FF21" s="442"/>
      <c r="FG21" s="442"/>
      <c r="FH21" s="44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1338"/>
    </row>
    <row r="22" spans="1:195" ht="19.899999999999999" customHeight="1">
      <c r="A22" s="2216">
        <v>11</v>
      </c>
      <c r="B22" s="1336">
        <v>40</v>
      </c>
      <c r="C22" s="1389">
        <f t="shared" si="20"/>
        <v>405.7</v>
      </c>
      <c r="D22" s="549"/>
      <c r="E22" s="549"/>
      <c r="F22" s="549"/>
      <c r="G22" s="549"/>
      <c r="H22" s="549"/>
      <c r="I22" s="549"/>
      <c r="J22" s="549"/>
      <c r="K22" s="549"/>
      <c r="L22" s="549"/>
      <c r="M22" s="549"/>
      <c r="N22" s="549"/>
      <c r="O22" s="549"/>
      <c r="P22" s="549"/>
      <c r="Q22" s="549"/>
      <c r="R22" s="549"/>
      <c r="S22" s="549"/>
      <c r="T22" s="440"/>
      <c r="U22" s="441"/>
      <c r="V22" s="1389" t="s">
        <v>501</v>
      </c>
      <c r="W22" s="441"/>
      <c r="X22" s="442"/>
      <c r="Y22" s="779"/>
      <c r="Z22" s="551">
        <v>1</v>
      </c>
      <c r="AA22" s="442"/>
      <c r="AB22" s="442"/>
      <c r="AC22" s="442"/>
      <c r="AD22" s="442"/>
      <c r="AE22" s="440">
        <v>1</v>
      </c>
      <c r="AF22" s="78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v>1</v>
      </c>
      <c r="CI22" s="442"/>
      <c r="CJ22" s="442"/>
      <c r="CK22" s="442"/>
      <c r="CL22" s="442"/>
      <c r="CM22" s="442"/>
      <c r="CN22" s="442"/>
      <c r="CO22" s="442"/>
      <c r="CP22" s="442"/>
      <c r="CQ22" s="442"/>
      <c r="CR22" s="442"/>
      <c r="CS22" s="442"/>
      <c r="CT22" s="442"/>
      <c r="CU22" s="552"/>
      <c r="CV22" s="782"/>
      <c r="CW22" s="782">
        <v>1</v>
      </c>
      <c r="CX22" s="780"/>
      <c r="CY22" s="780"/>
      <c r="CZ22" s="552"/>
      <c r="DA22" s="552"/>
      <c r="DB22" s="552"/>
      <c r="DC22" s="552"/>
      <c r="DD22" s="552"/>
      <c r="DE22" s="782">
        <v>3</v>
      </c>
      <c r="DF22" s="552"/>
      <c r="DG22" s="442"/>
      <c r="DH22" s="442"/>
      <c r="DI22" s="442"/>
      <c r="DJ22" s="1387">
        <v>1</v>
      </c>
      <c r="DK22" s="442"/>
      <c r="DL22" s="442"/>
      <c r="DM22" s="442"/>
      <c r="DN22" s="442"/>
      <c r="DO22" s="442"/>
      <c r="DP22" s="442"/>
      <c r="DQ22" s="442"/>
      <c r="DR22" s="442"/>
      <c r="DS22" s="442"/>
      <c r="DT22" s="442"/>
      <c r="DU22" s="442"/>
      <c r="DV22" s="442"/>
      <c r="DW22" s="442"/>
      <c r="DX22" s="442"/>
      <c r="DY22" s="442"/>
      <c r="DZ22" s="442"/>
      <c r="EA22" s="442"/>
      <c r="EB22" s="784"/>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1387"/>
      <c r="EZ22" s="1387">
        <v>3</v>
      </c>
      <c r="FA22" s="442"/>
      <c r="FB22" s="442"/>
      <c r="FC22" s="442"/>
      <c r="FD22" s="442"/>
      <c r="FE22" s="442"/>
      <c r="FF22" s="442"/>
      <c r="FG22" s="442"/>
      <c r="FH22" s="44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1338"/>
    </row>
    <row r="23" spans="1:195" ht="19.899999999999999" customHeight="1">
      <c r="A23" s="2216">
        <v>12</v>
      </c>
      <c r="B23" s="1336">
        <v>40</v>
      </c>
      <c r="C23" s="1389">
        <f t="shared" si="20"/>
        <v>445.7</v>
      </c>
      <c r="D23" s="549"/>
      <c r="E23" s="549"/>
      <c r="F23" s="549"/>
      <c r="G23" s="549"/>
      <c r="H23" s="549"/>
      <c r="I23" s="549"/>
      <c r="J23" s="549"/>
      <c r="K23" s="549"/>
      <c r="L23" s="549"/>
      <c r="M23" s="549"/>
      <c r="N23" s="549"/>
      <c r="O23" s="549"/>
      <c r="P23" s="549"/>
      <c r="Q23" s="549"/>
      <c r="R23" s="549"/>
      <c r="S23" s="549"/>
      <c r="T23" s="440"/>
      <c r="U23" s="441"/>
      <c r="V23" s="1389" t="s">
        <v>501</v>
      </c>
      <c r="W23" s="441"/>
      <c r="X23" s="442"/>
      <c r="Y23" s="779"/>
      <c r="Z23" s="551">
        <v>1</v>
      </c>
      <c r="AA23" s="551"/>
      <c r="AB23" s="442"/>
      <c r="AC23" s="442"/>
      <c r="AD23" s="442"/>
      <c r="AE23" s="440">
        <v>1</v>
      </c>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442"/>
      <c r="CU23" s="552"/>
      <c r="CV23" s="552"/>
      <c r="CW23" s="782">
        <v>1</v>
      </c>
      <c r="CX23" s="780"/>
      <c r="CY23" s="780"/>
      <c r="CZ23" s="552"/>
      <c r="DA23" s="552"/>
      <c r="DB23" s="552"/>
      <c r="DC23" s="552"/>
      <c r="DD23" s="552"/>
      <c r="DE23" s="782">
        <v>3</v>
      </c>
      <c r="DF23" s="552"/>
      <c r="DG23" s="442"/>
      <c r="DH23" s="442"/>
      <c r="DI23" s="442"/>
      <c r="DJ23" s="1387">
        <v>1</v>
      </c>
      <c r="DK23" s="442"/>
      <c r="DL23" s="442"/>
      <c r="DM23" s="442"/>
      <c r="DN23" s="442"/>
      <c r="DO23" s="442"/>
      <c r="DP23" s="442"/>
      <c r="DQ23" s="442"/>
      <c r="DR23" s="442"/>
      <c r="DS23" s="442"/>
      <c r="DT23" s="442"/>
      <c r="DU23" s="442"/>
      <c r="DV23" s="442"/>
      <c r="DW23" s="442"/>
      <c r="DX23" s="442"/>
      <c r="DY23" s="442"/>
      <c r="DZ23" s="442"/>
      <c r="EA23" s="442"/>
      <c r="EB23" s="784"/>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1387">
        <v>3</v>
      </c>
      <c r="FA23" s="442"/>
      <c r="FB23" s="442"/>
      <c r="FC23" s="442"/>
      <c r="FD23" s="442"/>
      <c r="FE23" s="442"/>
      <c r="FF23" s="442"/>
      <c r="FG23" s="442"/>
      <c r="FH23" s="44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1338"/>
    </row>
    <row r="24" spans="1:195" ht="19.899999999999999" customHeight="1">
      <c r="A24" s="2216">
        <v>13</v>
      </c>
      <c r="B24" s="1336">
        <v>40</v>
      </c>
      <c r="C24" s="1389">
        <f t="shared" si="20"/>
        <v>485.7</v>
      </c>
      <c r="D24" s="549"/>
      <c r="E24" s="549"/>
      <c r="F24" s="549"/>
      <c r="G24" s="549"/>
      <c r="H24" s="549"/>
      <c r="I24" s="549"/>
      <c r="J24" s="549"/>
      <c r="K24" s="549"/>
      <c r="L24" s="549"/>
      <c r="M24" s="549"/>
      <c r="N24" s="549"/>
      <c r="O24" s="549"/>
      <c r="P24" s="549"/>
      <c r="Q24" s="549"/>
      <c r="R24" s="549"/>
      <c r="S24" s="549"/>
      <c r="T24" s="440"/>
      <c r="U24" s="441"/>
      <c r="V24" s="1389" t="s">
        <v>501</v>
      </c>
      <c r="W24" s="441"/>
      <c r="X24" s="442"/>
      <c r="Y24" s="779"/>
      <c r="Z24" s="551">
        <v>1</v>
      </c>
      <c r="AA24" s="551"/>
      <c r="AB24" s="442"/>
      <c r="AC24" s="442"/>
      <c r="AD24" s="442"/>
      <c r="AE24" s="440">
        <v>1</v>
      </c>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552"/>
      <c r="CV24" s="552"/>
      <c r="CW24" s="782">
        <v>1</v>
      </c>
      <c r="CX24" s="780"/>
      <c r="CY24" s="780"/>
      <c r="CZ24" s="552"/>
      <c r="DA24" s="552"/>
      <c r="DB24" s="552"/>
      <c r="DC24" s="552"/>
      <c r="DD24" s="552"/>
      <c r="DE24" s="782">
        <v>3</v>
      </c>
      <c r="DF24" s="552"/>
      <c r="DG24" s="442"/>
      <c r="DH24" s="442"/>
      <c r="DI24" s="442"/>
      <c r="DJ24" s="1387">
        <v>1</v>
      </c>
      <c r="DK24" s="442"/>
      <c r="DL24" s="442"/>
      <c r="DM24" s="442"/>
      <c r="DN24" s="442"/>
      <c r="DO24" s="442"/>
      <c r="DP24" s="442"/>
      <c r="DQ24" s="442"/>
      <c r="DR24" s="442"/>
      <c r="DS24" s="442"/>
      <c r="DT24" s="442"/>
      <c r="DU24" s="442"/>
      <c r="DV24" s="442"/>
      <c r="DW24" s="442"/>
      <c r="DX24" s="442"/>
      <c r="DY24" s="442"/>
      <c r="DZ24" s="442"/>
      <c r="EA24" s="442"/>
      <c r="EB24" s="784"/>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1387">
        <v>3</v>
      </c>
      <c r="FA24" s="442"/>
      <c r="FB24" s="442"/>
      <c r="FC24" s="442"/>
      <c r="FD24" s="442"/>
      <c r="FE24" s="442"/>
      <c r="FF24" s="442"/>
      <c r="FG24" s="442"/>
      <c r="FH24" s="44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1338"/>
    </row>
    <row r="25" spans="1:195" ht="19.899999999999999" customHeight="1">
      <c r="A25" s="2216">
        <v>14</v>
      </c>
      <c r="B25" s="1336">
        <v>35</v>
      </c>
      <c r="C25" s="1389">
        <f t="shared" si="20"/>
        <v>520.70000000000005</v>
      </c>
      <c r="D25" s="549"/>
      <c r="E25" s="549"/>
      <c r="F25" s="549"/>
      <c r="G25" s="549"/>
      <c r="H25" s="549"/>
      <c r="I25" s="549"/>
      <c r="J25" s="549"/>
      <c r="K25" s="549"/>
      <c r="L25" s="549"/>
      <c r="M25" s="549"/>
      <c r="N25" s="549"/>
      <c r="O25" s="549"/>
      <c r="P25" s="549"/>
      <c r="Q25" s="549"/>
      <c r="R25" s="549"/>
      <c r="S25" s="549"/>
      <c r="T25" s="440"/>
      <c r="U25" s="441"/>
      <c r="V25" s="1389" t="s">
        <v>501</v>
      </c>
      <c r="W25" s="441"/>
      <c r="X25" s="442"/>
      <c r="Y25" s="779"/>
      <c r="Z25" s="551">
        <v>1</v>
      </c>
      <c r="AA25" s="551"/>
      <c r="AB25" s="442"/>
      <c r="AC25" s="442"/>
      <c r="AD25" s="442"/>
      <c r="AE25" s="440">
        <v>1</v>
      </c>
      <c r="AF25" s="780"/>
      <c r="AG25" s="442"/>
      <c r="AH25" s="78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552"/>
      <c r="CV25" s="782"/>
      <c r="CW25" s="782">
        <v>1</v>
      </c>
      <c r="CX25" s="780"/>
      <c r="CY25" s="780"/>
      <c r="CZ25" s="552"/>
      <c r="DA25" s="552"/>
      <c r="DB25" s="552"/>
      <c r="DC25" s="552"/>
      <c r="DD25" s="552"/>
      <c r="DE25" s="782">
        <v>3</v>
      </c>
      <c r="DF25" s="552"/>
      <c r="DG25" s="442"/>
      <c r="DH25" s="442"/>
      <c r="DI25" s="442"/>
      <c r="DJ25" s="1387">
        <v>1</v>
      </c>
      <c r="DK25" s="442"/>
      <c r="DL25" s="442"/>
      <c r="DM25" s="442"/>
      <c r="DN25" s="442"/>
      <c r="DO25" s="442"/>
      <c r="DP25" s="442"/>
      <c r="DQ25" s="442"/>
      <c r="DR25" s="442"/>
      <c r="DS25" s="442"/>
      <c r="DT25" s="442"/>
      <c r="DU25" s="442"/>
      <c r="DV25" s="442"/>
      <c r="DW25" s="442"/>
      <c r="DX25" s="442"/>
      <c r="DY25" s="442"/>
      <c r="DZ25" s="442"/>
      <c r="EA25" s="442"/>
      <c r="EB25" s="784"/>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1387"/>
      <c r="EZ25" s="1387">
        <v>3</v>
      </c>
      <c r="FA25" s="442"/>
      <c r="FB25" s="442"/>
      <c r="FC25" s="442"/>
      <c r="FD25" s="442"/>
      <c r="FE25" s="442"/>
      <c r="FF25" s="442"/>
      <c r="FG25" s="442"/>
      <c r="FH25" s="44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1338"/>
    </row>
    <row r="26" spans="1:195" ht="19.899999999999999" customHeight="1">
      <c r="A26" s="2216">
        <v>15</v>
      </c>
      <c r="B26" s="1336">
        <v>35</v>
      </c>
      <c r="C26" s="1389">
        <f t="shared" si="20"/>
        <v>555.70000000000005</v>
      </c>
      <c r="D26" s="549"/>
      <c r="E26" s="549"/>
      <c r="F26" s="549"/>
      <c r="G26" s="549"/>
      <c r="H26" s="549"/>
      <c r="I26" s="549"/>
      <c r="J26" s="549"/>
      <c r="K26" s="549"/>
      <c r="L26" s="549"/>
      <c r="M26" s="549"/>
      <c r="N26" s="549"/>
      <c r="O26" s="549"/>
      <c r="P26" s="549"/>
      <c r="Q26" s="549"/>
      <c r="R26" s="549"/>
      <c r="S26" s="549"/>
      <c r="T26" s="440"/>
      <c r="U26" s="441"/>
      <c r="V26" s="1389" t="s">
        <v>546</v>
      </c>
      <c r="W26" s="441"/>
      <c r="X26" s="442"/>
      <c r="Y26" s="779"/>
      <c r="Z26" s="779">
        <v>2</v>
      </c>
      <c r="AA26" s="442"/>
      <c r="AB26" s="442"/>
      <c r="AC26" s="442"/>
      <c r="AD26" s="442"/>
      <c r="AE26" s="442"/>
      <c r="AF26" s="780"/>
      <c r="AG26" s="442"/>
      <c r="AH26" s="442"/>
      <c r="AI26" s="442"/>
      <c r="AJ26" s="442"/>
      <c r="AK26" s="442"/>
      <c r="AL26" s="442"/>
      <c r="AM26" s="442"/>
      <c r="AN26" s="442"/>
      <c r="AO26" s="442"/>
      <c r="AP26" s="442"/>
      <c r="AQ26" s="442"/>
      <c r="AR26" s="442"/>
      <c r="AS26" s="442">
        <v>1</v>
      </c>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v>1</v>
      </c>
      <c r="CI26" s="442"/>
      <c r="CJ26" s="442"/>
      <c r="CK26" s="442"/>
      <c r="CL26" s="442"/>
      <c r="CM26" s="442"/>
      <c r="CN26" s="442"/>
      <c r="CO26" s="442">
        <v>1</v>
      </c>
      <c r="CP26" s="442">
        <v>1</v>
      </c>
      <c r="CQ26" s="442"/>
      <c r="CR26" s="442"/>
      <c r="CS26" s="442"/>
      <c r="CT26" s="442"/>
      <c r="CU26" s="552"/>
      <c r="CV26" s="552"/>
      <c r="CW26" s="552"/>
      <c r="CX26" s="780"/>
      <c r="CY26" s="780"/>
      <c r="CZ26" s="552"/>
      <c r="DA26" s="552"/>
      <c r="DB26" s="552"/>
      <c r="DC26" s="552"/>
      <c r="DD26" s="552"/>
      <c r="DE26" s="552">
        <v>8</v>
      </c>
      <c r="DF26" s="552">
        <v>6</v>
      </c>
      <c r="DG26" s="442"/>
      <c r="DH26" s="442"/>
      <c r="DI26" s="442"/>
      <c r="DJ26" s="442"/>
      <c r="DK26" s="442"/>
      <c r="DL26" s="442"/>
      <c r="DM26" s="442">
        <v>2</v>
      </c>
      <c r="DN26" s="442"/>
      <c r="DO26" s="442"/>
      <c r="DP26" s="442"/>
      <c r="DQ26" s="442"/>
      <c r="DR26" s="442"/>
      <c r="DS26" s="442"/>
      <c r="DT26" s="442"/>
      <c r="DU26" s="442"/>
      <c r="DV26" s="442"/>
      <c r="DW26" s="442"/>
      <c r="DX26" s="442"/>
      <c r="DY26" s="442"/>
      <c r="DZ26" s="442"/>
      <c r="EA26" s="442"/>
      <c r="EB26" s="784"/>
      <c r="EC26" s="442"/>
      <c r="ED26" s="442"/>
      <c r="EE26" s="442"/>
      <c r="EF26" s="442"/>
      <c r="EG26" s="442">
        <v>8</v>
      </c>
      <c r="EH26" s="442"/>
      <c r="EI26" s="442"/>
      <c r="EJ26" s="442"/>
      <c r="EK26" s="442"/>
      <c r="EL26" s="442"/>
      <c r="EM26" s="442"/>
      <c r="EN26" s="442"/>
      <c r="EO26" s="442"/>
      <c r="EP26" s="442"/>
      <c r="EQ26" s="442"/>
      <c r="ER26" s="442"/>
      <c r="ES26" s="442"/>
      <c r="ET26" s="442"/>
      <c r="EU26" s="442"/>
      <c r="EV26" s="442"/>
      <c r="EW26" s="442"/>
      <c r="EX26" s="442"/>
      <c r="EY26" s="442"/>
      <c r="EZ26" s="442">
        <v>8</v>
      </c>
      <c r="FA26" s="442"/>
      <c r="FB26" s="442"/>
      <c r="FC26" s="442"/>
      <c r="FD26" s="442"/>
      <c r="FE26" s="442"/>
      <c r="FF26" s="442"/>
      <c r="FG26" s="442"/>
      <c r="FH26" s="44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1338"/>
    </row>
    <row r="27" spans="1:195" ht="18.95" customHeight="1">
      <c r="A27" s="2216">
        <v>16</v>
      </c>
      <c r="B27" s="1336">
        <v>40</v>
      </c>
      <c r="C27" s="1389">
        <f t="shared" si="20"/>
        <v>595.70000000000005</v>
      </c>
      <c r="D27" s="549"/>
      <c r="E27" s="549"/>
      <c r="F27" s="549"/>
      <c r="G27" s="549"/>
      <c r="H27" s="549"/>
      <c r="I27" s="549"/>
      <c r="J27" s="549"/>
      <c r="K27" s="549"/>
      <c r="L27" s="549"/>
      <c r="M27" s="549"/>
      <c r="N27" s="549"/>
      <c r="O27" s="549"/>
      <c r="P27" s="549"/>
      <c r="Q27" s="549"/>
      <c r="R27" s="549"/>
      <c r="S27" s="549"/>
      <c r="T27" s="440"/>
      <c r="U27" s="441"/>
      <c r="V27" s="508" t="s">
        <v>501</v>
      </c>
      <c r="W27" s="441"/>
      <c r="X27" s="441"/>
      <c r="Y27" s="779"/>
      <c r="Z27" s="551">
        <v>1</v>
      </c>
      <c r="AA27" s="442"/>
      <c r="AB27" s="442"/>
      <c r="AC27" s="442"/>
      <c r="AD27" s="442"/>
      <c r="AE27" s="440">
        <v>1</v>
      </c>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552"/>
      <c r="CV27" s="552"/>
      <c r="CW27" s="782">
        <v>1</v>
      </c>
      <c r="CX27" s="780"/>
      <c r="CY27" s="780"/>
      <c r="CZ27" s="552"/>
      <c r="DA27" s="552"/>
      <c r="DB27" s="552"/>
      <c r="DC27" s="552"/>
      <c r="DD27" s="552"/>
      <c r="DE27" s="782">
        <v>3</v>
      </c>
      <c r="DF27" s="552"/>
      <c r="DG27" s="442"/>
      <c r="DH27" s="442"/>
      <c r="DI27" s="442"/>
      <c r="DJ27" s="1387">
        <v>1</v>
      </c>
      <c r="DK27" s="552"/>
      <c r="DL27" s="442"/>
      <c r="DM27" s="442"/>
      <c r="DN27" s="442"/>
      <c r="DO27" s="442"/>
      <c r="DP27" s="442"/>
      <c r="DQ27" s="442"/>
      <c r="DR27" s="442"/>
      <c r="DS27" s="442"/>
      <c r="DT27" s="442"/>
      <c r="DU27" s="442"/>
      <c r="DV27" s="442"/>
      <c r="DW27" s="442"/>
      <c r="DX27" s="442"/>
      <c r="DY27" s="442"/>
      <c r="DZ27" s="442"/>
      <c r="EA27" s="442"/>
      <c r="EB27" s="784"/>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1387">
        <v>3</v>
      </c>
      <c r="FA27" s="442"/>
      <c r="FB27" s="442"/>
      <c r="FC27" s="442"/>
      <c r="FD27" s="442"/>
      <c r="FE27" s="442"/>
      <c r="FF27" s="442"/>
      <c r="FG27" s="442"/>
      <c r="FH27" s="44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1338"/>
    </row>
    <row r="28" spans="1:195" ht="18.95" customHeight="1">
      <c r="A28" s="2216">
        <v>17</v>
      </c>
      <c r="B28" s="1336">
        <v>40</v>
      </c>
      <c r="C28" s="1389">
        <f t="shared" si="20"/>
        <v>635.70000000000005</v>
      </c>
      <c r="D28" s="549"/>
      <c r="E28" s="549"/>
      <c r="F28" s="549"/>
      <c r="G28" s="549"/>
      <c r="H28" s="549"/>
      <c r="I28" s="549"/>
      <c r="J28" s="549"/>
      <c r="K28" s="549"/>
      <c r="L28" s="549"/>
      <c r="M28" s="549"/>
      <c r="N28" s="549"/>
      <c r="O28" s="549"/>
      <c r="P28" s="549"/>
      <c r="Q28" s="549"/>
      <c r="R28" s="549"/>
      <c r="S28" s="549"/>
      <c r="T28" s="440"/>
      <c r="U28" s="441"/>
      <c r="V28" s="508" t="s">
        <v>501</v>
      </c>
      <c r="W28" s="441"/>
      <c r="X28" s="441"/>
      <c r="Y28" s="779"/>
      <c r="Z28" s="551">
        <v>1</v>
      </c>
      <c r="AA28" s="442"/>
      <c r="AB28" s="442"/>
      <c r="AC28" s="442"/>
      <c r="AD28" s="442"/>
      <c r="AE28" s="440">
        <v>1</v>
      </c>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552"/>
      <c r="CV28" s="552"/>
      <c r="CW28" s="782">
        <v>1</v>
      </c>
      <c r="CX28" s="780"/>
      <c r="CY28" s="780"/>
      <c r="CZ28" s="552"/>
      <c r="DA28" s="552"/>
      <c r="DB28" s="552"/>
      <c r="DC28" s="552"/>
      <c r="DD28" s="552"/>
      <c r="DE28" s="782">
        <v>3</v>
      </c>
      <c r="DF28" s="552"/>
      <c r="DG28" s="442"/>
      <c r="DH28" s="442"/>
      <c r="DI28" s="442"/>
      <c r="DJ28" s="1387">
        <v>1</v>
      </c>
      <c r="DK28" s="552"/>
      <c r="DL28" s="442"/>
      <c r="DM28" s="442"/>
      <c r="DN28" s="442"/>
      <c r="DO28" s="442"/>
      <c r="DP28" s="442"/>
      <c r="DQ28" s="442"/>
      <c r="DR28" s="442"/>
      <c r="DS28" s="442"/>
      <c r="DT28" s="442"/>
      <c r="DU28" s="442"/>
      <c r="DV28" s="442"/>
      <c r="DW28" s="442"/>
      <c r="DX28" s="442"/>
      <c r="DY28" s="442"/>
      <c r="DZ28" s="442"/>
      <c r="EA28" s="442"/>
      <c r="EB28" s="784"/>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1387">
        <v>3</v>
      </c>
      <c r="FA28" s="442"/>
      <c r="FB28" s="442"/>
      <c r="FC28" s="442"/>
      <c r="FD28" s="442"/>
      <c r="FE28" s="442"/>
      <c r="FF28" s="442"/>
      <c r="FG28" s="442"/>
      <c r="FH28" s="44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1338"/>
    </row>
    <row r="29" spans="1:195" ht="18.95" customHeight="1">
      <c r="A29" s="2216">
        <v>18</v>
      </c>
      <c r="B29" s="1336">
        <v>40</v>
      </c>
      <c r="C29" s="1389">
        <f t="shared" si="20"/>
        <v>675.7</v>
      </c>
      <c r="D29" s="549"/>
      <c r="E29" s="549"/>
      <c r="F29" s="549"/>
      <c r="G29" s="549"/>
      <c r="H29" s="549"/>
      <c r="I29" s="549"/>
      <c r="J29" s="549"/>
      <c r="K29" s="549"/>
      <c r="L29" s="549"/>
      <c r="M29" s="549"/>
      <c r="N29" s="549"/>
      <c r="O29" s="549"/>
      <c r="P29" s="549"/>
      <c r="Q29" s="549"/>
      <c r="R29" s="549"/>
      <c r="S29" s="549"/>
      <c r="T29" s="440"/>
      <c r="U29" s="441"/>
      <c r="V29" s="508" t="s">
        <v>501</v>
      </c>
      <c r="W29" s="441"/>
      <c r="X29" s="442"/>
      <c r="Y29" s="779"/>
      <c r="Z29" s="551">
        <v>1</v>
      </c>
      <c r="AA29" s="442"/>
      <c r="AB29" s="442"/>
      <c r="AC29" s="442"/>
      <c r="AD29" s="442"/>
      <c r="AE29" s="440">
        <v>1</v>
      </c>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552"/>
      <c r="CV29" s="552"/>
      <c r="CW29" s="782">
        <v>1</v>
      </c>
      <c r="CX29" s="780"/>
      <c r="CY29" s="780"/>
      <c r="CZ29" s="552"/>
      <c r="DA29" s="552"/>
      <c r="DB29" s="552"/>
      <c r="DC29" s="552"/>
      <c r="DD29" s="552"/>
      <c r="DE29" s="782">
        <v>3</v>
      </c>
      <c r="DF29" s="552"/>
      <c r="DG29" s="442"/>
      <c r="DH29" s="442"/>
      <c r="DI29" s="442"/>
      <c r="DJ29" s="1387">
        <v>1</v>
      </c>
      <c r="DK29" s="552"/>
      <c r="DL29" s="442"/>
      <c r="DM29" s="442"/>
      <c r="DN29" s="442"/>
      <c r="DO29" s="442"/>
      <c r="DP29" s="442"/>
      <c r="DQ29" s="442"/>
      <c r="DR29" s="442"/>
      <c r="DS29" s="442"/>
      <c r="DT29" s="442"/>
      <c r="DU29" s="442"/>
      <c r="DV29" s="442"/>
      <c r="DW29" s="442"/>
      <c r="DX29" s="442"/>
      <c r="DY29" s="442"/>
      <c r="DZ29" s="442"/>
      <c r="EA29" s="442"/>
      <c r="EB29" s="784"/>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1387">
        <v>3</v>
      </c>
      <c r="FA29" s="442"/>
      <c r="FB29" s="442"/>
      <c r="FC29" s="442"/>
      <c r="FD29" s="442"/>
      <c r="FE29" s="442"/>
      <c r="FF29" s="442"/>
      <c r="FG29" s="442"/>
      <c r="FH29" s="44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1338"/>
    </row>
    <row r="30" spans="1:195" ht="18.95" customHeight="1">
      <c r="A30" s="2216">
        <v>19</v>
      </c>
      <c r="B30" s="1336">
        <v>40</v>
      </c>
      <c r="C30" s="1389">
        <f t="shared" si="20"/>
        <v>715.7</v>
      </c>
      <c r="D30" s="549"/>
      <c r="E30" s="549"/>
      <c r="F30" s="549"/>
      <c r="G30" s="549"/>
      <c r="H30" s="549"/>
      <c r="I30" s="549"/>
      <c r="J30" s="549"/>
      <c r="K30" s="549"/>
      <c r="L30" s="549"/>
      <c r="M30" s="549"/>
      <c r="N30" s="549"/>
      <c r="O30" s="549"/>
      <c r="P30" s="549"/>
      <c r="Q30" s="549"/>
      <c r="R30" s="549"/>
      <c r="S30" s="549"/>
      <c r="T30" s="440"/>
      <c r="U30" s="441"/>
      <c r="V30" s="508" t="s">
        <v>501</v>
      </c>
      <c r="W30" s="441"/>
      <c r="X30" s="442"/>
      <c r="Y30" s="779"/>
      <c r="Z30" s="551">
        <v>1</v>
      </c>
      <c r="AA30" s="442"/>
      <c r="AB30" s="442"/>
      <c r="AC30" s="442"/>
      <c r="AD30" s="442"/>
      <c r="AE30" s="440">
        <v>1</v>
      </c>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442"/>
      <c r="CU30" s="552"/>
      <c r="CV30" s="552"/>
      <c r="CW30" s="782">
        <v>1</v>
      </c>
      <c r="CX30" s="780"/>
      <c r="CY30" s="780"/>
      <c r="CZ30" s="552"/>
      <c r="DA30" s="552"/>
      <c r="DB30" s="552"/>
      <c r="DC30" s="552"/>
      <c r="DD30" s="552"/>
      <c r="DE30" s="782">
        <v>3</v>
      </c>
      <c r="DF30" s="552"/>
      <c r="DG30" s="442"/>
      <c r="DH30" s="442"/>
      <c r="DI30" s="442"/>
      <c r="DJ30" s="1387">
        <v>1</v>
      </c>
      <c r="DK30" s="442"/>
      <c r="DL30" s="442"/>
      <c r="DM30" s="442"/>
      <c r="DN30" s="442"/>
      <c r="DO30" s="442"/>
      <c r="DP30" s="442"/>
      <c r="DQ30" s="442"/>
      <c r="DR30" s="442"/>
      <c r="DS30" s="442"/>
      <c r="DT30" s="442"/>
      <c r="DU30" s="442"/>
      <c r="DV30" s="442"/>
      <c r="DW30" s="442"/>
      <c r="DX30" s="442"/>
      <c r="DY30" s="442"/>
      <c r="DZ30" s="442"/>
      <c r="EA30" s="442"/>
      <c r="EB30" s="784"/>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1387">
        <v>3</v>
      </c>
      <c r="FA30" s="442"/>
      <c r="FB30" s="442"/>
      <c r="FC30" s="442"/>
      <c r="FD30" s="442"/>
      <c r="FE30" s="442"/>
      <c r="FF30" s="442"/>
      <c r="FG30" s="442"/>
      <c r="FH30" s="44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1377"/>
    </row>
    <row r="31" spans="1:195" s="472" customFormat="1" ht="18.95" customHeight="1">
      <c r="A31" s="2216">
        <v>20</v>
      </c>
      <c r="B31" s="1374">
        <v>40</v>
      </c>
      <c r="C31" s="1389">
        <f t="shared" si="20"/>
        <v>755.7</v>
      </c>
      <c r="D31" s="1374"/>
      <c r="E31" s="1374"/>
      <c r="F31" s="1374"/>
      <c r="G31" s="1374"/>
      <c r="H31" s="1374"/>
      <c r="I31" s="1374"/>
      <c r="J31" s="1374"/>
      <c r="K31" s="1374"/>
      <c r="L31" s="1374"/>
      <c r="M31" s="1374"/>
      <c r="N31" s="1374"/>
      <c r="O31" s="1374"/>
      <c r="P31" s="1374"/>
      <c r="Q31" s="1374"/>
      <c r="R31" s="1374"/>
      <c r="S31" s="1374"/>
      <c r="T31" s="1374"/>
      <c r="U31" s="1374"/>
      <c r="V31" s="2471" t="s">
        <v>1109</v>
      </c>
      <c r="W31" s="1374"/>
      <c r="X31" s="1374"/>
      <c r="Y31" s="1374"/>
      <c r="Z31" s="1374">
        <v>2</v>
      </c>
      <c r="AA31" s="1374"/>
      <c r="AB31" s="1374"/>
      <c r="AC31" s="1374"/>
      <c r="AD31" s="1374"/>
      <c r="AE31" s="1374"/>
      <c r="AF31" s="1374"/>
      <c r="AG31" s="1374"/>
      <c r="AH31" s="1374"/>
      <c r="AI31" s="1374"/>
      <c r="AJ31" s="1374"/>
      <c r="AK31" s="1374"/>
      <c r="AL31" s="1374"/>
      <c r="AM31" s="1374"/>
      <c r="AN31" s="1374"/>
      <c r="AO31" s="1374"/>
      <c r="AP31" s="1374"/>
      <c r="AQ31" s="1374"/>
      <c r="AR31" s="1374"/>
      <c r="AS31" s="1374">
        <v>1</v>
      </c>
      <c r="AT31" s="1374"/>
      <c r="AU31" s="1374"/>
      <c r="AV31" s="1374"/>
      <c r="AW31" s="1374"/>
      <c r="AX31" s="1374"/>
      <c r="AY31" s="1374"/>
      <c r="AZ31" s="1374"/>
      <c r="BA31" s="1374"/>
      <c r="BB31" s="1374"/>
      <c r="BC31" s="1374"/>
      <c r="BD31" s="1374"/>
      <c r="BE31" s="1374"/>
      <c r="BF31" s="1374"/>
      <c r="BG31" s="1374"/>
      <c r="BH31" s="1374"/>
      <c r="BI31" s="1374"/>
      <c r="BJ31" s="1374"/>
      <c r="BK31" s="1374"/>
      <c r="BL31" s="1374"/>
      <c r="BM31" s="1374"/>
      <c r="BN31" s="1374"/>
      <c r="BO31" s="1374"/>
      <c r="BP31" s="1374"/>
      <c r="BQ31" s="1374"/>
      <c r="BR31" s="1374"/>
      <c r="BS31" s="1374"/>
      <c r="BT31" s="1374"/>
      <c r="BU31" s="1374"/>
      <c r="BV31" s="1374"/>
      <c r="BW31" s="1374"/>
      <c r="BX31" s="1374"/>
      <c r="BY31" s="1374"/>
      <c r="BZ31" s="1374"/>
      <c r="CA31" s="1374"/>
      <c r="CB31" s="1374"/>
      <c r="CC31" s="1374"/>
      <c r="CD31" s="1374"/>
      <c r="CE31" s="1374"/>
      <c r="CF31" s="1374"/>
      <c r="CG31" s="1374"/>
      <c r="CH31" s="1374"/>
      <c r="CI31" s="1374"/>
      <c r="CJ31" s="1374"/>
      <c r="CK31" s="1374"/>
      <c r="CL31" s="1374"/>
      <c r="CM31" s="1374"/>
      <c r="CN31" s="1374"/>
      <c r="CO31" s="1374">
        <v>1</v>
      </c>
      <c r="CP31" s="1374"/>
      <c r="CQ31" s="1374"/>
      <c r="CR31" s="1374"/>
      <c r="CS31" s="1374"/>
      <c r="CT31" s="1374"/>
      <c r="CU31" s="1374"/>
      <c r="CV31" s="1374"/>
      <c r="CW31" s="1374"/>
      <c r="CX31" s="1374"/>
      <c r="CY31" s="1374"/>
      <c r="CZ31" s="1374"/>
      <c r="DA31" s="1374"/>
      <c r="DB31" s="1374"/>
      <c r="DC31" s="1374"/>
      <c r="DD31" s="1374"/>
      <c r="DE31" s="1374"/>
      <c r="DF31" s="1374">
        <v>3</v>
      </c>
      <c r="DG31" s="1374"/>
      <c r="DH31" s="1374"/>
      <c r="DI31" s="1374"/>
      <c r="DJ31" s="1374"/>
      <c r="DK31" s="1374"/>
      <c r="DL31" s="1374"/>
      <c r="DM31" s="1374">
        <v>1</v>
      </c>
      <c r="DN31" s="1374"/>
      <c r="DO31" s="1374"/>
      <c r="DP31" s="1374"/>
      <c r="DQ31" s="1374"/>
      <c r="DR31" s="1374"/>
      <c r="DS31" s="1374"/>
      <c r="DT31" s="1374"/>
      <c r="DU31" s="1374"/>
      <c r="DV31" s="1374"/>
      <c r="DW31" s="1374"/>
      <c r="DX31" s="1374"/>
      <c r="DY31" s="1374"/>
      <c r="DZ31" s="1374"/>
      <c r="EA31" s="1374"/>
      <c r="EB31" s="1374"/>
      <c r="EC31" s="1374"/>
      <c r="ED31" s="1374"/>
      <c r="EE31" s="1374"/>
      <c r="EF31" s="1374"/>
      <c r="EG31" s="1374"/>
      <c r="EH31" s="1374"/>
      <c r="EI31" s="1374"/>
      <c r="EJ31" s="1374"/>
      <c r="EK31" s="1374"/>
      <c r="EL31" s="1374"/>
      <c r="EM31" s="1374"/>
      <c r="EN31" s="1374"/>
      <c r="EO31" s="1374"/>
      <c r="EP31" s="1374"/>
      <c r="EQ31" s="1374"/>
      <c r="ER31" s="1374"/>
      <c r="ES31" s="1374"/>
      <c r="ET31" s="1374"/>
      <c r="EU31" s="1374"/>
      <c r="EV31" s="1374"/>
      <c r="EW31" s="1374"/>
      <c r="EX31" s="1374"/>
      <c r="EY31" s="1374"/>
      <c r="EZ31" s="1374"/>
      <c r="FA31" s="1374"/>
      <c r="FB31" s="1374"/>
      <c r="FC31" s="1374"/>
      <c r="FD31" s="1374"/>
      <c r="FE31" s="1374"/>
      <c r="FF31" s="1374"/>
      <c r="FG31" s="1374"/>
      <c r="FH31" s="1374"/>
      <c r="FI31" s="1374"/>
      <c r="FJ31" s="1374"/>
      <c r="FK31" s="1374"/>
      <c r="FL31" s="1374"/>
      <c r="FM31" s="1374"/>
      <c r="FN31" s="1374"/>
      <c r="FO31" s="1374"/>
      <c r="FP31" s="1374"/>
      <c r="FQ31" s="1374"/>
      <c r="FR31" s="1374"/>
      <c r="FS31" s="1374"/>
      <c r="FT31" s="1374"/>
      <c r="FU31" s="1374"/>
      <c r="FV31" s="1374"/>
      <c r="FW31" s="1374"/>
      <c r="FX31" s="1374"/>
      <c r="FY31" s="1374"/>
      <c r="FZ31" s="1374"/>
      <c r="GA31" s="1374"/>
      <c r="GB31" s="1374"/>
      <c r="GC31" s="1374"/>
      <c r="GD31" s="1374"/>
      <c r="GE31" s="1374"/>
      <c r="GF31" s="1374"/>
      <c r="GG31" s="1374"/>
      <c r="GH31" s="1374"/>
      <c r="GI31" s="1374"/>
      <c r="GJ31" s="1374"/>
      <c r="GK31" s="1375"/>
      <c r="GL31"/>
      <c r="GM31"/>
    </row>
    <row r="32" spans="1:195" ht="18.95" hidden="1" customHeight="1">
      <c r="A32" s="2217"/>
      <c r="B32" s="551"/>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2"/>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3"/>
      <c r="EB32" s="1034"/>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3"/>
      <c r="GK32" s="1035"/>
    </row>
    <row r="33" spans="1:193" ht="18.95" hidden="1" customHeight="1">
      <c r="A33" s="2218"/>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0"/>
      <c r="DC33" s="782"/>
      <c r="DD33" s="78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781"/>
      <c r="EC33" s="552"/>
      <c r="ED33" s="552"/>
      <c r="EE33" s="552"/>
      <c r="EF33" s="552"/>
      <c r="EG33" s="552"/>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1043"/>
    </row>
    <row r="34" spans="1:193" ht="18.95" hidden="1" customHeight="1">
      <c r="A34" s="2219"/>
      <c r="B34" s="1336"/>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781"/>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3"/>
      <c r="GK34" s="1337"/>
    </row>
    <row r="35" spans="1:193" ht="18.95" hidden="1" customHeight="1">
      <c r="A35" s="2219"/>
      <c r="B35" s="1336"/>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5"/>
      <c r="CU35" s="787"/>
      <c r="CV35" s="787"/>
      <c r="CW35" s="787"/>
      <c r="CX35" s="780"/>
      <c r="CY35" s="780"/>
      <c r="CZ35" s="787"/>
      <c r="DA35" s="787"/>
      <c r="DB35" s="787"/>
      <c r="DC35" s="787"/>
      <c r="DD35" s="787"/>
      <c r="DE35" s="552"/>
      <c r="DF35" s="552"/>
      <c r="DG35" s="785"/>
      <c r="DH35" s="785"/>
      <c r="DI35" s="785"/>
      <c r="DJ35" s="442"/>
      <c r="DK35" s="442"/>
      <c r="DL35" s="442"/>
      <c r="DM35" s="442"/>
      <c r="DN35" s="442"/>
      <c r="DO35" s="442"/>
      <c r="DP35" s="442"/>
      <c r="DQ35" s="442"/>
      <c r="DR35" s="442"/>
      <c r="DS35" s="442"/>
      <c r="DT35" s="442"/>
      <c r="DU35" s="442"/>
      <c r="DV35" s="442"/>
      <c r="DW35" s="442"/>
      <c r="DX35" s="442"/>
      <c r="DY35" s="442"/>
      <c r="DZ35" s="442"/>
      <c r="EA35" s="442"/>
      <c r="EB35" s="784"/>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1338"/>
    </row>
    <row r="36" spans="1:193" ht="18.95" hidden="1" customHeight="1">
      <c r="A36" s="2219"/>
      <c r="B36" s="1336"/>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552"/>
      <c r="CV36" s="552"/>
      <c r="CW36" s="552"/>
      <c r="CX36" s="780"/>
      <c r="CY36" s="780"/>
      <c r="CZ36" s="552"/>
      <c r="DA36" s="552"/>
      <c r="DB36" s="552"/>
      <c r="DC36" s="552"/>
      <c r="DD36" s="552"/>
      <c r="DE36" s="552"/>
      <c r="DF36" s="552"/>
      <c r="DG36" s="442"/>
      <c r="DH36" s="442"/>
      <c r="DI36" s="442"/>
      <c r="DJ36" s="442"/>
      <c r="DK36" s="442"/>
      <c r="DL36" s="442"/>
      <c r="DM36" s="442"/>
      <c r="DN36" s="442"/>
      <c r="DO36" s="442"/>
      <c r="DP36" s="442"/>
      <c r="DQ36" s="442"/>
      <c r="DR36" s="442"/>
      <c r="DS36" s="442"/>
      <c r="DT36" s="442"/>
      <c r="DU36" s="442"/>
      <c r="DV36" s="442"/>
      <c r="DW36" s="442"/>
      <c r="DX36" s="442"/>
      <c r="DY36" s="442"/>
      <c r="DZ36" s="442"/>
      <c r="EA36" s="442"/>
      <c r="EB36" s="784"/>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1338"/>
    </row>
    <row r="37" spans="1:193" ht="18.95" hidden="1" customHeight="1">
      <c r="A37" s="2219"/>
      <c r="B37" s="1336"/>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552"/>
      <c r="CV37" s="552"/>
      <c r="CW37" s="552"/>
      <c r="CX37" s="780"/>
      <c r="CY37" s="780"/>
      <c r="CZ37" s="552"/>
      <c r="DA37" s="552"/>
      <c r="DB37" s="552"/>
      <c r="DC37" s="552"/>
      <c r="DD37" s="552"/>
      <c r="DE37" s="552"/>
      <c r="DF37" s="552"/>
      <c r="DG37" s="442"/>
      <c r="DH37" s="442"/>
      <c r="DI37" s="442"/>
      <c r="DJ37" s="442"/>
      <c r="DK37" s="442"/>
      <c r="DL37" s="442"/>
      <c r="DM37" s="442"/>
      <c r="DN37" s="442"/>
      <c r="DO37" s="442"/>
      <c r="DP37" s="442"/>
      <c r="DQ37" s="442"/>
      <c r="DR37" s="442"/>
      <c r="DS37" s="442"/>
      <c r="DT37" s="442"/>
      <c r="DU37" s="442"/>
      <c r="DV37" s="442"/>
      <c r="DW37" s="442"/>
      <c r="DX37" s="442"/>
      <c r="DY37" s="442"/>
      <c r="DZ37" s="442"/>
      <c r="EA37" s="442"/>
      <c r="EB37" s="784"/>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1338"/>
    </row>
    <row r="38" spans="1:193" ht="18.95" hidden="1" customHeight="1">
      <c r="A38" s="2219"/>
      <c r="B38" s="1336"/>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5"/>
      <c r="CU38" s="787"/>
      <c r="CV38" s="787"/>
      <c r="CW38" s="787"/>
      <c r="CX38" s="780"/>
      <c r="CY38" s="780"/>
      <c r="CZ38" s="787"/>
      <c r="DA38" s="787"/>
      <c r="DB38" s="787"/>
      <c r="DC38" s="787"/>
      <c r="DD38" s="787"/>
      <c r="DE38" s="552"/>
      <c r="DF38" s="552"/>
      <c r="DG38" s="785"/>
      <c r="DH38" s="785"/>
      <c r="DI38" s="785"/>
      <c r="DJ38" s="442"/>
      <c r="DK38" s="442"/>
      <c r="DL38" s="442"/>
      <c r="DM38" s="442"/>
      <c r="DN38" s="442"/>
      <c r="DO38" s="442"/>
      <c r="DP38" s="442"/>
      <c r="DQ38" s="442"/>
      <c r="DR38" s="442"/>
      <c r="DS38" s="442"/>
      <c r="DT38" s="442"/>
      <c r="DU38" s="442"/>
      <c r="DV38" s="442"/>
      <c r="DW38" s="442"/>
      <c r="DX38" s="442"/>
      <c r="DY38" s="442"/>
      <c r="DZ38" s="442"/>
      <c r="EA38" s="442"/>
      <c r="EB38" s="784"/>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1338"/>
    </row>
    <row r="39" spans="1:193" ht="18.95" hidden="1" customHeight="1">
      <c r="A39" s="2219"/>
      <c r="B39" s="1336"/>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5"/>
      <c r="CU39" s="787"/>
      <c r="CV39" s="787"/>
      <c r="CW39" s="787"/>
      <c r="CX39" s="780"/>
      <c r="CY39" s="780"/>
      <c r="CZ39" s="787"/>
      <c r="DA39" s="787"/>
      <c r="DB39" s="787"/>
      <c r="DC39" s="787"/>
      <c r="DD39" s="787"/>
      <c r="DE39" s="552"/>
      <c r="DF39" s="552"/>
      <c r="DG39" s="785"/>
      <c r="DH39" s="785"/>
      <c r="DI39" s="785"/>
      <c r="DJ39" s="442"/>
      <c r="DK39" s="442"/>
      <c r="DL39" s="442"/>
      <c r="DM39" s="442"/>
      <c r="DN39" s="442"/>
      <c r="DO39" s="442"/>
      <c r="DP39" s="442"/>
      <c r="DQ39" s="442"/>
      <c r="DR39" s="442"/>
      <c r="DS39" s="442"/>
      <c r="DT39" s="442"/>
      <c r="DU39" s="442"/>
      <c r="DV39" s="442"/>
      <c r="DW39" s="442"/>
      <c r="DX39" s="442"/>
      <c r="DY39" s="442"/>
      <c r="DZ39" s="442"/>
      <c r="EA39" s="442"/>
      <c r="EB39" s="784"/>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1338"/>
    </row>
    <row r="40" spans="1:193" ht="18.95" hidden="1" customHeight="1">
      <c r="A40" s="2219"/>
      <c r="B40" s="1336"/>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5"/>
      <c r="CU40" s="787"/>
      <c r="CV40" s="787"/>
      <c r="CW40" s="787"/>
      <c r="CX40" s="780"/>
      <c r="CY40" s="780"/>
      <c r="CZ40" s="787"/>
      <c r="DA40" s="787"/>
      <c r="DB40" s="787"/>
      <c r="DC40" s="787"/>
      <c r="DD40" s="787"/>
      <c r="DE40" s="552"/>
      <c r="DF40" s="552"/>
      <c r="DG40" s="785"/>
      <c r="DH40" s="785"/>
      <c r="DI40" s="785"/>
      <c r="DJ40" s="442"/>
      <c r="DK40" s="442"/>
      <c r="DL40" s="442"/>
      <c r="DM40" s="442"/>
      <c r="DN40" s="442"/>
      <c r="DO40" s="442"/>
      <c r="DP40" s="442"/>
      <c r="DQ40" s="442"/>
      <c r="DR40" s="442"/>
      <c r="DS40" s="442"/>
      <c r="DT40" s="442"/>
      <c r="DU40" s="442"/>
      <c r="DV40" s="442"/>
      <c r="DW40" s="442"/>
      <c r="DX40" s="442"/>
      <c r="DY40" s="442"/>
      <c r="DZ40" s="442"/>
      <c r="EA40" s="442"/>
      <c r="EB40" s="784"/>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1338"/>
    </row>
    <row r="41" spans="1:193" ht="18.95" hidden="1" customHeight="1">
      <c r="A41" s="2219"/>
      <c r="B41" s="1336"/>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5"/>
      <c r="CU41" s="787"/>
      <c r="CV41" s="787"/>
      <c r="CW41" s="787"/>
      <c r="CX41" s="780"/>
      <c r="CY41" s="780"/>
      <c r="CZ41" s="787"/>
      <c r="DA41" s="787"/>
      <c r="DB41" s="787"/>
      <c r="DC41" s="787"/>
      <c r="DD41" s="787"/>
      <c r="DE41" s="552"/>
      <c r="DF41" s="552"/>
      <c r="DG41" s="785"/>
      <c r="DH41" s="785"/>
      <c r="DI41" s="785"/>
      <c r="DJ41" s="442"/>
      <c r="DK41" s="442"/>
      <c r="DL41" s="442"/>
      <c r="DM41" s="442"/>
      <c r="DN41" s="442"/>
      <c r="DO41" s="442"/>
      <c r="DP41" s="442"/>
      <c r="DQ41" s="442"/>
      <c r="DR41" s="442"/>
      <c r="DS41" s="442"/>
      <c r="DT41" s="442"/>
      <c r="DU41" s="442"/>
      <c r="DV41" s="442"/>
      <c r="DW41" s="442"/>
      <c r="DX41" s="442"/>
      <c r="DY41" s="442"/>
      <c r="DZ41" s="442"/>
      <c r="EA41" s="442"/>
      <c r="EB41" s="784"/>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1338"/>
    </row>
    <row r="42" spans="1:193" ht="18.95" hidden="1" customHeight="1">
      <c r="A42" s="2219"/>
      <c r="B42" s="1336"/>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5"/>
      <c r="CU42" s="787"/>
      <c r="CV42" s="787"/>
      <c r="CW42" s="787"/>
      <c r="CX42" s="780"/>
      <c r="CY42" s="780"/>
      <c r="CZ42" s="787"/>
      <c r="DA42" s="787"/>
      <c r="DB42" s="787"/>
      <c r="DC42" s="787"/>
      <c r="DD42" s="787"/>
      <c r="DE42" s="552"/>
      <c r="DF42" s="552"/>
      <c r="DG42" s="785"/>
      <c r="DH42" s="785"/>
      <c r="DI42" s="785"/>
      <c r="DJ42" s="442"/>
      <c r="DK42" s="442"/>
      <c r="DL42" s="442"/>
      <c r="DM42" s="442"/>
      <c r="DN42" s="442"/>
      <c r="DO42" s="442"/>
      <c r="DP42" s="442"/>
      <c r="DQ42" s="442"/>
      <c r="DR42" s="442"/>
      <c r="DS42" s="442"/>
      <c r="DT42" s="442"/>
      <c r="DU42" s="442"/>
      <c r="DV42" s="442"/>
      <c r="DW42" s="442"/>
      <c r="DX42" s="442"/>
      <c r="DY42" s="442"/>
      <c r="DZ42" s="442"/>
      <c r="EA42" s="442"/>
      <c r="EB42" s="784"/>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1338"/>
    </row>
    <row r="43" spans="1:193" ht="18.95" hidden="1" customHeight="1">
      <c r="A43" s="2219"/>
      <c r="B43" s="1336"/>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552"/>
      <c r="CV43" s="552"/>
      <c r="CW43" s="552"/>
      <c r="CX43" s="552"/>
      <c r="CY43" s="552"/>
      <c r="CZ43" s="552"/>
      <c r="DA43" s="552"/>
      <c r="DB43" s="552"/>
      <c r="DC43" s="552"/>
      <c r="DD43" s="552"/>
      <c r="DE43" s="552"/>
      <c r="DF43" s="442"/>
      <c r="DG43" s="442"/>
      <c r="DH43" s="442"/>
      <c r="DI43" s="442"/>
      <c r="DJ43" s="552"/>
      <c r="DK43" s="552"/>
      <c r="DL43" s="442"/>
      <c r="DM43" s="442"/>
      <c r="DN43" s="442"/>
      <c r="DO43" s="442"/>
      <c r="DP43" s="442"/>
      <c r="DQ43" s="442"/>
      <c r="DR43" s="442"/>
      <c r="DS43" s="442"/>
      <c r="DT43" s="442"/>
      <c r="DU43" s="442"/>
      <c r="DV43" s="442"/>
      <c r="DW43" s="442"/>
      <c r="DX43" s="442"/>
      <c r="DY43" s="442"/>
      <c r="DZ43" s="442"/>
      <c r="EA43" s="442"/>
      <c r="EB43" s="784"/>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1377"/>
    </row>
    <row r="44" spans="1:193" ht="18.95" hidden="1" customHeight="1">
      <c r="A44" s="2220"/>
      <c r="B44" s="1374"/>
      <c r="C44" s="1374"/>
      <c r="D44" s="1378"/>
      <c r="E44" s="1378"/>
      <c r="F44" s="1378"/>
      <c r="G44" s="1378"/>
      <c r="H44" s="1378"/>
      <c r="I44" s="1378"/>
      <c r="J44" s="1378"/>
      <c r="K44" s="1378"/>
      <c r="L44" s="1378"/>
      <c r="M44" s="1378"/>
      <c r="N44" s="1378"/>
      <c r="O44" s="1378"/>
      <c r="P44" s="1378"/>
      <c r="Q44" s="1378"/>
      <c r="R44" s="1378"/>
      <c r="S44" s="1378"/>
      <c r="T44" s="1378"/>
      <c r="U44" s="1378"/>
      <c r="V44" s="1378"/>
      <c r="W44" s="1374"/>
      <c r="X44" s="1374"/>
      <c r="Y44" s="1374"/>
      <c r="Z44" s="1374"/>
      <c r="AA44" s="1374"/>
      <c r="AB44" s="1374"/>
      <c r="AC44" s="1374"/>
      <c r="AD44" s="1374"/>
      <c r="AE44" s="1374"/>
      <c r="AF44" s="1374"/>
      <c r="AG44" s="1374"/>
      <c r="AH44" s="1374"/>
      <c r="AI44" s="1374"/>
      <c r="AJ44" s="1374"/>
      <c r="AK44" s="1374"/>
      <c r="AL44" s="1374"/>
      <c r="AM44" s="1374"/>
      <c r="AN44" s="1374"/>
      <c r="AO44" s="1374"/>
      <c r="AP44" s="1374"/>
      <c r="AQ44" s="1374"/>
      <c r="AR44" s="1374"/>
      <c r="AS44" s="1374"/>
      <c r="AT44" s="1374"/>
      <c r="AU44" s="1374"/>
      <c r="AV44" s="1374"/>
      <c r="AW44" s="1374"/>
      <c r="AX44" s="1374"/>
      <c r="AY44" s="1374"/>
      <c r="AZ44" s="1374"/>
      <c r="BA44" s="1374"/>
      <c r="BB44" s="1374"/>
      <c r="BC44" s="1374"/>
      <c r="BD44" s="1374"/>
      <c r="BE44" s="1374"/>
      <c r="BF44" s="1374"/>
      <c r="BG44" s="1374"/>
      <c r="BH44" s="1374"/>
      <c r="BI44" s="1374"/>
      <c r="BJ44" s="1374"/>
      <c r="BK44" s="1374"/>
      <c r="BL44" s="1374"/>
      <c r="BM44" s="1374"/>
      <c r="BN44" s="1374"/>
      <c r="BO44" s="1374"/>
      <c r="BP44" s="1374"/>
      <c r="BQ44" s="1374"/>
      <c r="BR44" s="1374"/>
      <c r="BS44" s="1374"/>
      <c r="BT44" s="1374"/>
      <c r="BU44" s="1374"/>
      <c r="BV44" s="1374"/>
      <c r="BW44" s="1374"/>
      <c r="BX44" s="1374"/>
      <c r="BY44" s="1374"/>
      <c r="BZ44" s="1374"/>
      <c r="CA44" s="1374"/>
      <c r="CB44" s="1374"/>
      <c r="CC44" s="1374"/>
      <c r="CD44" s="1374"/>
      <c r="CE44" s="1374"/>
      <c r="CF44" s="1374"/>
      <c r="CG44" s="1374"/>
      <c r="CH44" s="1374"/>
      <c r="CI44" s="1374"/>
      <c r="CJ44" s="1374"/>
      <c r="CK44" s="1374"/>
      <c r="CL44" s="1374"/>
      <c r="CM44" s="1374"/>
      <c r="CN44" s="1374"/>
      <c r="CO44" s="1374"/>
      <c r="CP44" s="1374"/>
      <c r="CQ44" s="1374"/>
      <c r="CR44" s="1374"/>
      <c r="CS44" s="1374"/>
      <c r="CT44" s="1374"/>
      <c r="CU44" s="1374"/>
      <c r="CV44" s="1374"/>
      <c r="CW44" s="1374"/>
      <c r="CX44" s="1374"/>
      <c r="CY44" s="1374"/>
      <c r="CZ44" s="1374"/>
      <c r="DA44" s="1374"/>
      <c r="DB44" s="1374"/>
      <c r="DC44" s="1374"/>
      <c r="DD44" s="1374"/>
      <c r="DE44" s="1374"/>
      <c r="DF44" s="1374"/>
      <c r="DG44" s="1374"/>
      <c r="DH44" s="1374"/>
      <c r="DI44" s="1374"/>
      <c r="DJ44" s="1374"/>
      <c r="DK44" s="1374"/>
      <c r="DL44" s="1374"/>
      <c r="DM44" s="1374"/>
      <c r="DN44" s="1374"/>
      <c r="DO44" s="1374"/>
      <c r="DP44" s="1374"/>
      <c r="DQ44" s="1374"/>
      <c r="DR44" s="1374"/>
      <c r="DS44" s="1374"/>
      <c r="DT44" s="1374"/>
      <c r="DU44" s="1374"/>
      <c r="DV44" s="1374"/>
      <c r="DW44" s="1374"/>
      <c r="DX44" s="1374"/>
      <c r="DY44" s="1374"/>
      <c r="DZ44" s="1374"/>
      <c r="EA44" s="1374"/>
      <c r="EB44" s="1374"/>
      <c r="EC44" s="1374"/>
      <c r="ED44" s="1374"/>
      <c r="EE44" s="1374"/>
      <c r="EF44" s="1374"/>
      <c r="EG44" s="1374"/>
      <c r="EH44" s="1374"/>
      <c r="EI44" s="1374"/>
      <c r="EJ44" s="1374"/>
      <c r="EK44" s="1374"/>
      <c r="EL44" s="1374"/>
      <c r="EM44" s="1374"/>
      <c r="EN44" s="1374"/>
      <c r="EO44" s="1374"/>
      <c r="EP44" s="1374"/>
      <c r="EQ44" s="1374"/>
      <c r="ER44" s="1374"/>
      <c r="ES44" s="1374"/>
      <c r="ET44" s="1374"/>
      <c r="EU44" s="1374"/>
      <c r="EV44" s="1374"/>
      <c r="EW44" s="1374"/>
      <c r="EX44" s="1374"/>
      <c r="EY44" s="1378"/>
      <c r="EZ44" s="1378"/>
      <c r="FA44" s="1378"/>
      <c r="FB44" s="1378"/>
      <c r="FC44" s="1378"/>
      <c r="FD44" s="1378"/>
      <c r="FE44" s="1378"/>
      <c r="FF44" s="1378"/>
      <c r="FG44" s="1378"/>
      <c r="FH44" s="1378"/>
      <c r="FI44" s="1378"/>
      <c r="FJ44" s="1378"/>
      <c r="FK44" s="1378"/>
      <c r="FL44" s="1378"/>
      <c r="FM44" s="1378"/>
      <c r="FN44" s="1378"/>
      <c r="FO44" s="1378"/>
      <c r="FP44" s="1378"/>
      <c r="FQ44" s="1378"/>
      <c r="FR44" s="1378"/>
      <c r="FS44" s="1378"/>
      <c r="FT44" s="1378"/>
      <c r="FU44" s="1378"/>
      <c r="FV44" s="1378"/>
      <c r="FW44" s="1378"/>
      <c r="FX44" s="1378"/>
      <c r="FY44" s="1378"/>
      <c r="FZ44" s="1378"/>
      <c r="GA44" s="1378"/>
      <c r="GB44" s="1378"/>
      <c r="GC44" s="1378"/>
      <c r="GD44" s="1378"/>
      <c r="GE44" s="1378"/>
      <c r="GF44" s="1378"/>
      <c r="GG44" s="1378"/>
      <c r="GH44" s="1378"/>
      <c r="GI44" s="1378"/>
      <c r="GJ44" s="1374"/>
      <c r="GK44" s="1379"/>
    </row>
    <row r="45" spans="1:193" ht="18.95" hidden="1" customHeight="1">
      <c r="A45" s="2221"/>
      <c r="B45" s="551"/>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2"/>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3"/>
      <c r="EB45" s="1034"/>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3"/>
      <c r="GK45" s="1035"/>
    </row>
    <row r="46" spans="1:193" ht="18.95" hidden="1" customHeight="1">
      <c r="A46" s="2219"/>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0"/>
      <c r="DC46" s="782"/>
      <c r="DD46" s="78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781"/>
      <c r="EC46" s="552"/>
      <c r="ED46" s="552"/>
      <c r="EE46" s="552"/>
      <c r="EF46" s="552"/>
      <c r="EG46" s="552"/>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1043"/>
    </row>
    <row r="47" spans="1:193" ht="18.95" hidden="1" customHeight="1">
      <c r="A47" s="1376"/>
      <c r="B47" s="1336"/>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781"/>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3"/>
      <c r="GK47" s="1337"/>
    </row>
    <row r="48" spans="1:193" ht="18.95" hidden="1" customHeight="1">
      <c r="A48" s="1376"/>
      <c r="B48" s="1336"/>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5"/>
      <c r="CU48" s="787"/>
      <c r="CV48" s="787"/>
      <c r="CW48" s="787"/>
      <c r="CX48" s="780"/>
      <c r="CY48" s="780"/>
      <c r="CZ48" s="787"/>
      <c r="DA48" s="787"/>
      <c r="DB48" s="787"/>
      <c r="DC48" s="787"/>
      <c r="DD48" s="787"/>
      <c r="DE48" s="552"/>
      <c r="DF48" s="552"/>
      <c r="DG48" s="785"/>
      <c r="DH48" s="785"/>
      <c r="DI48" s="785"/>
      <c r="DJ48" s="442"/>
      <c r="DK48" s="442"/>
      <c r="DL48" s="442"/>
      <c r="DM48" s="442"/>
      <c r="DN48" s="442"/>
      <c r="DO48" s="442"/>
      <c r="DP48" s="442"/>
      <c r="DQ48" s="442"/>
      <c r="DR48" s="442"/>
      <c r="DS48" s="442"/>
      <c r="DT48" s="442"/>
      <c r="DU48" s="442"/>
      <c r="DV48" s="442"/>
      <c r="DW48" s="442"/>
      <c r="DX48" s="442"/>
      <c r="DY48" s="442"/>
      <c r="DZ48" s="442"/>
      <c r="EA48" s="442"/>
      <c r="EB48" s="784"/>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1338"/>
    </row>
    <row r="49" spans="1:193" ht="18.95" hidden="1" customHeight="1">
      <c r="A49" s="1376"/>
      <c r="B49" s="1336"/>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5"/>
      <c r="CU49" s="787"/>
      <c r="CV49" s="787"/>
      <c r="CW49" s="787"/>
      <c r="CX49" s="780"/>
      <c r="CY49" s="780"/>
      <c r="CZ49" s="787"/>
      <c r="DA49" s="787"/>
      <c r="DB49" s="787"/>
      <c r="DC49" s="787"/>
      <c r="DD49" s="787"/>
      <c r="DE49" s="552"/>
      <c r="DF49" s="552"/>
      <c r="DG49" s="785"/>
      <c r="DH49" s="785"/>
      <c r="DI49" s="785"/>
      <c r="DJ49" s="442"/>
      <c r="DK49" s="442"/>
      <c r="DL49" s="442"/>
      <c r="DM49" s="442"/>
      <c r="DN49" s="442"/>
      <c r="DO49" s="442"/>
      <c r="DP49" s="442"/>
      <c r="DQ49" s="442"/>
      <c r="DR49" s="442"/>
      <c r="DS49" s="442"/>
      <c r="DT49" s="442"/>
      <c r="DU49" s="442"/>
      <c r="DV49" s="442"/>
      <c r="DW49" s="442"/>
      <c r="DX49" s="442"/>
      <c r="DY49" s="442"/>
      <c r="DZ49" s="442"/>
      <c r="EA49" s="442"/>
      <c r="EB49" s="784"/>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1338"/>
    </row>
    <row r="50" spans="1:193" ht="18.95" hidden="1" customHeight="1">
      <c r="A50" s="1376"/>
      <c r="B50" s="1336"/>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5"/>
      <c r="CU50" s="787"/>
      <c r="CV50" s="787"/>
      <c r="CW50" s="787"/>
      <c r="CX50" s="780"/>
      <c r="CY50" s="780"/>
      <c r="CZ50" s="787"/>
      <c r="DA50" s="787"/>
      <c r="DB50" s="787"/>
      <c r="DC50" s="787"/>
      <c r="DD50" s="787"/>
      <c r="DE50" s="552"/>
      <c r="DF50" s="552"/>
      <c r="DG50" s="785"/>
      <c r="DH50" s="785"/>
      <c r="DI50" s="785"/>
      <c r="DJ50" s="442"/>
      <c r="DK50" s="442"/>
      <c r="DL50" s="442"/>
      <c r="DM50" s="442"/>
      <c r="DN50" s="442"/>
      <c r="DO50" s="442"/>
      <c r="DP50" s="442"/>
      <c r="DQ50" s="442"/>
      <c r="DR50" s="442"/>
      <c r="DS50" s="442"/>
      <c r="DT50" s="442"/>
      <c r="DU50" s="442"/>
      <c r="DV50" s="442"/>
      <c r="DW50" s="442"/>
      <c r="DX50" s="442"/>
      <c r="DY50" s="442"/>
      <c r="DZ50" s="442"/>
      <c r="EA50" s="442"/>
      <c r="EB50" s="784"/>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1338"/>
    </row>
    <row r="51" spans="1:193" ht="18.95" hidden="1" customHeight="1">
      <c r="A51" s="1376"/>
      <c r="B51" s="1336"/>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5"/>
      <c r="CU51" s="787"/>
      <c r="CV51" s="787"/>
      <c r="CW51" s="787"/>
      <c r="CX51" s="780"/>
      <c r="CY51" s="780"/>
      <c r="CZ51" s="787"/>
      <c r="DA51" s="787"/>
      <c r="DB51" s="787"/>
      <c r="DC51" s="787"/>
      <c r="DD51" s="787"/>
      <c r="DE51" s="552"/>
      <c r="DF51" s="552"/>
      <c r="DG51" s="785"/>
      <c r="DH51" s="785"/>
      <c r="DI51" s="785"/>
      <c r="DJ51" s="442"/>
      <c r="DK51" s="442"/>
      <c r="DL51" s="442"/>
      <c r="DM51" s="442"/>
      <c r="DN51" s="442"/>
      <c r="DO51" s="442"/>
      <c r="DP51" s="442"/>
      <c r="DQ51" s="442"/>
      <c r="DR51" s="442"/>
      <c r="DS51" s="442"/>
      <c r="DT51" s="442"/>
      <c r="DU51" s="442"/>
      <c r="DV51" s="442"/>
      <c r="DW51" s="442"/>
      <c r="DX51" s="442"/>
      <c r="DY51" s="442"/>
      <c r="DZ51" s="442"/>
      <c r="EA51" s="442"/>
      <c r="EB51" s="784"/>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1338"/>
    </row>
    <row r="52" spans="1:193" ht="18.95" hidden="1" customHeight="1">
      <c r="A52" s="1376"/>
      <c r="B52" s="1336"/>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5"/>
      <c r="CU52" s="787"/>
      <c r="CV52" s="787"/>
      <c r="CW52" s="787"/>
      <c r="CX52" s="780"/>
      <c r="CY52" s="780"/>
      <c r="CZ52" s="787"/>
      <c r="DA52" s="787"/>
      <c r="DB52" s="787"/>
      <c r="DC52" s="787"/>
      <c r="DD52" s="787"/>
      <c r="DE52" s="552"/>
      <c r="DF52" s="552"/>
      <c r="DG52" s="785"/>
      <c r="DH52" s="785"/>
      <c r="DI52" s="785"/>
      <c r="DJ52" s="442"/>
      <c r="DK52" s="442"/>
      <c r="DL52" s="442"/>
      <c r="DM52" s="442"/>
      <c r="DN52" s="442"/>
      <c r="DO52" s="442"/>
      <c r="DP52" s="442"/>
      <c r="DQ52" s="442"/>
      <c r="DR52" s="442"/>
      <c r="DS52" s="442"/>
      <c r="DT52" s="442"/>
      <c r="DU52" s="442"/>
      <c r="DV52" s="442"/>
      <c r="DW52" s="442"/>
      <c r="DX52" s="442"/>
      <c r="DY52" s="442"/>
      <c r="DZ52" s="442"/>
      <c r="EA52" s="442"/>
      <c r="EB52" s="784"/>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1338"/>
    </row>
    <row r="53" spans="1:193" ht="18.95" hidden="1" customHeight="1">
      <c r="A53" s="1376"/>
      <c r="B53" s="1336"/>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5"/>
      <c r="CU53" s="787"/>
      <c r="CV53" s="787"/>
      <c r="CW53" s="787"/>
      <c r="CX53" s="780"/>
      <c r="CY53" s="780"/>
      <c r="CZ53" s="787"/>
      <c r="DA53" s="787"/>
      <c r="DB53" s="787"/>
      <c r="DC53" s="787"/>
      <c r="DD53" s="787"/>
      <c r="DE53" s="552"/>
      <c r="DF53" s="552"/>
      <c r="DG53" s="785"/>
      <c r="DH53" s="785"/>
      <c r="DI53" s="785"/>
      <c r="DJ53" s="442"/>
      <c r="DK53" s="442"/>
      <c r="DL53" s="442"/>
      <c r="DM53" s="442"/>
      <c r="DN53" s="442"/>
      <c r="DO53" s="442"/>
      <c r="DP53" s="442"/>
      <c r="DQ53" s="442"/>
      <c r="DR53" s="442"/>
      <c r="DS53" s="442"/>
      <c r="DT53" s="442"/>
      <c r="DU53" s="442"/>
      <c r="DV53" s="442"/>
      <c r="DW53" s="442"/>
      <c r="DX53" s="442"/>
      <c r="DY53" s="442"/>
      <c r="DZ53" s="442"/>
      <c r="EA53" s="442"/>
      <c r="EB53" s="784"/>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1338"/>
    </row>
    <row r="54" spans="1:193" ht="18.95" hidden="1" customHeight="1">
      <c r="A54" s="1376"/>
      <c r="B54" s="1336"/>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5"/>
      <c r="CU54" s="787"/>
      <c r="CV54" s="787"/>
      <c r="CW54" s="787"/>
      <c r="CX54" s="780"/>
      <c r="CY54" s="780"/>
      <c r="CZ54" s="787"/>
      <c r="DA54" s="787"/>
      <c r="DB54" s="787"/>
      <c r="DC54" s="787"/>
      <c r="DD54" s="787"/>
      <c r="DE54" s="552"/>
      <c r="DF54" s="552"/>
      <c r="DG54" s="785"/>
      <c r="DH54" s="785"/>
      <c r="DI54" s="785"/>
      <c r="DJ54" s="442"/>
      <c r="DK54" s="442"/>
      <c r="DL54" s="442"/>
      <c r="DM54" s="442"/>
      <c r="DN54" s="442"/>
      <c r="DO54" s="442"/>
      <c r="DP54" s="442"/>
      <c r="DQ54" s="442"/>
      <c r="DR54" s="442"/>
      <c r="DS54" s="442"/>
      <c r="DT54" s="442"/>
      <c r="DU54" s="442"/>
      <c r="DV54" s="442"/>
      <c r="DW54" s="442"/>
      <c r="DX54" s="442"/>
      <c r="DY54" s="442"/>
      <c r="DZ54" s="442"/>
      <c r="EA54" s="442"/>
      <c r="EB54" s="784"/>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1338"/>
    </row>
    <row r="55" spans="1:193" ht="18.95" hidden="1" customHeight="1">
      <c r="A55" s="1376"/>
      <c r="B55" s="1336"/>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5"/>
      <c r="CU55" s="787"/>
      <c r="CV55" s="787"/>
      <c r="CW55" s="787"/>
      <c r="CX55" s="780"/>
      <c r="CY55" s="780"/>
      <c r="CZ55" s="787"/>
      <c r="DA55" s="787"/>
      <c r="DB55" s="787"/>
      <c r="DC55" s="787"/>
      <c r="DD55" s="787"/>
      <c r="DE55" s="552"/>
      <c r="DF55" s="552"/>
      <c r="DG55" s="785"/>
      <c r="DH55" s="785"/>
      <c r="DI55" s="785"/>
      <c r="DJ55" s="442"/>
      <c r="DK55" s="442"/>
      <c r="DL55" s="442"/>
      <c r="DM55" s="442"/>
      <c r="DN55" s="442"/>
      <c r="DO55" s="442"/>
      <c r="DP55" s="442"/>
      <c r="DQ55" s="442"/>
      <c r="DR55" s="442"/>
      <c r="DS55" s="442"/>
      <c r="DT55" s="442"/>
      <c r="DU55" s="442"/>
      <c r="DV55" s="442"/>
      <c r="DW55" s="442"/>
      <c r="DX55" s="442"/>
      <c r="DY55" s="442"/>
      <c r="DZ55" s="442"/>
      <c r="EA55" s="442"/>
      <c r="EB55" s="784"/>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1338"/>
    </row>
    <row r="56" spans="1:193" ht="18.95" hidden="1" customHeight="1">
      <c r="A56" s="1376"/>
      <c r="B56" s="1336"/>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5"/>
      <c r="CU56" s="787"/>
      <c r="CV56" s="787"/>
      <c r="CW56" s="787"/>
      <c r="CX56" s="780"/>
      <c r="CY56" s="780"/>
      <c r="CZ56" s="787"/>
      <c r="DA56" s="787"/>
      <c r="DB56" s="787"/>
      <c r="DC56" s="787"/>
      <c r="DD56" s="787"/>
      <c r="DE56" s="552"/>
      <c r="DF56" s="552"/>
      <c r="DG56" s="785"/>
      <c r="DH56" s="785"/>
      <c r="DI56" s="785"/>
      <c r="DJ56" s="442"/>
      <c r="DK56" s="442"/>
      <c r="DL56" s="442"/>
      <c r="DM56" s="442"/>
      <c r="DN56" s="442"/>
      <c r="DO56" s="442"/>
      <c r="DP56" s="442"/>
      <c r="DQ56" s="442"/>
      <c r="DR56" s="442"/>
      <c r="DS56" s="442"/>
      <c r="DT56" s="442"/>
      <c r="DU56" s="442"/>
      <c r="DV56" s="442"/>
      <c r="DW56" s="442"/>
      <c r="DX56" s="442"/>
      <c r="DY56" s="442"/>
      <c r="DZ56" s="442"/>
      <c r="EA56" s="442"/>
      <c r="EB56" s="784"/>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1338"/>
    </row>
    <row r="57" spans="1:193" ht="18.95" hidden="1" customHeight="1">
      <c r="A57" s="1376"/>
      <c r="B57" s="1336"/>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5"/>
      <c r="CU57" s="787"/>
      <c r="CV57" s="787"/>
      <c r="CW57" s="787"/>
      <c r="CX57" s="780"/>
      <c r="CY57" s="780"/>
      <c r="CZ57" s="787"/>
      <c r="DA57" s="787"/>
      <c r="DB57" s="787"/>
      <c r="DC57" s="787"/>
      <c r="DD57" s="787"/>
      <c r="DE57" s="552"/>
      <c r="DF57" s="552"/>
      <c r="DG57" s="785"/>
      <c r="DH57" s="785"/>
      <c r="DI57" s="785"/>
      <c r="DJ57" s="442"/>
      <c r="DK57" s="442"/>
      <c r="DL57" s="442"/>
      <c r="DM57" s="442"/>
      <c r="DN57" s="442"/>
      <c r="DO57" s="442"/>
      <c r="DP57" s="442"/>
      <c r="DQ57" s="442"/>
      <c r="DR57" s="442"/>
      <c r="DS57" s="442"/>
      <c r="DT57" s="442"/>
      <c r="DU57" s="442"/>
      <c r="DV57" s="442"/>
      <c r="DW57" s="442"/>
      <c r="DX57" s="442"/>
      <c r="DY57" s="442"/>
      <c r="DZ57" s="442"/>
      <c r="EA57" s="442"/>
      <c r="EB57" s="784"/>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1338"/>
    </row>
    <row r="58" spans="1:193" ht="18.95" hidden="1" customHeight="1">
      <c r="A58" s="1376"/>
      <c r="B58" s="1336"/>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5"/>
      <c r="CU58" s="787"/>
      <c r="CV58" s="787"/>
      <c r="CW58" s="787"/>
      <c r="CX58" s="780"/>
      <c r="CY58" s="780"/>
      <c r="CZ58" s="787"/>
      <c r="DA58" s="787"/>
      <c r="DB58" s="787"/>
      <c r="DC58" s="787"/>
      <c r="DD58" s="787"/>
      <c r="DE58" s="552"/>
      <c r="DF58" s="552"/>
      <c r="DG58" s="785"/>
      <c r="DH58" s="785"/>
      <c r="DI58" s="785"/>
      <c r="DJ58" s="442"/>
      <c r="DK58" s="442"/>
      <c r="DL58" s="442"/>
      <c r="DM58" s="442"/>
      <c r="DN58" s="442"/>
      <c r="DO58" s="442"/>
      <c r="DP58" s="442"/>
      <c r="DQ58" s="442"/>
      <c r="DR58" s="442"/>
      <c r="DS58" s="442"/>
      <c r="DT58" s="442"/>
      <c r="DU58" s="442"/>
      <c r="DV58" s="442"/>
      <c r="DW58" s="442"/>
      <c r="DX58" s="442"/>
      <c r="DY58" s="442"/>
      <c r="DZ58" s="442"/>
      <c r="EA58" s="442"/>
      <c r="EB58" s="784"/>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1338"/>
    </row>
    <row r="59" spans="1:193" ht="18.95" hidden="1" customHeight="1">
      <c r="A59" s="1376"/>
      <c r="B59" s="1336"/>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5"/>
      <c r="CU59" s="787"/>
      <c r="CV59" s="787"/>
      <c r="CW59" s="787"/>
      <c r="CX59" s="780"/>
      <c r="CY59" s="780"/>
      <c r="CZ59" s="787"/>
      <c r="DA59" s="787"/>
      <c r="DB59" s="787"/>
      <c r="DC59" s="787"/>
      <c r="DD59" s="787"/>
      <c r="DE59" s="552"/>
      <c r="DF59" s="552"/>
      <c r="DG59" s="785"/>
      <c r="DH59" s="785"/>
      <c r="DI59" s="785"/>
      <c r="DJ59" s="442"/>
      <c r="DK59" s="442"/>
      <c r="DL59" s="442"/>
      <c r="DM59" s="442"/>
      <c r="DN59" s="442"/>
      <c r="DO59" s="442"/>
      <c r="DP59" s="442"/>
      <c r="DQ59" s="442"/>
      <c r="DR59" s="442"/>
      <c r="DS59" s="442"/>
      <c r="DT59" s="442"/>
      <c r="DU59" s="442"/>
      <c r="DV59" s="442"/>
      <c r="DW59" s="442"/>
      <c r="DX59" s="442"/>
      <c r="DY59" s="442"/>
      <c r="DZ59" s="442"/>
      <c r="EA59" s="442"/>
      <c r="EB59" s="784"/>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1338"/>
    </row>
    <row r="60" spans="1:193" ht="18.95" hidden="1" customHeight="1">
      <c r="A60" s="1376"/>
      <c r="B60" s="1336"/>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552"/>
      <c r="CV60" s="552"/>
      <c r="CW60" s="552"/>
      <c r="CX60" s="552"/>
      <c r="CY60" s="552"/>
      <c r="CZ60" s="552"/>
      <c r="DA60" s="552"/>
      <c r="DB60" s="552"/>
      <c r="DC60" s="552"/>
      <c r="DD60" s="552"/>
      <c r="DE60" s="552"/>
      <c r="DF60" s="442"/>
      <c r="DG60" s="442"/>
      <c r="DH60" s="442"/>
      <c r="DI60" s="442"/>
      <c r="DJ60" s="552"/>
      <c r="DK60" s="552"/>
      <c r="DL60" s="442"/>
      <c r="DM60" s="442"/>
      <c r="DN60" s="442"/>
      <c r="DO60" s="442"/>
      <c r="DP60" s="442"/>
      <c r="DQ60" s="442"/>
      <c r="DR60" s="442"/>
      <c r="DS60" s="442"/>
      <c r="DT60" s="442"/>
      <c r="DU60" s="442"/>
      <c r="DV60" s="442"/>
      <c r="DW60" s="442"/>
      <c r="DX60" s="442"/>
      <c r="DY60" s="442"/>
      <c r="DZ60" s="442"/>
      <c r="EA60" s="442"/>
      <c r="EB60" s="784"/>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1377"/>
    </row>
    <row r="61" spans="1:193" ht="18.95" hidden="1" customHeight="1">
      <c r="A61" s="1373"/>
      <c r="B61" s="1374"/>
      <c r="C61" s="1374"/>
      <c r="D61" s="1378"/>
      <c r="E61" s="1378"/>
      <c r="F61" s="1378"/>
      <c r="G61" s="1378"/>
      <c r="H61" s="1378"/>
      <c r="I61" s="1378"/>
      <c r="J61" s="1378"/>
      <c r="K61" s="1378"/>
      <c r="L61" s="1378"/>
      <c r="M61" s="1378"/>
      <c r="N61" s="1378"/>
      <c r="O61" s="1378"/>
      <c r="P61" s="1378"/>
      <c r="Q61" s="1378"/>
      <c r="R61" s="1378"/>
      <c r="S61" s="1378"/>
      <c r="T61" s="1378"/>
      <c r="U61" s="1378"/>
      <c r="V61" s="1378"/>
      <c r="W61" s="1374"/>
      <c r="X61" s="1374"/>
      <c r="Y61" s="1374"/>
      <c r="Z61" s="1374"/>
      <c r="AA61" s="1374"/>
      <c r="AB61" s="1374"/>
      <c r="AC61" s="1374"/>
      <c r="AD61" s="1374"/>
      <c r="AE61" s="1374"/>
      <c r="AF61" s="1374"/>
      <c r="AG61" s="1374"/>
      <c r="AH61" s="1374"/>
      <c r="AI61" s="1374"/>
      <c r="AJ61" s="1374"/>
      <c r="AK61" s="1374"/>
      <c r="AL61" s="1374"/>
      <c r="AM61" s="1374"/>
      <c r="AN61" s="1374"/>
      <c r="AO61" s="1374"/>
      <c r="AP61" s="1374"/>
      <c r="AQ61" s="1374"/>
      <c r="AR61" s="1374"/>
      <c r="AS61" s="1374"/>
      <c r="AT61" s="1374"/>
      <c r="AU61" s="1374"/>
      <c r="AV61" s="1374"/>
      <c r="AW61" s="1374"/>
      <c r="AX61" s="1374"/>
      <c r="AY61" s="1374"/>
      <c r="AZ61" s="1374"/>
      <c r="BA61" s="1374"/>
      <c r="BB61" s="1374"/>
      <c r="BC61" s="1374"/>
      <c r="BD61" s="1374"/>
      <c r="BE61" s="1374"/>
      <c r="BF61" s="1374"/>
      <c r="BG61" s="1374"/>
      <c r="BH61" s="1374"/>
      <c r="BI61" s="1374"/>
      <c r="BJ61" s="1374"/>
      <c r="BK61" s="1374"/>
      <c r="BL61" s="1374"/>
      <c r="BM61" s="1374"/>
      <c r="BN61" s="1374"/>
      <c r="BO61" s="1374"/>
      <c r="BP61" s="1374"/>
      <c r="BQ61" s="1374"/>
      <c r="BR61" s="1374"/>
      <c r="BS61" s="1374"/>
      <c r="BT61" s="1374"/>
      <c r="BU61" s="1374"/>
      <c r="BV61" s="1374"/>
      <c r="BW61" s="1374"/>
      <c r="BX61" s="1374"/>
      <c r="BY61" s="1374"/>
      <c r="BZ61" s="1374"/>
      <c r="CA61" s="1374"/>
      <c r="CB61" s="1374"/>
      <c r="CC61" s="1374"/>
      <c r="CD61" s="1374"/>
      <c r="CE61" s="1374"/>
      <c r="CF61" s="1374"/>
      <c r="CG61" s="1374"/>
      <c r="CH61" s="1374"/>
      <c r="CI61" s="1374"/>
      <c r="CJ61" s="1374"/>
      <c r="CK61" s="1374"/>
      <c r="CL61" s="1374"/>
      <c r="CM61" s="1374"/>
      <c r="CN61" s="1374"/>
      <c r="CO61" s="1374"/>
      <c r="CP61" s="1374"/>
      <c r="CQ61" s="1374"/>
      <c r="CR61" s="1374"/>
      <c r="CS61" s="1374"/>
      <c r="CT61" s="1374"/>
      <c r="CU61" s="1374"/>
      <c r="CV61" s="1374"/>
      <c r="CW61" s="1374"/>
      <c r="CX61" s="1374"/>
      <c r="CY61" s="1374"/>
      <c r="CZ61" s="1374"/>
      <c r="DA61" s="1374"/>
      <c r="DB61" s="1374"/>
      <c r="DC61" s="1374"/>
      <c r="DD61" s="1374"/>
      <c r="DE61" s="1374"/>
      <c r="DF61" s="1374"/>
      <c r="DG61" s="1374"/>
      <c r="DH61" s="1374"/>
      <c r="DI61" s="1374"/>
      <c r="DJ61" s="1374"/>
      <c r="DK61" s="1374"/>
      <c r="DL61" s="1374"/>
      <c r="DM61" s="1374"/>
      <c r="DN61" s="1374"/>
      <c r="DO61" s="1374"/>
      <c r="DP61" s="1374"/>
      <c r="DQ61" s="1374"/>
      <c r="DR61" s="1374"/>
      <c r="DS61" s="1374"/>
      <c r="DT61" s="1374"/>
      <c r="DU61" s="1374"/>
      <c r="DV61" s="1374"/>
      <c r="DW61" s="1374"/>
      <c r="DX61" s="1374"/>
      <c r="DY61" s="1374"/>
      <c r="DZ61" s="1374"/>
      <c r="EA61" s="1374"/>
      <c r="EB61" s="1374"/>
      <c r="EC61" s="1374"/>
      <c r="ED61" s="1374"/>
      <c r="EE61" s="1374"/>
      <c r="EF61" s="1374"/>
      <c r="EG61" s="1374"/>
      <c r="EH61" s="1374"/>
      <c r="EI61" s="1374"/>
      <c r="EJ61" s="1374"/>
      <c r="EK61" s="1374"/>
      <c r="EL61" s="1374"/>
      <c r="EM61" s="1374"/>
      <c r="EN61" s="1374"/>
      <c r="EO61" s="1374"/>
      <c r="EP61" s="1374"/>
      <c r="EQ61" s="1374"/>
      <c r="ER61" s="1374"/>
      <c r="ES61" s="1374"/>
      <c r="ET61" s="1374"/>
      <c r="EU61" s="1374"/>
      <c r="EV61" s="1374"/>
      <c r="EW61" s="1374"/>
      <c r="EX61" s="1374"/>
      <c r="EY61" s="1378"/>
      <c r="EZ61" s="1378"/>
      <c r="FA61" s="1378"/>
      <c r="FB61" s="1378"/>
      <c r="FC61" s="1378"/>
      <c r="FD61" s="1378"/>
      <c r="FE61" s="1378"/>
      <c r="FF61" s="1378"/>
      <c r="FG61" s="1378"/>
      <c r="FH61" s="1378"/>
      <c r="FI61" s="1378"/>
      <c r="FJ61" s="1378"/>
      <c r="FK61" s="1378"/>
      <c r="FL61" s="1378"/>
      <c r="FM61" s="1378"/>
      <c r="FN61" s="1378"/>
      <c r="FO61" s="1378"/>
      <c r="FP61" s="1378"/>
      <c r="FQ61" s="1378"/>
      <c r="FR61" s="1378"/>
      <c r="FS61" s="1378"/>
      <c r="FT61" s="1378"/>
      <c r="FU61" s="1378"/>
      <c r="FV61" s="1378"/>
      <c r="FW61" s="1378"/>
      <c r="FX61" s="1378"/>
      <c r="FY61" s="1378"/>
      <c r="FZ61" s="1378"/>
      <c r="GA61" s="1378"/>
      <c r="GB61" s="1378"/>
      <c r="GC61" s="1378"/>
      <c r="GD61" s="1378"/>
      <c r="GE61" s="1378"/>
      <c r="GF61" s="1378"/>
      <c r="GG61" s="1378"/>
      <c r="GH61" s="1378"/>
      <c r="GI61" s="1378"/>
      <c r="GJ61" s="1378"/>
      <c r="GK61" s="1379"/>
    </row>
    <row r="62" spans="1:193" ht="18.95"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2"/>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3"/>
      <c r="EB62" s="1034"/>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3"/>
      <c r="GK62" s="1035"/>
    </row>
    <row r="63" spans="1:193" ht="18.95" hidden="1" customHeight="1">
      <c r="A63" s="1376"/>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0"/>
      <c r="DC63" s="782"/>
      <c r="DD63" s="78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781"/>
      <c r="EC63" s="552"/>
      <c r="ED63" s="552"/>
      <c r="EE63" s="552"/>
      <c r="EF63" s="552"/>
      <c r="EG63" s="552"/>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1043"/>
    </row>
    <row r="64" spans="1:193" ht="18.95" hidden="1" customHeight="1">
      <c r="A64" s="1376"/>
      <c r="B64" s="1336"/>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781"/>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3"/>
      <c r="GK64" s="1337"/>
    </row>
    <row r="65" spans="1:193" ht="18.95" hidden="1" customHeight="1">
      <c r="A65" s="1376"/>
      <c r="B65" s="1336"/>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5"/>
      <c r="CU65" s="787"/>
      <c r="CV65" s="787"/>
      <c r="CW65" s="787"/>
      <c r="CX65" s="780"/>
      <c r="CY65" s="780"/>
      <c r="CZ65" s="787"/>
      <c r="DA65" s="787"/>
      <c r="DB65" s="787"/>
      <c r="DC65" s="787"/>
      <c r="DD65" s="787"/>
      <c r="DE65" s="552"/>
      <c r="DF65" s="552"/>
      <c r="DG65" s="785"/>
      <c r="DH65" s="785"/>
      <c r="DI65" s="785"/>
      <c r="DJ65" s="442"/>
      <c r="DK65" s="442"/>
      <c r="DL65" s="442"/>
      <c r="DM65" s="442"/>
      <c r="DN65" s="442"/>
      <c r="DO65" s="442"/>
      <c r="DP65" s="442"/>
      <c r="DQ65" s="442"/>
      <c r="DR65" s="442"/>
      <c r="DS65" s="442"/>
      <c r="DT65" s="442"/>
      <c r="DU65" s="442"/>
      <c r="DV65" s="442"/>
      <c r="DW65" s="442"/>
      <c r="DX65" s="442"/>
      <c r="DY65" s="442"/>
      <c r="DZ65" s="442"/>
      <c r="EA65" s="442"/>
      <c r="EB65" s="784"/>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1338"/>
    </row>
    <row r="66" spans="1:193" ht="18.95" hidden="1" customHeight="1">
      <c r="A66" s="1376"/>
      <c r="B66" s="1336"/>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5"/>
      <c r="CU66" s="787"/>
      <c r="CV66" s="787"/>
      <c r="CW66" s="787"/>
      <c r="CX66" s="780"/>
      <c r="CY66" s="780"/>
      <c r="CZ66" s="787"/>
      <c r="DA66" s="787"/>
      <c r="DB66" s="787"/>
      <c r="DC66" s="787"/>
      <c r="DD66" s="787"/>
      <c r="DE66" s="552"/>
      <c r="DF66" s="552"/>
      <c r="DG66" s="785"/>
      <c r="DH66" s="785"/>
      <c r="DI66" s="785"/>
      <c r="DJ66" s="442"/>
      <c r="DK66" s="442"/>
      <c r="DL66" s="442"/>
      <c r="DM66" s="442"/>
      <c r="DN66" s="442"/>
      <c r="DO66" s="442"/>
      <c r="DP66" s="442"/>
      <c r="DQ66" s="442"/>
      <c r="DR66" s="442"/>
      <c r="DS66" s="442"/>
      <c r="DT66" s="442"/>
      <c r="DU66" s="442"/>
      <c r="DV66" s="442"/>
      <c r="DW66" s="442"/>
      <c r="DX66" s="442"/>
      <c r="DY66" s="442"/>
      <c r="DZ66" s="442"/>
      <c r="EA66" s="442"/>
      <c r="EB66" s="784"/>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1338"/>
    </row>
    <row r="67" spans="1:193" ht="18.95" hidden="1" customHeight="1">
      <c r="A67" s="1376"/>
      <c r="B67" s="1336"/>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5"/>
      <c r="CU67" s="787"/>
      <c r="CV67" s="787"/>
      <c r="CW67" s="787"/>
      <c r="CX67" s="780"/>
      <c r="CY67" s="780"/>
      <c r="CZ67" s="787"/>
      <c r="DA67" s="787"/>
      <c r="DB67" s="787"/>
      <c r="DC67" s="787"/>
      <c r="DD67" s="787"/>
      <c r="DE67" s="552"/>
      <c r="DF67" s="552"/>
      <c r="DG67" s="785"/>
      <c r="DH67" s="785"/>
      <c r="DI67" s="785"/>
      <c r="DJ67" s="442"/>
      <c r="DK67" s="442"/>
      <c r="DL67" s="442"/>
      <c r="DM67" s="442"/>
      <c r="DN67" s="442"/>
      <c r="DO67" s="442"/>
      <c r="DP67" s="442"/>
      <c r="DQ67" s="442"/>
      <c r="DR67" s="442"/>
      <c r="DS67" s="442"/>
      <c r="DT67" s="442"/>
      <c r="DU67" s="442"/>
      <c r="DV67" s="442"/>
      <c r="DW67" s="442"/>
      <c r="DX67" s="442"/>
      <c r="DY67" s="442"/>
      <c r="DZ67" s="442"/>
      <c r="EA67" s="442"/>
      <c r="EB67" s="784"/>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1338"/>
    </row>
    <row r="68" spans="1:193" ht="18.95" hidden="1" customHeight="1">
      <c r="A68" s="1376"/>
      <c r="B68" s="1336"/>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5"/>
      <c r="CU68" s="787"/>
      <c r="CV68" s="787"/>
      <c r="CW68" s="787"/>
      <c r="CX68" s="780"/>
      <c r="CY68" s="780"/>
      <c r="CZ68" s="787"/>
      <c r="DA68" s="787"/>
      <c r="DB68" s="787"/>
      <c r="DC68" s="787"/>
      <c r="DD68" s="787"/>
      <c r="DE68" s="552"/>
      <c r="DF68" s="552"/>
      <c r="DG68" s="785"/>
      <c r="DH68" s="785"/>
      <c r="DI68" s="785"/>
      <c r="DJ68" s="442"/>
      <c r="DK68" s="442"/>
      <c r="DL68" s="442"/>
      <c r="DM68" s="442"/>
      <c r="DN68" s="442"/>
      <c r="DO68" s="442"/>
      <c r="DP68" s="442"/>
      <c r="DQ68" s="442"/>
      <c r="DR68" s="442"/>
      <c r="DS68" s="442"/>
      <c r="DT68" s="442"/>
      <c r="DU68" s="442"/>
      <c r="DV68" s="442"/>
      <c r="DW68" s="442"/>
      <c r="DX68" s="442"/>
      <c r="DY68" s="442"/>
      <c r="DZ68" s="442"/>
      <c r="EA68" s="442"/>
      <c r="EB68" s="784"/>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1338"/>
    </row>
    <row r="69" spans="1:193" ht="18.95" hidden="1" customHeight="1">
      <c r="A69" s="1376"/>
      <c r="B69" s="1336"/>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5"/>
      <c r="CU69" s="787"/>
      <c r="CV69" s="787"/>
      <c r="CW69" s="787"/>
      <c r="CX69" s="780"/>
      <c r="CY69" s="780"/>
      <c r="CZ69" s="787"/>
      <c r="DA69" s="787"/>
      <c r="DB69" s="787"/>
      <c r="DC69" s="787"/>
      <c r="DD69" s="787"/>
      <c r="DE69" s="552"/>
      <c r="DF69" s="552"/>
      <c r="DG69" s="785"/>
      <c r="DH69" s="785"/>
      <c r="DI69" s="785"/>
      <c r="DJ69" s="442"/>
      <c r="DK69" s="442"/>
      <c r="DL69" s="442"/>
      <c r="DM69" s="442"/>
      <c r="DN69" s="442"/>
      <c r="DO69" s="442"/>
      <c r="DP69" s="442"/>
      <c r="DQ69" s="442"/>
      <c r="DR69" s="442"/>
      <c r="DS69" s="442"/>
      <c r="DT69" s="442"/>
      <c r="DU69" s="442"/>
      <c r="DV69" s="442"/>
      <c r="DW69" s="442"/>
      <c r="DX69" s="442"/>
      <c r="DY69" s="442"/>
      <c r="DZ69" s="442"/>
      <c r="EA69" s="442"/>
      <c r="EB69" s="784"/>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1338"/>
    </row>
    <row r="70" spans="1:193" ht="18.95" hidden="1" customHeight="1">
      <c r="A70" s="1376"/>
      <c r="B70" s="1336"/>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5"/>
      <c r="CU70" s="787"/>
      <c r="CV70" s="787"/>
      <c r="CW70" s="787"/>
      <c r="CX70" s="780"/>
      <c r="CY70" s="780"/>
      <c r="CZ70" s="787"/>
      <c r="DA70" s="787"/>
      <c r="DB70" s="787"/>
      <c r="DC70" s="787"/>
      <c r="DD70" s="787"/>
      <c r="DE70" s="552"/>
      <c r="DF70" s="552"/>
      <c r="DG70" s="785"/>
      <c r="DH70" s="785"/>
      <c r="DI70" s="785"/>
      <c r="DJ70" s="442"/>
      <c r="DK70" s="442"/>
      <c r="DL70" s="442"/>
      <c r="DM70" s="442"/>
      <c r="DN70" s="442"/>
      <c r="DO70" s="442"/>
      <c r="DP70" s="442"/>
      <c r="DQ70" s="442"/>
      <c r="DR70" s="442"/>
      <c r="DS70" s="442"/>
      <c r="DT70" s="442"/>
      <c r="DU70" s="442"/>
      <c r="DV70" s="442"/>
      <c r="DW70" s="442"/>
      <c r="DX70" s="442"/>
      <c r="DY70" s="442"/>
      <c r="DZ70" s="442"/>
      <c r="EA70" s="442"/>
      <c r="EB70" s="784"/>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1338"/>
    </row>
    <row r="71" spans="1:193" ht="18.95" hidden="1" customHeight="1">
      <c r="A71" s="1376"/>
      <c r="B71" s="1336"/>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5"/>
      <c r="CU71" s="787"/>
      <c r="CV71" s="787"/>
      <c r="CW71" s="787"/>
      <c r="CX71" s="780"/>
      <c r="CY71" s="780"/>
      <c r="CZ71" s="787"/>
      <c r="DA71" s="787"/>
      <c r="DB71" s="787"/>
      <c r="DC71" s="787"/>
      <c r="DD71" s="787"/>
      <c r="DE71" s="552"/>
      <c r="DF71" s="552"/>
      <c r="DG71" s="785"/>
      <c r="DH71" s="785"/>
      <c r="DI71" s="785"/>
      <c r="DJ71" s="442"/>
      <c r="DK71" s="442"/>
      <c r="DL71" s="442"/>
      <c r="DM71" s="442"/>
      <c r="DN71" s="442"/>
      <c r="DO71" s="442"/>
      <c r="DP71" s="442"/>
      <c r="DQ71" s="442"/>
      <c r="DR71" s="442"/>
      <c r="DS71" s="442"/>
      <c r="DT71" s="442"/>
      <c r="DU71" s="442"/>
      <c r="DV71" s="442"/>
      <c r="DW71" s="442"/>
      <c r="DX71" s="442"/>
      <c r="DY71" s="442"/>
      <c r="DZ71" s="442"/>
      <c r="EA71" s="442"/>
      <c r="EB71" s="784"/>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1338"/>
    </row>
    <row r="72" spans="1:193" ht="18.95" hidden="1" customHeight="1">
      <c r="A72" s="1376"/>
      <c r="B72" s="1336"/>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5"/>
      <c r="CU72" s="787"/>
      <c r="CV72" s="787"/>
      <c r="CW72" s="787"/>
      <c r="CX72" s="780"/>
      <c r="CY72" s="780"/>
      <c r="CZ72" s="787"/>
      <c r="DA72" s="787"/>
      <c r="DB72" s="787"/>
      <c r="DC72" s="787"/>
      <c r="DD72" s="787"/>
      <c r="DE72" s="552"/>
      <c r="DF72" s="552"/>
      <c r="DG72" s="785"/>
      <c r="DH72" s="785"/>
      <c r="DI72" s="785"/>
      <c r="DJ72" s="442"/>
      <c r="DK72" s="442"/>
      <c r="DL72" s="442"/>
      <c r="DM72" s="442"/>
      <c r="DN72" s="442"/>
      <c r="DO72" s="442"/>
      <c r="DP72" s="442"/>
      <c r="DQ72" s="442"/>
      <c r="DR72" s="442"/>
      <c r="DS72" s="442"/>
      <c r="DT72" s="442"/>
      <c r="DU72" s="442"/>
      <c r="DV72" s="442"/>
      <c r="DW72" s="442"/>
      <c r="DX72" s="442"/>
      <c r="DY72" s="442"/>
      <c r="DZ72" s="442"/>
      <c r="EA72" s="442"/>
      <c r="EB72" s="784"/>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1338"/>
    </row>
    <row r="73" spans="1:193" ht="18.95" hidden="1" customHeight="1">
      <c r="A73" s="1376"/>
      <c r="B73" s="1336"/>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5"/>
      <c r="CU73" s="787"/>
      <c r="CV73" s="787"/>
      <c r="CW73" s="787"/>
      <c r="CX73" s="780"/>
      <c r="CY73" s="780"/>
      <c r="CZ73" s="787"/>
      <c r="DA73" s="787"/>
      <c r="DB73" s="787"/>
      <c r="DC73" s="787"/>
      <c r="DD73" s="787"/>
      <c r="DE73" s="552"/>
      <c r="DF73" s="552"/>
      <c r="DG73" s="785"/>
      <c r="DH73" s="785"/>
      <c r="DI73" s="785"/>
      <c r="DJ73" s="442"/>
      <c r="DK73" s="442"/>
      <c r="DL73" s="442"/>
      <c r="DM73" s="442"/>
      <c r="DN73" s="442"/>
      <c r="DO73" s="442"/>
      <c r="DP73" s="442"/>
      <c r="DQ73" s="442"/>
      <c r="DR73" s="442"/>
      <c r="DS73" s="442"/>
      <c r="DT73" s="442"/>
      <c r="DU73" s="442"/>
      <c r="DV73" s="442"/>
      <c r="DW73" s="442"/>
      <c r="DX73" s="442"/>
      <c r="DY73" s="442"/>
      <c r="DZ73" s="442"/>
      <c r="EA73" s="442"/>
      <c r="EB73" s="784"/>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1338"/>
    </row>
    <row r="74" spans="1:193" ht="18.95" hidden="1" customHeight="1">
      <c r="A74" s="1376"/>
      <c r="B74" s="1336"/>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5"/>
      <c r="CU74" s="787"/>
      <c r="CV74" s="787"/>
      <c r="CW74" s="787"/>
      <c r="CX74" s="780"/>
      <c r="CY74" s="780"/>
      <c r="CZ74" s="787"/>
      <c r="DA74" s="787"/>
      <c r="DB74" s="787"/>
      <c r="DC74" s="787"/>
      <c r="DD74" s="787"/>
      <c r="DE74" s="552"/>
      <c r="DF74" s="552"/>
      <c r="DG74" s="785"/>
      <c r="DH74" s="785"/>
      <c r="DI74" s="785"/>
      <c r="DJ74" s="442"/>
      <c r="DK74" s="442"/>
      <c r="DL74" s="442"/>
      <c r="DM74" s="442"/>
      <c r="DN74" s="442"/>
      <c r="DO74" s="442"/>
      <c r="DP74" s="442"/>
      <c r="DQ74" s="442"/>
      <c r="DR74" s="442"/>
      <c r="DS74" s="442"/>
      <c r="DT74" s="442"/>
      <c r="DU74" s="442"/>
      <c r="DV74" s="442"/>
      <c r="DW74" s="442"/>
      <c r="DX74" s="442"/>
      <c r="DY74" s="442"/>
      <c r="DZ74" s="442"/>
      <c r="EA74" s="442"/>
      <c r="EB74" s="784"/>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1338"/>
    </row>
    <row r="75" spans="1:193" ht="18.95" hidden="1" customHeight="1">
      <c r="A75" s="1376"/>
      <c r="B75" s="1336"/>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552"/>
      <c r="CV75" s="552"/>
      <c r="CW75" s="552"/>
      <c r="CX75" s="552"/>
      <c r="CY75" s="552"/>
      <c r="CZ75" s="552"/>
      <c r="DA75" s="552"/>
      <c r="DB75" s="552"/>
      <c r="DC75" s="552"/>
      <c r="DD75" s="552"/>
      <c r="DE75" s="552"/>
      <c r="DF75" s="442"/>
      <c r="DG75" s="442"/>
      <c r="DH75" s="442"/>
      <c r="DI75" s="442"/>
      <c r="DJ75" s="552"/>
      <c r="DK75" s="552"/>
      <c r="DL75" s="442"/>
      <c r="DM75" s="442"/>
      <c r="DN75" s="442"/>
      <c r="DO75" s="442"/>
      <c r="DP75" s="442"/>
      <c r="DQ75" s="442"/>
      <c r="DR75" s="442"/>
      <c r="DS75" s="442"/>
      <c r="DT75" s="442"/>
      <c r="DU75" s="442"/>
      <c r="DV75" s="442"/>
      <c r="DW75" s="442"/>
      <c r="DX75" s="442"/>
      <c r="DY75" s="442"/>
      <c r="DZ75" s="442"/>
      <c r="EA75" s="442"/>
      <c r="EB75" s="784"/>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1377"/>
    </row>
    <row r="76" spans="1:193" ht="18.95" hidden="1" customHeight="1">
      <c r="A76" s="1373"/>
      <c r="B76" s="1374"/>
      <c r="C76" s="1374"/>
      <c r="D76" s="1378"/>
      <c r="E76" s="1378"/>
      <c r="F76" s="1378"/>
      <c r="G76" s="1378"/>
      <c r="H76" s="1378"/>
      <c r="I76" s="1378"/>
      <c r="J76" s="1378"/>
      <c r="K76" s="1378"/>
      <c r="L76" s="1378"/>
      <c r="M76" s="1378"/>
      <c r="N76" s="1378"/>
      <c r="O76" s="1378"/>
      <c r="P76" s="1378"/>
      <c r="Q76" s="1378"/>
      <c r="R76" s="1378"/>
      <c r="S76" s="1378"/>
      <c r="T76" s="1378"/>
      <c r="U76" s="1378"/>
      <c r="V76" s="1378"/>
      <c r="W76" s="1374"/>
      <c r="X76" s="1374"/>
      <c r="Y76" s="1374"/>
      <c r="Z76" s="1374"/>
      <c r="AA76" s="1374"/>
      <c r="AB76" s="1374"/>
      <c r="AC76" s="1374"/>
      <c r="AD76" s="1374"/>
      <c r="AE76" s="1374"/>
      <c r="AF76" s="1374"/>
      <c r="AG76" s="1374"/>
      <c r="AH76" s="1374"/>
      <c r="AI76" s="1374"/>
      <c r="AJ76" s="1374"/>
      <c r="AK76" s="1374"/>
      <c r="AL76" s="1374"/>
      <c r="AM76" s="1374"/>
      <c r="AN76" s="1374"/>
      <c r="AO76" s="1374"/>
      <c r="AP76" s="1374"/>
      <c r="AQ76" s="1374"/>
      <c r="AR76" s="1374"/>
      <c r="AS76" s="1374"/>
      <c r="AT76" s="1374"/>
      <c r="AU76" s="1374"/>
      <c r="AV76" s="1374"/>
      <c r="AW76" s="1374"/>
      <c r="AX76" s="1374"/>
      <c r="AY76" s="1374"/>
      <c r="AZ76" s="1374"/>
      <c r="BA76" s="1374"/>
      <c r="BB76" s="1374"/>
      <c r="BC76" s="1374"/>
      <c r="BD76" s="1374"/>
      <c r="BE76" s="1374"/>
      <c r="BF76" s="1374"/>
      <c r="BG76" s="1374"/>
      <c r="BH76" s="1374"/>
      <c r="BI76" s="1374"/>
      <c r="BJ76" s="1374"/>
      <c r="BK76" s="1374"/>
      <c r="BL76" s="1374"/>
      <c r="BM76" s="1374"/>
      <c r="BN76" s="1374"/>
      <c r="BO76" s="1374"/>
      <c r="BP76" s="1374"/>
      <c r="BQ76" s="1374"/>
      <c r="BR76" s="1374"/>
      <c r="BS76" s="1374"/>
      <c r="BT76" s="1374"/>
      <c r="BU76" s="1374"/>
      <c r="BV76" s="1374"/>
      <c r="BW76" s="1374"/>
      <c r="BX76" s="1374"/>
      <c r="BY76" s="1374"/>
      <c r="BZ76" s="1374"/>
      <c r="CA76" s="1374"/>
      <c r="CB76" s="1374"/>
      <c r="CC76" s="1374"/>
      <c r="CD76" s="1374"/>
      <c r="CE76" s="1374"/>
      <c r="CF76" s="1374"/>
      <c r="CG76" s="1374"/>
      <c r="CH76" s="1374"/>
      <c r="CI76" s="1374"/>
      <c r="CJ76" s="1374"/>
      <c r="CK76" s="1374"/>
      <c r="CL76" s="1374"/>
      <c r="CM76" s="1374"/>
      <c r="CN76" s="1374"/>
      <c r="CO76" s="1374"/>
      <c r="CP76" s="1374"/>
      <c r="CQ76" s="1374"/>
      <c r="CR76" s="1374"/>
      <c r="CS76" s="1374"/>
      <c r="CT76" s="1374"/>
      <c r="CU76" s="1374"/>
      <c r="CV76" s="1374"/>
      <c r="CW76" s="1374"/>
      <c r="CX76" s="1374"/>
      <c r="CY76" s="1374"/>
      <c r="CZ76" s="1374"/>
      <c r="DA76" s="1374"/>
      <c r="DB76" s="1374"/>
      <c r="DC76" s="1374"/>
      <c r="DD76" s="1374"/>
      <c r="DE76" s="1374"/>
      <c r="DF76" s="1374"/>
      <c r="DG76" s="1374"/>
      <c r="DH76" s="1374"/>
      <c r="DI76" s="1374"/>
      <c r="DJ76" s="1374"/>
      <c r="DK76" s="1374"/>
      <c r="DL76" s="1374"/>
      <c r="DM76" s="1374"/>
      <c r="DN76" s="1374"/>
      <c r="DO76" s="1374"/>
      <c r="DP76" s="1374"/>
      <c r="DQ76" s="1374"/>
      <c r="DR76" s="1374"/>
      <c r="DS76" s="1374"/>
      <c r="DT76" s="1374"/>
      <c r="DU76" s="1374"/>
      <c r="DV76" s="1374"/>
      <c r="DW76" s="1374"/>
      <c r="DX76" s="1374"/>
      <c r="DY76" s="1374"/>
      <c r="DZ76" s="1374"/>
      <c r="EA76" s="1374"/>
      <c r="EB76" s="1374"/>
      <c r="EC76" s="1374"/>
      <c r="ED76" s="1374"/>
      <c r="EE76" s="1374"/>
      <c r="EF76" s="1374"/>
      <c r="EG76" s="1374"/>
      <c r="EH76" s="1374"/>
      <c r="EI76" s="1374"/>
      <c r="EJ76" s="1374"/>
      <c r="EK76" s="1374"/>
      <c r="EL76" s="1374"/>
      <c r="EM76" s="1374"/>
      <c r="EN76" s="1374"/>
      <c r="EO76" s="1374"/>
      <c r="EP76" s="1374"/>
      <c r="EQ76" s="1374"/>
      <c r="ER76" s="1374"/>
      <c r="ES76" s="1374"/>
      <c r="ET76" s="1374"/>
      <c r="EU76" s="1374"/>
      <c r="EV76" s="1374"/>
      <c r="EW76" s="1374"/>
      <c r="EX76" s="1374"/>
      <c r="EY76" s="1378"/>
      <c r="EZ76" s="1378"/>
      <c r="FA76" s="1378"/>
      <c r="FB76" s="1378"/>
      <c r="FC76" s="1378"/>
      <c r="FD76" s="1378"/>
      <c r="FE76" s="1378"/>
      <c r="FF76" s="1378"/>
      <c r="FG76" s="1378"/>
      <c r="FH76" s="1378"/>
      <c r="FI76" s="1378"/>
      <c r="FJ76" s="1378"/>
      <c r="FK76" s="1378"/>
      <c r="FL76" s="1378"/>
      <c r="FM76" s="1378"/>
      <c r="FN76" s="1378"/>
      <c r="FO76" s="1378"/>
      <c r="FP76" s="1378"/>
      <c r="FQ76" s="1378"/>
      <c r="FR76" s="1378"/>
      <c r="FS76" s="1378"/>
      <c r="FT76" s="1378"/>
      <c r="FU76" s="1378"/>
      <c r="FV76" s="1378"/>
      <c r="FW76" s="1378"/>
      <c r="FX76" s="1378"/>
      <c r="FY76" s="1378"/>
      <c r="FZ76" s="1378"/>
      <c r="GA76" s="1378"/>
      <c r="GB76" s="1378"/>
      <c r="GC76" s="1378"/>
      <c r="GD76" s="1378"/>
      <c r="GE76" s="1378"/>
      <c r="GF76" s="1378"/>
      <c r="GG76" s="1378"/>
      <c r="GH76" s="1378"/>
      <c r="GI76" s="1378"/>
      <c r="GJ76" s="1378"/>
      <c r="GK76" s="1379"/>
    </row>
    <row r="77" spans="1:193" ht="18.95"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2"/>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3"/>
      <c r="EB77" s="1034"/>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3"/>
      <c r="GK77" s="1035"/>
    </row>
    <row r="78" spans="1:193" ht="16.5" hidden="1">
      <c r="A78" s="1376"/>
      <c r="B78" s="1336"/>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552"/>
      <c r="CV78" s="552"/>
      <c r="CW78" s="552"/>
      <c r="CX78" s="552"/>
      <c r="CY78" s="552"/>
      <c r="CZ78" s="552"/>
      <c r="DA78" s="552"/>
      <c r="DB78" s="552"/>
      <c r="DC78" s="552"/>
      <c r="DD78" s="552"/>
      <c r="DE78" s="552"/>
      <c r="DF78" s="442"/>
      <c r="DG78" s="442"/>
      <c r="DH78" s="442"/>
      <c r="DI78" s="442"/>
      <c r="DJ78" s="552"/>
      <c r="DK78" s="442"/>
      <c r="DL78" s="442"/>
      <c r="DM78" s="442"/>
      <c r="DN78" s="442"/>
      <c r="DO78" s="442"/>
      <c r="DP78" s="442"/>
      <c r="DQ78" s="442"/>
      <c r="DR78" s="442"/>
      <c r="DS78" s="442"/>
      <c r="DT78" s="442"/>
      <c r="DU78" s="442"/>
      <c r="DV78" s="442"/>
      <c r="DW78" s="442"/>
      <c r="DX78" s="442"/>
      <c r="DY78" s="442"/>
      <c r="DZ78" s="442"/>
      <c r="EA78" s="442"/>
      <c r="EB78" s="784"/>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1377"/>
    </row>
    <row r="79" spans="1:193" ht="16.5" hidden="1">
      <c r="A79" s="1376"/>
      <c r="B79" s="1336"/>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552"/>
      <c r="CV79" s="552"/>
      <c r="CW79" s="552"/>
      <c r="CX79" s="552"/>
      <c r="CY79" s="552"/>
      <c r="CZ79" s="552"/>
      <c r="DA79" s="552"/>
      <c r="DB79" s="552"/>
      <c r="DC79" s="552"/>
      <c r="DD79" s="552"/>
      <c r="DE79" s="552"/>
      <c r="DF79" s="442"/>
      <c r="DG79" s="442"/>
      <c r="DH79" s="442"/>
      <c r="DI79" s="442"/>
      <c r="DJ79" s="552"/>
      <c r="DK79" s="442"/>
      <c r="DL79" s="442"/>
      <c r="DM79" s="442"/>
      <c r="DN79" s="442"/>
      <c r="DO79" s="442"/>
      <c r="DP79" s="442"/>
      <c r="DQ79" s="442"/>
      <c r="DR79" s="442"/>
      <c r="DS79" s="442"/>
      <c r="DT79" s="442"/>
      <c r="DU79" s="442"/>
      <c r="DV79" s="442"/>
      <c r="DW79" s="442"/>
      <c r="DX79" s="442"/>
      <c r="DY79" s="442"/>
      <c r="DZ79" s="442"/>
      <c r="EA79" s="442"/>
      <c r="EB79" s="784"/>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1377"/>
    </row>
    <row r="80" spans="1:193" ht="16.5" hidden="1">
      <c r="A80" s="1376"/>
      <c r="B80" s="1336"/>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552"/>
      <c r="CV80" s="552"/>
      <c r="CW80" s="552"/>
      <c r="CX80" s="552"/>
      <c r="CY80" s="552"/>
      <c r="CZ80" s="552"/>
      <c r="DA80" s="552"/>
      <c r="DB80" s="552"/>
      <c r="DC80" s="552"/>
      <c r="DD80" s="552"/>
      <c r="DE80" s="552"/>
      <c r="DF80" s="442"/>
      <c r="DG80" s="442"/>
      <c r="DH80" s="442"/>
      <c r="DI80" s="442"/>
      <c r="DJ80" s="552"/>
      <c r="DK80" s="442"/>
      <c r="DL80" s="442"/>
      <c r="DM80" s="442"/>
      <c r="DN80" s="442"/>
      <c r="DO80" s="442"/>
      <c r="DP80" s="442"/>
      <c r="DQ80" s="442"/>
      <c r="DR80" s="442"/>
      <c r="DS80" s="442"/>
      <c r="DT80" s="442"/>
      <c r="DU80" s="442"/>
      <c r="DV80" s="442"/>
      <c r="DW80" s="442"/>
      <c r="DX80" s="442"/>
      <c r="DY80" s="442"/>
      <c r="DZ80" s="442"/>
      <c r="EA80" s="442"/>
      <c r="EB80" s="784"/>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1338"/>
    </row>
    <row r="81" spans="1:193" ht="16.5" hidden="1">
      <c r="A81" s="1376"/>
      <c r="B81" s="1336"/>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552"/>
      <c r="CV81" s="552"/>
      <c r="CW81" s="552"/>
      <c r="CX81" s="552"/>
      <c r="CY81" s="552"/>
      <c r="CZ81" s="552"/>
      <c r="DA81" s="552"/>
      <c r="DB81" s="552"/>
      <c r="DC81" s="552"/>
      <c r="DD81" s="552"/>
      <c r="DE81" s="552"/>
      <c r="DF81" s="442"/>
      <c r="DG81" s="442"/>
      <c r="DH81" s="442"/>
      <c r="DI81" s="442"/>
      <c r="DJ81" s="552"/>
      <c r="DK81" s="442"/>
      <c r="DL81" s="442"/>
      <c r="DM81" s="442"/>
      <c r="DN81" s="442"/>
      <c r="DO81" s="442"/>
      <c r="DP81" s="442"/>
      <c r="DQ81" s="442"/>
      <c r="DR81" s="442"/>
      <c r="DS81" s="442"/>
      <c r="DT81" s="442"/>
      <c r="DU81" s="442"/>
      <c r="DV81" s="442"/>
      <c r="DW81" s="442"/>
      <c r="DX81" s="442"/>
      <c r="DY81" s="442"/>
      <c r="DZ81" s="442"/>
      <c r="EA81" s="442"/>
      <c r="EB81" s="784"/>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1377"/>
    </row>
    <row r="82" spans="1:193" ht="16.5" hidden="1">
      <c r="A82" s="1376"/>
      <c r="B82" s="1336"/>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552"/>
      <c r="CV82" s="552"/>
      <c r="CW82" s="552"/>
      <c r="CX82" s="552"/>
      <c r="CY82" s="552"/>
      <c r="CZ82" s="552"/>
      <c r="DA82" s="552"/>
      <c r="DB82" s="552"/>
      <c r="DC82" s="552"/>
      <c r="DD82" s="552"/>
      <c r="DE82" s="552"/>
      <c r="DF82" s="442"/>
      <c r="DG82" s="442"/>
      <c r="DH82" s="442"/>
      <c r="DI82" s="442"/>
      <c r="DJ82" s="552"/>
      <c r="DK82" s="442"/>
      <c r="DL82" s="442"/>
      <c r="DM82" s="442"/>
      <c r="DN82" s="442"/>
      <c r="DO82" s="442"/>
      <c r="DP82" s="442"/>
      <c r="DQ82" s="442"/>
      <c r="DR82" s="442"/>
      <c r="DS82" s="442"/>
      <c r="DT82" s="442"/>
      <c r="DU82" s="442"/>
      <c r="DV82" s="442"/>
      <c r="DW82" s="442"/>
      <c r="DX82" s="442"/>
      <c r="DY82" s="442"/>
      <c r="DZ82" s="442"/>
      <c r="EA82" s="442"/>
      <c r="EB82" s="784"/>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1338"/>
    </row>
    <row r="83" spans="1:193" ht="16.5" hidden="1">
      <c r="A83" s="1376"/>
      <c r="B83" s="1336"/>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552"/>
      <c r="CV83" s="552"/>
      <c r="CW83" s="552"/>
      <c r="CX83" s="552"/>
      <c r="CY83" s="552"/>
      <c r="CZ83" s="552"/>
      <c r="DA83" s="552"/>
      <c r="DB83" s="552"/>
      <c r="DC83" s="552"/>
      <c r="DD83" s="552"/>
      <c r="DE83" s="552"/>
      <c r="DF83" s="442"/>
      <c r="DG83" s="442"/>
      <c r="DH83" s="442"/>
      <c r="DI83" s="442"/>
      <c r="DJ83" s="552"/>
      <c r="DK83" s="442"/>
      <c r="DL83" s="442"/>
      <c r="DM83" s="442"/>
      <c r="DN83" s="442"/>
      <c r="DO83" s="442"/>
      <c r="DP83" s="442"/>
      <c r="DQ83" s="442"/>
      <c r="DR83" s="442"/>
      <c r="DS83" s="442"/>
      <c r="DT83" s="442"/>
      <c r="DU83" s="442"/>
      <c r="DV83" s="442"/>
      <c r="DW83" s="442"/>
      <c r="DX83" s="442"/>
      <c r="DY83" s="442"/>
      <c r="DZ83" s="442"/>
      <c r="EA83" s="442"/>
      <c r="EB83" s="784"/>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1338"/>
    </row>
    <row r="84" spans="1:193" ht="16.5" hidden="1">
      <c r="A84" s="1376"/>
      <c r="B84" s="1336"/>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552"/>
      <c r="CV84" s="552"/>
      <c r="CW84" s="552"/>
      <c r="CX84" s="552"/>
      <c r="CY84" s="552"/>
      <c r="CZ84" s="552"/>
      <c r="DA84" s="552"/>
      <c r="DB84" s="552"/>
      <c r="DC84" s="552"/>
      <c r="DD84" s="552"/>
      <c r="DE84" s="552"/>
      <c r="DF84" s="442"/>
      <c r="DG84" s="442"/>
      <c r="DH84" s="442"/>
      <c r="DI84" s="442"/>
      <c r="DJ84" s="552"/>
      <c r="DK84" s="442"/>
      <c r="DL84" s="442"/>
      <c r="DM84" s="442"/>
      <c r="DN84" s="442"/>
      <c r="DO84" s="442"/>
      <c r="DP84" s="442"/>
      <c r="DQ84" s="442"/>
      <c r="DR84" s="442"/>
      <c r="DS84" s="442"/>
      <c r="DT84" s="442"/>
      <c r="DU84" s="442"/>
      <c r="DV84" s="442"/>
      <c r="DW84" s="442"/>
      <c r="DX84" s="442"/>
      <c r="DY84" s="442"/>
      <c r="DZ84" s="442"/>
      <c r="EA84" s="442"/>
      <c r="EB84" s="784"/>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1338"/>
    </row>
    <row r="85" spans="1:193" ht="16.5" hidden="1">
      <c r="A85" s="1376"/>
      <c r="B85" s="1336"/>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552"/>
      <c r="CV85" s="552"/>
      <c r="CW85" s="552"/>
      <c r="CX85" s="552"/>
      <c r="CY85" s="552"/>
      <c r="CZ85" s="552"/>
      <c r="DA85" s="552"/>
      <c r="DB85" s="552"/>
      <c r="DC85" s="552"/>
      <c r="DD85" s="552"/>
      <c r="DE85" s="552"/>
      <c r="DF85" s="442"/>
      <c r="DG85" s="442"/>
      <c r="DH85" s="442"/>
      <c r="DI85" s="442"/>
      <c r="DJ85" s="552"/>
      <c r="DK85" s="442"/>
      <c r="DL85" s="442"/>
      <c r="DM85" s="442"/>
      <c r="DN85" s="442"/>
      <c r="DO85" s="442"/>
      <c r="DP85" s="442"/>
      <c r="DQ85" s="442"/>
      <c r="DR85" s="442"/>
      <c r="DS85" s="442"/>
      <c r="DT85" s="442"/>
      <c r="DU85" s="442"/>
      <c r="DV85" s="442"/>
      <c r="DW85" s="442"/>
      <c r="DX85" s="442"/>
      <c r="DY85" s="442"/>
      <c r="DZ85" s="442"/>
      <c r="EA85" s="442"/>
      <c r="EB85" s="784"/>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1338"/>
    </row>
    <row r="86" spans="1:193" ht="16.5" hidden="1">
      <c r="A86" s="1376"/>
      <c r="B86" s="1336"/>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552"/>
      <c r="CV86" s="552"/>
      <c r="CW86" s="552"/>
      <c r="CX86" s="552"/>
      <c r="CY86" s="552"/>
      <c r="CZ86" s="552"/>
      <c r="DA86" s="552"/>
      <c r="DB86" s="552"/>
      <c r="DC86" s="552"/>
      <c r="DD86" s="552"/>
      <c r="DE86" s="552"/>
      <c r="DF86" s="442"/>
      <c r="DG86" s="442"/>
      <c r="DH86" s="442"/>
      <c r="DI86" s="442"/>
      <c r="DJ86" s="552"/>
      <c r="DK86" s="442"/>
      <c r="DL86" s="442"/>
      <c r="DM86" s="442"/>
      <c r="DN86" s="442"/>
      <c r="DO86" s="442"/>
      <c r="DP86" s="442"/>
      <c r="DQ86" s="442"/>
      <c r="DR86" s="442"/>
      <c r="DS86" s="442"/>
      <c r="DT86" s="442"/>
      <c r="DU86" s="442"/>
      <c r="DV86" s="442"/>
      <c r="DW86" s="442"/>
      <c r="DX86" s="442"/>
      <c r="DY86" s="442"/>
      <c r="DZ86" s="442"/>
      <c r="EA86" s="442"/>
      <c r="EB86" s="784"/>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1338"/>
    </row>
    <row r="87" spans="1:193" ht="16.5" hidden="1">
      <c r="A87" s="1376"/>
      <c r="B87" s="1336"/>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552"/>
      <c r="CV87" s="552"/>
      <c r="CW87" s="552"/>
      <c r="CX87" s="552"/>
      <c r="CY87" s="552"/>
      <c r="CZ87" s="552"/>
      <c r="DA87" s="552"/>
      <c r="DB87" s="552"/>
      <c r="DC87" s="552"/>
      <c r="DD87" s="552"/>
      <c r="DE87" s="552"/>
      <c r="DF87" s="442"/>
      <c r="DG87" s="442"/>
      <c r="DH87" s="442"/>
      <c r="DI87" s="442"/>
      <c r="DJ87" s="552"/>
      <c r="DK87" s="442"/>
      <c r="DL87" s="442"/>
      <c r="DM87" s="442"/>
      <c r="DN87" s="442"/>
      <c r="DO87" s="442"/>
      <c r="DP87" s="442"/>
      <c r="DQ87" s="442"/>
      <c r="DR87" s="442"/>
      <c r="DS87" s="442"/>
      <c r="DT87" s="442"/>
      <c r="DU87" s="442"/>
      <c r="DV87" s="442"/>
      <c r="DW87" s="442"/>
      <c r="DX87" s="442"/>
      <c r="DY87" s="442"/>
      <c r="DZ87" s="442"/>
      <c r="EA87" s="442"/>
      <c r="EB87" s="784"/>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1338"/>
    </row>
    <row r="88" spans="1:193" ht="16.5" hidden="1">
      <c r="A88" s="1376"/>
      <c r="B88" s="1336"/>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552"/>
      <c r="CV88" s="552"/>
      <c r="CW88" s="552"/>
      <c r="CX88" s="552"/>
      <c r="CY88" s="552"/>
      <c r="CZ88" s="552"/>
      <c r="DA88" s="552"/>
      <c r="DB88" s="552"/>
      <c r="DC88" s="552"/>
      <c r="DD88" s="552"/>
      <c r="DE88" s="552"/>
      <c r="DF88" s="442"/>
      <c r="DG88" s="442"/>
      <c r="DH88" s="442"/>
      <c r="DI88" s="442"/>
      <c r="DJ88" s="552"/>
      <c r="DK88" s="442"/>
      <c r="DL88" s="442"/>
      <c r="DM88" s="442"/>
      <c r="DN88" s="442"/>
      <c r="DO88" s="442"/>
      <c r="DP88" s="442"/>
      <c r="DQ88" s="442"/>
      <c r="DR88" s="442"/>
      <c r="DS88" s="442"/>
      <c r="DT88" s="442"/>
      <c r="DU88" s="442"/>
      <c r="DV88" s="442"/>
      <c r="DW88" s="442"/>
      <c r="DX88" s="442"/>
      <c r="DY88" s="442"/>
      <c r="DZ88" s="442"/>
      <c r="EA88" s="442"/>
      <c r="EB88" s="784"/>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1338"/>
    </row>
    <row r="89" spans="1:193" ht="16.5" hidden="1">
      <c r="A89" s="1376"/>
      <c r="B89" s="1336"/>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552"/>
      <c r="CV89" s="552"/>
      <c r="CW89" s="552"/>
      <c r="CX89" s="552"/>
      <c r="CY89" s="552"/>
      <c r="CZ89" s="552"/>
      <c r="DA89" s="552"/>
      <c r="DB89" s="552"/>
      <c r="DC89" s="552"/>
      <c r="DD89" s="552"/>
      <c r="DE89" s="552"/>
      <c r="DF89" s="442"/>
      <c r="DG89" s="442"/>
      <c r="DH89" s="442"/>
      <c r="DI89" s="442"/>
      <c r="DJ89" s="552"/>
      <c r="DK89" s="442"/>
      <c r="DL89" s="442"/>
      <c r="DM89" s="442"/>
      <c r="DN89" s="442"/>
      <c r="DO89" s="442"/>
      <c r="DP89" s="442"/>
      <c r="DQ89" s="442"/>
      <c r="DR89" s="442"/>
      <c r="DS89" s="442"/>
      <c r="DT89" s="442"/>
      <c r="DU89" s="442"/>
      <c r="DV89" s="442"/>
      <c r="DW89" s="442"/>
      <c r="DX89" s="442"/>
      <c r="DY89" s="442"/>
      <c r="DZ89" s="442"/>
      <c r="EA89" s="442"/>
      <c r="EB89" s="784"/>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1338"/>
    </row>
    <row r="90" spans="1:193" ht="16.5" hidden="1">
      <c r="A90" s="1376"/>
      <c r="B90" s="1336"/>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552"/>
      <c r="CV90" s="552"/>
      <c r="CW90" s="552"/>
      <c r="CX90" s="552"/>
      <c r="CY90" s="552"/>
      <c r="CZ90" s="552"/>
      <c r="DA90" s="552"/>
      <c r="DB90" s="552"/>
      <c r="DC90" s="552"/>
      <c r="DD90" s="552"/>
      <c r="DE90" s="552"/>
      <c r="DF90" s="442"/>
      <c r="DG90" s="442"/>
      <c r="DH90" s="442"/>
      <c r="DI90" s="442"/>
      <c r="DJ90" s="552"/>
      <c r="DK90" s="442"/>
      <c r="DL90" s="442"/>
      <c r="DM90" s="442"/>
      <c r="DN90" s="442"/>
      <c r="DO90" s="442"/>
      <c r="DP90" s="442"/>
      <c r="DQ90" s="442"/>
      <c r="DR90" s="442"/>
      <c r="DS90" s="442"/>
      <c r="DT90" s="442"/>
      <c r="DU90" s="442"/>
      <c r="DV90" s="442"/>
      <c r="DW90" s="442"/>
      <c r="DX90" s="442"/>
      <c r="DY90" s="442"/>
      <c r="DZ90" s="442"/>
      <c r="EA90" s="442"/>
      <c r="EB90" s="784"/>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1338"/>
    </row>
    <row r="91" spans="1:193" ht="16.5" hidden="1">
      <c r="A91" s="1376"/>
      <c r="B91" s="1336"/>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552"/>
      <c r="CV91" s="552"/>
      <c r="CW91" s="552"/>
      <c r="CX91" s="552"/>
      <c r="CY91" s="552"/>
      <c r="CZ91" s="552"/>
      <c r="DA91" s="552"/>
      <c r="DB91" s="552"/>
      <c r="DC91" s="552"/>
      <c r="DD91" s="552"/>
      <c r="DE91" s="552"/>
      <c r="DF91" s="442"/>
      <c r="DG91" s="442"/>
      <c r="DH91" s="442"/>
      <c r="DI91" s="442"/>
      <c r="DJ91" s="552"/>
      <c r="DK91" s="442"/>
      <c r="DL91" s="442"/>
      <c r="DM91" s="442"/>
      <c r="DN91" s="442"/>
      <c r="DO91" s="442"/>
      <c r="DP91" s="442"/>
      <c r="DQ91" s="442"/>
      <c r="DR91" s="442"/>
      <c r="DS91" s="442"/>
      <c r="DT91" s="442"/>
      <c r="DU91" s="442"/>
      <c r="DV91" s="442"/>
      <c r="DW91" s="442"/>
      <c r="DX91" s="442"/>
      <c r="DY91" s="442"/>
      <c r="DZ91" s="442"/>
      <c r="EA91" s="442"/>
      <c r="EB91" s="784"/>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1338"/>
    </row>
    <row r="92" spans="1:193" ht="16.5" hidden="1">
      <c r="A92" s="1376"/>
      <c r="B92" s="1336"/>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552"/>
      <c r="CV92" s="552"/>
      <c r="CW92" s="552"/>
      <c r="CX92" s="552"/>
      <c r="CY92" s="552"/>
      <c r="CZ92" s="552"/>
      <c r="DA92" s="552"/>
      <c r="DB92" s="552"/>
      <c r="DC92" s="552"/>
      <c r="DD92" s="552"/>
      <c r="DE92" s="552"/>
      <c r="DF92" s="442"/>
      <c r="DG92" s="442"/>
      <c r="DH92" s="442"/>
      <c r="DI92" s="442"/>
      <c r="DJ92" s="552"/>
      <c r="DK92" s="442"/>
      <c r="DL92" s="442"/>
      <c r="DM92" s="442"/>
      <c r="DN92" s="442"/>
      <c r="DO92" s="442"/>
      <c r="DP92" s="442"/>
      <c r="DQ92" s="442"/>
      <c r="DR92" s="442"/>
      <c r="DS92" s="442"/>
      <c r="DT92" s="442"/>
      <c r="DU92" s="442"/>
      <c r="DV92" s="442"/>
      <c r="DW92" s="442"/>
      <c r="DX92" s="442"/>
      <c r="DY92" s="442"/>
      <c r="DZ92" s="442"/>
      <c r="EA92" s="442"/>
      <c r="EB92" s="784"/>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1338"/>
    </row>
    <row r="93" spans="1:193" ht="16.5" hidden="1">
      <c r="A93" s="1376"/>
      <c r="B93" s="1336"/>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552"/>
      <c r="CV93" s="552"/>
      <c r="CW93" s="552"/>
      <c r="CX93" s="552"/>
      <c r="CY93" s="552"/>
      <c r="CZ93" s="552"/>
      <c r="DA93" s="552"/>
      <c r="DB93" s="552"/>
      <c r="DC93" s="552"/>
      <c r="DD93" s="552"/>
      <c r="DE93" s="552"/>
      <c r="DF93" s="442"/>
      <c r="DG93" s="442"/>
      <c r="DH93" s="442"/>
      <c r="DI93" s="442"/>
      <c r="DJ93" s="552"/>
      <c r="DK93" s="442"/>
      <c r="DL93" s="442"/>
      <c r="DM93" s="442"/>
      <c r="DN93" s="442"/>
      <c r="DO93" s="442"/>
      <c r="DP93" s="442"/>
      <c r="DQ93" s="442"/>
      <c r="DR93" s="442"/>
      <c r="DS93" s="442"/>
      <c r="DT93" s="442"/>
      <c r="DU93" s="442"/>
      <c r="DV93" s="442"/>
      <c r="DW93" s="442"/>
      <c r="DX93" s="442"/>
      <c r="DY93" s="442"/>
      <c r="DZ93" s="442"/>
      <c r="EA93" s="442"/>
      <c r="EB93" s="784"/>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1338"/>
    </row>
    <row r="94" spans="1:193" ht="16.5" hidden="1">
      <c r="A94" s="1376"/>
      <c r="B94" s="1336"/>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552"/>
      <c r="CV94" s="552"/>
      <c r="CW94" s="552"/>
      <c r="CX94" s="552"/>
      <c r="CY94" s="552"/>
      <c r="CZ94" s="552"/>
      <c r="DA94" s="552"/>
      <c r="DB94" s="552"/>
      <c r="DC94" s="552"/>
      <c r="DD94" s="552"/>
      <c r="DE94" s="552"/>
      <c r="DF94" s="442"/>
      <c r="DG94" s="442"/>
      <c r="DH94" s="442"/>
      <c r="DI94" s="442"/>
      <c r="DJ94" s="552"/>
      <c r="DK94" s="442"/>
      <c r="DL94" s="442"/>
      <c r="DM94" s="442"/>
      <c r="DN94" s="442"/>
      <c r="DO94" s="442"/>
      <c r="DP94" s="442"/>
      <c r="DQ94" s="442"/>
      <c r="DR94" s="442"/>
      <c r="DS94" s="442"/>
      <c r="DT94" s="442"/>
      <c r="DU94" s="442"/>
      <c r="DV94" s="442"/>
      <c r="DW94" s="442"/>
      <c r="DX94" s="442"/>
      <c r="DY94" s="442"/>
      <c r="DZ94" s="442"/>
      <c r="EA94" s="442"/>
      <c r="EB94" s="784"/>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1338"/>
    </row>
    <row r="95" spans="1:193" ht="16.5" hidden="1">
      <c r="A95" s="1376"/>
      <c r="B95" s="1336"/>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552"/>
      <c r="CV95" s="552"/>
      <c r="CW95" s="552"/>
      <c r="CX95" s="552"/>
      <c r="CY95" s="552"/>
      <c r="CZ95" s="552"/>
      <c r="DA95" s="552"/>
      <c r="DB95" s="552"/>
      <c r="DC95" s="552"/>
      <c r="DD95" s="552"/>
      <c r="DE95" s="552"/>
      <c r="DF95" s="442"/>
      <c r="DG95" s="442"/>
      <c r="DH95" s="442"/>
      <c r="DI95" s="442"/>
      <c r="DJ95" s="552"/>
      <c r="DK95" s="442"/>
      <c r="DL95" s="442"/>
      <c r="DM95" s="442"/>
      <c r="DN95" s="442"/>
      <c r="DO95" s="442"/>
      <c r="DP95" s="442"/>
      <c r="DQ95" s="442"/>
      <c r="DR95" s="442"/>
      <c r="DS95" s="442"/>
      <c r="DT95" s="442"/>
      <c r="DU95" s="442"/>
      <c r="DV95" s="442"/>
      <c r="DW95" s="442"/>
      <c r="DX95" s="442"/>
      <c r="DY95" s="442"/>
      <c r="DZ95" s="442"/>
      <c r="EA95" s="442"/>
      <c r="EB95" s="784"/>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1338"/>
    </row>
    <row r="96" spans="1:193" ht="16.5" hidden="1">
      <c r="A96" s="1376"/>
      <c r="B96" s="1336"/>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552"/>
      <c r="CV96" s="552"/>
      <c r="CW96" s="552"/>
      <c r="CX96" s="552"/>
      <c r="CY96" s="552"/>
      <c r="CZ96" s="552"/>
      <c r="DA96" s="552"/>
      <c r="DB96" s="552"/>
      <c r="DC96" s="552"/>
      <c r="DD96" s="552"/>
      <c r="DE96" s="552"/>
      <c r="DF96" s="442"/>
      <c r="DG96" s="442"/>
      <c r="DH96" s="442"/>
      <c r="DI96" s="442"/>
      <c r="DJ96" s="552"/>
      <c r="DK96" s="442"/>
      <c r="DL96" s="442"/>
      <c r="DM96" s="442"/>
      <c r="DN96" s="442"/>
      <c r="DO96" s="442"/>
      <c r="DP96" s="442"/>
      <c r="DQ96" s="442"/>
      <c r="DR96" s="442"/>
      <c r="DS96" s="442"/>
      <c r="DT96" s="442"/>
      <c r="DU96" s="442"/>
      <c r="DV96" s="442"/>
      <c r="DW96" s="442"/>
      <c r="DX96" s="442"/>
      <c r="DY96" s="442"/>
      <c r="DZ96" s="442"/>
      <c r="EA96" s="442"/>
      <c r="EB96" s="784"/>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1338"/>
    </row>
    <row r="97" spans="1:193" ht="16.5" hidden="1">
      <c r="A97" s="1376"/>
      <c r="B97" s="1336"/>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552"/>
      <c r="CV97" s="552"/>
      <c r="CW97" s="552"/>
      <c r="CX97" s="552"/>
      <c r="CY97" s="552"/>
      <c r="CZ97" s="552"/>
      <c r="DA97" s="552"/>
      <c r="DB97" s="552"/>
      <c r="DC97" s="552"/>
      <c r="DD97" s="552"/>
      <c r="DE97" s="552"/>
      <c r="DF97" s="442"/>
      <c r="DG97" s="442"/>
      <c r="DH97" s="442"/>
      <c r="DI97" s="442"/>
      <c r="DJ97" s="552"/>
      <c r="DK97" s="442"/>
      <c r="DL97" s="442"/>
      <c r="DM97" s="442"/>
      <c r="DN97" s="442"/>
      <c r="DO97" s="442"/>
      <c r="DP97" s="442"/>
      <c r="DQ97" s="442"/>
      <c r="DR97" s="442"/>
      <c r="DS97" s="442"/>
      <c r="DT97" s="442"/>
      <c r="DU97" s="442"/>
      <c r="DV97" s="442"/>
      <c r="DW97" s="442"/>
      <c r="DX97" s="442"/>
      <c r="DY97" s="442"/>
      <c r="DZ97" s="442"/>
      <c r="EA97" s="442"/>
      <c r="EB97" s="784"/>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1338"/>
    </row>
    <row r="98" spans="1:193" ht="16.5" hidden="1">
      <c r="A98" s="1376"/>
      <c r="B98" s="1336"/>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552"/>
      <c r="CV98" s="552"/>
      <c r="CW98" s="552"/>
      <c r="CX98" s="552"/>
      <c r="CY98" s="552"/>
      <c r="CZ98" s="552"/>
      <c r="DA98" s="552"/>
      <c r="DB98" s="552"/>
      <c r="DC98" s="552"/>
      <c r="DD98" s="552"/>
      <c r="DE98" s="552"/>
      <c r="DF98" s="442"/>
      <c r="DG98" s="442"/>
      <c r="DH98" s="442"/>
      <c r="DI98" s="442"/>
      <c r="DJ98" s="552"/>
      <c r="DK98" s="442"/>
      <c r="DL98" s="442"/>
      <c r="DM98" s="442"/>
      <c r="DN98" s="442"/>
      <c r="DO98" s="442"/>
      <c r="DP98" s="442"/>
      <c r="DQ98" s="442"/>
      <c r="DR98" s="442"/>
      <c r="DS98" s="442"/>
      <c r="DT98" s="442"/>
      <c r="DU98" s="442"/>
      <c r="DV98" s="442"/>
      <c r="DW98" s="442"/>
      <c r="DX98" s="442"/>
      <c r="DY98" s="442"/>
      <c r="DZ98" s="442"/>
      <c r="EA98" s="442"/>
      <c r="EB98" s="784"/>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1338"/>
    </row>
    <row r="99" spans="1:193" ht="16.5" hidden="1">
      <c r="A99" s="1376"/>
      <c r="B99" s="1336"/>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552"/>
      <c r="CV99" s="552"/>
      <c r="CW99" s="552"/>
      <c r="CX99" s="552"/>
      <c r="CY99" s="552"/>
      <c r="CZ99" s="552"/>
      <c r="DA99" s="552"/>
      <c r="DB99" s="552"/>
      <c r="DC99" s="552"/>
      <c r="DD99" s="552"/>
      <c r="DE99" s="552"/>
      <c r="DF99" s="442"/>
      <c r="DG99" s="442"/>
      <c r="DH99" s="442"/>
      <c r="DI99" s="442"/>
      <c r="DJ99" s="552"/>
      <c r="DK99" s="442"/>
      <c r="DL99" s="442"/>
      <c r="DM99" s="442"/>
      <c r="DN99" s="442"/>
      <c r="DO99" s="442"/>
      <c r="DP99" s="442"/>
      <c r="DQ99" s="442"/>
      <c r="DR99" s="442"/>
      <c r="DS99" s="442"/>
      <c r="DT99" s="442"/>
      <c r="DU99" s="442"/>
      <c r="DV99" s="442"/>
      <c r="DW99" s="442"/>
      <c r="DX99" s="442"/>
      <c r="DY99" s="442"/>
      <c r="DZ99" s="442"/>
      <c r="EA99" s="442"/>
      <c r="EB99" s="784"/>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1377"/>
    </row>
    <row r="100" spans="1:193" ht="16.5" hidden="1">
      <c r="A100" s="1373"/>
      <c r="B100" s="1374"/>
      <c r="C100" s="1374"/>
      <c r="D100" s="1374"/>
      <c r="E100" s="1378"/>
      <c r="F100" s="1378"/>
      <c r="G100" s="1378"/>
      <c r="H100" s="1378"/>
      <c r="I100" s="1378"/>
      <c r="J100" s="1378"/>
      <c r="K100" s="1378"/>
      <c r="L100" s="1378"/>
      <c r="M100" s="1378"/>
      <c r="N100" s="1378"/>
      <c r="O100" s="1378"/>
      <c r="P100" s="1378"/>
      <c r="Q100" s="1378"/>
      <c r="R100" s="1378"/>
      <c r="S100" s="1378"/>
      <c r="T100" s="1380"/>
      <c r="U100" s="1380"/>
      <c r="V100" s="1380"/>
      <c r="W100" s="1380"/>
      <c r="X100" s="1380"/>
      <c r="Y100" s="1380"/>
      <c r="Z100" s="1380"/>
      <c r="AA100" s="1380"/>
      <c r="AB100" s="1380"/>
      <c r="AC100" s="1380"/>
      <c r="AD100" s="1380"/>
      <c r="AE100" s="1380"/>
      <c r="AF100" s="1380"/>
      <c r="AG100" s="1380"/>
      <c r="AH100" s="1380"/>
      <c r="AI100" s="1380"/>
      <c r="AJ100" s="1380"/>
      <c r="AK100" s="1380"/>
      <c r="AL100" s="1380"/>
      <c r="AM100" s="1380"/>
      <c r="AN100" s="1380"/>
      <c r="AO100" s="1380"/>
      <c r="AP100" s="1380"/>
      <c r="AQ100" s="1380"/>
      <c r="AR100" s="1380"/>
      <c r="AS100" s="1380"/>
      <c r="AT100" s="1380"/>
      <c r="AU100" s="1380"/>
      <c r="AV100" s="1380"/>
      <c r="AW100" s="1380"/>
      <c r="AX100" s="1380"/>
      <c r="AY100" s="1380"/>
      <c r="AZ100" s="1380"/>
      <c r="BA100" s="1380"/>
      <c r="BB100" s="1380"/>
      <c r="BC100" s="1380"/>
      <c r="BD100" s="1380"/>
      <c r="BE100" s="1380"/>
      <c r="BF100" s="1380"/>
      <c r="BG100" s="1380"/>
      <c r="BH100" s="1380"/>
      <c r="BI100" s="1380"/>
      <c r="BJ100" s="1380"/>
      <c r="BK100" s="1380"/>
      <c r="BL100" s="1380"/>
      <c r="BM100" s="1380"/>
      <c r="BN100" s="1380"/>
      <c r="BO100" s="1380"/>
      <c r="BP100" s="1380"/>
      <c r="BQ100" s="1380"/>
      <c r="BR100" s="1380"/>
      <c r="BS100" s="1380"/>
      <c r="BT100" s="1380"/>
      <c r="BU100" s="1380"/>
      <c r="BV100" s="1380"/>
      <c r="BW100" s="1380"/>
      <c r="BX100" s="1380"/>
      <c r="BY100" s="1380"/>
      <c r="BZ100" s="1380"/>
      <c r="CA100" s="1380"/>
      <c r="CB100" s="1380"/>
      <c r="CC100" s="1380"/>
      <c r="CD100" s="1380"/>
      <c r="CE100" s="1380"/>
      <c r="CF100" s="1380"/>
      <c r="CG100" s="1380"/>
      <c r="CH100" s="1380"/>
      <c r="CI100" s="1380"/>
      <c r="CJ100" s="1380"/>
      <c r="CK100" s="1380"/>
      <c r="CL100" s="1380"/>
      <c r="CM100" s="1380"/>
      <c r="CN100" s="1380"/>
      <c r="CO100" s="1380"/>
      <c r="CP100" s="1380"/>
      <c r="CQ100" s="1380"/>
      <c r="CR100" s="1380"/>
      <c r="CS100" s="1380"/>
      <c r="CT100" s="1380"/>
      <c r="CU100" s="1380"/>
      <c r="CV100" s="1380"/>
      <c r="CW100" s="1380"/>
      <c r="CX100" s="1380"/>
      <c r="CY100" s="1380"/>
      <c r="CZ100" s="1380"/>
      <c r="DA100" s="1380"/>
      <c r="DB100" s="1380"/>
      <c r="DC100" s="1380"/>
      <c r="DD100" s="1380"/>
      <c r="DE100" s="1380"/>
      <c r="DF100" s="1380"/>
      <c r="DG100" s="1380"/>
      <c r="DH100" s="1380"/>
      <c r="DI100" s="1380"/>
      <c r="DJ100" s="1380"/>
      <c r="DK100" s="1380"/>
      <c r="DL100" s="1380"/>
      <c r="DM100" s="1380"/>
      <c r="DN100" s="1380"/>
      <c r="DO100" s="1380"/>
      <c r="DP100" s="1380"/>
      <c r="DQ100" s="1380"/>
      <c r="DR100" s="1380"/>
      <c r="DS100" s="1380"/>
      <c r="DT100" s="1380"/>
      <c r="DU100" s="1380"/>
      <c r="DV100" s="1380"/>
      <c r="DW100" s="1380"/>
      <c r="DX100" s="1380"/>
      <c r="DY100" s="1380"/>
      <c r="DZ100" s="1380"/>
      <c r="EA100" s="1380"/>
      <c r="EB100" s="1380"/>
      <c r="EC100" s="1380"/>
      <c r="ED100" s="1380"/>
      <c r="EE100" s="1380"/>
      <c r="EF100" s="1380"/>
      <c r="EG100" s="1380"/>
      <c r="EH100" s="1380"/>
      <c r="EI100" s="1380"/>
      <c r="EJ100" s="1380"/>
      <c r="EK100" s="1380"/>
      <c r="EL100" s="1380"/>
      <c r="EM100" s="1380"/>
      <c r="EN100" s="1380"/>
      <c r="EO100" s="1380"/>
      <c r="EP100" s="1380"/>
      <c r="EQ100" s="1380"/>
      <c r="ER100" s="1380"/>
      <c r="ES100" s="1380"/>
      <c r="ET100" s="1380"/>
      <c r="EU100" s="1380"/>
      <c r="EV100" s="1380"/>
      <c r="EW100" s="1380"/>
      <c r="EX100" s="1380"/>
      <c r="EY100" s="1380"/>
      <c r="EZ100" s="1380"/>
      <c r="FA100" s="1380"/>
      <c r="FB100" s="1380"/>
      <c r="FC100" s="1380"/>
      <c r="FD100" s="1380"/>
      <c r="FE100" s="1380"/>
      <c r="FF100" s="1380"/>
      <c r="FG100" s="1380"/>
      <c r="FH100" s="1380"/>
      <c r="FI100" s="1380"/>
      <c r="FJ100" s="1380"/>
      <c r="FK100" s="1380"/>
      <c r="FL100" s="1380"/>
      <c r="FM100" s="1380"/>
      <c r="FN100" s="1380"/>
      <c r="FO100" s="1380"/>
      <c r="FP100" s="1380"/>
      <c r="FQ100" s="1380"/>
      <c r="FR100" s="1380"/>
      <c r="FS100" s="1380"/>
      <c r="FT100" s="1380"/>
      <c r="FU100" s="1380"/>
      <c r="FV100" s="1380"/>
      <c r="FW100" s="1380"/>
      <c r="FX100" s="1380"/>
      <c r="FY100" s="1380"/>
      <c r="FZ100" s="1380"/>
      <c r="GA100" s="1380"/>
      <c r="GB100" s="1380"/>
      <c r="GC100" s="1380"/>
      <c r="GD100" s="1380"/>
      <c r="GE100" s="1380"/>
      <c r="GF100" s="1380"/>
      <c r="GG100" s="1380"/>
      <c r="GH100" s="1380"/>
      <c r="GI100" s="1380"/>
      <c r="GJ100" s="1380"/>
      <c r="GK100" s="1381"/>
    </row>
    <row r="101" spans="1:193" ht="18.95"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2"/>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3"/>
      <c r="EB101" s="1034"/>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3"/>
      <c r="GK101" s="1035"/>
    </row>
    <row r="102" spans="1:193" ht="16.5" hidden="1">
      <c r="A102" s="1376"/>
      <c r="B102" s="1336"/>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781"/>
      <c r="EC102" s="552"/>
      <c r="ED102" s="552"/>
      <c r="EE102" s="552"/>
      <c r="EF102" s="552"/>
      <c r="EG102" s="55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1377"/>
    </row>
    <row r="103" spans="1:193" ht="16.5" hidden="1">
      <c r="A103" s="1376"/>
      <c r="B103" s="1336"/>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552"/>
      <c r="CV103" s="552"/>
      <c r="CW103" s="552"/>
      <c r="CX103" s="552"/>
      <c r="CY103" s="552"/>
      <c r="CZ103" s="552"/>
      <c r="DA103" s="552"/>
      <c r="DB103" s="552"/>
      <c r="DC103" s="552"/>
      <c r="DD103" s="552"/>
      <c r="DE103" s="552"/>
      <c r="DF103" s="442"/>
      <c r="DG103" s="442"/>
      <c r="DH103" s="442"/>
      <c r="DI103" s="442"/>
      <c r="DJ103" s="552"/>
      <c r="DK103" s="442"/>
      <c r="DL103" s="442"/>
      <c r="DM103" s="442"/>
      <c r="DN103" s="442"/>
      <c r="DO103" s="442"/>
      <c r="DP103" s="442"/>
      <c r="DQ103" s="442"/>
      <c r="DR103" s="442"/>
      <c r="DS103" s="442"/>
      <c r="DT103" s="442"/>
      <c r="DU103" s="442"/>
      <c r="DV103" s="442"/>
      <c r="DW103" s="442"/>
      <c r="DX103" s="442"/>
      <c r="DY103" s="442"/>
      <c r="DZ103" s="442"/>
      <c r="EA103" s="442"/>
      <c r="EB103" s="784"/>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1338"/>
    </row>
    <row r="104" spans="1:193" ht="16.5" hidden="1">
      <c r="A104" s="1376"/>
      <c r="B104" s="1336"/>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552"/>
      <c r="CV104" s="552"/>
      <c r="CW104" s="552"/>
      <c r="CX104" s="552"/>
      <c r="CY104" s="552"/>
      <c r="CZ104" s="552"/>
      <c r="DA104" s="552"/>
      <c r="DB104" s="552"/>
      <c r="DC104" s="552"/>
      <c r="DD104" s="552"/>
      <c r="DE104" s="552"/>
      <c r="DF104" s="442"/>
      <c r="DG104" s="442"/>
      <c r="DH104" s="442"/>
      <c r="DI104" s="442"/>
      <c r="DJ104" s="552"/>
      <c r="DK104" s="442"/>
      <c r="DL104" s="442"/>
      <c r="DM104" s="442"/>
      <c r="DN104" s="442"/>
      <c r="DO104" s="442"/>
      <c r="DP104" s="442"/>
      <c r="DQ104" s="442"/>
      <c r="DR104" s="442"/>
      <c r="DS104" s="442"/>
      <c r="DT104" s="442"/>
      <c r="DU104" s="442"/>
      <c r="DV104" s="442"/>
      <c r="DW104" s="442"/>
      <c r="DX104" s="442"/>
      <c r="DY104" s="442"/>
      <c r="DZ104" s="442"/>
      <c r="EA104" s="442"/>
      <c r="EB104" s="784"/>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1338"/>
    </row>
    <row r="105" spans="1:193" ht="16.5" hidden="1">
      <c r="A105" s="1376"/>
      <c r="B105" s="1336"/>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552"/>
      <c r="CV105" s="552"/>
      <c r="CW105" s="552"/>
      <c r="CX105" s="552"/>
      <c r="CY105" s="552"/>
      <c r="CZ105" s="552"/>
      <c r="DA105" s="552"/>
      <c r="DB105" s="552"/>
      <c r="DC105" s="552"/>
      <c r="DD105" s="552"/>
      <c r="DE105" s="552"/>
      <c r="DF105" s="442"/>
      <c r="DG105" s="442"/>
      <c r="DH105" s="442"/>
      <c r="DI105" s="442"/>
      <c r="DJ105" s="552"/>
      <c r="DK105" s="442"/>
      <c r="DL105" s="442"/>
      <c r="DM105" s="442"/>
      <c r="DN105" s="442"/>
      <c r="DO105" s="442"/>
      <c r="DP105" s="442"/>
      <c r="DQ105" s="442"/>
      <c r="DR105" s="442"/>
      <c r="DS105" s="442"/>
      <c r="DT105" s="442"/>
      <c r="DU105" s="442"/>
      <c r="DV105" s="442"/>
      <c r="DW105" s="442"/>
      <c r="DX105" s="442"/>
      <c r="DY105" s="442"/>
      <c r="DZ105" s="442"/>
      <c r="EA105" s="442"/>
      <c r="EB105" s="784"/>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1338"/>
    </row>
    <row r="106" spans="1:193" ht="16.5" hidden="1">
      <c r="A106" s="1376"/>
      <c r="B106" s="1336"/>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552"/>
      <c r="CV106" s="552"/>
      <c r="CW106" s="552"/>
      <c r="CX106" s="552"/>
      <c r="CY106" s="552"/>
      <c r="CZ106" s="552"/>
      <c r="DA106" s="552"/>
      <c r="DB106" s="552"/>
      <c r="DC106" s="552"/>
      <c r="DD106" s="552"/>
      <c r="DE106" s="552"/>
      <c r="DF106" s="442"/>
      <c r="DG106" s="442"/>
      <c r="DH106" s="442"/>
      <c r="DI106" s="442"/>
      <c r="DJ106" s="552"/>
      <c r="DK106" s="442"/>
      <c r="DL106" s="442"/>
      <c r="DM106" s="442"/>
      <c r="DN106" s="442"/>
      <c r="DO106" s="442"/>
      <c r="DP106" s="442"/>
      <c r="DQ106" s="442"/>
      <c r="DR106" s="442"/>
      <c r="DS106" s="442"/>
      <c r="DT106" s="442"/>
      <c r="DU106" s="442"/>
      <c r="DV106" s="442"/>
      <c r="DW106" s="442"/>
      <c r="DX106" s="442"/>
      <c r="DY106" s="442"/>
      <c r="DZ106" s="442"/>
      <c r="EA106" s="442"/>
      <c r="EB106" s="784"/>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1338"/>
    </row>
    <row r="107" spans="1:193" ht="16.5" hidden="1">
      <c r="A107" s="1376"/>
      <c r="B107" s="1336"/>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552"/>
      <c r="CV107" s="552"/>
      <c r="CW107" s="552"/>
      <c r="CX107" s="552"/>
      <c r="CY107" s="552"/>
      <c r="CZ107" s="552"/>
      <c r="DA107" s="552"/>
      <c r="DB107" s="552"/>
      <c r="DC107" s="552"/>
      <c r="DD107" s="552"/>
      <c r="DE107" s="552"/>
      <c r="DF107" s="442"/>
      <c r="DG107" s="442"/>
      <c r="DH107" s="442"/>
      <c r="DI107" s="442"/>
      <c r="DJ107" s="552"/>
      <c r="DK107" s="442"/>
      <c r="DL107" s="442"/>
      <c r="DM107" s="442"/>
      <c r="DN107" s="442"/>
      <c r="DO107" s="442"/>
      <c r="DP107" s="442"/>
      <c r="DQ107" s="442"/>
      <c r="DR107" s="442"/>
      <c r="DS107" s="442"/>
      <c r="DT107" s="442"/>
      <c r="DU107" s="442"/>
      <c r="DV107" s="442"/>
      <c r="DW107" s="442"/>
      <c r="DX107" s="442"/>
      <c r="DY107" s="442"/>
      <c r="DZ107" s="442"/>
      <c r="EA107" s="442"/>
      <c r="EB107" s="784"/>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1338"/>
    </row>
    <row r="108" spans="1:193" ht="16.5" hidden="1">
      <c r="A108" s="1376"/>
      <c r="B108" s="1336"/>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552"/>
      <c r="CV108" s="552"/>
      <c r="CW108" s="552"/>
      <c r="CX108" s="552"/>
      <c r="CY108" s="552"/>
      <c r="CZ108" s="552"/>
      <c r="DA108" s="552"/>
      <c r="DB108" s="552"/>
      <c r="DC108" s="552"/>
      <c r="DD108" s="552"/>
      <c r="DE108" s="552"/>
      <c r="DF108" s="442"/>
      <c r="DG108" s="442"/>
      <c r="DH108" s="442"/>
      <c r="DI108" s="442"/>
      <c r="DJ108" s="552"/>
      <c r="DK108" s="442"/>
      <c r="DL108" s="442"/>
      <c r="DM108" s="442"/>
      <c r="DN108" s="442"/>
      <c r="DO108" s="442"/>
      <c r="DP108" s="442"/>
      <c r="DQ108" s="442"/>
      <c r="DR108" s="442"/>
      <c r="DS108" s="442"/>
      <c r="DT108" s="442"/>
      <c r="DU108" s="442"/>
      <c r="DV108" s="442"/>
      <c r="DW108" s="442"/>
      <c r="DX108" s="442"/>
      <c r="DY108" s="442"/>
      <c r="DZ108" s="442"/>
      <c r="EA108" s="442"/>
      <c r="EB108" s="784"/>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1338"/>
    </row>
    <row r="109" spans="1:193" ht="16.5" hidden="1">
      <c r="A109" s="1376"/>
      <c r="B109" s="1336"/>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552"/>
      <c r="CV109" s="552"/>
      <c r="CW109" s="552"/>
      <c r="CX109" s="552"/>
      <c r="CY109" s="552"/>
      <c r="CZ109" s="552"/>
      <c r="DA109" s="552"/>
      <c r="DB109" s="552"/>
      <c r="DC109" s="552"/>
      <c r="DD109" s="552"/>
      <c r="DE109" s="552"/>
      <c r="DF109" s="442"/>
      <c r="DG109" s="442"/>
      <c r="DH109" s="442"/>
      <c r="DI109" s="442"/>
      <c r="DJ109" s="552"/>
      <c r="DK109" s="442"/>
      <c r="DL109" s="442"/>
      <c r="DM109" s="442"/>
      <c r="DN109" s="442"/>
      <c r="DO109" s="442"/>
      <c r="DP109" s="442"/>
      <c r="DQ109" s="442"/>
      <c r="DR109" s="442"/>
      <c r="DS109" s="442"/>
      <c r="DT109" s="442"/>
      <c r="DU109" s="442"/>
      <c r="DV109" s="442"/>
      <c r="DW109" s="442"/>
      <c r="DX109" s="442"/>
      <c r="DY109" s="442"/>
      <c r="DZ109" s="442"/>
      <c r="EA109" s="442"/>
      <c r="EB109" s="784"/>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1338"/>
    </row>
    <row r="110" spans="1:193" ht="16.5" hidden="1">
      <c r="A110" s="1376"/>
      <c r="B110" s="1336"/>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552"/>
      <c r="CV110" s="552"/>
      <c r="CW110" s="552"/>
      <c r="CX110" s="552"/>
      <c r="CY110" s="552"/>
      <c r="CZ110" s="552"/>
      <c r="DA110" s="552"/>
      <c r="DB110" s="552"/>
      <c r="DC110" s="552"/>
      <c r="DD110" s="552"/>
      <c r="DE110" s="552"/>
      <c r="DF110" s="442"/>
      <c r="DG110" s="442"/>
      <c r="DH110" s="442"/>
      <c r="DI110" s="442"/>
      <c r="DJ110" s="552"/>
      <c r="DK110" s="442"/>
      <c r="DL110" s="442"/>
      <c r="DM110" s="442"/>
      <c r="DN110" s="442"/>
      <c r="DO110" s="442"/>
      <c r="DP110" s="442"/>
      <c r="DQ110" s="442"/>
      <c r="DR110" s="442"/>
      <c r="DS110" s="442"/>
      <c r="DT110" s="442"/>
      <c r="DU110" s="442"/>
      <c r="DV110" s="442"/>
      <c r="DW110" s="442"/>
      <c r="DX110" s="442"/>
      <c r="DY110" s="442"/>
      <c r="DZ110" s="442"/>
      <c r="EA110" s="442"/>
      <c r="EB110" s="784"/>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1338"/>
    </row>
    <row r="111" spans="1:193" ht="16.5" hidden="1">
      <c r="A111" s="1376"/>
      <c r="B111" s="1336"/>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552"/>
      <c r="CV111" s="552"/>
      <c r="CW111" s="552"/>
      <c r="CX111" s="552"/>
      <c r="CY111" s="552"/>
      <c r="CZ111" s="552"/>
      <c r="DA111" s="552"/>
      <c r="DB111" s="552"/>
      <c r="DC111" s="552"/>
      <c r="DD111" s="552"/>
      <c r="DE111" s="552"/>
      <c r="DF111" s="442"/>
      <c r="DG111" s="442"/>
      <c r="DH111" s="442"/>
      <c r="DI111" s="442"/>
      <c r="DJ111" s="552"/>
      <c r="DK111" s="442"/>
      <c r="DL111" s="442"/>
      <c r="DM111" s="442"/>
      <c r="DN111" s="442"/>
      <c r="DO111" s="442"/>
      <c r="DP111" s="442"/>
      <c r="DQ111" s="442"/>
      <c r="DR111" s="442"/>
      <c r="DS111" s="442"/>
      <c r="DT111" s="442"/>
      <c r="DU111" s="442"/>
      <c r="DV111" s="442"/>
      <c r="DW111" s="442"/>
      <c r="DX111" s="442"/>
      <c r="DY111" s="442"/>
      <c r="DZ111" s="442"/>
      <c r="EA111" s="442"/>
      <c r="EB111" s="784"/>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1338"/>
    </row>
    <row r="112" spans="1:193" ht="16.5" hidden="1">
      <c r="A112" s="1376"/>
      <c r="B112" s="1336"/>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552"/>
      <c r="CV112" s="552"/>
      <c r="CW112" s="552"/>
      <c r="CX112" s="552"/>
      <c r="CY112" s="552"/>
      <c r="CZ112" s="552"/>
      <c r="DA112" s="552"/>
      <c r="DB112" s="552"/>
      <c r="DC112" s="552"/>
      <c r="DD112" s="552"/>
      <c r="DE112" s="552"/>
      <c r="DF112" s="442"/>
      <c r="DG112" s="442"/>
      <c r="DH112" s="442"/>
      <c r="DI112" s="442"/>
      <c r="DJ112" s="552"/>
      <c r="DK112" s="442"/>
      <c r="DL112" s="442"/>
      <c r="DM112" s="442"/>
      <c r="DN112" s="442"/>
      <c r="DO112" s="442"/>
      <c r="DP112" s="442"/>
      <c r="DQ112" s="442"/>
      <c r="DR112" s="442"/>
      <c r="DS112" s="442"/>
      <c r="DT112" s="442"/>
      <c r="DU112" s="442"/>
      <c r="DV112" s="442"/>
      <c r="DW112" s="442"/>
      <c r="DX112" s="442"/>
      <c r="DY112" s="442"/>
      <c r="DZ112" s="442"/>
      <c r="EA112" s="442"/>
      <c r="EB112" s="784"/>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1377"/>
    </row>
    <row r="113" spans="1:195" s="1385" customFormat="1" ht="6" customHeight="1">
      <c r="A113" s="1373"/>
      <c r="B113" s="1374"/>
      <c r="C113" s="1374"/>
      <c r="D113" s="1374"/>
      <c r="E113" s="1378"/>
      <c r="F113" s="1378"/>
      <c r="G113" s="1378"/>
      <c r="H113" s="1378"/>
      <c r="I113" s="1378"/>
      <c r="J113" s="1378"/>
      <c r="K113" s="1378"/>
      <c r="L113" s="1378"/>
      <c r="M113" s="1378"/>
      <c r="N113" s="1378"/>
      <c r="O113" s="1378"/>
      <c r="P113" s="1378"/>
      <c r="Q113" s="1378"/>
      <c r="R113" s="1378"/>
      <c r="S113" s="1378"/>
      <c r="T113" s="1380"/>
      <c r="U113" s="1380"/>
      <c r="V113" s="1380"/>
      <c r="W113" s="1380"/>
      <c r="X113" s="1380"/>
      <c r="Y113" s="1380"/>
      <c r="Z113" s="1380"/>
      <c r="AA113" s="1380"/>
      <c r="AB113" s="1380"/>
      <c r="AC113" s="1380"/>
      <c r="AD113" s="1380"/>
      <c r="AE113" s="1380"/>
      <c r="AF113" s="1380"/>
      <c r="AG113" s="1380"/>
      <c r="AH113" s="1380"/>
      <c r="AI113" s="1380"/>
      <c r="AJ113" s="1380"/>
      <c r="AK113" s="1380"/>
      <c r="AL113" s="1380"/>
      <c r="AM113" s="1380"/>
      <c r="AN113" s="1380"/>
      <c r="AO113" s="1380"/>
      <c r="AP113" s="1380"/>
      <c r="AQ113" s="1380"/>
      <c r="AR113" s="1380"/>
      <c r="AS113" s="1380"/>
      <c r="AT113" s="1380"/>
      <c r="AU113" s="1380"/>
      <c r="AV113" s="1380"/>
      <c r="AW113" s="1380"/>
      <c r="AX113" s="1380"/>
      <c r="AY113" s="1380"/>
      <c r="AZ113" s="1380"/>
      <c r="BA113" s="1380"/>
      <c r="BB113" s="1380"/>
      <c r="BC113" s="1380"/>
      <c r="BD113" s="1380"/>
      <c r="BE113" s="1380"/>
      <c r="BF113" s="1380"/>
      <c r="BG113" s="1380"/>
      <c r="BH113" s="1380"/>
      <c r="BI113" s="1380"/>
      <c r="BJ113" s="1380"/>
      <c r="BK113" s="1380"/>
      <c r="BL113" s="1380"/>
      <c r="BM113" s="1380"/>
      <c r="BN113" s="1380"/>
      <c r="BO113" s="1380"/>
      <c r="BP113" s="1380"/>
      <c r="BQ113" s="1380"/>
      <c r="BR113" s="1380"/>
      <c r="BS113" s="1380"/>
      <c r="BT113" s="1380"/>
      <c r="BU113" s="1380"/>
      <c r="BV113" s="1380"/>
      <c r="BW113" s="1380"/>
      <c r="BX113" s="1380"/>
      <c r="BY113" s="1380"/>
      <c r="BZ113" s="1380"/>
      <c r="CA113" s="1380"/>
      <c r="CB113" s="1380"/>
      <c r="CC113" s="1380"/>
      <c r="CD113" s="1380"/>
      <c r="CE113" s="1380"/>
      <c r="CF113" s="1380"/>
      <c r="CG113" s="1380"/>
      <c r="CH113" s="1380"/>
      <c r="CI113" s="1380"/>
      <c r="CJ113" s="1380"/>
      <c r="CK113" s="1380"/>
      <c r="CL113" s="1380"/>
      <c r="CM113" s="1380"/>
      <c r="CN113" s="1380"/>
      <c r="CO113" s="1380"/>
      <c r="CP113" s="1380"/>
      <c r="CQ113" s="1380"/>
      <c r="CR113" s="1380"/>
      <c r="CS113" s="1380"/>
      <c r="CT113" s="1380"/>
      <c r="CU113" s="1380"/>
      <c r="CV113" s="1380"/>
      <c r="CW113" s="1380"/>
      <c r="CX113" s="1380"/>
      <c r="CY113" s="1380"/>
      <c r="CZ113" s="1380"/>
      <c r="DA113" s="1380"/>
      <c r="DB113" s="1380"/>
      <c r="DC113" s="1380"/>
      <c r="DD113" s="1380"/>
      <c r="DE113" s="1380"/>
      <c r="DF113" s="1380"/>
      <c r="DG113" s="1380"/>
      <c r="DH113" s="1380"/>
      <c r="DI113" s="1380"/>
      <c r="DJ113" s="1380"/>
      <c r="DK113" s="1380"/>
      <c r="DL113" s="1380"/>
      <c r="DM113" s="1380"/>
      <c r="DN113" s="1380"/>
      <c r="DO113" s="1380"/>
      <c r="DP113" s="1380"/>
      <c r="DQ113" s="1380"/>
      <c r="DR113" s="1380"/>
      <c r="DS113" s="1380"/>
      <c r="DT113" s="1380"/>
      <c r="DU113" s="1380"/>
      <c r="DV113" s="1380"/>
      <c r="DW113" s="1380"/>
      <c r="DX113" s="1380"/>
      <c r="DY113" s="1380"/>
      <c r="DZ113" s="1380"/>
      <c r="EA113" s="1380"/>
      <c r="EB113" s="1380"/>
      <c r="EC113" s="1380"/>
      <c r="ED113" s="1380"/>
      <c r="EE113" s="1380"/>
      <c r="EF113" s="1380"/>
      <c r="EG113" s="1380"/>
      <c r="EH113" s="1380"/>
      <c r="EI113" s="1380"/>
      <c r="EJ113" s="1380"/>
      <c r="EK113" s="1380"/>
      <c r="EL113" s="1380"/>
      <c r="EM113" s="1380"/>
      <c r="EN113" s="1380"/>
      <c r="EO113" s="1380"/>
      <c r="EP113" s="1380"/>
      <c r="EQ113" s="1380"/>
      <c r="ER113" s="1380"/>
      <c r="ES113" s="1380"/>
      <c r="ET113" s="1380"/>
      <c r="EU113" s="1380"/>
      <c r="EV113" s="1380"/>
      <c r="EW113" s="1380"/>
      <c r="EX113" s="1380"/>
      <c r="EY113" s="1380"/>
      <c r="EZ113" s="1380"/>
      <c r="FA113" s="1380"/>
      <c r="FB113" s="1380"/>
      <c r="FC113" s="1380"/>
      <c r="FD113" s="1380"/>
      <c r="FE113" s="1380"/>
      <c r="FF113" s="1380"/>
      <c r="FG113" s="1380"/>
      <c r="FH113" s="1380"/>
      <c r="FI113" s="1380"/>
      <c r="FJ113" s="1380"/>
      <c r="FK113" s="1380"/>
      <c r="FL113" s="1380"/>
      <c r="FM113" s="1380"/>
      <c r="FN113" s="1380"/>
      <c r="FO113" s="1380"/>
      <c r="FP113" s="1380"/>
      <c r="FQ113" s="1380"/>
      <c r="FR113" s="1380"/>
      <c r="FS113" s="1380"/>
      <c r="FT113" s="1380"/>
      <c r="FU113" s="1380"/>
      <c r="FV113" s="1380"/>
      <c r="FW113" s="1380"/>
      <c r="FX113" s="1380"/>
      <c r="FY113" s="1380"/>
      <c r="FZ113" s="1380"/>
      <c r="GA113" s="1380"/>
      <c r="GB113" s="1380"/>
      <c r="GC113" s="1380"/>
      <c r="GD113" s="1380"/>
      <c r="GE113" s="1380"/>
      <c r="GF113" s="1380"/>
      <c r="GG113" s="1380"/>
      <c r="GH113" s="1380"/>
      <c r="GI113" s="1380"/>
      <c r="GJ113" s="1380"/>
      <c r="GK113" s="1392"/>
      <c r="GL113"/>
      <c r="GM113"/>
    </row>
    <row r="114" spans="1:195" s="1385" customFormat="1" ht="30.75" customHeight="1" thickBot="1">
      <c r="A114" s="1382" t="s">
        <v>2330</v>
      </c>
      <c r="B114" s="2470">
        <f>SUM(B11:B113)</f>
        <v>755.7</v>
      </c>
      <c r="C114" s="2470">
        <f>B114</f>
        <v>755.7</v>
      </c>
      <c r="D114" s="1026">
        <f t="shared" ref="D114:BE114" si="21">SUM(D11:D113)</f>
        <v>0</v>
      </c>
      <c r="E114" s="1026">
        <f t="shared" si="21"/>
        <v>0</v>
      </c>
      <c r="F114" s="1026">
        <f t="shared" si="21"/>
        <v>0</v>
      </c>
      <c r="G114" s="1026">
        <f t="shared" si="21"/>
        <v>0</v>
      </c>
      <c r="H114" s="1026">
        <f t="shared" si="21"/>
        <v>0</v>
      </c>
      <c r="I114" s="1026">
        <f t="shared" si="21"/>
        <v>0</v>
      </c>
      <c r="J114" s="1026">
        <f t="shared" si="21"/>
        <v>0</v>
      </c>
      <c r="K114" s="1026">
        <f t="shared" si="21"/>
        <v>0</v>
      </c>
      <c r="L114" s="1026">
        <f t="shared" si="21"/>
        <v>0</v>
      </c>
      <c r="M114" s="1026">
        <f t="shared" si="21"/>
        <v>0</v>
      </c>
      <c r="N114" s="1026">
        <f t="shared" si="21"/>
        <v>0</v>
      </c>
      <c r="O114" s="1026">
        <f t="shared" si="21"/>
        <v>0</v>
      </c>
      <c r="P114" s="1026">
        <f t="shared" si="21"/>
        <v>0</v>
      </c>
      <c r="Q114" s="1026">
        <f t="shared" si="21"/>
        <v>0</v>
      </c>
      <c r="R114" s="1026">
        <f t="shared" si="21"/>
        <v>0</v>
      </c>
      <c r="S114" s="1026">
        <f t="shared" si="21"/>
        <v>0</v>
      </c>
      <c r="T114" s="1026">
        <f t="shared" si="21"/>
        <v>0</v>
      </c>
      <c r="U114" s="1026">
        <f t="shared" si="21"/>
        <v>0</v>
      </c>
      <c r="V114" s="1383"/>
      <c r="W114" s="1383">
        <f t="shared" si="21"/>
        <v>0</v>
      </c>
      <c r="X114" s="1383">
        <f t="shared" si="21"/>
        <v>0</v>
      </c>
      <c r="Y114" s="1383">
        <f t="shared" si="21"/>
        <v>1</v>
      </c>
      <c r="Z114" s="1383">
        <f t="shared" si="21"/>
        <v>25</v>
      </c>
      <c r="AA114" s="1383">
        <f t="shared" si="21"/>
        <v>0</v>
      </c>
      <c r="AB114" s="1383">
        <f t="shared" si="21"/>
        <v>0</v>
      </c>
      <c r="AC114" s="1383">
        <f t="shared" si="21"/>
        <v>0</v>
      </c>
      <c r="AD114" s="1383">
        <f t="shared" si="21"/>
        <v>0</v>
      </c>
      <c r="AE114" s="1383">
        <f t="shared" si="21"/>
        <v>15</v>
      </c>
      <c r="AF114" s="1383">
        <f t="shared" si="21"/>
        <v>0</v>
      </c>
      <c r="AG114" s="1383">
        <f t="shared" si="21"/>
        <v>0</v>
      </c>
      <c r="AH114" s="1383">
        <f t="shared" si="21"/>
        <v>0</v>
      </c>
      <c r="AI114" s="1383">
        <f t="shared" si="21"/>
        <v>0</v>
      </c>
      <c r="AJ114" s="1383">
        <f t="shared" si="21"/>
        <v>0</v>
      </c>
      <c r="AK114" s="1383">
        <f t="shared" si="21"/>
        <v>0</v>
      </c>
      <c r="AL114" s="1383">
        <f t="shared" si="21"/>
        <v>0</v>
      </c>
      <c r="AM114" s="1383">
        <f t="shared" si="21"/>
        <v>0</v>
      </c>
      <c r="AN114" s="1383">
        <f t="shared" si="21"/>
        <v>0</v>
      </c>
      <c r="AO114" s="1383">
        <f t="shared" si="21"/>
        <v>0</v>
      </c>
      <c r="AP114" s="1383">
        <f t="shared" si="21"/>
        <v>0</v>
      </c>
      <c r="AQ114" s="1383">
        <f t="shared" si="21"/>
        <v>0</v>
      </c>
      <c r="AR114" s="1383">
        <f t="shared" si="21"/>
        <v>0</v>
      </c>
      <c r="AS114" s="1383">
        <f t="shared" si="21"/>
        <v>5</v>
      </c>
      <c r="AT114" s="1383">
        <f t="shared" si="21"/>
        <v>0</v>
      </c>
      <c r="AU114" s="1383">
        <f t="shared" si="21"/>
        <v>0</v>
      </c>
      <c r="AV114" s="1383">
        <f t="shared" si="21"/>
        <v>0</v>
      </c>
      <c r="AW114" s="1383">
        <f t="shared" si="21"/>
        <v>0</v>
      </c>
      <c r="AX114" s="1383">
        <f t="shared" si="21"/>
        <v>0</v>
      </c>
      <c r="AY114" s="1383">
        <f t="shared" si="21"/>
        <v>0</v>
      </c>
      <c r="AZ114" s="1383">
        <f t="shared" si="21"/>
        <v>0</v>
      </c>
      <c r="BA114" s="1383">
        <f t="shared" si="21"/>
        <v>0</v>
      </c>
      <c r="BB114" s="1383">
        <f t="shared" si="21"/>
        <v>0</v>
      </c>
      <c r="BC114" s="1383">
        <f t="shared" si="21"/>
        <v>0</v>
      </c>
      <c r="BD114" s="1383">
        <f t="shared" si="21"/>
        <v>0</v>
      </c>
      <c r="BE114" s="1383">
        <f t="shared" si="21"/>
        <v>0</v>
      </c>
      <c r="BF114" s="1383">
        <f t="shared" ref="BF114:DC114" si="22">SUM(BF11:BF113)</f>
        <v>0</v>
      </c>
      <c r="BG114" s="1383">
        <f t="shared" si="22"/>
        <v>0</v>
      </c>
      <c r="BH114" s="1383">
        <f t="shared" si="22"/>
        <v>0</v>
      </c>
      <c r="BI114" s="1383">
        <f t="shared" si="22"/>
        <v>0</v>
      </c>
      <c r="BJ114" s="1383">
        <f t="shared" si="22"/>
        <v>0</v>
      </c>
      <c r="BK114" s="1383">
        <f t="shared" si="22"/>
        <v>1</v>
      </c>
      <c r="BL114" s="1383">
        <f t="shared" si="22"/>
        <v>0</v>
      </c>
      <c r="BM114" s="1383">
        <f t="shared" si="22"/>
        <v>0</v>
      </c>
      <c r="BN114" s="1383">
        <f t="shared" si="22"/>
        <v>0</v>
      </c>
      <c r="BO114" s="1383">
        <f t="shared" si="22"/>
        <v>0</v>
      </c>
      <c r="BP114" s="1383">
        <f t="shared" si="22"/>
        <v>0</v>
      </c>
      <c r="BQ114" s="1383">
        <f t="shared" si="22"/>
        <v>0</v>
      </c>
      <c r="BR114" s="1383">
        <f t="shared" si="22"/>
        <v>0</v>
      </c>
      <c r="BS114" s="1383">
        <f t="shared" si="22"/>
        <v>0</v>
      </c>
      <c r="BT114" s="1383">
        <f t="shared" si="22"/>
        <v>0</v>
      </c>
      <c r="BU114" s="1383">
        <f t="shared" si="22"/>
        <v>1</v>
      </c>
      <c r="BV114" s="1383">
        <f t="shared" si="22"/>
        <v>0</v>
      </c>
      <c r="BW114" s="1383">
        <f t="shared" si="22"/>
        <v>0</v>
      </c>
      <c r="BX114" s="1383">
        <f t="shared" si="22"/>
        <v>0</v>
      </c>
      <c r="BY114" s="1383">
        <f t="shared" si="22"/>
        <v>0</v>
      </c>
      <c r="BZ114" s="1383">
        <f t="shared" si="22"/>
        <v>0</v>
      </c>
      <c r="CA114" s="1383">
        <f t="shared" si="22"/>
        <v>0</v>
      </c>
      <c r="CB114" s="1383">
        <f t="shared" si="22"/>
        <v>0</v>
      </c>
      <c r="CC114" s="1383">
        <f t="shared" si="22"/>
        <v>0</v>
      </c>
      <c r="CD114" s="1383">
        <f t="shared" si="22"/>
        <v>0</v>
      </c>
      <c r="CE114" s="1383">
        <f t="shared" si="22"/>
        <v>0</v>
      </c>
      <c r="CF114" s="1383">
        <f t="shared" si="22"/>
        <v>0</v>
      </c>
      <c r="CG114" s="1383">
        <f t="shared" si="22"/>
        <v>0</v>
      </c>
      <c r="CH114" s="1383">
        <f t="shared" si="22"/>
        <v>4</v>
      </c>
      <c r="CI114" s="1383">
        <f t="shared" si="22"/>
        <v>0</v>
      </c>
      <c r="CJ114" s="1383">
        <f t="shared" si="22"/>
        <v>0</v>
      </c>
      <c r="CK114" s="1383">
        <f t="shared" si="22"/>
        <v>0</v>
      </c>
      <c r="CL114" s="1383">
        <f t="shared" si="22"/>
        <v>0</v>
      </c>
      <c r="CM114" s="1383">
        <f t="shared" si="22"/>
        <v>0</v>
      </c>
      <c r="CN114" s="1383">
        <f t="shared" si="22"/>
        <v>0</v>
      </c>
      <c r="CO114" s="1383">
        <f t="shared" si="22"/>
        <v>4</v>
      </c>
      <c r="CP114" s="1383">
        <f t="shared" si="22"/>
        <v>3</v>
      </c>
      <c r="CQ114" s="1383">
        <f t="shared" si="22"/>
        <v>0</v>
      </c>
      <c r="CR114" s="1383">
        <f t="shared" si="22"/>
        <v>0</v>
      </c>
      <c r="CS114" s="1383">
        <f t="shared" si="22"/>
        <v>0</v>
      </c>
      <c r="CT114" s="1383">
        <f t="shared" si="22"/>
        <v>0</v>
      </c>
      <c r="CU114" s="1383">
        <f t="shared" si="22"/>
        <v>0</v>
      </c>
      <c r="CV114" s="1383">
        <f t="shared" si="22"/>
        <v>1</v>
      </c>
      <c r="CW114" s="1383">
        <f t="shared" si="22"/>
        <v>15</v>
      </c>
      <c r="CX114" s="1383">
        <f t="shared" si="22"/>
        <v>0</v>
      </c>
      <c r="CY114" s="1383">
        <f t="shared" si="22"/>
        <v>0</v>
      </c>
      <c r="CZ114" s="1383">
        <f t="shared" si="22"/>
        <v>0</v>
      </c>
      <c r="DA114" s="1383">
        <f t="shared" si="22"/>
        <v>0</v>
      </c>
      <c r="DB114" s="1383">
        <f t="shared" si="22"/>
        <v>1</v>
      </c>
      <c r="DC114" s="1383">
        <f t="shared" si="22"/>
        <v>0</v>
      </c>
      <c r="DD114" s="1383">
        <f t="shared" ref="DD114:FR114" si="23">SUM(DD11:DD113)</f>
        <v>0</v>
      </c>
      <c r="DE114" s="1383">
        <f t="shared" si="23"/>
        <v>69</v>
      </c>
      <c r="DF114" s="1383">
        <f t="shared" si="23"/>
        <v>24</v>
      </c>
      <c r="DG114" s="1383">
        <f t="shared" si="23"/>
        <v>0</v>
      </c>
      <c r="DH114" s="1383">
        <f t="shared" si="23"/>
        <v>0</v>
      </c>
      <c r="DI114" s="1383">
        <f t="shared" si="23"/>
        <v>0</v>
      </c>
      <c r="DJ114" s="1383">
        <f t="shared" si="23"/>
        <v>17</v>
      </c>
      <c r="DK114" s="1383">
        <f t="shared" si="23"/>
        <v>0</v>
      </c>
      <c r="DL114" s="1383">
        <f t="shared" si="23"/>
        <v>0</v>
      </c>
      <c r="DM114" s="1383">
        <f t="shared" si="23"/>
        <v>8</v>
      </c>
      <c r="DN114" s="1383">
        <f t="shared" si="23"/>
        <v>0</v>
      </c>
      <c r="DO114" s="1383">
        <f t="shared" si="23"/>
        <v>0</v>
      </c>
      <c r="DP114" s="1383">
        <f t="shared" si="23"/>
        <v>0</v>
      </c>
      <c r="DQ114" s="1383">
        <f t="shared" si="23"/>
        <v>0</v>
      </c>
      <c r="DR114" s="1383">
        <f t="shared" si="23"/>
        <v>0</v>
      </c>
      <c r="DS114" s="1383">
        <f t="shared" si="23"/>
        <v>0</v>
      </c>
      <c r="DT114" s="1383">
        <f t="shared" si="23"/>
        <v>0</v>
      </c>
      <c r="DU114" s="1383">
        <f t="shared" si="23"/>
        <v>0</v>
      </c>
      <c r="DV114" s="1383">
        <f t="shared" si="23"/>
        <v>0</v>
      </c>
      <c r="DW114" s="1383">
        <f t="shared" si="23"/>
        <v>0</v>
      </c>
      <c r="DX114" s="1383">
        <f t="shared" si="23"/>
        <v>0</v>
      </c>
      <c r="DY114" s="1383">
        <f t="shared" si="23"/>
        <v>0</v>
      </c>
      <c r="DZ114" s="1383">
        <f t="shared" si="23"/>
        <v>0</v>
      </c>
      <c r="EA114" s="1383">
        <f t="shared" si="23"/>
        <v>0</v>
      </c>
      <c r="EB114" s="1383">
        <f t="shared" si="23"/>
        <v>6</v>
      </c>
      <c r="EC114" s="1383">
        <f t="shared" si="23"/>
        <v>6</v>
      </c>
      <c r="ED114" s="1383">
        <f t="shared" si="23"/>
        <v>0</v>
      </c>
      <c r="EE114" s="1383">
        <f t="shared" si="23"/>
        <v>0</v>
      </c>
      <c r="EF114" s="1383">
        <f t="shared" si="23"/>
        <v>0</v>
      </c>
      <c r="EG114" s="1383">
        <f t="shared" si="23"/>
        <v>18</v>
      </c>
      <c r="EH114" s="1383">
        <f t="shared" si="23"/>
        <v>0</v>
      </c>
      <c r="EI114" s="1383">
        <f t="shared" si="23"/>
        <v>0</v>
      </c>
      <c r="EJ114" s="1383">
        <f t="shared" si="23"/>
        <v>0</v>
      </c>
      <c r="EK114" s="1383">
        <f t="shared" si="23"/>
        <v>0</v>
      </c>
      <c r="EL114" s="1383">
        <f t="shared" si="23"/>
        <v>6</v>
      </c>
      <c r="EM114" s="1383">
        <f t="shared" si="23"/>
        <v>0</v>
      </c>
      <c r="EN114" s="1383">
        <f t="shared" si="23"/>
        <v>0</v>
      </c>
      <c r="EO114" s="1383">
        <f t="shared" si="23"/>
        <v>0</v>
      </c>
      <c r="EP114" s="1383">
        <f t="shared" si="23"/>
        <v>0</v>
      </c>
      <c r="EQ114" s="1383">
        <f t="shared" si="23"/>
        <v>0</v>
      </c>
      <c r="ER114" s="1383">
        <f t="shared" si="23"/>
        <v>0</v>
      </c>
      <c r="ES114" s="1383">
        <f t="shared" si="23"/>
        <v>0</v>
      </c>
      <c r="ET114" s="1383">
        <f t="shared" si="23"/>
        <v>0</v>
      </c>
      <c r="EU114" s="1383">
        <f t="shared" si="23"/>
        <v>0</v>
      </c>
      <c r="EV114" s="1383">
        <f t="shared" si="23"/>
        <v>0</v>
      </c>
      <c r="EW114" s="1383">
        <f t="shared" si="23"/>
        <v>0</v>
      </c>
      <c r="EX114" s="1383">
        <f t="shared" si="23"/>
        <v>3</v>
      </c>
      <c r="EY114" s="1383">
        <f t="shared" si="23"/>
        <v>6</v>
      </c>
      <c r="EZ114" s="1383">
        <f t="shared" si="23"/>
        <v>63</v>
      </c>
      <c r="FA114" s="1383">
        <f t="shared" ref="FA114" si="24">SUM(FA11:FA113)</f>
        <v>0</v>
      </c>
      <c r="FB114" s="1383">
        <f t="shared" ref="FB114" si="25">SUM(FB11:FB113)</f>
        <v>0</v>
      </c>
      <c r="FC114" s="1383">
        <f t="shared" ref="FC114" si="26">SUM(FC11:FC113)</f>
        <v>0</v>
      </c>
      <c r="FD114" s="1383">
        <f t="shared" si="23"/>
        <v>0</v>
      </c>
      <c r="FE114" s="1383">
        <f t="shared" si="23"/>
        <v>0</v>
      </c>
      <c r="FF114" s="1383">
        <f t="shared" si="23"/>
        <v>0</v>
      </c>
      <c r="FG114" s="1383">
        <f t="shared" si="23"/>
        <v>0</v>
      </c>
      <c r="FH114" s="1383">
        <f t="shared" si="23"/>
        <v>0</v>
      </c>
      <c r="FI114" s="1383">
        <f t="shared" si="23"/>
        <v>0</v>
      </c>
      <c r="FJ114" s="1383">
        <f t="shared" si="23"/>
        <v>0</v>
      </c>
      <c r="FK114" s="1383">
        <f t="shared" si="23"/>
        <v>0</v>
      </c>
      <c r="FL114" s="1383">
        <f t="shared" si="23"/>
        <v>0</v>
      </c>
      <c r="FM114" s="1383">
        <f t="shared" si="23"/>
        <v>0</v>
      </c>
      <c r="FN114" s="1383">
        <f t="shared" si="23"/>
        <v>0</v>
      </c>
      <c r="FO114" s="1383">
        <f t="shared" si="23"/>
        <v>0</v>
      </c>
      <c r="FP114" s="1383">
        <f t="shared" si="23"/>
        <v>0</v>
      </c>
      <c r="FQ114" s="1383">
        <f t="shared" si="23"/>
        <v>0</v>
      </c>
      <c r="FR114" s="1383">
        <f t="shared" si="23"/>
        <v>0</v>
      </c>
      <c r="FS114" s="1383">
        <f t="shared" ref="FS114:GJ114" si="27">SUM(FS11:FS113)</f>
        <v>0</v>
      </c>
      <c r="FT114" s="1383">
        <f t="shared" si="27"/>
        <v>0</v>
      </c>
      <c r="FU114" s="1383">
        <f t="shared" si="27"/>
        <v>0</v>
      </c>
      <c r="FV114" s="1383">
        <f t="shared" si="27"/>
        <v>0</v>
      </c>
      <c r="FW114" s="1383">
        <f t="shared" si="27"/>
        <v>0</v>
      </c>
      <c r="FX114" s="1383">
        <f t="shared" si="27"/>
        <v>0</v>
      </c>
      <c r="FY114" s="1383">
        <f t="shared" si="27"/>
        <v>0</v>
      </c>
      <c r="FZ114" s="1383">
        <f t="shared" si="27"/>
        <v>0</v>
      </c>
      <c r="GA114" s="1383">
        <f t="shared" si="27"/>
        <v>0</v>
      </c>
      <c r="GB114" s="1383">
        <f t="shared" si="27"/>
        <v>0</v>
      </c>
      <c r="GC114" s="1383">
        <f t="shared" si="27"/>
        <v>0</v>
      </c>
      <c r="GD114" s="1383">
        <f t="shared" si="27"/>
        <v>0</v>
      </c>
      <c r="GE114" s="1383">
        <f t="shared" si="27"/>
        <v>0</v>
      </c>
      <c r="GF114" s="1383">
        <f t="shared" si="27"/>
        <v>0</v>
      </c>
      <c r="GG114" s="1383">
        <f t="shared" si="27"/>
        <v>0</v>
      </c>
      <c r="GH114" s="1383">
        <f t="shared" si="27"/>
        <v>0</v>
      </c>
      <c r="GI114" s="1383">
        <f t="shared" si="27"/>
        <v>0</v>
      </c>
      <c r="GJ114" s="1383">
        <f t="shared" si="27"/>
        <v>0</v>
      </c>
      <c r="GK114" s="1384"/>
      <c r="GL114"/>
      <c r="GM114"/>
    </row>
    <row r="115" spans="1:195" ht="17.25" thickTop="1">
      <c r="W115" s="472"/>
      <c r="X115" s="472"/>
      <c r="Y115" s="472"/>
      <c r="Z115" s="472"/>
      <c r="AA115" s="472"/>
      <c r="AB115" s="472"/>
      <c r="AC115" s="472"/>
      <c r="BG115" s="472"/>
      <c r="BH115" s="472"/>
      <c r="BI115" s="472"/>
      <c r="BJ115" s="472"/>
      <c r="BK115" s="472"/>
      <c r="BL115" s="472"/>
    </row>
    <row r="116" spans="1:195" ht="16.5">
      <c r="W116" s="472"/>
      <c r="X116" s="472"/>
      <c r="Y116" s="472"/>
      <c r="Z116" s="472"/>
      <c r="AA116" s="472"/>
      <c r="AB116" s="472"/>
      <c r="AC116" s="472"/>
      <c r="BG116" s="472"/>
      <c r="BH116" s="472"/>
      <c r="BI116" s="472"/>
      <c r="BJ116" s="472"/>
      <c r="BK116" s="472"/>
      <c r="BL116" s="472"/>
    </row>
    <row r="117" spans="1:195" ht="16.5">
      <c r="B117" s="789"/>
      <c r="C117" s="791"/>
      <c r="W117" s="472"/>
      <c r="X117" s="472"/>
      <c r="Y117" s="472"/>
      <c r="Z117" s="472"/>
      <c r="AA117" s="472"/>
      <c r="AB117" s="472"/>
      <c r="AC117" s="472"/>
      <c r="BG117" s="472"/>
      <c r="BH117" s="472"/>
      <c r="BI117" s="472"/>
      <c r="BJ117" s="472"/>
      <c r="BK117" s="472"/>
      <c r="BL117" s="472"/>
    </row>
    <row r="118" spans="1:195" ht="16.5">
      <c r="B118" s="789"/>
      <c r="C118" s="791"/>
      <c r="W118" s="472"/>
      <c r="X118" s="472"/>
      <c r="Y118" s="472"/>
      <c r="Z118" s="472"/>
      <c r="AA118" s="472"/>
      <c r="AB118" s="472"/>
      <c r="AC118" s="472"/>
      <c r="BG118" s="472"/>
      <c r="BH118" s="472"/>
      <c r="BI118" s="472"/>
      <c r="BJ118" s="472"/>
      <c r="BK118" s="472"/>
      <c r="BL118" s="472"/>
    </row>
    <row r="119" spans="1:195" ht="16.5">
      <c r="B119" s="789"/>
      <c r="C119" s="791"/>
      <c r="W119" s="472"/>
      <c r="X119" s="472"/>
      <c r="Y119" s="472"/>
      <c r="Z119" s="472"/>
      <c r="AA119" s="472"/>
      <c r="AB119" s="472"/>
      <c r="AC119" s="472"/>
      <c r="BG119" s="472"/>
      <c r="BH119" s="472"/>
      <c r="BI119" s="472"/>
      <c r="BJ119" s="472"/>
      <c r="BK119" s="472"/>
      <c r="BL119" s="472"/>
    </row>
    <row r="120" spans="1:195" ht="16.5">
      <c r="W120" s="472"/>
      <c r="X120" s="472"/>
      <c r="Y120" s="472"/>
      <c r="Z120" s="472"/>
      <c r="AA120" s="472"/>
      <c r="AB120" s="472"/>
      <c r="AC120" s="472"/>
      <c r="BG120" s="472"/>
      <c r="BH120" s="472"/>
      <c r="BI120" s="472"/>
      <c r="BJ120" s="472"/>
      <c r="BK120" s="472"/>
      <c r="BL120" s="472"/>
    </row>
    <row r="121" spans="1:195" ht="16.5">
      <c r="W121" s="472"/>
      <c r="X121" s="472"/>
      <c r="Y121" s="472"/>
      <c r="Z121" s="472"/>
      <c r="AA121" s="472"/>
      <c r="AB121" s="472"/>
      <c r="AC121" s="472"/>
      <c r="BG121" s="472"/>
      <c r="BH121" s="472"/>
      <c r="BI121" s="472"/>
      <c r="BJ121" s="472"/>
      <c r="BK121" s="472"/>
      <c r="BL121" s="472"/>
    </row>
    <row r="122" spans="1:195" ht="16.5">
      <c r="W122" s="472"/>
      <c r="X122" s="472"/>
      <c r="Y122" s="472"/>
      <c r="Z122" s="472"/>
      <c r="AA122" s="472"/>
      <c r="AB122" s="472"/>
      <c r="AC122" s="472"/>
      <c r="BG122" s="472"/>
      <c r="BH122" s="472"/>
      <c r="BI122" s="472"/>
      <c r="BJ122" s="472"/>
      <c r="BK122" s="472"/>
      <c r="BL122" s="472"/>
    </row>
    <row r="123" spans="1:195" ht="16.5">
      <c r="W123" s="472"/>
      <c r="X123" s="472"/>
      <c r="Y123" s="472"/>
      <c r="Z123" s="472"/>
      <c r="AA123" s="472"/>
      <c r="AB123" s="472"/>
      <c r="AC123" s="472"/>
      <c r="BG123" s="472"/>
      <c r="BH123" s="472"/>
      <c r="BI123" s="472"/>
      <c r="BJ123" s="472"/>
      <c r="BK123" s="472"/>
      <c r="BL123" s="472"/>
    </row>
    <row r="124" spans="1:195" ht="16.5">
      <c r="W124" s="472"/>
      <c r="X124" s="472"/>
      <c r="Y124" s="472"/>
      <c r="Z124" s="472"/>
      <c r="AA124" s="472"/>
      <c r="AB124" s="472"/>
      <c r="AC124" s="472"/>
      <c r="BG124" s="472"/>
      <c r="BH124" s="472"/>
      <c r="BI124" s="472"/>
      <c r="BJ124" s="472"/>
      <c r="BK124" s="472"/>
      <c r="BL124" s="472"/>
    </row>
    <row r="125" spans="1:195" ht="16.5">
      <c r="W125" s="472"/>
      <c r="X125" s="472"/>
      <c r="Y125" s="472"/>
      <c r="Z125" s="472"/>
      <c r="AA125" s="472"/>
      <c r="AB125" s="472"/>
      <c r="AC125" s="472"/>
      <c r="BG125" s="472"/>
      <c r="BH125" s="472"/>
      <c r="BI125" s="472"/>
      <c r="BJ125" s="472"/>
      <c r="BK125" s="472"/>
      <c r="BL125" s="472"/>
    </row>
    <row r="126" spans="1:195" ht="16.5">
      <c r="W126" s="472"/>
      <c r="X126" s="472"/>
      <c r="Y126" s="472"/>
      <c r="Z126" s="472"/>
      <c r="AA126" s="472"/>
      <c r="AB126" s="472"/>
      <c r="AC126" s="472"/>
      <c r="BG126" s="472"/>
      <c r="BH126" s="472"/>
      <c r="BI126" s="472"/>
      <c r="BJ126" s="472"/>
      <c r="BK126" s="472"/>
      <c r="BL126" s="472"/>
    </row>
    <row r="127" spans="1:195" ht="16.5">
      <c r="W127" s="472"/>
      <c r="X127" s="472"/>
      <c r="Y127" s="472"/>
      <c r="Z127" s="472"/>
      <c r="AA127" s="472"/>
      <c r="AB127" s="472"/>
      <c r="AC127" s="472"/>
      <c r="BG127" s="472"/>
      <c r="BH127" s="472"/>
      <c r="BI127" s="472"/>
      <c r="BJ127" s="472"/>
      <c r="BK127" s="472"/>
      <c r="BL127" s="472"/>
    </row>
    <row r="128" spans="1:195" ht="16.5">
      <c r="W128" s="472"/>
      <c r="X128" s="472"/>
      <c r="Y128" s="472"/>
      <c r="Z128" s="472"/>
      <c r="AA128" s="472"/>
      <c r="AB128" s="472"/>
      <c r="AC128" s="472"/>
      <c r="BG128" s="472"/>
      <c r="BH128" s="472"/>
      <c r="BI128" s="472"/>
      <c r="BJ128" s="472"/>
      <c r="BK128" s="472"/>
      <c r="BL128" s="472"/>
    </row>
    <row r="129" spans="23:64" ht="16.5">
      <c r="W129" s="472"/>
      <c r="X129" s="472"/>
      <c r="Y129" s="472"/>
      <c r="Z129" s="472"/>
      <c r="AA129" s="472"/>
      <c r="AB129" s="472"/>
      <c r="AC129" s="472"/>
      <c r="BG129" s="472"/>
      <c r="BH129" s="472"/>
      <c r="BI129" s="472"/>
      <c r="BJ129" s="472"/>
      <c r="BK129" s="472"/>
      <c r="BL129" s="472"/>
    </row>
    <row r="130" spans="23:64" ht="16.5">
      <c r="W130" s="472"/>
      <c r="X130" s="472"/>
      <c r="Y130" s="472"/>
      <c r="Z130" s="472"/>
      <c r="AA130" s="472"/>
      <c r="AB130" s="472"/>
      <c r="AC130" s="472"/>
      <c r="BG130" s="472"/>
      <c r="BH130" s="472"/>
      <c r="BI130" s="472"/>
      <c r="BJ130" s="472"/>
      <c r="BK130" s="472"/>
      <c r="BL130" s="472"/>
    </row>
    <row r="131" spans="23:64" ht="16.5">
      <c r="W131" s="472"/>
      <c r="X131" s="472"/>
      <c r="Y131" s="472"/>
      <c r="Z131" s="472"/>
      <c r="AA131" s="472"/>
      <c r="AB131" s="472"/>
      <c r="AC131" s="472"/>
      <c r="BG131" s="472"/>
      <c r="BH131" s="472"/>
      <c r="BI131" s="472"/>
      <c r="BJ131" s="472"/>
      <c r="BK131" s="472"/>
      <c r="BL131" s="472"/>
    </row>
    <row r="132" spans="23:64" ht="16.5">
      <c r="W132" s="472"/>
      <c r="X132" s="472"/>
      <c r="Y132" s="472"/>
      <c r="Z132" s="472"/>
      <c r="AA132" s="472"/>
      <c r="AB132" s="472"/>
      <c r="AC132" s="472"/>
      <c r="BG132" s="472"/>
      <c r="BH132" s="472"/>
      <c r="BI132" s="472"/>
      <c r="BJ132" s="472"/>
      <c r="BK132" s="472"/>
      <c r="BL132" s="472"/>
    </row>
    <row r="133" spans="23:64" ht="16.5">
      <c r="W133" s="472"/>
      <c r="X133" s="472"/>
      <c r="Y133" s="472"/>
      <c r="Z133" s="472"/>
      <c r="AA133" s="472"/>
      <c r="AB133" s="472"/>
      <c r="AC133" s="472"/>
      <c r="BG133" s="472"/>
      <c r="BH133" s="472"/>
      <c r="BI133" s="472"/>
      <c r="BJ133" s="472"/>
      <c r="BK133" s="472"/>
      <c r="BL133" s="472"/>
    </row>
    <row r="134" spans="23:64" ht="16.5">
      <c r="W134" s="472"/>
      <c r="X134" s="472"/>
      <c r="Y134" s="472"/>
      <c r="Z134" s="472"/>
      <c r="AA134" s="472"/>
      <c r="AB134" s="472"/>
      <c r="AC134" s="472"/>
      <c r="BG134" s="472"/>
      <c r="BH134" s="472"/>
      <c r="BI134" s="472"/>
      <c r="BJ134" s="472"/>
      <c r="BK134" s="472"/>
      <c r="BL134" s="472"/>
    </row>
    <row r="135" spans="23:64" ht="16.5">
      <c r="W135" s="472"/>
      <c r="X135" s="472"/>
      <c r="Y135" s="472"/>
      <c r="Z135" s="472"/>
      <c r="AA135" s="472"/>
      <c r="AB135" s="472"/>
      <c r="AC135" s="472"/>
      <c r="BG135" s="472"/>
      <c r="BH135" s="472"/>
      <c r="BI135" s="472"/>
      <c r="BJ135" s="472"/>
      <c r="BK135" s="472"/>
      <c r="BL135" s="472"/>
    </row>
    <row r="136" spans="23:64" ht="16.5">
      <c r="W136" s="472"/>
      <c r="X136" s="472"/>
      <c r="Y136" s="472"/>
      <c r="Z136" s="472"/>
      <c r="AA136" s="472"/>
      <c r="AB136" s="472"/>
      <c r="AC136" s="472"/>
      <c r="BG136" s="472"/>
      <c r="BH136" s="472"/>
      <c r="BI136" s="472"/>
      <c r="BJ136" s="472"/>
      <c r="BK136" s="472"/>
      <c r="BL136" s="472"/>
    </row>
    <row r="137" spans="23:64" ht="16.5">
      <c r="W137" s="472"/>
      <c r="X137" s="472"/>
      <c r="Y137" s="472"/>
      <c r="Z137" s="472"/>
      <c r="AA137" s="472"/>
      <c r="AB137" s="472"/>
      <c r="AC137" s="472"/>
      <c r="BG137" s="472"/>
      <c r="BH137" s="472"/>
      <c r="BI137" s="472"/>
      <c r="BJ137" s="472"/>
      <c r="BK137" s="472"/>
      <c r="BL137" s="472"/>
    </row>
    <row r="138" spans="23:64" ht="18.95" customHeight="1">
      <c r="W138" s="472"/>
      <c r="X138" s="472"/>
      <c r="Y138" s="472"/>
      <c r="Z138" s="472"/>
      <c r="AA138" s="472"/>
      <c r="AB138" s="472"/>
      <c r="AC138" s="472"/>
      <c r="BG138" s="472"/>
      <c r="BH138" s="472"/>
      <c r="BI138" s="472"/>
      <c r="BJ138" s="472"/>
      <c r="BK138" s="472"/>
      <c r="BL138" s="472"/>
    </row>
    <row r="139" spans="23:64" ht="18.95" customHeight="1">
      <c r="W139" s="472"/>
      <c r="X139" s="472"/>
      <c r="Y139" s="472"/>
      <c r="Z139" s="472"/>
      <c r="AA139" s="472"/>
      <c r="AB139" s="472"/>
      <c r="AC139" s="472"/>
      <c r="BG139" s="472"/>
      <c r="BH139" s="472"/>
      <c r="BI139" s="472"/>
      <c r="BJ139" s="472"/>
      <c r="BK139" s="472"/>
      <c r="BL139" s="472"/>
    </row>
    <row r="140" spans="23:64" ht="18.95" customHeight="1">
      <c r="W140" s="472"/>
      <c r="X140" s="472"/>
      <c r="Y140" s="472"/>
      <c r="Z140" s="472"/>
      <c r="AA140" s="472"/>
      <c r="AB140" s="472"/>
      <c r="AC140" s="472"/>
      <c r="BG140" s="472"/>
      <c r="BH140" s="472"/>
      <c r="BI140" s="472"/>
      <c r="BJ140" s="472"/>
      <c r="BK140" s="472"/>
      <c r="BL140" s="472"/>
    </row>
    <row r="141" spans="23:64" ht="18.95" customHeight="1">
      <c r="W141" s="472"/>
      <c r="X141" s="472"/>
      <c r="Y141" s="472"/>
      <c r="Z141" s="472"/>
      <c r="AA141" s="472"/>
      <c r="AB141" s="472"/>
      <c r="AC141" s="472"/>
      <c r="BG141" s="472"/>
      <c r="BH141" s="472"/>
      <c r="BI141" s="472"/>
      <c r="BJ141" s="472"/>
      <c r="BK141" s="472"/>
      <c r="BL141" s="472"/>
    </row>
    <row r="142" spans="23:64" ht="18.95" customHeight="1">
      <c r="W142" s="472"/>
      <c r="X142" s="472"/>
      <c r="Y142" s="472"/>
      <c r="Z142" s="472"/>
      <c r="AA142" s="472"/>
      <c r="AB142" s="472"/>
      <c r="AC142" s="472"/>
      <c r="BG142" s="472"/>
      <c r="BH142" s="472"/>
      <c r="BI142" s="472"/>
      <c r="BJ142" s="472"/>
      <c r="BK142" s="472"/>
      <c r="BL142" s="472"/>
    </row>
    <row r="143" spans="23:64" ht="18.95" customHeight="1">
      <c r="W143" s="472"/>
      <c r="X143" s="472"/>
      <c r="Y143" s="472"/>
      <c r="Z143" s="472"/>
      <c r="AA143" s="472"/>
      <c r="AB143" s="472"/>
      <c r="AC143" s="472"/>
      <c r="BG143" s="472"/>
      <c r="BH143" s="472"/>
      <c r="BI143" s="472"/>
      <c r="BJ143" s="472"/>
      <c r="BK143" s="472"/>
      <c r="BL143" s="472"/>
    </row>
    <row r="144" spans="23:64" ht="18.95" customHeight="1">
      <c r="W144" s="472"/>
      <c r="X144" s="472"/>
      <c r="Y144" s="472"/>
      <c r="Z144" s="472"/>
      <c r="AA144" s="472"/>
      <c r="AB144" s="472"/>
      <c r="AC144" s="472"/>
      <c r="BG144" s="472"/>
      <c r="BH144" s="472"/>
      <c r="BI144" s="472"/>
      <c r="BJ144" s="472"/>
      <c r="BK144" s="472"/>
      <c r="BL144" s="472"/>
    </row>
    <row r="145" spans="23:64" ht="18.95" customHeight="1">
      <c r="W145" s="472"/>
      <c r="X145" s="472"/>
      <c r="Y145" s="472"/>
      <c r="Z145" s="472"/>
      <c r="AA145" s="472"/>
      <c r="AB145" s="472"/>
      <c r="AC145" s="472"/>
      <c r="BG145" s="472"/>
      <c r="BH145" s="472"/>
      <c r="BI145" s="472"/>
      <c r="BJ145" s="472"/>
      <c r="BK145" s="472"/>
      <c r="BL145" s="472"/>
    </row>
    <row r="146" spans="23:64" ht="18.95" customHeight="1">
      <c r="W146" s="472"/>
      <c r="X146" s="472"/>
      <c r="Y146" s="472"/>
      <c r="Z146" s="472"/>
      <c r="AA146" s="472"/>
      <c r="AB146" s="472"/>
      <c r="AC146" s="472"/>
      <c r="BG146" s="472"/>
      <c r="BH146" s="472"/>
      <c r="BI146" s="472"/>
      <c r="BJ146" s="472"/>
      <c r="BK146" s="472"/>
      <c r="BL146" s="472"/>
    </row>
    <row r="147" spans="23:64" ht="18.95" customHeight="1">
      <c r="W147" s="472"/>
      <c r="X147" s="472"/>
      <c r="Y147" s="472"/>
      <c r="Z147" s="472"/>
      <c r="AA147" s="472"/>
      <c r="AB147" s="472"/>
      <c r="AC147" s="472"/>
      <c r="BG147" s="472"/>
      <c r="BH147" s="472"/>
      <c r="BI147" s="472"/>
      <c r="BJ147" s="472"/>
      <c r="BK147" s="472"/>
      <c r="BL147" s="472"/>
    </row>
    <row r="148" spans="23:64" ht="18.95" customHeight="1">
      <c r="W148" s="472"/>
      <c r="X148" s="472"/>
      <c r="Y148" s="472"/>
      <c r="Z148" s="472"/>
      <c r="AA148" s="472"/>
      <c r="AB148" s="472"/>
      <c r="AC148" s="472"/>
      <c r="BG148" s="472"/>
      <c r="BH148" s="472"/>
      <c r="BI148" s="472"/>
      <c r="BJ148" s="472"/>
      <c r="BK148" s="472"/>
      <c r="BL148" s="472"/>
    </row>
    <row r="149" spans="23:64" ht="18.95" customHeight="1">
      <c r="W149" s="472"/>
      <c r="X149" s="472"/>
      <c r="Y149" s="472"/>
      <c r="Z149" s="472"/>
      <c r="AA149" s="472"/>
      <c r="AB149" s="472"/>
      <c r="AC149" s="472"/>
      <c r="BG149" s="472"/>
      <c r="BH149" s="472"/>
      <c r="BI149" s="472"/>
      <c r="BJ149" s="472"/>
      <c r="BK149" s="472"/>
      <c r="BL149" s="472"/>
    </row>
    <row r="150" spans="23:64" ht="18.95" customHeight="1">
      <c r="W150" s="472"/>
      <c r="X150" s="472"/>
      <c r="Y150" s="472"/>
      <c r="Z150" s="472"/>
      <c r="AA150" s="472"/>
      <c r="AB150" s="472"/>
      <c r="AC150" s="472"/>
      <c r="BG150" s="472"/>
      <c r="BH150" s="472"/>
      <c r="BI150" s="472"/>
      <c r="BJ150" s="472"/>
      <c r="BK150" s="472"/>
      <c r="BL150" s="472"/>
    </row>
    <row r="151" spans="23:64" ht="18.95" customHeight="1">
      <c r="W151" s="472"/>
      <c r="X151" s="472"/>
      <c r="Y151" s="472"/>
      <c r="Z151" s="472"/>
      <c r="AA151" s="472"/>
      <c r="AB151" s="472"/>
      <c r="AC151" s="472"/>
      <c r="BG151" s="472"/>
      <c r="BH151" s="472"/>
      <c r="BI151" s="472"/>
      <c r="BJ151" s="472"/>
      <c r="BK151" s="472"/>
      <c r="BL151" s="472"/>
    </row>
    <row r="152" spans="23:64" ht="18.95" customHeight="1">
      <c r="W152" s="472"/>
      <c r="X152" s="472"/>
      <c r="Y152" s="472"/>
      <c r="Z152" s="472"/>
      <c r="AA152" s="472"/>
      <c r="AB152" s="472"/>
      <c r="AC152" s="472"/>
      <c r="BG152" s="472"/>
      <c r="BH152" s="472"/>
      <c r="BI152" s="472"/>
      <c r="BJ152" s="472"/>
      <c r="BK152" s="472"/>
      <c r="BL152" s="472"/>
    </row>
    <row r="153" spans="23:64" ht="18.95" customHeight="1">
      <c r="W153" s="472"/>
      <c r="X153" s="472"/>
      <c r="Y153" s="472"/>
      <c r="Z153" s="472"/>
      <c r="AA153" s="472"/>
      <c r="AB153" s="472"/>
      <c r="AC153" s="472"/>
      <c r="BG153" s="472"/>
      <c r="BH153" s="472"/>
      <c r="BI153" s="472"/>
      <c r="BJ153" s="472"/>
      <c r="BK153" s="472"/>
      <c r="BL153" s="472"/>
    </row>
    <row r="154" spans="23:64" ht="18.95" customHeight="1">
      <c r="W154" s="472"/>
      <c r="X154" s="472"/>
      <c r="Y154" s="472"/>
      <c r="Z154" s="472"/>
      <c r="AA154" s="472"/>
      <c r="AB154" s="472"/>
      <c r="AC154" s="472"/>
      <c r="BG154" s="472"/>
      <c r="BH154" s="472"/>
      <c r="BI154" s="472"/>
      <c r="BJ154" s="472"/>
      <c r="BK154" s="472"/>
      <c r="BL154" s="472"/>
    </row>
    <row r="155" spans="23:64" ht="18.95" customHeight="1">
      <c r="W155" s="472"/>
      <c r="X155" s="472"/>
      <c r="Y155" s="472"/>
      <c r="Z155" s="472"/>
      <c r="AA155" s="472"/>
      <c r="AB155" s="472"/>
      <c r="AC155" s="472"/>
      <c r="BG155" s="472"/>
      <c r="BH155" s="472"/>
      <c r="BI155" s="472"/>
      <c r="BJ155" s="472"/>
      <c r="BK155" s="472"/>
      <c r="BL155" s="472"/>
    </row>
    <row r="156" spans="23:64" ht="18.95" customHeight="1">
      <c r="W156" s="472"/>
      <c r="X156" s="472"/>
      <c r="Y156" s="472"/>
      <c r="Z156" s="472"/>
      <c r="AA156" s="472"/>
      <c r="AB156" s="472"/>
      <c r="AC156" s="472"/>
      <c r="BG156" s="472"/>
      <c r="BH156" s="472"/>
      <c r="BI156" s="472"/>
      <c r="BJ156" s="472"/>
      <c r="BK156" s="472"/>
      <c r="BL156" s="472"/>
    </row>
    <row r="157" spans="23:64" ht="18.95" customHeight="1">
      <c r="W157" s="472"/>
      <c r="X157" s="472"/>
      <c r="Y157" s="472"/>
      <c r="Z157" s="472"/>
      <c r="AA157" s="472"/>
      <c r="AB157" s="472"/>
      <c r="AC157" s="472"/>
      <c r="BG157" s="472"/>
      <c r="BH157" s="472"/>
      <c r="BI157" s="472"/>
      <c r="BJ157" s="472"/>
      <c r="BK157" s="472"/>
      <c r="BL157" s="472"/>
    </row>
    <row r="158" spans="23:64" ht="18.95" customHeight="1">
      <c r="W158" s="472"/>
      <c r="X158" s="472"/>
      <c r="Y158" s="472"/>
      <c r="Z158" s="472"/>
      <c r="AA158" s="472"/>
      <c r="AB158" s="472"/>
      <c r="AC158" s="472"/>
      <c r="BG158" s="472"/>
      <c r="BH158" s="472"/>
      <c r="BI158" s="472"/>
      <c r="BJ158" s="472"/>
      <c r="BK158" s="472"/>
      <c r="BL158" s="472"/>
    </row>
    <row r="159" spans="23:64" ht="18.95" customHeight="1">
      <c r="W159" s="472"/>
      <c r="X159" s="472"/>
      <c r="Y159" s="472"/>
      <c r="Z159" s="472"/>
      <c r="AA159" s="472"/>
      <c r="AB159" s="472"/>
      <c r="AC159" s="472"/>
      <c r="BG159" s="472"/>
      <c r="BH159" s="472"/>
      <c r="BI159" s="472"/>
      <c r="BJ159" s="472"/>
      <c r="BK159" s="472"/>
      <c r="BL159" s="472"/>
    </row>
    <row r="160" spans="23:64" ht="18.95" customHeight="1">
      <c r="W160" s="472"/>
      <c r="X160" s="472"/>
      <c r="Y160" s="472"/>
      <c r="Z160" s="472"/>
      <c r="AA160" s="472"/>
      <c r="AB160" s="472"/>
      <c r="AC160" s="472"/>
      <c r="BG160" s="472"/>
      <c r="BH160" s="472"/>
      <c r="BI160" s="472"/>
      <c r="BJ160" s="472"/>
      <c r="BK160" s="472"/>
      <c r="BL160" s="472"/>
    </row>
    <row r="161" spans="23:64" ht="18.95" customHeight="1">
      <c r="W161" s="472"/>
      <c r="X161" s="472"/>
      <c r="Y161" s="472"/>
      <c r="Z161" s="472"/>
      <c r="AA161" s="472"/>
      <c r="AB161" s="472"/>
      <c r="AC161" s="472"/>
      <c r="BG161" s="472"/>
      <c r="BH161" s="472"/>
      <c r="BI161" s="472"/>
      <c r="BJ161" s="472"/>
      <c r="BK161" s="472"/>
      <c r="BL161" s="472"/>
    </row>
    <row r="162" spans="23:64" ht="18.95" customHeight="1">
      <c r="W162" s="472"/>
      <c r="X162" s="472"/>
      <c r="Y162" s="472"/>
      <c r="Z162" s="472"/>
      <c r="AA162" s="472"/>
      <c r="AB162" s="472"/>
      <c r="AC162" s="472"/>
      <c r="BG162" s="472"/>
      <c r="BH162" s="472"/>
      <c r="BI162" s="472"/>
      <c r="BJ162" s="472"/>
      <c r="BK162" s="472"/>
      <c r="BL162" s="472"/>
    </row>
    <row r="163" spans="23:64" ht="18.95" customHeight="1">
      <c r="W163" s="472"/>
      <c r="X163" s="472"/>
      <c r="Y163" s="472"/>
      <c r="Z163" s="472"/>
      <c r="AA163" s="472"/>
      <c r="AB163" s="472"/>
      <c r="AC163" s="472"/>
      <c r="BG163" s="472"/>
      <c r="BH163" s="472"/>
      <c r="BI163" s="472"/>
      <c r="BJ163" s="472"/>
      <c r="BK163" s="472"/>
      <c r="BL163" s="472"/>
    </row>
    <row r="164" spans="23:64" ht="18.95" customHeight="1">
      <c r="W164" s="472"/>
      <c r="X164" s="472"/>
      <c r="Y164" s="472"/>
      <c r="Z164" s="472"/>
      <c r="AA164" s="472"/>
      <c r="AB164" s="472"/>
      <c r="AC164" s="472"/>
      <c r="BG164" s="472"/>
      <c r="BH164" s="472"/>
      <c r="BI164" s="472"/>
      <c r="BJ164" s="472"/>
      <c r="BK164" s="472"/>
      <c r="BL164" s="472"/>
    </row>
    <row r="165" spans="23:64" ht="18.95" customHeight="1">
      <c r="W165" s="472"/>
      <c r="X165" s="472"/>
      <c r="Y165" s="472"/>
      <c r="Z165" s="472"/>
      <c r="AA165" s="472"/>
      <c r="AB165" s="472"/>
      <c r="AC165" s="472"/>
      <c r="BG165" s="472"/>
      <c r="BH165" s="472"/>
      <c r="BI165" s="472"/>
      <c r="BJ165" s="472"/>
      <c r="BK165" s="472"/>
      <c r="BL165" s="472"/>
    </row>
    <row r="166" spans="23:64" ht="18.95" customHeight="1">
      <c r="W166" s="472"/>
      <c r="X166" s="472"/>
      <c r="Y166" s="472"/>
      <c r="Z166" s="472"/>
      <c r="AA166" s="472"/>
      <c r="AB166" s="472"/>
      <c r="AC166" s="472"/>
      <c r="BG166" s="472"/>
      <c r="BH166" s="472"/>
      <c r="BI166" s="472"/>
      <c r="BJ166" s="472"/>
      <c r="BK166" s="472"/>
      <c r="BL166" s="472"/>
    </row>
    <row r="167" spans="23:64" ht="18.95" customHeight="1">
      <c r="W167" s="472"/>
      <c r="X167" s="472"/>
      <c r="Y167" s="472"/>
      <c r="Z167" s="472"/>
      <c r="AA167" s="472"/>
      <c r="AB167" s="472"/>
      <c r="AC167" s="472"/>
      <c r="BG167" s="472"/>
      <c r="BH167" s="472"/>
      <c r="BI167" s="472"/>
      <c r="BJ167" s="472"/>
      <c r="BK167" s="472"/>
      <c r="BL167" s="472"/>
    </row>
    <row r="168" spans="23:64" ht="18.95" customHeight="1">
      <c r="W168" s="472"/>
      <c r="X168" s="472"/>
      <c r="Y168" s="472"/>
      <c r="Z168" s="472"/>
      <c r="AA168" s="472"/>
      <c r="AB168" s="472"/>
      <c r="AC168" s="472"/>
      <c r="BG168" s="472"/>
      <c r="BH168" s="472"/>
      <c r="BI168" s="472"/>
      <c r="BJ168" s="472"/>
      <c r="BK168" s="472"/>
      <c r="BL168" s="472"/>
    </row>
    <row r="169" spans="23:64" ht="18.95" customHeight="1">
      <c r="W169" s="472"/>
      <c r="X169" s="472"/>
      <c r="Y169" s="472"/>
      <c r="Z169" s="472"/>
      <c r="AA169" s="472"/>
      <c r="AB169" s="472"/>
      <c r="AC169" s="472"/>
      <c r="BG169" s="472"/>
      <c r="BH169" s="472"/>
      <c r="BI169" s="472"/>
      <c r="BJ169" s="472"/>
      <c r="BK169" s="472"/>
      <c r="BL169" s="472"/>
    </row>
    <row r="170" spans="23:64" ht="18.95" customHeight="1">
      <c r="W170" s="472"/>
      <c r="X170" s="472"/>
      <c r="Y170" s="472"/>
      <c r="Z170" s="472"/>
      <c r="AA170" s="472"/>
      <c r="AB170" s="472"/>
      <c r="AC170" s="472"/>
      <c r="BG170" s="472"/>
      <c r="BH170" s="472"/>
      <c r="BI170" s="472"/>
      <c r="BJ170" s="472"/>
      <c r="BK170" s="472"/>
      <c r="BL170" s="472"/>
    </row>
    <row r="171" spans="23:64" ht="18.95" customHeight="1">
      <c r="W171" s="472"/>
      <c r="X171" s="472"/>
      <c r="Y171" s="472"/>
      <c r="Z171" s="472"/>
      <c r="AA171" s="472"/>
      <c r="AB171" s="472"/>
      <c r="AC171" s="472"/>
      <c r="BG171" s="472"/>
      <c r="BH171" s="472"/>
      <c r="BI171" s="472"/>
      <c r="BJ171" s="472"/>
      <c r="BK171" s="472"/>
      <c r="BL171" s="472"/>
    </row>
    <row r="172" spans="23:64" ht="18.95" customHeight="1">
      <c r="W172" s="472"/>
      <c r="X172" s="472"/>
      <c r="Y172" s="472"/>
      <c r="Z172" s="472"/>
      <c r="AA172" s="472"/>
      <c r="AB172" s="472"/>
      <c r="AC172" s="472"/>
      <c r="BG172" s="472"/>
      <c r="BH172" s="472"/>
      <c r="BI172" s="472"/>
      <c r="BJ172" s="472"/>
      <c r="BK172" s="472"/>
      <c r="BL172" s="472"/>
    </row>
    <row r="173" spans="23:64" ht="18.95" customHeight="1">
      <c r="W173" s="472"/>
      <c r="X173" s="472"/>
      <c r="Y173" s="472"/>
      <c r="Z173" s="472"/>
      <c r="AA173" s="472"/>
      <c r="AB173" s="472"/>
      <c r="AC173" s="472"/>
      <c r="BG173" s="472"/>
      <c r="BH173" s="472"/>
      <c r="BI173" s="472"/>
      <c r="BJ173" s="472"/>
      <c r="BK173" s="472"/>
      <c r="BL173" s="472"/>
    </row>
    <row r="174" spans="23:64" ht="18.95" customHeight="1">
      <c r="W174" s="472"/>
      <c r="X174" s="472"/>
      <c r="Y174" s="472"/>
      <c r="Z174" s="472"/>
      <c r="AA174" s="472"/>
      <c r="AB174" s="472"/>
      <c r="AC174" s="472"/>
      <c r="BG174" s="472"/>
      <c r="BH174" s="472"/>
      <c r="BI174" s="472"/>
      <c r="BJ174" s="472"/>
      <c r="BK174" s="472"/>
      <c r="BL174" s="472"/>
    </row>
    <row r="175" spans="23:64" ht="18.95" customHeight="1">
      <c r="W175" s="472"/>
      <c r="X175" s="472"/>
      <c r="Y175" s="472"/>
      <c r="Z175" s="472"/>
      <c r="AA175" s="472"/>
      <c r="AB175" s="472"/>
      <c r="AC175" s="472"/>
      <c r="BG175" s="472"/>
      <c r="BH175" s="472"/>
      <c r="BI175" s="472"/>
      <c r="BJ175" s="472"/>
      <c r="BK175" s="472"/>
      <c r="BL175" s="472"/>
    </row>
    <row r="176" spans="23:64" ht="18.95" customHeight="1">
      <c r="W176" s="472"/>
      <c r="X176" s="472"/>
      <c r="Y176" s="472"/>
      <c r="Z176" s="472"/>
      <c r="AA176" s="472"/>
      <c r="AB176" s="472"/>
      <c r="AC176" s="472"/>
      <c r="BG176" s="472"/>
      <c r="BH176" s="472"/>
      <c r="BI176" s="472"/>
      <c r="BJ176" s="472"/>
      <c r="BK176" s="472"/>
      <c r="BL176" s="472"/>
    </row>
    <row r="177" spans="23:64" ht="18.95" customHeight="1">
      <c r="W177" s="472"/>
      <c r="X177" s="472"/>
      <c r="Y177" s="472"/>
      <c r="Z177" s="472"/>
      <c r="AA177" s="472"/>
      <c r="AB177" s="472"/>
      <c r="AC177" s="472"/>
      <c r="BG177" s="472"/>
      <c r="BH177" s="472"/>
      <c r="BI177" s="472"/>
      <c r="BJ177" s="472"/>
      <c r="BK177" s="472"/>
      <c r="BL177" s="472"/>
    </row>
    <row r="178" spans="23:64" ht="18.95" customHeight="1">
      <c r="W178" s="472"/>
      <c r="X178" s="472"/>
      <c r="Y178" s="472"/>
      <c r="Z178" s="472"/>
      <c r="AA178" s="472"/>
      <c r="AB178" s="472"/>
      <c r="AC178" s="472"/>
      <c r="BG178" s="472"/>
      <c r="BH178" s="472"/>
      <c r="BI178" s="472"/>
      <c r="BJ178" s="472"/>
      <c r="BK178" s="472"/>
      <c r="BL178" s="472"/>
    </row>
    <row r="179" spans="23:64" ht="18.95" customHeight="1">
      <c r="W179" s="472"/>
      <c r="X179" s="472"/>
      <c r="Y179" s="472"/>
      <c r="Z179" s="472"/>
      <c r="AA179" s="472"/>
      <c r="AB179" s="472"/>
      <c r="AC179" s="472"/>
      <c r="BG179" s="472"/>
      <c r="BH179" s="472"/>
      <c r="BI179" s="472"/>
      <c r="BJ179" s="472"/>
      <c r="BK179" s="472"/>
      <c r="BL179" s="472"/>
    </row>
    <row r="180" spans="23:64" ht="18.95" customHeight="1">
      <c r="W180" s="472"/>
      <c r="X180" s="472"/>
      <c r="Y180" s="472"/>
      <c r="Z180" s="472"/>
      <c r="AA180" s="472"/>
      <c r="AB180" s="472"/>
      <c r="AC180" s="472"/>
      <c r="BG180" s="472"/>
      <c r="BH180" s="472"/>
      <c r="BI180" s="472"/>
      <c r="BJ180" s="472"/>
      <c r="BK180" s="472"/>
      <c r="BL180" s="472"/>
    </row>
    <row r="181" spans="23:64" ht="18.95" customHeight="1">
      <c r="W181" s="472"/>
      <c r="X181" s="472"/>
      <c r="Y181" s="472"/>
      <c r="Z181" s="472"/>
      <c r="AA181" s="472"/>
      <c r="AB181" s="472"/>
      <c r="AC181" s="472"/>
      <c r="BG181" s="472"/>
      <c r="BH181" s="472"/>
      <c r="BI181" s="472"/>
      <c r="BJ181" s="472"/>
      <c r="BK181" s="472"/>
      <c r="BL181" s="472"/>
    </row>
    <row r="182" spans="23:64" ht="18.95" customHeight="1">
      <c r="W182" s="472"/>
      <c r="X182" s="472"/>
      <c r="Y182" s="472"/>
      <c r="Z182" s="472"/>
      <c r="AA182" s="472"/>
      <c r="AB182" s="472"/>
      <c r="AC182" s="472"/>
      <c r="BG182" s="472"/>
      <c r="BH182" s="472"/>
      <c r="BI182" s="472"/>
      <c r="BJ182" s="472"/>
      <c r="BK182" s="472"/>
      <c r="BL182" s="472"/>
    </row>
    <row r="183" spans="23:64" ht="18.95" customHeight="1">
      <c r="W183" s="472"/>
      <c r="X183" s="472"/>
      <c r="Y183" s="472"/>
      <c r="Z183" s="472"/>
      <c r="AA183" s="472"/>
      <c r="AB183" s="472"/>
      <c r="AC183" s="472"/>
      <c r="BG183" s="472"/>
      <c r="BH183" s="472"/>
      <c r="BI183" s="472"/>
      <c r="BJ183" s="472"/>
      <c r="BK183" s="472"/>
      <c r="BL183" s="472"/>
    </row>
    <row r="184" spans="23:64" ht="18.95" customHeight="1">
      <c r="W184" s="472"/>
      <c r="X184" s="472"/>
      <c r="Y184" s="472"/>
      <c r="Z184" s="472"/>
      <c r="AA184" s="472"/>
      <c r="AB184" s="472"/>
      <c r="AC184" s="472"/>
      <c r="BG184" s="472"/>
      <c r="BH184" s="472"/>
      <c r="BI184" s="472"/>
      <c r="BJ184" s="472"/>
      <c r="BK184" s="472"/>
      <c r="BL184" s="472"/>
    </row>
    <row r="185" spans="23:64" ht="18.95" customHeight="1">
      <c r="W185" s="472"/>
      <c r="X185" s="472"/>
      <c r="Y185" s="472"/>
      <c r="Z185" s="472"/>
      <c r="AA185" s="472"/>
      <c r="AB185" s="472"/>
      <c r="AC185" s="472"/>
      <c r="BG185" s="472"/>
      <c r="BH185" s="472"/>
      <c r="BI185" s="472"/>
      <c r="BJ185" s="472"/>
      <c r="BK185" s="472"/>
      <c r="BL185" s="472"/>
    </row>
    <row r="186" spans="23:64" ht="18.95" customHeight="1">
      <c r="W186" s="472"/>
      <c r="X186" s="472"/>
      <c r="Y186" s="472"/>
      <c r="Z186" s="472"/>
      <c r="AA186" s="472"/>
      <c r="AB186" s="472"/>
      <c r="AC186" s="472"/>
      <c r="BG186" s="472"/>
      <c r="BH186" s="472"/>
      <c r="BI186" s="472"/>
      <c r="BJ186" s="472"/>
      <c r="BK186" s="472"/>
      <c r="BL186" s="472"/>
    </row>
    <row r="187" spans="23:64" ht="18.95" customHeight="1">
      <c r="W187" s="472"/>
      <c r="X187" s="472"/>
      <c r="Y187" s="472"/>
      <c r="Z187" s="472"/>
      <c r="AA187" s="472"/>
      <c r="AB187" s="472"/>
      <c r="AC187" s="472"/>
      <c r="BG187" s="472"/>
      <c r="BH187" s="472"/>
      <c r="BI187" s="472"/>
      <c r="BJ187" s="472"/>
      <c r="BK187" s="472"/>
      <c r="BL187" s="472"/>
    </row>
    <row r="188" spans="23:64" ht="18.95" customHeight="1">
      <c r="W188" s="472"/>
      <c r="X188" s="472"/>
      <c r="Y188" s="472"/>
      <c r="Z188" s="472"/>
      <c r="AA188" s="472"/>
      <c r="AB188" s="472"/>
      <c r="AC188" s="472"/>
      <c r="BG188" s="472"/>
      <c r="BH188" s="472"/>
      <c r="BI188" s="472"/>
      <c r="BJ188" s="472"/>
      <c r="BK188" s="472"/>
      <c r="BL188" s="472"/>
    </row>
    <row r="189" spans="23:64" ht="18.95" customHeight="1">
      <c r="W189" s="472"/>
      <c r="X189" s="472"/>
      <c r="Y189" s="472"/>
      <c r="Z189" s="472"/>
      <c r="AA189" s="472"/>
      <c r="AB189" s="472"/>
      <c r="AC189" s="472"/>
      <c r="BG189" s="472"/>
      <c r="BH189" s="472"/>
      <c r="BI189" s="472"/>
      <c r="BJ189" s="472"/>
      <c r="BK189" s="472"/>
      <c r="BL189" s="472"/>
    </row>
    <row r="190" spans="23:64" ht="18.95" customHeight="1">
      <c r="W190" s="472"/>
      <c r="X190" s="472"/>
      <c r="Y190" s="472"/>
      <c r="Z190" s="472"/>
      <c r="AA190" s="472"/>
      <c r="AB190" s="472"/>
      <c r="AC190" s="472"/>
      <c r="BG190" s="472"/>
      <c r="BH190" s="472"/>
      <c r="BI190" s="472"/>
      <c r="BJ190" s="472"/>
      <c r="BK190" s="472"/>
      <c r="BL190" s="472"/>
    </row>
    <row r="191" spans="23:64" ht="18.95" customHeight="1">
      <c r="W191" s="472"/>
      <c r="X191" s="472"/>
      <c r="Y191" s="472"/>
      <c r="Z191" s="472"/>
      <c r="AA191" s="472"/>
      <c r="AB191" s="472"/>
      <c r="AC191" s="472"/>
      <c r="BG191" s="472"/>
      <c r="BH191" s="472"/>
      <c r="BI191" s="472"/>
      <c r="BJ191" s="472"/>
      <c r="BK191" s="472"/>
      <c r="BL191" s="472"/>
    </row>
    <row r="192" spans="23:64" ht="18.95" customHeight="1">
      <c r="W192" s="472"/>
      <c r="X192" s="472"/>
      <c r="Y192" s="472"/>
      <c r="Z192" s="472"/>
      <c r="AA192" s="472"/>
      <c r="AB192" s="472"/>
      <c r="AC192" s="472"/>
      <c r="BG192" s="472"/>
      <c r="BH192" s="472"/>
      <c r="BI192" s="472"/>
      <c r="BJ192" s="472"/>
      <c r="BK192" s="472"/>
      <c r="BL192" s="472"/>
    </row>
    <row r="193" spans="23:64" ht="18.95" customHeight="1">
      <c r="W193" s="472"/>
      <c r="X193" s="472"/>
      <c r="Y193" s="472"/>
      <c r="Z193" s="472"/>
      <c r="AA193" s="472"/>
      <c r="AB193" s="472"/>
      <c r="AC193" s="472"/>
      <c r="BG193" s="472"/>
      <c r="BH193" s="472"/>
      <c r="BI193" s="472"/>
      <c r="BJ193" s="472"/>
      <c r="BK193" s="472"/>
      <c r="BL193" s="472"/>
    </row>
    <row r="194" spans="23:64" ht="18.95" customHeight="1">
      <c r="W194" s="472"/>
      <c r="X194" s="472"/>
      <c r="Y194" s="472"/>
      <c r="Z194" s="472"/>
      <c r="AA194" s="472"/>
      <c r="AB194" s="472"/>
      <c r="AC194" s="472"/>
      <c r="BG194" s="472"/>
      <c r="BH194" s="472"/>
      <c r="BI194" s="472"/>
      <c r="BJ194" s="472"/>
      <c r="BK194" s="472"/>
      <c r="BL194" s="472"/>
    </row>
    <row r="195" spans="23:64" ht="18.95" customHeight="1">
      <c r="W195" s="472"/>
      <c r="X195" s="472"/>
      <c r="Y195" s="472"/>
      <c r="Z195" s="472"/>
      <c r="AA195" s="472"/>
      <c r="AB195" s="472"/>
      <c r="AC195" s="472"/>
      <c r="BG195" s="472"/>
      <c r="BH195" s="472"/>
      <c r="BI195" s="472"/>
      <c r="BJ195" s="472"/>
      <c r="BK195" s="472"/>
      <c r="BL195" s="472"/>
    </row>
    <row r="196" spans="23:64" ht="18.95" customHeight="1">
      <c r="W196" s="472"/>
      <c r="X196" s="472"/>
      <c r="Y196" s="472"/>
      <c r="Z196" s="472"/>
      <c r="AA196" s="472"/>
      <c r="AB196" s="472"/>
      <c r="AC196" s="472"/>
      <c r="BG196" s="472"/>
      <c r="BH196" s="472"/>
      <c r="BI196" s="472"/>
      <c r="BJ196" s="472"/>
      <c r="BK196" s="472"/>
      <c r="BL196" s="472"/>
    </row>
    <row r="197" spans="23:64" ht="18.95" customHeight="1">
      <c r="W197" s="472"/>
      <c r="X197" s="472"/>
      <c r="Y197" s="472"/>
      <c r="Z197" s="472"/>
      <c r="AA197" s="472"/>
      <c r="AB197" s="472"/>
      <c r="AC197" s="472"/>
      <c r="BG197" s="472"/>
      <c r="BH197" s="472"/>
      <c r="BI197" s="472"/>
      <c r="BJ197" s="472"/>
      <c r="BK197" s="472"/>
      <c r="BL197" s="472"/>
    </row>
    <row r="198" spans="23:64" ht="18.95" customHeight="1">
      <c r="W198" s="472"/>
      <c r="X198" s="472"/>
      <c r="Y198" s="472"/>
      <c r="Z198" s="472"/>
      <c r="AA198" s="472"/>
      <c r="AB198" s="472"/>
      <c r="AC198" s="472"/>
      <c r="BG198" s="472"/>
      <c r="BH198" s="472"/>
      <c r="BI198" s="472"/>
      <c r="BJ198" s="472"/>
      <c r="BK198" s="472"/>
      <c r="BL198" s="472"/>
    </row>
    <row r="199" spans="23:64" ht="18.95" customHeight="1">
      <c r="W199" s="472"/>
      <c r="X199" s="472"/>
      <c r="Y199" s="472"/>
      <c r="Z199" s="472"/>
      <c r="AA199" s="472"/>
      <c r="AB199" s="472"/>
      <c r="AC199" s="472"/>
      <c r="BG199" s="472"/>
      <c r="BH199" s="472"/>
      <c r="BI199" s="472"/>
      <c r="BJ199" s="472"/>
      <c r="BK199" s="472"/>
      <c r="BL199" s="472"/>
    </row>
    <row r="200" spans="23:64" ht="18.95" customHeight="1">
      <c r="W200" s="472"/>
      <c r="X200" s="472"/>
      <c r="Y200" s="472"/>
      <c r="Z200" s="472"/>
      <c r="AA200" s="472"/>
      <c r="AB200" s="472"/>
      <c r="AC200" s="472"/>
      <c r="BG200" s="472"/>
      <c r="BH200" s="472"/>
      <c r="BI200" s="472"/>
      <c r="BJ200" s="472"/>
      <c r="BK200" s="472"/>
      <c r="BL200" s="472"/>
    </row>
    <row r="201" spans="23:64" ht="18.95" customHeight="1">
      <c r="W201" s="472"/>
      <c r="X201" s="472"/>
      <c r="Y201" s="472"/>
      <c r="Z201" s="472"/>
      <c r="AA201" s="472"/>
      <c r="AB201" s="472"/>
      <c r="AC201" s="472"/>
      <c r="BG201" s="472"/>
      <c r="BH201" s="472"/>
      <c r="BI201" s="472"/>
      <c r="BJ201" s="472"/>
      <c r="BK201" s="472"/>
      <c r="BL201" s="472"/>
    </row>
    <row r="202" spans="23:64" ht="18.95" customHeight="1">
      <c r="W202" s="472"/>
      <c r="X202" s="472"/>
      <c r="Y202" s="472"/>
      <c r="Z202" s="472"/>
      <c r="AA202" s="472"/>
      <c r="AB202" s="472"/>
      <c r="AC202" s="472"/>
      <c r="BG202" s="472"/>
      <c r="BH202" s="472"/>
      <c r="BI202" s="472"/>
      <c r="BJ202" s="472"/>
      <c r="BK202" s="472"/>
      <c r="BL202" s="472"/>
    </row>
    <row r="203" spans="23:64" ht="18.95" customHeight="1">
      <c r="W203" s="472"/>
      <c r="X203" s="472"/>
      <c r="Y203" s="472"/>
      <c r="Z203" s="472"/>
      <c r="AA203" s="472"/>
      <c r="AB203" s="472"/>
      <c r="AC203" s="472"/>
      <c r="BG203" s="472"/>
      <c r="BH203" s="472"/>
      <c r="BI203" s="472"/>
      <c r="BJ203" s="472"/>
      <c r="BK203" s="472"/>
      <c r="BL203" s="472"/>
    </row>
    <row r="204" spans="23:64" ht="18.95" customHeight="1">
      <c r="W204" s="472"/>
      <c r="X204" s="472"/>
      <c r="Y204" s="472"/>
      <c r="Z204" s="472"/>
      <c r="AA204" s="472"/>
      <c r="AB204" s="472"/>
      <c r="AC204" s="472"/>
      <c r="BG204" s="472"/>
      <c r="BH204" s="472"/>
      <c r="BI204" s="472"/>
      <c r="BJ204" s="472"/>
      <c r="BK204" s="472"/>
      <c r="BL204" s="472"/>
    </row>
    <row r="205" spans="23:64" ht="18.95" customHeight="1">
      <c r="W205" s="472"/>
      <c r="X205" s="472"/>
      <c r="Y205" s="472"/>
      <c r="Z205" s="472"/>
      <c r="AA205" s="472"/>
      <c r="AB205" s="472"/>
      <c r="AC205" s="472"/>
      <c r="BG205" s="472"/>
      <c r="BH205" s="472"/>
      <c r="BI205" s="472"/>
      <c r="BJ205" s="472"/>
      <c r="BK205" s="472"/>
      <c r="BL205" s="472"/>
    </row>
    <row r="206" spans="23:64" ht="18.95" customHeight="1">
      <c r="W206" s="472"/>
      <c r="X206" s="472"/>
      <c r="Y206" s="472"/>
      <c r="Z206" s="472"/>
      <c r="AA206" s="472"/>
      <c r="AB206" s="472"/>
      <c r="AC206" s="472"/>
      <c r="BG206" s="472"/>
      <c r="BH206" s="472"/>
      <c r="BI206" s="472"/>
      <c r="BJ206" s="472"/>
      <c r="BK206" s="472"/>
      <c r="BL206" s="472"/>
    </row>
    <row r="207" spans="23:64" ht="18.95" customHeight="1">
      <c r="W207" s="472"/>
      <c r="X207" s="472"/>
      <c r="Y207" s="472"/>
      <c r="Z207" s="472"/>
      <c r="AA207" s="472"/>
      <c r="AB207" s="472"/>
      <c r="AC207" s="472"/>
      <c r="BG207" s="472"/>
      <c r="BH207" s="472"/>
      <c r="BI207" s="472"/>
      <c r="BJ207" s="472"/>
      <c r="BK207" s="472"/>
      <c r="BL207" s="472"/>
    </row>
    <row r="208" spans="23:64" ht="18.95" customHeight="1">
      <c r="W208" s="472"/>
      <c r="X208" s="472"/>
      <c r="Y208" s="472"/>
      <c r="Z208" s="472"/>
      <c r="AA208" s="472"/>
      <c r="AB208" s="472"/>
      <c r="AC208" s="472"/>
      <c r="BG208" s="472"/>
      <c r="BH208" s="472"/>
      <c r="BI208" s="472"/>
      <c r="BJ208" s="472"/>
      <c r="BK208" s="472"/>
      <c r="BL208" s="472"/>
    </row>
    <row r="209" spans="23:64" ht="18.95" customHeight="1">
      <c r="W209" s="472"/>
      <c r="X209" s="472"/>
      <c r="Y209" s="472"/>
      <c r="Z209" s="472"/>
      <c r="AA209" s="472"/>
      <c r="AB209" s="472"/>
      <c r="AC209" s="472"/>
      <c r="BG209" s="472"/>
      <c r="BH209" s="472"/>
      <c r="BI209" s="472"/>
      <c r="BJ209" s="472"/>
      <c r="BK209" s="472"/>
      <c r="BL209" s="472"/>
    </row>
    <row r="210" spans="23:64" ht="18.95" customHeight="1">
      <c r="W210" s="472"/>
      <c r="X210" s="472"/>
      <c r="Y210" s="472"/>
      <c r="Z210" s="472"/>
      <c r="AA210" s="472"/>
      <c r="AB210" s="472"/>
      <c r="AC210" s="472"/>
      <c r="BG210" s="472"/>
      <c r="BH210" s="472"/>
      <c r="BI210" s="472"/>
      <c r="BJ210" s="472"/>
      <c r="BK210" s="472"/>
      <c r="BL210" s="472"/>
    </row>
    <row r="211" spans="23:64" ht="18.95" customHeight="1">
      <c r="W211" s="472"/>
      <c r="X211" s="472"/>
      <c r="Y211" s="472"/>
      <c r="Z211" s="472"/>
      <c r="AA211" s="472"/>
      <c r="AB211" s="472"/>
      <c r="AC211" s="472"/>
      <c r="BG211" s="472"/>
      <c r="BH211" s="472"/>
      <c r="BI211" s="472"/>
      <c r="BJ211" s="472"/>
      <c r="BK211" s="472"/>
      <c r="BL211" s="472"/>
    </row>
    <row r="212" spans="23:64" ht="18.95" customHeight="1">
      <c r="W212" s="472"/>
      <c r="X212" s="472"/>
      <c r="Y212" s="472"/>
      <c r="Z212" s="472"/>
      <c r="AA212" s="472"/>
      <c r="AB212" s="472"/>
      <c r="AC212" s="472"/>
      <c r="BG212" s="472"/>
      <c r="BH212" s="472"/>
      <c r="BI212" s="472"/>
      <c r="BJ212" s="472"/>
      <c r="BK212" s="472"/>
      <c r="BL212" s="472"/>
    </row>
    <row r="213" spans="23:64" ht="18.95" customHeight="1">
      <c r="W213" s="472"/>
      <c r="X213" s="472"/>
      <c r="Y213" s="472"/>
      <c r="Z213" s="472"/>
      <c r="AA213" s="472"/>
      <c r="AB213" s="472"/>
      <c r="AC213" s="472"/>
      <c r="BG213" s="472"/>
      <c r="BH213" s="472"/>
      <c r="BI213" s="472"/>
      <c r="BJ213" s="472"/>
      <c r="BK213" s="472"/>
      <c r="BL213" s="472"/>
    </row>
    <row r="214" spans="23:64" ht="18.95" customHeight="1">
      <c r="W214" s="472"/>
      <c r="X214" s="472"/>
      <c r="Y214" s="472"/>
      <c r="Z214" s="472"/>
      <c r="AA214" s="472"/>
      <c r="AB214" s="472"/>
      <c r="AC214" s="472"/>
      <c r="BG214" s="472"/>
      <c r="BH214" s="472"/>
      <c r="BI214" s="472"/>
      <c r="BJ214" s="472"/>
      <c r="BK214" s="472"/>
      <c r="BL214" s="472"/>
    </row>
    <row r="215" spans="23:64" ht="18.95" customHeight="1">
      <c r="W215" s="472"/>
      <c r="X215" s="472"/>
      <c r="Y215" s="472"/>
      <c r="Z215" s="472"/>
      <c r="AA215" s="472"/>
      <c r="AB215" s="472"/>
      <c r="AC215" s="472"/>
      <c r="BG215" s="472"/>
      <c r="BH215" s="472"/>
      <c r="BI215" s="472"/>
      <c r="BJ215" s="472"/>
      <c r="BK215" s="472"/>
      <c r="BL215" s="472"/>
    </row>
    <row r="216" spans="23:64" ht="18.95" customHeight="1">
      <c r="W216" s="472"/>
      <c r="X216" s="472"/>
      <c r="Y216" s="472"/>
      <c r="Z216" s="472"/>
      <c r="AA216" s="472"/>
      <c r="AB216" s="472"/>
      <c r="AC216" s="472"/>
      <c r="BG216" s="472"/>
      <c r="BH216" s="472"/>
      <c r="BI216" s="472"/>
      <c r="BJ216" s="472"/>
      <c r="BK216" s="472"/>
      <c r="BL216" s="472"/>
    </row>
    <row r="217" spans="23:64" ht="18.95" customHeight="1">
      <c r="W217" s="472"/>
      <c r="X217" s="472"/>
      <c r="Y217" s="472"/>
      <c r="Z217" s="472"/>
      <c r="AA217" s="472"/>
      <c r="AB217" s="472"/>
      <c r="AC217" s="472"/>
      <c r="BG217" s="472"/>
      <c r="BH217" s="472"/>
      <c r="BI217" s="472"/>
      <c r="BJ217" s="472"/>
      <c r="BK217" s="472"/>
      <c r="BL217" s="472"/>
    </row>
    <row r="218" spans="23:64" ht="18.95" customHeight="1">
      <c r="W218" s="472"/>
      <c r="X218" s="472"/>
      <c r="Y218" s="472"/>
      <c r="Z218" s="472"/>
      <c r="AA218" s="472"/>
      <c r="AB218" s="472"/>
      <c r="AC218" s="472"/>
      <c r="BG218" s="472"/>
      <c r="BH218" s="472"/>
      <c r="BI218" s="472"/>
      <c r="BJ218" s="472"/>
      <c r="BK218" s="472"/>
      <c r="BL218" s="472"/>
    </row>
    <row r="219" spans="23:64" ht="18.95" customHeight="1">
      <c r="W219" s="472"/>
      <c r="X219" s="472"/>
      <c r="Y219" s="472"/>
      <c r="Z219" s="472"/>
      <c r="AA219" s="472"/>
      <c r="AB219" s="472"/>
      <c r="AC219" s="472"/>
      <c r="BG219" s="472"/>
      <c r="BH219" s="472"/>
      <c r="BI219" s="472"/>
      <c r="BJ219" s="472"/>
      <c r="BK219" s="472"/>
      <c r="BL219" s="472"/>
    </row>
    <row r="220" spans="23:64" ht="18.95" customHeight="1">
      <c r="W220" s="472"/>
      <c r="X220" s="472"/>
      <c r="Y220" s="472"/>
      <c r="Z220" s="472"/>
      <c r="AA220" s="472"/>
      <c r="AB220" s="472"/>
      <c r="AC220" s="472"/>
      <c r="BG220" s="472"/>
      <c r="BH220" s="472"/>
      <c r="BI220" s="472"/>
      <c r="BJ220" s="472"/>
      <c r="BK220" s="472"/>
      <c r="BL220" s="472"/>
    </row>
    <row r="221" spans="23:64" ht="18.95" customHeight="1">
      <c r="W221" s="472"/>
      <c r="X221" s="472"/>
      <c r="Y221" s="472"/>
      <c r="Z221" s="472"/>
      <c r="AA221" s="472"/>
      <c r="AB221" s="472"/>
      <c r="AC221" s="472"/>
      <c r="BG221" s="472"/>
      <c r="BH221" s="472"/>
      <c r="BI221" s="472"/>
      <c r="BJ221" s="472"/>
      <c r="BK221" s="472"/>
      <c r="BL221" s="472"/>
    </row>
    <row r="222" spans="23:64" ht="18.95" customHeight="1">
      <c r="W222" s="472"/>
      <c r="X222" s="472"/>
      <c r="Y222" s="472"/>
      <c r="Z222" s="472"/>
      <c r="AA222" s="472"/>
      <c r="AB222" s="472"/>
      <c r="AC222" s="472"/>
      <c r="BG222" s="472"/>
      <c r="BH222" s="472"/>
      <c r="BI222" s="472"/>
      <c r="BJ222" s="472"/>
      <c r="BK222" s="472"/>
      <c r="BL222" s="472"/>
    </row>
    <row r="223" spans="23:64" ht="18.95" customHeight="1">
      <c r="W223" s="472"/>
      <c r="X223" s="472"/>
      <c r="Y223" s="472"/>
      <c r="Z223" s="472"/>
      <c r="AA223" s="472"/>
      <c r="AB223" s="472"/>
      <c r="AC223" s="472"/>
      <c r="BG223" s="472"/>
      <c r="BH223" s="472"/>
      <c r="BI223" s="472"/>
      <c r="BJ223" s="472"/>
      <c r="BK223" s="472"/>
      <c r="BL223" s="472"/>
    </row>
    <row r="224" spans="23:64" ht="18.95" customHeight="1">
      <c r="W224" s="472"/>
      <c r="X224" s="472"/>
      <c r="Y224" s="472"/>
      <c r="Z224" s="472"/>
      <c r="AA224" s="472"/>
      <c r="AB224" s="472"/>
      <c r="AC224" s="472"/>
      <c r="BG224" s="472"/>
      <c r="BH224" s="472"/>
      <c r="BI224" s="472"/>
      <c r="BJ224" s="472"/>
      <c r="BK224" s="472"/>
      <c r="BL224" s="472"/>
    </row>
    <row r="225" spans="23:64" ht="18.95" customHeight="1">
      <c r="W225" s="472"/>
      <c r="X225" s="472"/>
      <c r="Y225" s="472"/>
      <c r="Z225" s="472"/>
      <c r="AA225" s="472"/>
      <c r="AB225" s="472"/>
      <c r="AC225" s="472"/>
      <c r="BG225" s="472"/>
      <c r="BH225" s="472"/>
      <c r="BI225" s="472"/>
      <c r="BJ225" s="472"/>
      <c r="BK225" s="472"/>
      <c r="BL225" s="472"/>
    </row>
    <row r="226" spans="23:64" ht="18.95" customHeight="1">
      <c r="W226" s="472"/>
      <c r="X226" s="472"/>
      <c r="Y226" s="472"/>
      <c r="Z226" s="472"/>
      <c r="AA226" s="472"/>
      <c r="AB226" s="472"/>
      <c r="AC226" s="472"/>
      <c r="BG226" s="472"/>
      <c r="BH226" s="472"/>
      <c r="BI226" s="472"/>
      <c r="BJ226" s="472"/>
      <c r="BK226" s="472"/>
      <c r="BL226" s="472"/>
    </row>
    <row r="227" spans="23:64" ht="18.95" customHeight="1">
      <c r="W227" s="472"/>
      <c r="X227" s="472"/>
      <c r="Y227" s="472"/>
      <c r="Z227" s="472"/>
      <c r="AA227" s="472"/>
      <c r="AB227" s="472"/>
      <c r="AC227" s="472"/>
      <c r="BG227" s="472"/>
      <c r="BH227" s="472"/>
      <c r="BI227" s="472"/>
      <c r="BJ227" s="472"/>
      <c r="BK227" s="472"/>
      <c r="BL227" s="472"/>
    </row>
    <row r="228" spans="23:64" ht="18.95" customHeight="1">
      <c r="W228" s="472"/>
      <c r="X228" s="472"/>
      <c r="Y228" s="472"/>
      <c r="Z228" s="472"/>
      <c r="AA228" s="472"/>
      <c r="AB228" s="472"/>
      <c r="AC228" s="472"/>
      <c r="BG228" s="472"/>
      <c r="BH228" s="472"/>
      <c r="BI228" s="472"/>
      <c r="BJ228" s="472"/>
      <c r="BK228" s="472"/>
      <c r="BL228" s="472"/>
    </row>
    <row r="229" spans="23:64" ht="18.95" customHeight="1">
      <c r="W229" s="472"/>
      <c r="X229" s="472"/>
      <c r="Y229" s="472"/>
      <c r="Z229" s="472"/>
      <c r="AA229" s="472"/>
      <c r="AB229" s="472"/>
      <c r="AC229" s="472"/>
      <c r="BG229" s="472"/>
      <c r="BH229" s="472"/>
      <c r="BI229" s="472"/>
      <c r="BJ229" s="472"/>
      <c r="BK229" s="472"/>
      <c r="BL229" s="472"/>
    </row>
    <row r="230" spans="23:64" ht="18.95" customHeight="1">
      <c r="W230" s="472"/>
      <c r="X230" s="472"/>
      <c r="Y230" s="472"/>
      <c r="Z230" s="472"/>
      <c r="AA230" s="472"/>
      <c r="AB230" s="472"/>
      <c r="AC230" s="472"/>
      <c r="BG230" s="472"/>
      <c r="BH230" s="472"/>
      <c r="BI230" s="472"/>
      <c r="BJ230" s="472"/>
      <c r="BK230" s="472"/>
      <c r="BL230" s="472"/>
    </row>
    <row r="231" spans="23:64" ht="18.95" customHeight="1">
      <c r="W231" s="472"/>
      <c r="X231" s="472"/>
      <c r="Y231" s="472"/>
      <c r="Z231" s="472"/>
      <c r="AA231" s="472"/>
      <c r="AB231" s="472"/>
      <c r="AC231" s="472"/>
      <c r="BG231" s="472"/>
      <c r="BH231" s="472"/>
      <c r="BI231" s="472"/>
      <c r="BJ231" s="472"/>
      <c r="BK231" s="472"/>
      <c r="BL231" s="472"/>
    </row>
    <row r="232" spans="23:64" ht="18.95" customHeight="1">
      <c r="W232" s="472"/>
      <c r="X232" s="472"/>
      <c r="Y232" s="472"/>
      <c r="Z232" s="472"/>
      <c r="AA232" s="472"/>
      <c r="AB232" s="472"/>
      <c r="AC232" s="472"/>
      <c r="BG232" s="472"/>
      <c r="BH232" s="472"/>
      <c r="BI232" s="472"/>
      <c r="BJ232" s="472"/>
      <c r="BK232" s="472"/>
      <c r="BL232" s="472"/>
    </row>
    <row r="233" spans="23:64" ht="18.95" customHeight="1">
      <c r="W233" s="472"/>
      <c r="X233" s="472"/>
      <c r="Y233" s="472"/>
      <c r="Z233" s="472"/>
      <c r="AA233" s="472"/>
      <c r="AB233" s="472"/>
      <c r="AC233" s="472"/>
      <c r="BG233" s="472"/>
      <c r="BH233" s="472"/>
      <c r="BI233" s="472"/>
      <c r="BJ233" s="472"/>
      <c r="BK233" s="472"/>
      <c r="BL233" s="472"/>
    </row>
    <row r="234" spans="23:64" ht="18.95" customHeight="1">
      <c r="W234" s="472"/>
      <c r="X234" s="472"/>
      <c r="Y234" s="472"/>
      <c r="Z234" s="472"/>
      <c r="AA234" s="472"/>
      <c r="AB234" s="472"/>
      <c r="AC234" s="472"/>
      <c r="BG234" s="472"/>
      <c r="BH234" s="472"/>
      <c r="BI234" s="472"/>
      <c r="BJ234" s="472"/>
      <c r="BK234" s="472"/>
      <c r="BL234" s="472"/>
    </row>
    <row r="235" spans="23:64" ht="18.95" customHeight="1">
      <c r="W235" s="472"/>
      <c r="X235" s="472"/>
      <c r="Y235" s="472"/>
      <c r="Z235" s="472"/>
      <c r="AA235" s="472"/>
      <c r="AB235" s="472"/>
      <c r="AC235" s="472"/>
      <c r="BG235" s="472"/>
      <c r="BH235" s="472"/>
      <c r="BI235" s="472"/>
      <c r="BJ235" s="472"/>
      <c r="BK235" s="472"/>
      <c r="BL235" s="472"/>
    </row>
    <row r="236" spans="23:64" ht="18.95" customHeight="1">
      <c r="W236" s="472"/>
      <c r="X236" s="472"/>
      <c r="Y236" s="472"/>
      <c r="Z236" s="472"/>
      <c r="AA236" s="472"/>
      <c r="AB236" s="472"/>
      <c r="AC236" s="472"/>
      <c r="BG236" s="472"/>
      <c r="BH236" s="472"/>
      <c r="BI236" s="472"/>
      <c r="BJ236" s="472"/>
      <c r="BK236" s="472"/>
      <c r="BL236" s="472"/>
    </row>
    <row r="237" spans="23:64" ht="18.95" customHeight="1">
      <c r="W237" s="472"/>
      <c r="X237" s="472"/>
      <c r="Y237" s="472"/>
      <c r="Z237" s="472"/>
      <c r="AA237" s="472"/>
      <c r="AB237" s="472"/>
      <c r="AC237" s="472"/>
      <c r="BG237" s="472"/>
      <c r="BH237" s="472"/>
      <c r="BI237" s="472"/>
      <c r="BJ237" s="472"/>
      <c r="BK237" s="472"/>
      <c r="BL237" s="472"/>
    </row>
    <row r="238" spans="23:64" ht="18.95" customHeight="1">
      <c r="W238" s="472"/>
      <c r="X238" s="472"/>
      <c r="Y238" s="472"/>
      <c r="Z238" s="472"/>
      <c r="AA238" s="472"/>
      <c r="AB238" s="472"/>
      <c r="AC238" s="472"/>
      <c r="BG238" s="472"/>
      <c r="BH238" s="472"/>
      <c r="BI238" s="472"/>
      <c r="BJ238" s="472"/>
      <c r="BK238" s="472"/>
      <c r="BL238" s="472"/>
    </row>
    <row r="239" spans="23:64" ht="18.95" customHeight="1">
      <c r="W239" s="472"/>
      <c r="X239" s="472"/>
      <c r="Y239" s="472"/>
      <c r="Z239" s="472"/>
      <c r="AA239" s="472"/>
      <c r="AB239" s="472"/>
      <c r="AC239" s="472"/>
      <c r="BG239" s="472"/>
      <c r="BH239" s="472"/>
      <c r="BI239" s="472"/>
      <c r="BJ239" s="472"/>
      <c r="BK239" s="472"/>
      <c r="BL239" s="472"/>
    </row>
    <row r="240" spans="23:64" ht="18.95" customHeight="1">
      <c r="W240" s="472"/>
      <c r="X240" s="472"/>
      <c r="Y240" s="472"/>
      <c r="Z240" s="472"/>
      <c r="AA240" s="472"/>
      <c r="AB240" s="472"/>
      <c r="AC240" s="472"/>
      <c r="BG240" s="472"/>
      <c r="BH240" s="472"/>
      <c r="BI240" s="472"/>
      <c r="BJ240" s="472"/>
      <c r="BK240" s="472"/>
      <c r="BL240" s="472"/>
    </row>
    <row r="241" spans="23:64" ht="18.95" customHeight="1">
      <c r="W241" s="472"/>
      <c r="X241" s="472"/>
      <c r="Y241" s="472"/>
      <c r="Z241" s="472"/>
      <c r="AA241" s="472"/>
      <c r="AB241" s="472"/>
      <c r="AC241" s="472"/>
      <c r="BG241" s="472"/>
      <c r="BH241" s="472"/>
      <c r="BI241" s="472"/>
      <c r="BJ241" s="472"/>
      <c r="BK241" s="472"/>
      <c r="BL241" s="472"/>
    </row>
    <row r="242" spans="23:64" ht="18.95" customHeight="1">
      <c r="W242" s="472"/>
      <c r="X242" s="472"/>
      <c r="Y242" s="472"/>
      <c r="Z242" s="472"/>
      <c r="AA242" s="472"/>
      <c r="AB242" s="472"/>
      <c r="AC242" s="472"/>
      <c r="BG242" s="472"/>
      <c r="BH242" s="472"/>
      <c r="BI242" s="472"/>
      <c r="BJ242" s="472"/>
      <c r="BK242" s="472"/>
      <c r="BL242" s="472"/>
    </row>
    <row r="243" spans="23:64" ht="18.95" customHeight="1">
      <c r="W243" s="472"/>
      <c r="X243" s="472"/>
      <c r="Y243" s="472"/>
      <c r="Z243" s="472"/>
      <c r="AA243" s="472"/>
      <c r="AB243" s="472"/>
      <c r="AC243" s="472"/>
      <c r="BG243" s="472"/>
      <c r="BH243" s="472"/>
      <c r="BI243" s="472"/>
      <c r="BJ243" s="472"/>
      <c r="BK243" s="472"/>
      <c r="BL243" s="472"/>
    </row>
    <row r="244" spans="23:64" ht="18.95" customHeight="1">
      <c r="W244" s="472"/>
      <c r="X244" s="472"/>
      <c r="Y244" s="472"/>
      <c r="Z244" s="472"/>
      <c r="AA244" s="472"/>
      <c r="AB244" s="472"/>
      <c r="AC244" s="472"/>
      <c r="BG244" s="472"/>
      <c r="BH244" s="472"/>
      <c r="BI244" s="472"/>
      <c r="BJ244" s="472"/>
      <c r="BK244" s="472"/>
      <c r="BL244" s="472"/>
    </row>
    <row r="245" spans="23:64" ht="18.95" customHeight="1">
      <c r="W245" s="472"/>
      <c r="X245" s="472"/>
      <c r="Y245" s="472"/>
      <c r="Z245" s="472"/>
      <c r="AA245" s="472"/>
      <c r="AB245" s="472"/>
      <c r="AC245" s="472"/>
      <c r="BG245" s="472"/>
      <c r="BH245" s="472"/>
      <c r="BI245" s="472"/>
      <c r="BJ245" s="472"/>
      <c r="BK245" s="472"/>
      <c r="BL245" s="472"/>
    </row>
    <row r="246" spans="23:64" ht="18.95" customHeight="1">
      <c r="W246" s="472"/>
      <c r="X246" s="472"/>
      <c r="Y246" s="472"/>
      <c r="Z246" s="472"/>
      <c r="AA246" s="472"/>
      <c r="AB246" s="472"/>
      <c r="AC246" s="472"/>
      <c r="BG246" s="472"/>
      <c r="BH246" s="472"/>
      <c r="BI246" s="472"/>
      <c r="BJ246" s="472"/>
      <c r="BK246" s="472"/>
      <c r="BL246" s="472"/>
    </row>
    <row r="247" spans="23:64" ht="18.95" customHeight="1">
      <c r="W247" s="472"/>
      <c r="X247" s="472"/>
      <c r="Y247" s="472"/>
      <c r="Z247" s="472"/>
      <c r="AA247" s="472"/>
      <c r="AB247" s="472"/>
      <c r="AC247" s="472"/>
      <c r="BG247" s="472"/>
      <c r="BH247" s="472"/>
      <c r="BI247" s="472"/>
      <c r="BJ247" s="472"/>
      <c r="BK247" s="472"/>
      <c r="BL247" s="472"/>
    </row>
    <row r="248" spans="23:64" ht="18.95" customHeight="1">
      <c r="W248" s="472"/>
      <c r="X248" s="472"/>
      <c r="Y248" s="472"/>
      <c r="Z248" s="472"/>
      <c r="AA248" s="472"/>
      <c r="AB248" s="472"/>
      <c r="AC248" s="472"/>
      <c r="BG248" s="472"/>
      <c r="BH248" s="472"/>
      <c r="BI248" s="472"/>
      <c r="BJ248" s="472"/>
      <c r="BK248" s="472"/>
      <c r="BL248" s="472"/>
    </row>
    <row r="249" spans="23:64" ht="18.95" customHeight="1">
      <c r="W249" s="472"/>
      <c r="X249" s="472"/>
      <c r="Y249" s="472"/>
      <c r="Z249" s="472"/>
      <c r="AA249" s="472"/>
      <c r="AB249" s="472"/>
      <c r="AC249" s="472"/>
      <c r="BG249" s="472"/>
      <c r="BH249" s="472"/>
      <c r="BI249" s="472"/>
      <c r="BJ249" s="472"/>
      <c r="BK249" s="472"/>
      <c r="BL249" s="472"/>
    </row>
    <row r="250" spans="23:64" ht="18.95" customHeight="1">
      <c r="W250" s="472"/>
      <c r="X250" s="472"/>
      <c r="Y250" s="472"/>
      <c r="Z250" s="472"/>
      <c r="AA250" s="472"/>
      <c r="AB250" s="472"/>
      <c r="AC250" s="472"/>
      <c r="BG250" s="472"/>
      <c r="BH250" s="472"/>
      <c r="BI250" s="472"/>
      <c r="BJ250" s="472"/>
      <c r="BK250" s="472"/>
      <c r="BL250" s="472"/>
    </row>
    <row r="251" spans="23:64" ht="18.95" customHeight="1">
      <c r="W251" s="472"/>
      <c r="X251" s="472"/>
      <c r="Y251" s="472"/>
      <c r="Z251" s="472"/>
      <c r="AA251" s="472"/>
      <c r="AB251" s="472"/>
      <c r="AC251" s="472"/>
      <c r="BG251" s="472"/>
      <c r="BH251" s="472"/>
      <c r="BI251" s="472"/>
      <c r="BJ251" s="472"/>
      <c r="BK251" s="472"/>
      <c r="BL251" s="472"/>
    </row>
    <row r="252" spans="23:64" ht="18.95" customHeight="1">
      <c r="W252" s="472"/>
      <c r="X252" s="472"/>
      <c r="Y252" s="472"/>
      <c r="Z252" s="472"/>
      <c r="AA252" s="472"/>
      <c r="AB252" s="472"/>
      <c r="AC252" s="472"/>
      <c r="BG252" s="472"/>
      <c r="BH252" s="472"/>
      <c r="BI252" s="472"/>
      <c r="BJ252" s="472"/>
      <c r="BK252" s="472"/>
      <c r="BL252" s="472"/>
    </row>
    <row r="253" spans="23:64" ht="18.95" customHeight="1">
      <c r="W253" s="472"/>
      <c r="X253" s="472"/>
      <c r="Y253" s="472"/>
      <c r="Z253" s="472"/>
      <c r="AA253" s="472"/>
      <c r="AB253" s="472"/>
      <c r="AC253" s="472"/>
      <c r="BG253" s="472"/>
      <c r="BH253" s="472"/>
      <c r="BI253" s="472"/>
      <c r="BJ253" s="472"/>
      <c r="BK253" s="472"/>
      <c r="BL253" s="472"/>
    </row>
    <row r="254" spans="23:64" ht="18.95" customHeight="1">
      <c r="W254" s="472"/>
      <c r="X254" s="472"/>
      <c r="Y254" s="472"/>
      <c r="Z254" s="472"/>
      <c r="AA254" s="472"/>
      <c r="AB254" s="472"/>
      <c r="AC254" s="472"/>
      <c r="BG254" s="472"/>
      <c r="BH254" s="472"/>
      <c r="BI254" s="472"/>
      <c r="BJ254" s="472"/>
      <c r="BK254" s="472"/>
      <c r="BL254" s="472"/>
    </row>
    <row r="255" spans="23:64" ht="18.95" customHeight="1">
      <c r="W255" s="472"/>
      <c r="X255" s="472"/>
      <c r="Y255" s="472"/>
      <c r="Z255" s="472"/>
      <c r="AA255" s="472"/>
      <c r="AB255" s="472"/>
      <c r="AC255" s="472"/>
      <c r="BG255" s="472"/>
      <c r="BH255" s="472"/>
      <c r="BI255" s="472"/>
      <c r="BJ255" s="472"/>
      <c r="BK255" s="472"/>
      <c r="BL255" s="472"/>
    </row>
    <row r="256" spans="23:64" ht="18.95" customHeight="1">
      <c r="W256" s="472"/>
      <c r="X256" s="472"/>
      <c r="Y256" s="472"/>
      <c r="Z256" s="472"/>
      <c r="AA256" s="472"/>
      <c r="AB256" s="472"/>
      <c r="AC256" s="472"/>
      <c r="BG256" s="472"/>
      <c r="BH256" s="472"/>
      <c r="BI256" s="472"/>
      <c r="BJ256" s="472"/>
      <c r="BK256" s="472"/>
      <c r="BL256" s="472"/>
    </row>
    <row r="257" spans="23:64" ht="18.95" customHeight="1">
      <c r="W257" s="472"/>
      <c r="X257" s="472"/>
      <c r="Y257" s="472"/>
      <c r="Z257" s="472"/>
      <c r="AA257" s="472"/>
      <c r="AB257" s="472"/>
      <c r="AC257" s="472"/>
      <c r="BG257" s="472"/>
      <c r="BH257" s="472"/>
      <c r="BI257" s="472"/>
      <c r="BJ257" s="472"/>
      <c r="BK257" s="472"/>
      <c r="BL257" s="472"/>
    </row>
    <row r="258" spans="23:64" ht="18.95" customHeight="1">
      <c r="W258" s="472"/>
      <c r="X258" s="472"/>
      <c r="Y258" s="472"/>
      <c r="Z258" s="472"/>
      <c r="AA258" s="472"/>
      <c r="AB258" s="472"/>
      <c r="AC258" s="472"/>
      <c r="BG258" s="472"/>
      <c r="BH258" s="472"/>
      <c r="BI258" s="472"/>
      <c r="BJ258" s="472"/>
      <c r="BK258" s="472"/>
      <c r="BL258" s="472"/>
    </row>
    <row r="259" spans="23:64" ht="18.95" customHeight="1">
      <c r="W259" s="472"/>
      <c r="X259" s="472"/>
      <c r="Y259" s="472"/>
      <c r="Z259" s="472"/>
      <c r="AA259" s="472"/>
      <c r="AB259" s="472"/>
      <c r="AC259" s="472"/>
      <c r="BG259" s="472"/>
      <c r="BH259" s="472"/>
      <c r="BI259" s="472"/>
      <c r="BJ259" s="472"/>
      <c r="BK259" s="472"/>
      <c r="BL259" s="472"/>
    </row>
    <row r="260" spans="23:64" ht="18.95" customHeight="1">
      <c r="W260" s="472"/>
      <c r="X260" s="472"/>
      <c r="Y260" s="472"/>
      <c r="Z260" s="472"/>
      <c r="AA260" s="472"/>
      <c r="AB260" s="472"/>
      <c r="AC260" s="472"/>
      <c r="BG260" s="472"/>
      <c r="BH260" s="472"/>
      <c r="BI260" s="472"/>
      <c r="BJ260" s="472"/>
      <c r="BK260" s="472"/>
      <c r="BL260" s="472"/>
    </row>
    <row r="261" spans="23:64" ht="18.95" customHeight="1">
      <c r="W261" s="472"/>
      <c r="X261" s="472"/>
      <c r="Y261" s="472"/>
      <c r="Z261" s="472"/>
      <c r="AA261" s="472"/>
      <c r="AB261" s="472"/>
      <c r="AC261" s="472"/>
      <c r="BG261" s="472"/>
      <c r="BH261" s="472"/>
      <c r="BI261" s="472"/>
      <c r="BJ261" s="472"/>
      <c r="BK261" s="472"/>
      <c r="BL261" s="472"/>
    </row>
    <row r="262" spans="23:64" ht="18.95" customHeight="1">
      <c r="W262" s="472"/>
      <c r="X262" s="472"/>
      <c r="Y262" s="472"/>
      <c r="Z262" s="472"/>
      <c r="AA262" s="472"/>
      <c r="AB262" s="472"/>
      <c r="AC262" s="472"/>
      <c r="BG262" s="472"/>
      <c r="BH262" s="472"/>
      <c r="BI262" s="472"/>
      <c r="BJ262" s="472"/>
      <c r="BK262" s="472"/>
      <c r="BL262" s="472"/>
    </row>
    <row r="263" spans="23:64" ht="18.95" customHeight="1">
      <c r="W263" s="472"/>
      <c r="X263" s="472"/>
      <c r="Y263" s="472"/>
      <c r="Z263" s="472"/>
      <c r="AA263" s="472"/>
      <c r="AB263" s="472"/>
      <c r="AC263" s="472"/>
      <c r="BG263" s="472"/>
      <c r="BH263" s="472"/>
      <c r="BI263" s="472"/>
      <c r="BJ263" s="472"/>
      <c r="BK263" s="472"/>
      <c r="BL263" s="472"/>
    </row>
    <row r="264" spans="23:64" ht="18.95" customHeight="1">
      <c r="W264" s="472"/>
      <c r="X264" s="472"/>
      <c r="Y264" s="472"/>
      <c r="Z264" s="472"/>
      <c r="AA264" s="472"/>
      <c r="AB264" s="472"/>
      <c r="AC264" s="472"/>
      <c r="BG264" s="472"/>
      <c r="BH264" s="472"/>
      <c r="BI264" s="472"/>
      <c r="BJ264" s="472"/>
      <c r="BK264" s="472"/>
      <c r="BL264" s="472"/>
    </row>
    <row r="265" spans="23:64" ht="18.95" customHeight="1">
      <c r="W265" s="472"/>
      <c r="X265" s="472"/>
      <c r="Y265" s="472"/>
      <c r="Z265" s="472"/>
      <c r="AA265" s="472"/>
      <c r="AB265" s="472"/>
      <c r="AC265" s="472"/>
      <c r="BG265" s="472"/>
      <c r="BH265" s="472"/>
      <c r="BI265" s="472"/>
      <c r="BJ265" s="472"/>
      <c r="BK265" s="472"/>
      <c r="BL265" s="472"/>
    </row>
    <row r="266" spans="23:64" ht="18.95" customHeight="1">
      <c r="W266" s="472"/>
      <c r="X266" s="472"/>
      <c r="Y266" s="472"/>
      <c r="Z266" s="472"/>
      <c r="AA266" s="472"/>
      <c r="AB266" s="472"/>
      <c r="AC266" s="472"/>
      <c r="BG266" s="472"/>
      <c r="BH266" s="472"/>
      <c r="BI266" s="472"/>
      <c r="BJ266" s="472"/>
      <c r="BK266" s="472"/>
      <c r="BL266" s="472"/>
    </row>
    <row r="267" spans="23:64" ht="18.95" customHeight="1">
      <c r="W267" s="472"/>
      <c r="X267" s="472"/>
      <c r="Y267" s="472"/>
      <c r="Z267" s="472"/>
      <c r="AA267" s="472"/>
      <c r="AB267" s="472"/>
      <c r="AC267" s="472"/>
      <c r="BG267" s="472"/>
      <c r="BH267" s="472"/>
      <c r="BI267" s="472"/>
      <c r="BJ267" s="472"/>
      <c r="BK267" s="472"/>
      <c r="BL267" s="472"/>
    </row>
    <row r="268" spans="23:64" ht="18.95" customHeight="1">
      <c r="W268" s="472"/>
      <c r="X268" s="472"/>
      <c r="Y268" s="472"/>
      <c r="Z268" s="472"/>
      <c r="AA268" s="472"/>
      <c r="AB268" s="472"/>
      <c r="AC268" s="472"/>
      <c r="BG268" s="472"/>
      <c r="BH268" s="472"/>
      <c r="BI268" s="472"/>
      <c r="BJ268" s="472"/>
      <c r="BK268" s="472"/>
      <c r="BL268" s="472"/>
    </row>
    <row r="269" spans="23:64" ht="18.95" customHeight="1">
      <c r="W269" s="472"/>
      <c r="X269" s="472"/>
      <c r="Y269" s="472"/>
      <c r="Z269" s="472"/>
      <c r="AA269" s="472"/>
      <c r="AB269" s="472"/>
      <c r="AC269" s="472"/>
      <c r="BG269" s="472"/>
      <c r="BH269" s="472"/>
      <c r="BI269" s="472"/>
      <c r="BJ269" s="472"/>
      <c r="BK269" s="472"/>
      <c r="BL269" s="472"/>
    </row>
    <row r="270" spans="23:64" ht="18.95" customHeight="1">
      <c r="W270" s="472"/>
      <c r="X270" s="472"/>
      <c r="Y270" s="472"/>
      <c r="Z270" s="472"/>
      <c r="AA270" s="472"/>
      <c r="AB270" s="472"/>
      <c r="AC270" s="472"/>
      <c r="BG270" s="472"/>
      <c r="BH270" s="472"/>
      <c r="BI270" s="472"/>
      <c r="BJ270" s="472"/>
      <c r="BK270" s="472"/>
      <c r="BL270" s="472"/>
    </row>
    <row r="271" spans="23:64" ht="18.95" customHeight="1">
      <c r="W271" s="472"/>
      <c r="X271" s="472"/>
      <c r="Y271" s="472"/>
      <c r="Z271" s="472"/>
      <c r="AA271" s="472"/>
      <c r="AB271" s="472"/>
      <c r="AC271" s="472"/>
      <c r="BG271" s="472"/>
      <c r="BH271" s="472"/>
      <c r="BI271" s="472"/>
      <c r="BJ271" s="472"/>
      <c r="BK271" s="472"/>
      <c r="BL271" s="472"/>
    </row>
    <row r="272" spans="23:64" ht="18.95" customHeight="1">
      <c r="W272" s="472"/>
      <c r="X272" s="472"/>
      <c r="Y272" s="472"/>
      <c r="Z272" s="472"/>
      <c r="AA272" s="472"/>
      <c r="AB272" s="472"/>
      <c r="AC272" s="472"/>
      <c r="BG272" s="472"/>
      <c r="BH272" s="472"/>
      <c r="BI272" s="472"/>
      <c r="BJ272" s="472"/>
      <c r="BK272" s="472"/>
      <c r="BL272" s="472"/>
    </row>
    <row r="273" spans="23:64" ht="18.95" customHeight="1">
      <c r="W273" s="472"/>
      <c r="X273" s="472"/>
      <c r="Y273" s="472"/>
      <c r="Z273" s="472"/>
      <c r="AA273" s="472"/>
      <c r="AB273" s="472"/>
      <c r="AC273" s="472"/>
      <c r="BG273" s="472"/>
      <c r="BH273" s="472"/>
      <c r="BI273" s="472"/>
      <c r="BJ273" s="472"/>
      <c r="BK273" s="472"/>
      <c r="BL273" s="472"/>
    </row>
    <row r="274" spans="23:64" ht="18.95" customHeight="1">
      <c r="W274" s="472"/>
      <c r="X274" s="472"/>
      <c r="Y274" s="472"/>
      <c r="Z274" s="472"/>
      <c r="AA274" s="472"/>
      <c r="AB274" s="472"/>
      <c r="AC274" s="472"/>
      <c r="BG274" s="472"/>
      <c r="BH274" s="472"/>
      <c r="BI274" s="472"/>
      <c r="BJ274" s="472"/>
      <c r="BK274" s="472"/>
      <c r="BL274" s="472"/>
    </row>
    <row r="275" spans="23:64" ht="18.95" customHeight="1">
      <c r="W275" s="472"/>
      <c r="X275" s="472"/>
      <c r="Y275" s="472"/>
      <c r="Z275" s="472"/>
      <c r="AA275" s="472"/>
      <c r="AB275" s="472"/>
      <c r="AC275" s="472"/>
      <c r="BG275" s="472"/>
      <c r="BH275" s="472"/>
      <c r="BI275" s="472"/>
      <c r="BJ275" s="472"/>
      <c r="BK275" s="472"/>
      <c r="BL275" s="472"/>
    </row>
    <row r="276" spans="23:64" ht="18.95" customHeight="1">
      <c r="W276" s="472"/>
      <c r="X276" s="472"/>
      <c r="Y276" s="472"/>
      <c r="Z276" s="472"/>
      <c r="AA276" s="472"/>
      <c r="AB276" s="472"/>
      <c r="AC276" s="472"/>
      <c r="BG276" s="472"/>
      <c r="BH276" s="472"/>
      <c r="BI276" s="472"/>
      <c r="BJ276" s="472"/>
      <c r="BK276" s="472"/>
      <c r="BL276" s="472"/>
    </row>
    <row r="277" spans="23:64" ht="18.95" customHeight="1">
      <c r="W277" s="472"/>
      <c r="X277" s="472"/>
      <c r="Y277" s="472"/>
      <c r="Z277" s="472"/>
      <c r="AA277" s="472"/>
      <c r="AB277" s="472"/>
      <c r="AC277" s="472"/>
      <c r="BG277" s="472"/>
      <c r="BH277" s="472"/>
      <c r="BI277" s="472"/>
      <c r="BJ277" s="472"/>
      <c r="BK277" s="472"/>
      <c r="BL277" s="472"/>
    </row>
    <row r="278" spans="23:64" ht="18.95" customHeight="1">
      <c r="W278" s="472"/>
      <c r="X278" s="472"/>
      <c r="Y278" s="472"/>
      <c r="Z278" s="472"/>
      <c r="AA278" s="472"/>
      <c r="AB278" s="472"/>
      <c r="AC278" s="472"/>
      <c r="BG278" s="472"/>
      <c r="BH278" s="472"/>
      <c r="BI278" s="472"/>
      <c r="BJ278" s="472"/>
      <c r="BK278" s="472"/>
      <c r="BL278" s="472"/>
    </row>
    <row r="279" spans="23:64" ht="18.95" customHeight="1">
      <c r="W279" s="472"/>
      <c r="X279" s="472"/>
      <c r="Y279" s="472"/>
      <c r="Z279" s="472"/>
      <c r="AA279" s="472"/>
      <c r="AB279" s="472"/>
      <c r="AC279" s="472"/>
      <c r="BG279" s="472"/>
      <c r="BH279" s="472"/>
      <c r="BI279" s="472"/>
      <c r="BJ279" s="472"/>
      <c r="BK279" s="472"/>
      <c r="BL279" s="472"/>
    </row>
    <row r="280" spans="23:64" ht="18.95" customHeight="1">
      <c r="W280" s="472"/>
      <c r="X280" s="472"/>
      <c r="Y280" s="472"/>
      <c r="Z280" s="472"/>
      <c r="AA280" s="472"/>
      <c r="AB280" s="472"/>
      <c r="AC280" s="472"/>
      <c r="BG280" s="472"/>
      <c r="BH280" s="472"/>
      <c r="BI280" s="472"/>
      <c r="BJ280" s="472"/>
      <c r="BK280" s="472"/>
      <c r="BL280" s="472"/>
    </row>
    <row r="281" spans="23:64" ht="18.95" customHeight="1">
      <c r="W281" s="472"/>
      <c r="X281" s="472"/>
      <c r="Y281" s="472"/>
      <c r="Z281" s="472"/>
      <c r="AA281" s="472"/>
      <c r="AB281" s="472"/>
      <c r="AC281" s="472"/>
      <c r="BG281" s="472"/>
      <c r="BH281" s="472"/>
      <c r="BI281" s="472"/>
      <c r="BJ281" s="472"/>
      <c r="BK281" s="472"/>
      <c r="BL281" s="472"/>
    </row>
    <row r="282" spans="23:64" ht="18.95" customHeight="1">
      <c r="W282" s="472"/>
      <c r="X282" s="472"/>
      <c r="Y282" s="472"/>
      <c r="Z282" s="472"/>
      <c r="AA282" s="472"/>
      <c r="AB282" s="472"/>
      <c r="AC282" s="472"/>
      <c r="BG282" s="472"/>
      <c r="BH282" s="472"/>
      <c r="BI282" s="472"/>
      <c r="BJ282" s="472"/>
      <c r="BK282" s="472"/>
      <c r="BL282" s="472"/>
    </row>
    <row r="283" spans="23:64" ht="18.95" customHeight="1">
      <c r="W283" s="472"/>
      <c r="X283" s="472"/>
      <c r="Y283" s="472"/>
      <c r="Z283" s="472"/>
      <c r="AA283" s="472"/>
      <c r="AB283" s="472"/>
      <c r="AC283" s="472"/>
      <c r="BG283" s="472"/>
      <c r="BH283" s="472"/>
      <c r="BI283" s="472"/>
      <c r="BJ283" s="472"/>
      <c r="BK283" s="472"/>
      <c r="BL283" s="472"/>
    </row>
    <row r="284" spans="23:64" ht="18.95" customHeight="1">
      <c r="W284" s="472"/>
      <c r="X284" s="472"/>
      <c r="Y284" s="472"/>
      <c r="Z284" s="472"/>
      <c r="AA284" s="472"/>
      <c r="AB284" s="472"/>
      <c r="AC284" s="472"/>
      <c r="BG284" s="472"/>
      <c r="BH284" s="472"/>
      <c r="BI284" s="472"/>
      <c r="BJ284" s="472"/>
      <c r="BK284" s="472"/>
      <c r="BL284" s="472"/>
    </row>
    <row r="285" spans="23:64" ht="18.95" customHeight="1">
      <c r="W285" s="472"/>
      <c r="X285" s="472"/>
      <c r="Y285" s="472"/>
      <c r="Z285" s="472"/>
      <c r="AA285" s="472"/>
      <c r="AB285" s="472"/>
      <c r="AC285" s="472"/>
      <c r="BG285" s="472"/>
      <c r="BH285" s="472"/>
      <c r="BI285" s="472"/>
      <c r="BJ285" s="472"/>
      <c r="BK285" s="472"/>
      <c r="BL285" s="472"/>
    </row>
    <row r="286" spans="23:64" ht="18.95" customHeight="1">
      <c r="W286" s="472"/>
      <c r="X286" s="472"/>
      <c r="Y286" s="472"/>
      <c r="Z286" s="472"/>
      <c r="AA286" s="472"/>
      <c r="AB286" s="472"/>
      <c r="AC286" s="472"/>
      <c r="BG286" s="472"/>
      <c r="BH286" s="472"/>
      <c r="BI286" s="472"/>
      <c r="BJ286" s="472"/>
      <c r="BK286" s="472"/>
      <c r="BL286" s="472"/>
    </row>
    <row r="287" spans="23:64" ht="18.95" customHeight="1">
      <c r="W287" s="472"/>
      <c r="X287" s="472"/>
      <c r="Y287" s="472"/>
      <c r="Z287" s="472"/>
      <c r="AA287" s="472"/>
      <c r="AB287" s="472"/>
      <c r="AC287" s="472"/>
      <c r="BG287" s="472"/>
      <c r="BH287" s="472"/>
      <c r="BI287" s="472"/>
      <c r="BJ287" s="472"/>
      <c r="BK287" s="472"/>
      <c r="BL287" s="472"/>
    </row>
    <row r="288" spans="23:64" ht="18.95" customHeight="1">
      <c r="W288" s="472"/>
      <c r="X288" s="472"/>
      <c r="Y288" s="472"/>
      <c r="Z288" s="472"/>
      <c r="AA288" s="472"/>
      <c r="AB288" s="472"/>
      <c r="AC288" s="472"/>
      <c r="BG288" s="472"/>
      <c r="BH288" s="472"/>
      <c r="BI288" s="472"/>
      <c r="BJ288" s="472"/>
      <c r="BK288" s="472"/>
      <c r="BL288" s="472"/>
    </row>
    <row r="289" spans="23:64" ht="18.95" customHeight="1">
      <c r="W289" s="472"/>
      <c r="X289" s="472"/>
      <c r="Y289" s="472"/>
      <c r="Z289" s="472"/>
      <c r="AA289" s="472"/>
      <c r="AB289" s="472"/>
      <c r="AC289" s="472"/>
      <c r="BG289" s="472"/>
      <c r="BH289" s="472"/>
      <c r="BI289" s="472"/>
      <c r="BJ289" s="472"/>
      <c r="BK289" s="472"/>
      <c r="BL289" s="472"/>
    </row>
    <row r="290" spans="23:64" ht="18.95" customHeight="1">
      <c r="W290" s="472"/>
      <c r="X290" s="472"/>
      <c r="Y290" s="472"/>
      <c r="Z290" s="472"/>
      <c r="AA290" s="472"/>
      <c r="AB290" s="472"/>
      <c r="AC290" s="472"/>
      <c r="BG290" s="472"/>
      <c r="BH290" s="472"/>
      <c r="BI290" s="472"/>
      <c r="BJ290" s="472"/>
      <c r="BK290" s="472"/>
      <c r="BL290" s="472"/>
    </row>
    <row r="291" spans="23:64" ht="18.95" customHeight="1">
      <c r="W291" s="472"/>
      <c r="X291" s="472"/>
      <c r="Y291" s="472"/>
      <c r="Z291" s="472"/>
      <c r="AA291" s="472"/>
      <c r="AB291" s="472"/>
      <c r="AC291" s="472"/>
      <c r="BG291" s="472"/>
      <c r="BH291" s="472"/>
      <c r="BI291" s="472"/>
      <c r="BJ291" s="472"/>
      <c r="BK291" s="472"/>
      <c r="BL291" s="472"/>
    </row>
    <row r="292" spans="23:64" ht="18.95" customHeight="1">
      <c r="W292" s="472"/>
      <c r="X292" s="472"/>
      <c r="Y292" s="472"/>
      <c r="Z292" s="472"/>
      <c r="AA292" s="472"/>
      <c r="AB292" s="472"/>
      <c r="AC292" s="472"/>
      <c r="BG292" s="472"/>
      <c r="BH292" s="472"/>
      <c r="BI292" s="472"/>
      <c r="BJ292" s="472"/>
      <c r="BK292" s="472"/>
      <c r="BL292" s="472"/>
    </row>
    <row r="293" spans="23:64" ht="18.95" customHeight="1">
      <c r="W293" s="472"/>
      <c r="X293" s="472"/>
      <c r="Y293" s="472"/>
      <c r="Z293" s="472"/>
      <c r="AA293" s="472"/>
      <c r="AB293" s="472"/>
      <c r="AC293" s="472"/>
      <c r="BG293" s="472"/>
      <c r="BH293" s="472"/>
      <c r="BI293" s="472"/>
      <c r="BJ293" s="472"/>
      <c r="BK293" s="472"/>
      <c r="BL293" s="472"/>
    </row>
    <row r="294" spans="23:64" ht="18.95" customHeight="1">
      <c r="W294" s="472"/>
      <c r="X294" s="472"/>
      <c r="Y294" s="472"/>
      <c r="Z294" s="472"/>
      <c r="AA294" s="472"/>
      <c r="AB294" s="472"/>
      <c r="AC294" s="472"/>
      <c r="BG294" s="472"/>
      <c r="BH294" s="472"/>
      <c r="BI294" s="472"/>
      <c r="BJ294" s="472"/>
      <c r="BK294" s="472"/>
      <c r="BL294" s="472"/>
    </row>
    <row r="295" spans="23:64" ht="18.95" customHeight="1">
      <c r="W295" s="472"/>
      <c r="X295" s="472"/>
      <c r="Y295" s="472"/>
      <c r="Z295" s="472"/>
      <c r="AA295" s="472"/>
      <c r="AB295" s="472"/>
      <c r="AC295" s="472"/>
      <c r="BG295" s="472"/>
      <c r="BH295" s="472"/>
      <c r="BI295" s="472"/>
      <c r="BJ295" s="472"/>
      <c r="BK295" s="472"/>
      <c r="BL295" s="472"/>
    </row>
    <row r="296" spans="23:64" ht="18.95" customHeight="1">
      <c r="W296" s="472"/>
      <c r="X296" s="472"/>
      <c r="Y296" s="472"/>
      <c r="Z296" s="472"/>
      <c r="AA296" s="472"/>
      <c r="AB296" s="472"/>
      <c r="AC296" s="472"/>
      <c r="BG296" s="472"/>
      <c r="BH296" s="472"/>
      <c r="BI296" s="472"/>
      <c r="BJ296" s="472"/>
      <c r="BK296" s="472"/>
      <c r="BL296" s="472"/>
    </row>
    <row r="297" spans="23:64" ht="18.95" customHeight="1">
      <c r="W297" s="472"/>
      <c r="X297" s="472"/>
      <c r="Y297" s="472"/>
      <c r="Z297" s="472"/>
      <c r="AA297" s="472"/>
      <c r="AB297" s="472"/>
      <c r="AC297" s="472"/>
      <c r="BG297" s="472"/>
      <c r="BH297" s="472"/>
      <c r="BI297" s="472"/>
      <c r="BJ297" s="472"/>
      <c r="BK297" s="472"/>
      <c r="BL297" s="472"/>
    </row>
    <row r="298" spans="23:64" ht="18.95" customHeight="1">
      <c r="W298" s="472"/>
      <c r="X298" s="472"/>
      <c r="Y298" s="472"/>
      <c r="Z298" s="472"/>
      <c r="AA298" s="472"/>
      <c r="AB298" s="472"/>
      <c r="AC298" s="472"/>
      <c r="BG298" s="472"/>
      <c r="BH298" s="472"/>
      <c r="BI298" s="472"/>
      <c r="BJ298" s="472"/>
      <c r="BK298" s="472"/>
      <c r="BL298" s="472"/>
    </row>
    <row r="299" spans="23:64" ht="18.95" customHeight="1">
      <c r="W299" s="472"/>
      <c r="X299" s="472"/>
      <c r="Y299" s="472"/>
      <c r="Z299" s="472"/>
      <c r="AA299" s="472"/>
      <c r="AB299" s="472"/>
      <c r="AC299" s="472"/>
      <c r="BG299" s="472"/>
      <c r="BH299" s="472"/>
      <c r="BI299" s="472"/>
      <c r="BJ299" s="472"/>
      <c r="BK299" s="472"/>
      <c r="BL299" s="472"/>
    </row>
    <row r="300" spans="23:64" ht="18.95" customHeight="1">
      <c r="W300" s="472"/>
      <c r="X300" s="472"/>
      <c r="Y300" s="472"/>
      <c r="Z300" s="472"/>
      <c r="AA300" s="472"/>
      <c r="AB300" s="472"/>
      <c r="AC300" s="472"/>
      <c r="BG300" s="472"/>
      <c r="BH300" s="472"/>
      <c r="BI300" s="472"/>
      <c r="BJ300" s="472"/>
      <c r="BK300" s="472"/>
      <c r="BL300" s="472"/>
    </row>
    <row r="301" spans="23:64" ht="18.95" customHeight="1">
      <c r="W301" s="472"/>
      <c r="X301" s="472"/>
      <c r="Y301" s="472"/>
      <c r="Z301" s="472"/>
      <c r="AA301" s="472"/>
      <c r="AB301" s="472"/>
      <c r="AC301" s="472"/>
      <c r="BG301" s="472"/>
      <c r="BH301" s="472"/>
      <c r="BI301" s="472"/>
      <c r="BJ301" s="472"/>
      <c r="BK301" s="472"/>
      <c r="BL301" s="472"/>
    </row>
    <row r="302" spans="23:64" ht="18.95" customHeight="1">
      <c r="W302" s="472"/>
      <c r="X302" s="472"/>
      <c r="Y302" s="472"/>
      <c r="Z302" s="472"/>
      <c r="AA302" s="472"/>
      <c r="AB302" s="472"/>
      <c r="AC302" s="472"/>
      <c r="BG302" s="472"/>
      <c r="BH302" s="472"/>
      <c r="BI302" s="472"/>
      <c r="BJ302" s="472"/>
      <c r="BK302" s="472"/>
      <c r="BL302" s="472"/>
    </row>
    <row r="303" spans="23:64" ht="18.95" customHeight="1">
      <c r="W303" s="472"/>
      <c r="X303" s="472"/>
      <c r="Y303" s="472"/>
      <c r="Z303" s="472"/>
      <c r="AA303" s="472"/>
      <c r="AB303" s="472"/>
      <c r="AC303" s="472"/>
      <c r="BG303" s="472"/>
      <c r="BH303" s="472"/>
      <c r="BI303" s="472"/>
      <c r="BJ303" s="472"/>
      <c r="BK303" s="472"/>
      <c r="BL303" s="472"/>
    </row>
    <row r="304" spans="23:64" ht="18.95" customHeight="1">
      <c r="W304" s="472"/>
      <c r="X304" s="472"/>
      <c r="Y304" s="472"/>
      <c r="Z304" s="472"/>
      <c r="AA304" s="472"/>
      <c r="AB304" s="472"/>
      <c r="AC304" s="472"/>
      <c r="BG304" s="472"/>
      <c r="BH304" s="472"/>
      <c r="BI304" s="472"/>
      <c r="BJ304" s="472"/>
      <c r="BK304" s="472"/>
      <c r="BL304" s="472"/>
    </row>
    <row r="305" spans="23:64" ht="18.95" customHeight="1">
      <c r="W305" s="472"/>
      <c r="X305" s="472"/>
      <c r="Y305" s="472"/>
      <c r="Z305" s="472"/>
      <c r="AA305" s="472"/>
      <c r="AB305" s="472"/>
      <c r="AC305" s="472"/>
      <c r="BG305" s="472"/>
      <c r="BH305" s="472"/>
      <c r="BI305" s="472"/>
      <c r="BJ305" s="472"/>
      <c r="BK305" s="472"/>
      <c r="BL305" s="472"/>
    </row>
    <row r="306" spans="23:64" ht="18.95" customHeight="1">
      <c r="W306" s="472"/>
      <c r="X306" s="472"/>
      <c r="Y306" s="472"/>
      <c r="Z306" s="472"/>
      <c r="AA306" s="472"/>
      <c r="AB306" s="472"/>
      <c r="AC306" s="472"/>
      <c r="BG306" s="472"/>
      <c r="BH306" s="472"/>
      <c r="BI306" s="472"/>
      <c r="BJ306" s="472"/>
      <c r="BK306" s="472"/>
      <c r="BL306" s="472"/>
    </row>
    <row r="307" spans="23:64" ht="18.95" customHeight="1">
      <c r="W307" s="472"/>
      <c r="X307" s="472"/>
      <c r="Y307" s="472"/>
      <c r="Z307" s="472"/>
      <c r="AA307" s="472"/>
      <c r="AB307" s="472"/>
      <c r="AC307" s="472"/>
      <c r="BG307" s="472"/>
      <c r="BH307" s="472"/>
      <c r="BI307" s="472"/>
      <c r="BJ307" s="472"/>
      <c r="BK307" s="472"/>
      <c r="BL307" s="472"/>
    </row>
    <row r="308" spans="23:64" ht="18.95" customHeight="1">
      <c r="W308" s="472"/>
      <c r="X308" s="472"/>
      <c r="Y308" s="472"/>
      <c r="Z308" s="472"/>
      <c r="AA308" s="472"/>
      <c r="AB308" s="472"/>
      <c r="AC308" s="472"/>
      <c r="BG308" s="472"/>
      <c r="BH308" s="472"/>
      <c r="BI308" s="472"/>
      <c r="BJ308" s="472"/>
      <c r="BK308" s="472"/>
      <c r="BL308" s="472"/>
    </row>
    <row r="309" spans="23:64" ht="18.95" customHeight="1">
      <c r="W309" s="472"/>
      <c r="X309" s="472"/>
      <c r="Y309" s="472"/>
      <c r="Z309" s="472"/>
      <c r="AA309" s="472"/>
      <c r="AB309" s="472"/>
      <c r="AC309" s="472"/>
      <c r="BG309" s="472"/>
      <c r="BH309" s="472"/>
      <c r="BI309" s="472"/>
      <c r="BJ309" s="472"/>
      <c r="BK309" s="472"/>
      <c r="BL309" s="472"/>
    </row>
    <row r="310" spans="23:64" ht="18.95" customHeight="1">
      <c r="W310" s="472"/>
      <c r="X310" s="472"/>
      <c r="Y310" s="472"/>
      <c r="Z310" s="472"/>
      <c r="AA310" s="472"/>
      <c r="AB310" s="472"/>
      <c r="AC310" s="472"/>
      <c r="BG310" s="472"/>
      <c r="BH310" s="472"/>
      <c r="BI310" s="472"/>
      <c r="BJ310" s="472"/>
      <c r="BK310" s="472"/>
      <c r="BL310" s="472"/>
    </row>
    <row r="311" spans="23:64" ht="18.95" customHeight="1">
      <c r="W311" s="472"/>
      <c r="X311" s="472"/>
      <c r="Y311" s="472"/>
      <c r="Z311" s="472"/>
      <c r="AA311" s="472"/>
      <c r="AB311" s="472"/>
      <c r="AC311" s="472"/>
      <c r="BG311" s="472"/>
      <c r="BH311" s="472"/>
      <c r="BI311" s="472"/>
      <c r="BJ311" s="472"/>
      <c r="BK311" s="472"/>
      <c r="BL311" s="472"/>
    </row>
    <row r="312" spans="23:64" ht="18.95" customHeight="1">
      <c r="W312" s="472"/>
      <c r="X312" s="472"/>
      <c r="Y312" s="472"/>
      <c r="Z312" s="472"/>
      <c r="AA312" s="472"/>
      <c r="AB312" s="472"/>
      <c r="AC312" s="472"/>
      <c r="BG312" s="472"/>
      <c r="BH312" s="472"/>
      <c r="BI312" s="472"/>
      <c r="BJ312" s="472"/>
      <c r="BK312" s="472"/>
      <c r="BL312" s="472"/>
    </row>
    <row r="313" spans="23:64" ht="18.95" customHeight="1">
      <c r="W313" s="472"/>
      <c r="X313" s="472"/>
      <c r="Y313" s="472"/>
      <c r="Z313" s="472"/>
      <c r="AA313" s="472"/>
      <c r="AB313" s="472"/>
      <c r="AC313" s="472"/>
      <c r="BG313" s="472"/>
      <c r="BH313" s="472"/>
      <c r="BI313" s="472"/>
      <c r="BJ313" s="472"/>
      <c r="BK313" s="472"/>
      <c r="BL313" s="472"/>
    </row>
    <row r="314" spans="23:64" ht="18.95" customHeight="1">
      <c r="W314" s="472"/>
      <c r="X314" s="472"/>
      <c r="Y314" s="472"/>
      <c r="Z314" s="472"/>
      <c r="AA314" s="472"/>
      <c r="AB314" s="472"/>
      <c r="AC314" s="472"/>
      <c r="BG314" s="472"/>
      <c r="BH314" s="472"/>
      <c r="BI314" s="472"/>
      <c r="BJ314" s="472"/>
      <c r="BK314" s="472"/>
      <c r="BL314" s="472"/>
    </row>
    <row r="315" spans="23:64" ht="18.95" customHeight="1">
      <c r="W315" s="472"/>
      <c r="X315" s="472"/>
      <c r="Y315" s="472"/>
      <c r="Z315" s="472"/>
      <c r="AA315" s="472"/>
      <c r="AB315" s="472"/>
      <c r="AC315" s="472"/>
      <c r="BG315" s="472"/>
      <c r="BH315" s="472"/>
      <c r="BI315" s="472"/>
      <c r="BJ315" s="472"/>
      <c r="BK315" s="472"/>
      <c r="BL315" s="472"/>
    </row>
    <row r="316" spans="23:64" ht="18.95" customHeight="1">
      <c r="W316" s="472"/>
      <c r="X316" s="472"/>
      <c r="Y316" s="472"/>
      <c r="Z316" s="472"/>
      <c r="AA316" s="472"/>
      <c r="AB316" s="472"/>
      <c r="AC316" s="472"/>
      <c r="BG316" s="472"/>
      <c r="BH316" s="472"/>
      <c r="BI316" s="472"/>
      <c r="BJ316" s="472"/>
      <c r="BK316" s="472"/>
      <c r="BL316" s="472"/>
    </row>
    <row r="317" spans="23:64" ht="18.95" customHeight="1">
      <c r="W317" s="472"/>
      <c r="X317" s="472"/>
      <c r="Y317" s="472"/>
      <c r="Z317" s="472"/>
      <c r="AA317" s="472"/>
      <c r="AB317" s="472"/>
      <c r="AC317" s="472"/>
      <c r="BG317" s="472"/>
      <c r="BH317" s="472"/>
      <c r="BI317" s="472"/>
      <c r="BJ317" s="472"/>
      <c r="BK317" s="472"/>
      <c r="BL317" s="472"/>
    </row>
    <row r="318" spans="23:64" ht="18.95" customHeight="1">
      <c r="W318" s="472"/>
      <c r="X318" s="472"/>
      <c r="Y318" s="472"/>
      <c r="Z318" s="472"/>
      <c r="AA318" s="472"/>
      <c r="AB318" s="472"/>
      <c r="AC318" s="472"/>
      <c r="BG318" s="472"/>
      <c r="BH318" s="472"/>
      <c r="BI318" s="472"/>
      <c r="BJ318" s="472"/>
      <c r="BK318" s="472"/>
      <c r="BL318" s="472"/>
    </row>
    <row r="319" spans="23:64" ht="18.95" customHeight="1">
      <c r="W319" s="472"/>
      <c r="X319" s="472"/>
      <c r="Y319" s="472"/>
      <c r="Z319" s="472"/>
      <c r="AA319" s="472"/>
      <c r="AB319" s="472"/>
      <c r="AC319" s="472"/>
      <c r="BG319" s="472"/>
      <c r="BH319" s="472"/>
      <c r="BI319" s="472"/>
      <c r="BJ319" s="472"/>
      <c r="BK319" s="472"/>
      <c r="BL319" s="472"/>
    </row>
    <row r="320" spans="23:64" ht="18.95" customHeight="1">
      <c r="W320" s="472"/>
      <c r="X320" s="472"/>
      <c r="Y320" s="472"/>
      <c r="Z320" s="472"/>
      <c r="AA320" s="472"/>
      <c r="AB320" s="472"/>
      <c r="AC320" s="472"/>
      <c r="BG320" s="472"/>
      <c r="BH320" s="472"/>
      <c r="BI320" s="472"/>
      <c r="BJ320" s="472"/>
      <c r="BK320" s="472"/>
      <c r="BL320" s="472"/>
    </row>
    <row r="321" spans="23:64" ht="18.95" customHeight="1">
      <c r="W321" s="472"/>
      <c r="X321" s="472"/>
      <c r="Y321" s="472"/>
      <c r="Z321" s="472"/>
      <c r="AA321" s="472"/>
      <c r="AB321" s="472"/>
      <c r="AC321" s="472"/>
      <c r="BG321" s="472"/>
      <c r="BH321" s="472"/>
      <c r="BI321" s="472"/>
      <c r="BJ321" s="472"/>
      <c r="BK321" s="472"/>
      <c r="BL321" s="472"/>
    </row>
    <row r="322" spans="23:64" ht="18.95" customHeight="1">
      <c r="W322" s="472"/>
      <c r="X322" s="472"/>
      <c r="Y322" s="472"/>
      <c r="Z322" s="472"/>
      <c r="AA322" s="472"/>
      <c r="AB322" s="472"/>
      <c r="AC322" s="472"/>
      <c r="BG322" s="472"/>
      <c r="BH322" s="472"/>
      <c r="BI322" s="472"/>
      <c r="BJ322" s="472"/>
      <c r="BK322" s="472"/>
      <c r="BL322" s="472"/>
    </row>
    <row r="323" spans="23:64" ht="18.95" customHeight="1">
      <c r="W323" s="472"/>
      <c r="X323" s="472"/>
      <c r="Y323" s="472"/>
      <c r="Z323" s="472"/>
      <c r="AA323" s="472"/>
      <c r="AB323" s="472"/>
      <c r="AC323" s="472"/>
      <c r="BG323" s="472"/>
      <c r="BH323" s="472"/>
      <c r="BI323" s="472"/>
      <c r="BJ323" s="472"/>
      <c r="BK323" s="472"/>
      <c r="BL323" s="472"/>
    </row>
    <row r="324" spans="23:64" ht="18.95" customHeight="1">
      <c r="W324" s="472"/>
      <c r="X324" s="472"/>
      <c r="Y324" s="472"/>
      <c r="Z324" s="472"/>
      <c r="AA324" s="472"/>
      <c r="AB324" s="472"/>
      <c r="AC324" s="472"/>
      <c r="BG324" s="472"/>
      <c r="BH324" s="472"/>
      <c r="BI324" s="472"/>
      <c r="BJ324" s="472"/>
      <c r="BK324" s="472"/>
      <c r="BL324" s="472"/>
    </row>
    <row r="325" spans="23:64" ht="18.95" customHeight="1">
      <c r="W325" s="472"/>
      <c r="X325" s="472"/>
      <c r="Y325" s="472"/>
      <c r="Z325" s="472"/>
      <c r="AA325" s="472"/>
      <c r="AB325" s="472"/>
      <c r="AC325" s="472"/>
      <c r="BG325" s="472"/>
      <c r="BH325" s="472"/>
      <c r="BI325" s="472"/>
      <c r="BJ325" s="472"/>
      <c r="BK325" s="472"/>
      <c r="BL325" s="472"/>
    </row>
    <row r="326" spans="23:64" ht="18.95" customHeight="1">
      <c r="W326" s="472"/>
      <c r="X326" s="472"/>
      <c r="Y326" s="472"/>
      <c r="Z326" s="472"/>
      <c r="AA326" s="472"/>
      <c r="AB326" s="472"/>
      <c r="AC326" s="472"/>
      <c r="BG326" s="472"/>
      <c r="BH326" s="472"/>
      <c r="BI326" s="472"/>
      <c r="BJ326" s="472"/>
      <c r="BK326" s="472"/>
      <c r="BL326" s="472"/>
    </row>
    <row r="327" spans="23:64" ht="18.95" customHeight="1">
      <c r="W327" s="472"/>
      <c r="X327" s="472"/>
      <c r="Y327" s="472"/>
      <c r="Z327" s="472"/>
      <c r="AA327" s="472"/>
      <c r="AB327" s="472"/>
      <c r="AC327" s="472"/>
      <c r="BG327" s="472"/>
      <c r="BH327" s="472"/>
      <c r="BI327" s="472"/>
      <c r="BJ327" s="472"/>
      <c r="BK327" s="472"/>
      <c r="BL327" s="472"/>
    </row>
    <row r="328" spans="23:64" ht="18.95" customHeight="1">
      <c r="W328" s="472"/>
      <c r="X328" s="472"/>
      <c r="Y328" s="472"/>
      <c r="Z328" s="472"/>
      <c r="AA328" s="472"/>
      <c r="AB328" s="472"/>
      <c r="AC328" s="472"/>
      <c r="BG328" s="472"/>
      <c r="BH328" s="472"/>
      <c r="BI328" s="472"/>
      <c r="BJ328" s="472"/>
      <c r="BK328" s="472"/>
      <c r="BL328" s="472"/>
    </row>
    <row r="329" spans="23:64" ht="18.95" customHeight="1">
      <c r="W329" s="472"/>
      <c r="X329" s="472"/>
      <c r="Y329" s="472"/>
      <c r="Z329" s="472"/>
      <c r="AA329" s="472"/>
      <c r="AB329" s="472"/>
      <c r="AC329" s="472"/>
      <c r="BG329" s="472"/>
      <c r="BH329" s="472"/>
      <c r="BI329" s="472"/>
      <c r="BJ329" s="472"/>
      <c r="BK329" s="472"/>
      <c r="BL329" s="472"/>
    </row>
    <row r="330" spans="23:64" ht="18.95" customHeight="1">
      <c r="W330" s="472"/>
      <c r="X330" s="472"/>
      <c r="Y330" s="472"/>
      <c r="Z330" s="472"/>
      <c r="AA330" s="472"/>
      <c r="AB330" s="472"/>
      <c r="AC330" s="472"/>
      <c r="BG330" s="472"/>
      <c r="BH330" s="472"/>
      <c r="BI330" s="472"/>
      <c r="BJ330" s="472"/>
      <c r="BK330" s="472"/>
      <c r="BL330" s="472"/>
    </row>
    <row r="331" spans="23:64" ht="18.95" customHeight="1">
      <c r="W331" s="472"/>
      <c r="X331" s="472"/>
      <c r="Y331" s="472"/>
      <c r="Z331" s="472"/>
      <c r="AA331" s="472"/>
      <c r="AB331" s="472"/>
      <c r="AC331" s="472"/>
      <c r="BG331" s="472"/>
      <c r="BH331" s="472"/>
      <c r="BI331" s="472"/>
      <c r="BJ331" s="472"/>
      <c r="BK331" s="472"/>
      <c r="BL331" s="472"/>
    </row>
    <row r="332" spans="23:64" ht="18.95" customHeight="1">
      <c r="W332" s="472"/>
      <c r="X332" s="472"/>
      <c r="Y332" s="472"/>
      <c r="Z332" s="472"/>
      <c r="AA332" s="472"/>
      <c r="AB332" s="472"/>
      <c r="AC332" s="472"/>
      <c r="BG332" s="472"/>
      <c r="BH332" s="472"/>
      <c r="BI332" s="472"/>
      <c r="BJ332" s="472"/>
      <c r="BK332" s="472"/>
      <c r="BL332" s="472"/>
    </row>
    <row r="333" spans="23:64" ht="18.95" customHeight="1">
      <c r="W333" s="472"/>
      <c r="X333" s="472"/>
      <c r="Y333" s="472"/>
      <c r="Z333" s="472"/>
      <c r="AA333" s="472"/>
      <c r="AB333" s="472"/>
      <c r="AC333" s="472"/>
      <c r="BG333" s="472"/>
      <c r="BH333" s="472"/>
      <c r="BI333" s="472"/>
      <c r="BJ333" s="472"/>
      <c r="BK333" s="472"/>
      <c r="BL333" s="472"/>
    </row>
    <row r="334" spans="23:64" ht="18.95" customHeight="1">
      <c r="W334" s="472"/>
      <c r="X334" s="472"/>
      <c r="Y334" s="472"/>
      <c r="Z334" s="472"/>
      <c r="AA334" s="472"/>
      <c r="AB334" s="472"/>
      <c r="AC334" s="472"/>
      <c r="BG334" s="472"/>
      <c r="BH334" s="472"/>
      <c r="BI334" s="472"/>
      <c r="BJ334" s="472"/>
      <c r="BK334" s="472"/>
      <c r="BL334" s="472"/>
    </row>
    <row r="335" spans="23:64" ht="18.95" customHeight="1">
      <c r="W335" s="472"/>
      <c r="X335" s="472"/>
      <c r="Y335" s="472"/>
      <c r="Z335" s="472"/>
      <c r="AA335" s="472"/>
      <c r="AB335" s="472"/>
      <c r="AC335" s="472"/>
      <c r="BG335" s="472"/>
      <c r="BH335" s="472"/>
      <c r="BI335" s="472"/>
      <c r="BJ335" s="472"/>
      <c r="BK335" s="472"/>
      <c r="BL335" s="472"/>
    </row>
    <row r="336" spans="23:64" ht="18.95" customHeight="1">
      <c r="W336" s="472"/>
      <c r="X336" s="472"/>
      <c r="Y336" s="472"/>
      <c r="Z336" s="472"/>
      <c r="AA336" s="472"/>
      <c r="AB336" s="472"/>
      <c r="AC336" s="472"/>
      <c r="BG336" s="472"/>
      <c r="BH336" s="472"/>
      <c r="BI336" s="472"/>
      <c r="BJ336" s="472"/>
      <c r="BK336" s="472"/>
      <c r="BL336" s="472"/>
    </row>
    <row r="337" spans="23:64" ht="18.95" customHeight="1">
      <c r="W337" s="472"/>
      <c r="X337" s="472"/>
      <c r="Y337" s="472"/>
      <c r="Z337" s="472"/>
      <c r="AA337" s="472"/>
      <c r="AB337" s="472"/>
      <c r="AC337" s="472"/>
      <c r="BG337" s="472"/>
      <c r="BH337" s="472"/>
      <c r="BI337" s="472"/>
      <c r="BJ337" s="472"/>
      <c r="BK337" s="472"/>
      <c r="BL337" s="472"/>
    </row>
    <row r="338" spans="23:64" ht="18.95" customHeight="1">
      <c r="W338" s="472"/>
      <c r="X338" s="472"/>
      <c r="Y338" s="472"/>
      <c r="Z338" s="472"/>
      <c r="AA338" s="472"/>
      <c r="AB338" s="472"/>
      <c r="AC338" s="472"/>
      <c r="BG338" s="472"/>
      <c r="BH338" s="472"/>
      <c r="BI338" s="472"/>
      <c r="BJ338" s="472"/>
      <c r="BK338" s="472"/>
      <c r="BL338" s="472"/>
    </row>
    <row r="339" spans="23:64" ht="18.95" customHeight="1">
      <c r="W339" s="472"/>
      <c r="X339" s="472"/>
      <c r="Y339" s="472"/>
      <c r="Z339" s="472"/>
      <c r="AA339" s="472"/>
      <c r="AB339" s="472"/>
      <c r="AC339" s="472"/>
      <c r="BG339" s="472"/>
      <c r="BH339" s="472"/>
      <c r="BI339" s="472"/>
      <c r="BJ339" s="472"/>
      <c r="BK339" s="472"/>
      <c r="BL339" s="472"/>
    </row>
    <row r="340" spans="23:64" ht="18.95" customHeight="1">
      <c r="W340" s="472"/>
      <c r="X340" s="472"/>
      <c r="Y340" s="472"/>
      <c r="Z340" s="472"/>
      <c r="AA340" s="472"/>
      <c r="AB340" s="472"/>
      <c r="AC340" s="472"/>
      <c r="BG340" s="472"/>
      <c r="BH340" s="472"/>
      <c r="BI340" s="472"/>
      <c r="BJ340" s="472"/>
      <c r="BK340" s="472"/>
      <c r="BL340" s="472"/>
    </row>
    <row r="341" spans="23:64" ht="18.95" customHeight="1">
      <c r="W341" s="472"/>
      <c r="X341" s="472"/>
      <c r="Y341" s="472"/>
      <c r="Z341" s="472"/>
      <c r="AA341" s="472"/>
      <c r="AB341" s="472"/>
      <c r="AC341" s="472"/>
      <c r="BG341" s="472"/>
      <c r="BH341" s="472"/>
      <c r="BI341" s="472"/>
      <c r="BJ341" s="472"/>
      <c r="BK341" s="472"/>
      <c r="BL341" s="472"/>
    </row>
    <row r="342" spans="23:64" ht="18.95" customHeight="1">
      <c r="W342" s="472"/>
      <c r="X342" s="472"/>
      <c r="Y342" s="472"/>
      <c r="Z342" s="472"/>
      <c r="AA342" s="472"/>
      <c r="AB342" s="472"/>
      <c r="AC342" s="472"/>
      <c r="BG342" s="472"/>
      <c r="BH342" s="472"/>
      <c r="BI342" s="472"/>
      <c r="BJ342" s="472"/>
      <c r="BK342" s="472"/>
      <c r="BL342" s="472"/>
    </row>
    <row r="343" spans="23:64" ht="18.95" customHeight="1">
      <c r="W343" s="472"/>
      <c r="X343" s="472"/>
      <c r="Y343" s="472"/>
      <c r="Z343" s="472"/>
      <c r="AA343" s="472"/>
      <c r="AB343" s="472"/>
      <c r="AC343" s="472"/>
      <c r="BG343" s="472"/>
      <c r="BH343" s="472"/>
      <c r="BI343" s="472"/>
      <c r="BJ343" s="472"/>
      <c r="BK343" s="472"/>
      <c r="BL343" s="472"/>
    </row>
    <row r="344" spans="23:64" ht="18.95" customHeight="1">
      <c r="W344" s="472"/>
      <c r="X344" s="472"/>
      <c r="Y344" s="472"/>
      <c r="Z344" s="472"/>
      <c r="AA344" s="472"/>
      <c r="AB344" s="472"/>
      <c r="AC344" s="472"/>
      <c r="BG344" s="472"/>
      <c r="BH344" s="472"/>
      <c r="BI344" s="472"/>
      <c r="BJ344" s="472"/>
      <c r="BK344" s="472"/>
      <c r="BL344" s="472"/>
    </row>
    <row r="345" spans="23:64" ht="18.95" customHeight="1">
      <c r="W345" s="472"/>
      <c r="X345" s="472"/>
      <c r="Y345" s="472"/>
      <c r="Z345" s="472"/>
      <c r="AA345" s="472"/>
      <c r="AB345" s="472"/>
      <c r="AC345" s="472"/>
      <c r="BG345" s="472"/>
      <c r="BH345" s="472"/>
      <c r="BI345" s="472"/>
      <c r="BJ345" s="472"/>
      <c r="BK345" s="472"/>
      <c r="BL345" s="472"/>
    </row>
    <row r="346" spans="23:64" ht="18.95" customHeight="1">
      <c r="W346" s="472"/>
      <c r="X346" s="472"/>
      <c r="Y346" s="472"/>
      <c r="Z346" s="472"/>
      <c r="AA346" s="472"/>
      <c r="AB346" s="472"/>
      <c r="AC346" s="472"/>
      <c r="BG346" s="472"/>
      <c r="BH346" s="472"/>
      <c r="BI346" s="472"/>
      <c r="BJ346" s="472"/>
      <c r="BK346" s="472"/>
      <c r="BL346" s="472"/>
    </row>
    <row r="347" spans="23:64" ht="18.95" customHeight="1">
      <c r="W347" s="472"/>
      <c r="X347" s="472"/>
      <c r="Y347" s="472"/>
      <c r="Z347" s="472"/>
      <c r="AA347" s="472"/>
      <c r="AB347" s="472"/>
      <c r="AC347" s="472"/>
      <c r="BG347" s="472"/>
      <c r="BH347" s="472"/>
      <c r="BI347" s="472"/>
      <c r="BJ347" s="472"/>
      <c r="BK347" s="472"/>
      <c r="BL347" s="472"/>
    </row>
    <row r="348" spans="23:64" ht="18.95" customHeight="1">
      <c r="W348" s="472"/>
      <c r="X348" s="472"/>
      <c r="Y348" s="472"/>
      <c r="Z348" s="472"/>
      <c r="AA348" s="472"/>
      <c r="AB348" s="472"/>
      <c r="AC348" s="472"/>
      <c r="BG348" s="472"/>
      <c r="BH348" s="472"/>
      <c r="BI348" s="472"/>
      <c r="BJ348" s="472"/>
      <c r="BK348" s="472"/>
      <c r="BL348" s="472"/>
    </row>
    <row r="349" spans="23:64" ht="18.95" customHeight="1">
      <c r="W349" s="472"/>
      <c r="X349" s="472"/>
      <c r="Y349" s="472"/>
      <c r="Z349" s="472"/>
      <c r="AA349" s="472"/>
      <c r="AB349" s="472"/>
      <c r="AC349" s="472"/>
      <c r="BG349" s="472"/>
      <c r="BH349" s="472"/>
      <c r="BI349" s="472"/>
      <c r="BJ349" s="472"/>
      <c r="BK349" s="472"/>
      <c r="BL349" s="472"/>
    </row>
    <row r="350" spans="23:64" ht="18.95" customHeight="1">
      <c r="W350" s="472"/>
      <c r="X350" s="472"/>
      <c r="Y350" s="472"/>
      <c r="Z350" s="472"/>
      <c r="AA350" s="472"/>
      <c r="AB350" s="472"/>
      <c r="AC350" s="472"/>
      <c r="BG350" s="472"/>
      <c r="BH350" s="472"/>
      <c r="BI350" s="472"/>
      <c r="BJ350" s="472"/>
      <c r="BK350" s="472"/>
      <c r="BL350" s="472"/>
    </row>
    <row r="351" spans="23:64" ht="18.95" customHeight="1">
      <c r="W351" s="472"/>
      <c r="X351" s="472"/>
      <c r="Y351" s="472"/>
      <c r="Z351" s="472"/>
      <c r="AA351" s="472"/>
      <c r="AB351" s="472"/>
      <c r="AC351" s="472"/>
      <c r="BG351" s="472"/>
      <c r="BH351" s="472"/>
      <c r="BI351" s="472"/>
      <c r="BJ351" s="472"/>
      <c r="BK351" s="472"/>
      <c r="BL351" s="472"/>
    </row>
    <row r="352" spans="23:64" ht="18.95" customHeight="1">
      <c r="W352" s="472"/>
      <c r="X352" s="472"/>
      <c r="Y352" s="472"/>
      <c r="Z352" s="472"/>
      <c r="AA352" s="472"/>
      <c r="AB352" s="472"/>
      <c r="AC352" s="472"/>
      <c r="BG352" s="472"/>
      <c r="BH352" s="472"/>
      <c r="BI352" s="472"/>
      <c r="BJ352" s="472"/>
      <c r="BK352" s="472"/>
      <c r="BL352" s="472"/>
    </row>
    <row r="353" spans="23:64" ht="18.95" customHeight="1">
      <c r="W353" s="472"/>
      <c r="X353" s="472"/>
      <c r="Y353" s="472"/>
      <c r="Z353" s="472"/>
      <c r="AA353" s="472"/>
      <c r="AB353" s="472"/>
      <c r="AC353" s="472"/>
      <c r="BG353" s="472"/>
      <c r="BH353" s="472"/>
      <c r="BI353" s="472"/>
      <c r="BJ353" s="472"/>
      <c r="BK353" s="472"/>
      <c r="BL353" s="472"/>
    </row>
    <row r="354" spans="23:64" ht="18.95" customHeight="1">
      <c r="W354" s="472"/>
      <c r="X354" s="472"/>
      <c r="Y354" s="472"/>
      <c r="Z354" s="472"/>
      <c r="AA354" s="472"/>
      <c r="AB354" s="472"/>
      <c r="AC354" s="472"/>
      <c r="BG354" s="472"/>
      <c r="BH354" s="472"/>
      <c r="BI354" s="472"/>
      <c r="BJ354" s="472"/>
      <c r="BK354" s="472"/>
      <c r="BL354" s="472"/>
    </row>
    <row r="355" spans="23:64" ht="18.95" customHeight="1">
      <c r="W355" s="472"/>
      <c r="X355" s="472"/>
      <c r="Y355" s="472"/>
      <c r="Z355" s="472"/>
      <c r="AA355" s="472"/>
      <c r="AB355" s="472"/>
      <c r="AC355" s="472"/>
      <c r="BG355" s="472"/>
      <c r="BH355" s="472"/>
      <c r="BI355" s="472"/>
      <c r="BJ355" s="472"/>
      <c r="BK355" s="472"/>
      <c r="BL355" s="472"/>
    </row>
    <row r="356" spans="23:64" ht="18.95" customHeight="1">
      <c r="W356" s="472"/>
      <c r="X356" s="472"/>
      <c r="Y356" s="472"/>
      <c r="Z356" s="472"/>
      <c r="AA356" s="472"/>
      <c r="AB356" s="472"/>
      <c r="AC356" s="472"/>
      <c r="BG356" s="472"/>
      <c r="BH356" s="472"/>
      <c r="BI356" s="472"/>
      <c r="BJ356" s="472"/>
      <c r="BK356" s="472"/>
      <c r="BL356" s="472"/>
    </row>
    <row r="357" spans="23:64" ht="18.95" customHeight="1">
      <c r="W357" s="472"/>
      <c r="X357" s="472"/>
      <c r="Y357" s="472"/>
      <c r="Z357" s="472"/>
      <c r="AA357" s="472"/>
      <c r="AB357" s="472"/>
      <c r="AC357" s="472"/>
      <c r="BG357" s="472"/>
      <c r="BH357" s="472"/>
      <c r="BI357" s="472"/>
      <c r="BJ357" s="472"/>
      <c r="BK357" s="472"/>
      <c r="BL357" s="472"/>
    </row>
    <row r="358" spans="23:64" ht="18.95" customHeight="1">
      <c r="W358" s="472"/>
      <c r="X358" s="472"/>
      <c r="Y358" s="472"/>
      <c r="Z358" s="472"/>
      <c r="AA358" s="472"/>
      <c r="AB358" s="472"/>
      <c r="AC358" s="472"/>
      <c r="BG358" s="472"/>
      <c r="BH358" s="472"/>
      <c r="BI358" s="472"/>
      <c r="BJ358" s="472"/>
      <c r="BK358" s="472"/>
      <c r="BL358" s="472"/>
    </row>
    <row r="359" spans="23:64" ht="18.95" customHeight="1">
      <c r="W359" s="472"/>
      <c r="X359" s="472"/>
      <c r="Y359" s="472"/>
      <c r="Z359" s="472"/>
      <c r="AA359" s="472"/>
      <c r="AB359" s="472"/>
      <c r="AC359" s="472"/>
      <c r="BG359" s="472"/>
      <c r="BH359" s="472"/>
      <c r="BI359" s="472"/>
      <c r="BJ359" s="472"/>
      <c r="BK359" s="472"/>
      <c r="BL359" s="472"/>
    </row>
    <row r="360" spans="23:64" ht="18.95" customHeight="1">
      <c r="W360" s="472"/>
      <c r="X360" s="472"/>
      <c r="Y360" s="472"/>
      <c r="Z360" s="472"/>
      <c r="AA360" s="472"/>
      <c r="AB360" s="472"/>
      <c r="AC360" s="472"/>
      <c r="BG360" s="472"/>
      <c r="BH360" s="472"/>
      <c r="BI360" s="472"/>
      <c r="BJ360" s="472"/>
      <c r="BK360" s="472"/>
      <c r="BL360" s="472"/>
    </row>
    <row r="361" spans="23:64" ht="18.95" customHeight="1">
      <c r="W361" s="472"/>
      <c r="X361" s="472"/>
      <c r="Y361" s="472"/>
      <c r="Z361" s="472"/>
      <c r="AA361" s="472"/>
      <c r="AB361" s="472"/>
      <c r="AC361" s="472"/>
      <c r="BG361" s="472"/>
      <c r="BH361" s="472"/>
      <c r="BI361" s="472"/>
      <c r="BJ361" s="472"/>
      <c r="BK361" s="472"/>
      <c r="BL361" s="472"/>
    </row>
    <row r="362" spans="23:64" ht="18.95" customHeight="1">
      <c r="W362" s="472"/>
      <c r="X362" s="472"/>
      <c r="Y362" s="472"/>
      <c r="Z362" s="472"/>
      <c r="AA362" s="472"/>
      <c r="AB362" s="472"/>
      <c r="AC362" s="472"/>
      <c r="BG362" s="472"/>
      <c r="BH362" s="472"/>
      <c r="BI362" s="472"/>
      <c r="BJ362" s="472"/>
      <c r="BK362" s="472"/>
      <c r="BL362" s="472"/>
    </row>
    <row r="363" spans="23:64" ht="18.95" customHeight="1">
      <c r="W363" s="472"/>
      <c r="X363" s="472"/>
      <c r="Y363" s="472"/>
      <c r="Z363" s="472"/>
      <c r="AA363" s="472"/>
      <c r="AB363" s="472"/>
      <c r="AC363" s="472"/>
      <c r="BG363" s="472"/>
      <c r="BH363" s="472"/>
      <c r="BI363" s="472"/>
      <c r="BJ363" s="472"/>
      <c r="BK363" s="472"/>
      <c r="BL363" s="472"/>
    </row>
    <row r="364" spans="23:64" ht="18.95" customHeight="1">
      <c r="W364" s="472"/>
      <c r="X364" s="472"/>
      <c r="Y364" s="472"/>
      <c r="Z364" s="472"/>
      <c r="AA364" s="472"/>
      <c r="AB364" s="472"/>
      <c r="AC364" s="472"/>
      <c r="BG364" s="472"/>
      <c r="BH364" s="472"/>
      <c r="BI364" s="472"/>
      <c r="BJ364" s="472"/>
      <c r="BK364" s="472"/>
      <c r="BL364" s="472"/>
    </row>
    <row r="365" spans="23:64" ht="18.95" customHeight="1">
      <c r="W365" s="472"/>
      <c r="X365" s="472"/>
      <c r="Y365" s="472"/>
      <c r="Z365" s="472"/>
      <c r="AA365" s="472"/>
      <c r="AB365" s="472"/>
      <c r="AC365" s="472"/>
      <c r="BG365" s="472"/>
      <c r="BH365" s="472"/>
      <c r="BI365" s="472"/>
      <c r="BJ365" s="472"/>
      <c r="BK365" s="472"/>
      <c r="BL365" s="472"/>
    </row>
    <row r="366" spans="23:64" ht="18.95" customHeight="1">
      <c r="W366" s="472"/>
      <c r="X366" s="472"/>
      <c r="Y366" s="472"/>
      <c r="Z366" s="472"/>
      <c r="AA366" s="472"/>
      <c r="AB366" s="472"/>
      <c r="AC366" s="472"/>
      <c r="BG366" s="472"/>
      <c r="BH366" s="472"/>
      <c r="BI366" s="472"/>
      <c r="BJ366" s="472"/>
      <c r="BK366" s="472"/>
      <c r="BL366" s="472"/>
    </row>
    <row r="367" spans="23:64" ht="18.95" customHeight="1">
      <c r="W367" s="472"/>
      <c r="X367" s="472"/>
      <c r="Y367" s="472"/>
      <c r="Z367" s="472"/>
      <c r="AA367" s="472"/>
      <c r="AB367" s="472"/>
      <c r="AC367" s="472"/>
      <c r="BG367" s="472"/>
      <c r="BH367" s="472"/>
      <c r="BI367" s="472"/>
      <c r="BJ367" s="472"/>
      <c r="BK367" s="472"/>
      <c r="BL367" s="472"/>
    </row>
    <row r="368" spans="23:64" ht="18.95" customHeight="1">
      <c r="W368" s="472"/>
      <c r="X368" s="472"/>
      <c r="Y368" s="472"/>
      <c r="Z368" s="472"/>
      <c r="AA368" s="472"/>
      <c r="AB368" s="472"/>
      <c r="AC368" s="472"/>
      <c r="BG368" s="472"/>
      <c r="BH368" s="472"/>
      <c r="BI368" s="472"/>
      <c r="BJ368" s="472"/>
      <c r="BK368" s="472"/>
      <c r="BL368" s="472"/>
    </row>
    <row r="369" spans="23:64" ht="18.95" customHeight="1">
      <c r="W369" s="472"/>
      <c r="X369" s="472"/>
      <c r="Y369" s="472"/>
      <c r="Z369" s="472"/>
      <c r="AA369" s="472"/>
      <c r="AB369" s="472"/>
      <c r="AC369" s="472"/>
      <c r="BG369" s="472"/>
      <c r="BH369" s="472"/>
      <c r="BI369" s="472"/>
      <c r="BJ369" s="472"/>
      <c r="BK369" s="472"/>
      <c r="BL369" s="472"/>
    </row>
    <row r="370" spans="23:64" ht="18.95" customHeight="1">
      <c r="W370" s="472"/>
      <c r="X370" s="472"/>
      <c r="Y370" s="472"/>
      <c r="Z370" s="472"/>
      <c r="AA370" s="472"/>
      <c r="AB370" s="472"/>
      <c r="AC370" s="472"/>
      <c r="BG370" s="472"/>
      <c r="BH370" s="472"/>
      <c r="BI370" s="472"/>
      <c r="BJ370" s="472"/>
      <c r="BK370" s="472"/>
      <c r="BL370" s="472"/>
    </row>
    <row r="371" spans="23:64" ht="18.95" customHeight="1">
      <c r="W371" s="472"/>
      <c r="X371" s="472"/>
      <c r="Y371" s="472"/>
      <c r="Z371" s="472"/>
      <c r="AA371" s="472"/>
      <c r="AB371" s="472"/>
      <c r="AC371" s="472"/>
      <c r="BG371" s="472"/>
      <c r="BH371" s="472"/>
      <c r="BI371" s="472"/>
      <c r="BJ371" s="472"/>
      <c r="BK371" s="472"/>
      <c r="BL371" s="472"/>
    </row>
    <row r="372" spans="23:64" ht="18.95" customHeight="1">
      <c r="W372" s="472"/>
      <c r="X372" s="472"/>
      <c r="Y372" s="472"/>
      <c r="Z372" s="472"/>
      <c r="AA372" s="472"/>
      <c r="AB372" s="472"/>
      <c r="AC372" s="472"/>
      <c r="BG372" s="472"/>
      <c r="BH372" s="472"/>
      <c r="BI372" s="472"/>
      <c r="BJ372" s="472"/>
      <c r="BK372" s="472"/>
      <c r="BL372" s="472"/>
    </row>
    <row r="373" spans="23:64" ht="18.95" customHeight="1">
      <c r="W373" s="472"/>
      <c r="X373" s="472"/>
      <c r="Y373" s="472"/>
      <c r="Z373" s="472"/>
      <c r="AA373" s="472"/>
      <c r="AB373" s="472"/>
      <c r="AC373" s="472"/>
      <c r="BG373" s="472"/>
      <c r="BH373" s="472"/>
      <c r="BI373" s="472"/>
      <c r="BJ373" s="472"/>
      <c r="BK373" s="472"/>
      <c r="BL373" s="472"/>
    </row>
    <row r="374" spans="23:64" ht="18.95" customHeight="1">
      <c r="W374" s="472"/>
      <c r="X374" s="472"/>
      <c r="Y374" s="472"/>
      <c r="Z374" s="472"/>
      <c r="AA374" s="472"/>
      <c r="AB374" s="472"/>
      <c r="AC374" s="472"/>
      <c r="BG374" s="472"/>
      <c r="BH374" s="472"/>
      <c r="BI374" s="472"/>
      <c r="BJ374" s="472"/>
      <c r="BK374" s="472"/>
      <c r="BL374" s="472"/>
    </row>
    <row r="375" spans="23:64" ht="18.95" customHeight="1">
      <c r="W375" s="472"/>
      <c r="X375" s="472"/>
      <c r="Y375" s="472"/>
      <c r="Z375" s="472"/>
      <c r="AA375" s="472"/>
      <c r="AB375" s="472"/>
      <c r="AC375" s="472"/>
      <c r="BG375" s="472"/>
      <c r="BH375" s="472"/>
      <c r="BI375" s="472"/>
      <c r="BJ375" s="472"/>
      <c r="BK375" s="472"/>
      <c r="BL375" s="472"/>
    </row>
    <row r="376" spans="23:64" ht="18.95" customHeight="1">
      <c r="W376" s="472"/>
      <c r="X376" s="472"/>
      <c r="Y376" s="472"/>
      <c r="Z376" s="472"/>
      <c r="AA376" s="472"/>
      <c r="AB376" s="472"/>
      <c r="AC376" s="472"/>
      <c r="BG376" s="472"/>
      <c r="BH376" s="472"/>
      <c r="BI376" s="472"/>
      <c r="BJ376" s="472"/>
      <c r="BK376" s="472"/>
      <c r="BL376" s="472"/>
    </row>
    <row r="377" spans="23:64" ht="18.95" customHeight="1">
      <c r="W377" s="472"/>
      <c r="X377" s="472"/>
      <c r="Y377" s="472"/>
      <c r="Z377" s="472"/>
      <c r="AA377" s="472"/>
      <c r="AB377" s="472"/>
      <c r="AC377" s="472"/>
      <c r="BG377" s="472"/>
      <c r="BH377" s="472"/>
      <c r="BI377" s="472"/>
      <c r="BJ377" s="472"/>
      <c r="BK377" s="472"/>
      <c r="BL377" s="472"/>
    </row>
    <row r="378" spans="23:64" ht="18.95" customHeight="1">
      <c r="W378" s="472"/>
      <c r="X378" s="472"/>
      <c r="Y378" s="472"/>
      <c r="Z378" s="472"/>
      <c r="AA378" s="472"/>
      <c r="AB378" s="472"/>
      <c r="AC378" s="472"/>
      <c r="BG378" s="472"/>
      <c r="BH378" s="472"/>
      <c r="BI378" s="472"/>
      <c r="BJ378" s="472"/>
      <c r="BK378" s="472"/>
      <c r="BL378" s="472"/>
    </row>
    <row r="379" spans="23:64" ht="18.95" customHeight="1">
      <c r="W379" s="472"/>
      <c r="X379" s="472"/>
      <c r="Y379" s="472"/>
      <c r="Z379" s="472"/>
      <c r="AA379" s="472"/>
      <c r="AB379" s="472"/>
      <c r="AC379" s="472"/>
      <c r="BG379" s="472"/>
      <c r="BH379" s="472"/>
      <c r="BI379" s="472"/>
      <c r="BJ379" s="472"/>
      <c r="BK379" s="472"/>
      <c r="BL379" s="472"/>
    </row>
    <row r="380" spans="23:64" ht="18.95" customHeight="1">
      <c r="W380" s="472"/>
      <c r="X380" s="472"/>
      <c r="Y380" s="472"/>
      <c r="Z380" s="472"/>
      <c r="AA380" s="472"/>
      <c r="AB380" s="472"/>
      <c r="AC380" s="472"/>
      <c r="BG380" s="472"/>
      <c r="BH380" s="472"/>
      <c r="BI380" s="472"/>
      <c r="BJ380" s="472"/>
      <c r="BK380" s="472"/>
      <c r="BL380" s="472"/>
    </row>
    <row r="381" spans="23:64" ht="18.95" customHeight="1">
      <c r="W381" s="472"/>
      <c r="X381" s="472"/>
      <c r="Y381" s="472"/>
      <c r="Z381" s="472"/>
      <c r="AA381" s="472"/>
      <c r="AB381" s="472"/>
      <c r="AC381" s="472"/>
      <c r="BG381" s="472"/>
      <c r="BH381" s="472"/>
      <c r="BI381" s="472"/>
      <c r="BJ381" s="472"/>
      <c r="BK381" s="472"/>
      <c r="BL381" s="472"/>
    </row>
    <row r="382" spans="23:64" ht="18.95" customHeight="1">
      <c r="W382" s="472"/>
      <c r="X382" s="472"/>
      <c r="Y382" s="472"/>
      <c r="Z382" s="472"/>
      <c r="AA382" s="472"/>
      <c r="AB382" s="472"/>
      <c r="AC382" s="472"/>
      <c r="BG382" s="472"/>
      <c r="BH382" s="472"/>
      <c r="BI382" s="472"/>
      <c r="BJ382" s="472"/>
      <c r="BK382" s="472"/>
      <c r="BL382" s="472"/>
    </row>
    <row r="383" spans="23:64" ht="18.95" customHeight="1">
      <c r="W383" s="472"/>
      <c r="X383" s="472"/>
      <c r="Y383" s="472"/>
      <c r="Z383" s="472"/>
      <c r="AA383" s="472"/>
      <c r="AB383" s="472"/>
      <c r="AC383" s="472"/>
      <c r="BG383" s="472"/>
      <c r="BH383" s="472"/>
      <c r="BI383" s="472"/>
      <c r="BJ383" s="472"/>
      <c r="BK383" s="472"/>
      <c r="BL383" s="472"/>
    </row>
    <row r="384" spans="23:64" ht="18.95" customHeight="1">
      <c r="W384" s="472"/>
      <c r="X384" s="472"/>
      <c r="Y384" s="472"/>
      <c r="Z384" s="472"/>
      <c r="AA384" s="472"/>
      <c r="AB384" s="472"/>
      <c r="AC384" s="472"/>
      <c r="BG384" s="472"/>
      <c r="BH384" s="472"/>
      <c r="BI384" s="472"/>
      <c r="BJ384" s="472"/>
      <c r="BK384" s="472"/>
      <c r="BL384" s="472"/>
    </row>
    <row r="385" spans="23:64" ht="18.95" customHeight="1">
      <c r="W385" s="472"/>
      <c r="X385" s="472"/>
      <c r="Y385" s="472"/>
      <c r="Z385" s="472"/>
      <c r="AA385" s="472"/>
      <c r="AB385" s="472"/>
      <c r="AC385" s="472"/>
      <c r="BG385" s="472"/>
      <c r="BH385" s="472"/>
      <c r="BI385" s="472"/>
      <c r="BJ385" s="472"/>
      <c r="BK385" s="472"/>
      <c r="BL385" s="472"/>
    </row>
    <row r="386" spans="23:64" ht="18.95" customHeight="1">
      <c r="W386" s="472"/>
      <c r="X386" s="472"/>
      <c r="Y386" s="472"/>
      <c r="Z386" s="472"/>
      <c r="AA386" s="472"/>
      <c r="AB386" s="472"/>
      <c r="AC386" s="472"/>
      <c r="BG386" s="472"/>
      <c r="BH386" s="472"/>
      <c r="BI386" s="472"/>
      <c r="BJ386" s="472"/>
      <c r="BK386" s="472"/>
      <c r="BL386" s="472"/>
    </row>
    <row r="387" spans="23:64" ht="18.95" customHeight="1">
      <c r="W387" s="472"/>
      <c r="X387" s="472"/>
      <c r="Y387" s="472"/>
      <c r="Z387" s="472"/>
      <c r="AA387" s="472"/>
      <c r="AB387" s="472"/>
      <c r="AC387" s="472"/>
      <c r="BG387" s="472"/>
      <c r="BH387" s="472"/>
      <c r="BI387" s="472"/>
      <c r="BJ387" s="472"/>
      <c r="BK387" s="472"/>
      <c r="BL387" s="472"/>
    </row>
    <row r="388" spans="23:64" ht="18.95" customHeight="1">
      <c r="W388" s="472"/>
      <c r="X388" s="472"/>
      <c r="Y388" s="472"/>
      <c r="Z388" s="472"/>
      <c r="AA388" s="472"/>
      <c r="AB388" s="472"/>
      <c r="AC388" s="472"/>
      <c r="BG388" s="472"/>
      <c r="BH388" s="472"/>
      <c r="BI388" s="472"/>
      <c r="BJ388" s="472"/>
      <c r="BK388" s="472"/>
      <c r="BL388" s="472"/>
    </row>
    <row r="389" spans="23:64" ht="18.95" customHeight="1">
      <c r="W389" s="472"/>
      <c r="X389" s="472"/>
      <c r="Y389" s="472"/>
      <c r="Z389" s="472"/>
      <c r="AA389" s="472"/>
      <c r="AB389" s="472"/>
      <c r="AC389" s="472"/>
      <c r="BG389" s="472"/>
      <c r="BH389" s="472"/>
      <c r="BI389" s="472"/>
      <c r="BJ389" s="472"/>
      <c r="BK389" s="472"/>
      <c r="BL389" s="472"/>
    </row>
    <row r="390" spans="23:64" ht="18.95" customHeight="1">
      <c r="W390" s="472"/>
      <c r="X390" s="472"/>
      <c r="Y390" s="472"/>
      <c r="Z390" s="472"/>
      <c r="AA390" s="472"/>
      <c r="AB390" s="472"/>
      <c r="AC390" s="472"/>
      <c r="BG390" s="472"/>
      <c r="BH390" s="472"/>
      <c r="BI390" s="472"/>
      <c r="BJ390" s="472"/>
      <c r="BK390" s="472"/>
      <c r="BL390" s="472"/>
    </row>
    <row r="391" spans="23:64" ht="18.95" customHeight="1">
      <c r="W391" s="472"/>
      <c r="X391" s="472"/>
      <c r="Y391" s="472"/>
      <c r="Z391" s="472"/>
      <c r="AA391" s="472"/>
      <c r="AB391" s="472"/>
      <c r="AC391" s="472"/>
      <c r="BG391" s="472"/>
      <c r="BH391" s="472"/>
      <c r="BI391" s="472"/>
      <c r="BJ391" s="472"/>
      <c r="BK391" s="472"/>
      <c r="BL391" s="472"/>
    </row>
    <row r="392" spans="23:64" ht="18.95" customHeight="1">
      <c r="W392" s="472"/>
      <c r="X392" s="472"/>
      <c r="Y392" s="472"/>
      <c r="Z392" s="472"/>
      <c r="AA392" s="472"/>
      <c r="AB392" s="472"/>
      <c r="AC392" s="472"/>
      <c r="BG392" s="472"/>
      <c r="BH392" s="472"/>
      <c r="BI392" s="472"/>
      <c r="BJ392" s="472"/>
      <c r="BK392" s="472"/>
      <c r="BL392" s="472"/>
    </row>
    <row r="393" spans="23:64" ht="18.95" customHeight="1">
      <c r="W393" s="472"/>
      <c r="X393" s="472"/>
      <c r="Y393" s="472"/>
      <c r="Z393" s="472"/>
      <c r="AA393" s="472"/>
      <c r="AB393" s="472"/>
      <c r="AC393" s="472"/>
      <c r="BG393" s="472"/>
      <c r="BH393" s="472"/>
      <c r="BI393" s="472"/>
      <c r="BJ393" s="472"/>
      <c r="BK393" s="472"/>
      <c r="BL393" s="472"/>
    </row>
    <row r="394" spans="23:64" ht="18.95" customHeight="1">
      <c r="W394" s="472"/>
      <c r="X394" s="472"/>
      <c r="Y394" s="472"/>
      <c r="Z394" s="472"/>
      <c r="AA394" s="472"/>
      <c r="AB394" s="472"/>
      <c r="AC394" s="472"/>
      <c r="BG394" s="472"/>
      <c r="BH394" s="472"/>
      <c r="BI394" s="472"/>
      <c r="BJ394" s="472"/>
      <c r="BK394" s="472"/>
      <c r="BL394" s="472"/>
    </row>
    <row r="395" spans="23:64" ht="18.95" customHeight="1">
      <c r="W395" s="472"/>
      <c r="X395" s="472"/>
      <c r="Y395" s="472"/>
      <c r="Z395" s="472"/>
      <c r="AA395" s="472"/>
      <c r="AB395" s="472"/>
      <c r="AC395" s="472"/>
      <c r="BG395" s="472"/>
      <c r="BH395" s="472"/>
      <c r="BI395" s="472"/>
      <c r="BJ395" s="472"/>
      <c r="BK395" s="472"/>
      <c r="BL395" s="472"/>
    </row>
    <row r="396" spans="23:64" ht="18.95" customHeight="1">
      <c r="W396" s="472"/>
      <c r="X396" s="472"/>
      <c r="Y396" s="472"/>
      <c r="Z396" s="472"/>
      <c r="AA396" s="472"/>
      <c r="AB396" s="472"/>
      <c r="AC396" s="472"/>
      <c r="BG396" s="472"/>
      <c r="BH396" s="472"/>
      <c r="BI396" s="472"/>
      <c r="BJ396" s="472"/>
      <c r="BK396" s="472"/>
      <c r="BL396" s="472"/>
    </row>
    <row r="397" spans="23:64" ht="18.95" customHeight="1">
      <c r="W397" s="472"/>
      <c r="X397" s="472"/>
      <c r="Y397" s="472"/>
      <c r="Z397" s="472"/>
      <c r="AA397" s="472"/>
      <c r="AB397" s="472"/>
      <c r="AC397" s="472"/>
      <c r="BG397" s="472"/>
      <c r="BH397" s="472"/>
      <c r="BI397" s="472"/>
      <c r="BJ397" s="472"/>
      <c r="BK397" s="472"/>
      <c r="BL397" s="472"/>
    </row>
    <row r="398" spans="23:64" ht="18.95" customHeight="1">
      <c r="W398" s="472"/>
      <c r="X398" s="472"/>
      <c r="Y398" s="472"/>
      <c r="Z398" s="472"/>
      <c r="AA398" s="472"/>
      <c r="AB398" s="472"/>
      <c r="AC398" s="472"/>
      <c r="BG398" s="472"/>
      <c r="BH398" s="472"/>
      <c r="BI398" s="472"/>
      <c r="BJ398" s="472"/>
      <c r="BK398" s="472"/>
      <c r="BL398" s="472"/>
    </row>
    <row r="399" spans="23:64" ht="18.95" customHeight="1">
      <c r="W399" s="472"/>
      <c r="X399" s="472"/>
      <c r="Y399" s="472"/>
      <c r="Z399" s="472"/>
      <c r="AA399" s="472"/>
      <c r="AB399" s="472"/>
      <c r="AC399" s="472"/>
      <c r="BG399" s="472"/>
      <c r="BH399" s="472"/>
      <c r="BI399" s="472"/>
      <c r="BJ399" s="472"/>
      <c r="BK399" s="472"/>
      <c r="BL399" s="472"/>
    </row>
    <row r="400" spans="23:64" ht="18.95" customHeight="1">
      <c r="W400" s="472"/>
      <c r="X400" s="472"/>
      <c r="Y400" s="472"/>
      <c r="Z400" s="472"/>
      <c r="AA400" s="472"/>
      <c r="AB400" s="472"/>
      <c r="AC400" s="472"/>
      <c r="BG400" s="472"/>
      <c r="BH400" s="472"/>
      <c r="BI400" s="472"/>
      <c r="BJ400" s="472"/>
      <c r="BK400" s="472"/>
      <c r="BL400" s="472"/>
    </row>
    <row r="401" spans="23:64" ht="18.95" customHeight="1">
      <c r="W401" s="472"/>
      <c r="X401" s="472"/>
      <c r="Y401" s="472"/>
      <c r="Z401" s="472"/>
      <c r="AA401" s="472"/>
      <c r="AB401" s="472"/>
      <c r="AC401" s="472"/>
      <c r="BG401" s="472"/>
      <c r="BH401" s="472"/>
      <c r="BI401" s="472"/>
      <c r="BJ401" s="472"/>
      <c r="BK401" s="472"/>
      <c r="BL401" s="472"/>
    </row>
    <row r="402" spans="23:64" ht="18.95" customHeight="1">
      <c r="W402" s="472"/>
      <c r="X402" s="472"/>
      <c r="Y402" s="472"/>
      <c r="Z402" s="472"/>
      <c r="AA402" s="472"/>
      <c r="AB402" s="472"/>
      <c r="AC402" s="472"/>
      <c r="BG402" s="472"/>
      <c r="BH402" s="472"/>
      <c r="BI402" s="472"/>
      <c r="BJ402" s="472"/>
      <c r="BK402" s="472"/>
      <c r="BL402" s="472"/>
    </row>
    <row r="403" spans="23:64" ht="18.95" customHeight="1">
      <c r="W403" s="472"/>
      <c r="X403" s="472"/>
      <c r="Y403" s="472"/>
      <c r="Z403" s="472"/>
      <c r="AA403" s="472"/>
      <c r="AB403" s="472"/>
      <c r="AC403" s="472"/>
      <c r="BG403" s="472"/>
      <c r="BH403" s="472"/>
      <c r="BI403" s="472"/>
      <c r="BJ403" s="472"/>
      <c r="BK403" s="472"/>
      <c r="BL403" s="472"/>
    </row>
    <row r="404" spans="23:64" ht="18.95" customHeight="1">
      <c r="W404" s="472"/>
      <c r="X404" s="472"/>
      <c r="Y404" s="472"/>
      <c r="Z404" s="472"/>
      <c r="AA404" s="472"/>
      <c r="AB404" s="472"/>
      <c r="AC404" s="472"/>
      <c r="BG404" s="472"/>
      <c r="BH404" s="472"/>
      <c r="BI404" s="472"/>
      <c r="BJ404" s="472"/>
      <c r="BK404" s="472"/>
      <c r="BL404" s="472"/>
    </row>
    <row r="405" spans="23:64" ht="18.95" customHeight="1">
      <c r="W405" s="472"/>
      <c r="X405" s="472"/>
      <c r="Y405" s="472"/>
      <c r="Z405" s="472"/>
      <c r="AA405" s="472"/>
      <c r="AB405" s="472"/>
      <c r="AC405" s="472"/>
      <c r="BG405" s="472"/>
      <c r="BH405" s="472"/>
      <c r="BI405" s="472"/>
      <c r="BJ405" s="472"/>
      <c r="BK405" s="472"/>
      <c r="BL405" s="472"/>
    </row>
    <row r="406" spans="23:64" ht="18.95" customHeight="1">
      <c r="W406" s="472"/>
      <c r="X406" s="472"/>
      <c r="Y406" s="472"/>
      <c r="Z406" s="472"/>
      <c r="AA406" s="472"/>
      <c r="AB406" s="472"/>
      <c r="AC406" s="472"/>
      <c r="BG406" s="472"/>
      <c r="BH406" s="472"/>
      <c r="BI406" s="472"/>
      <c r="BJ406" s="472"/>
      <c r="BK406" s="472"/>
      <c r="BL406" s="472"/>
    </row>
    <row r="407" spans="23:64" ht="18.95" customHeight="1">
      <c r="W407" s="472"/>
      <c r="X407" s="472"/>
      <c r="Y407" s="472"/>
      <c r="Z407" s="472"/>
      <c r="AA407" s="472"/>
      <c r="AB407" s="472"/>
      <c r="AC407" s="472"/>
      <c r="BG407" s="472"/>
      <c r="BH407" s="472"/>
      <c r="BI407" s="472"/>
      <c r="BJ407" s="472"/>
      <c r="BK407" s="472"/>
      <c r="BL407" s="472"/>
    </row>
    <row r="408" spans="23:64" ht="18.95" customHeight="1">
      <c r="W408" s="472"/>
      <c r="X408" s="472"/>
      <c r="Y408" s="472"/>
      <c r="Z408" s="472"/>
      <c r="AA408" s="472"/>
      <c r="AB408" s="472"/>
      <c r="AC408" s="472"/>
      <c r="BG408" s="472"/>
      <c r="BH408" s="472"/>
      <c r="BI408" s="472"/>
      <c r="BJ408" s="472"/>
      <c r="BK408" s="472"/>
      <c r="BL408" s="472"/>
    </row>
    <row r="409" spans="23:64" ht="18.95" customHeight="1">
      <c r="W409" s="472"/>
      <c r="X409" s="472"/>
      <c r="Y409" s="472"/>
      <c r="Z409" s="472"/>
      <c r="AA409" s="472"/>
      <c r="AB409" s="472"/>
      <c r="AC409" s="472"/>
      <c r="BG409" s="472"/>
      <c r="BH409" s="472"/>
      <c r="BI409" s="472"/>
      <c r="BJ409" s="472"/>
      <c r="BK409" s="472"/>
      <c r="BL409" s="472"/>
    </row>
    <row r="410" spans="23:64" ht="18.95" customHeight="1">
      <c r="W410" s="472"/>
      <c r="X410" s="472"/>
      <c r="Y410" s="472"/>
      <c r="Z410" s="472"/>
      <c r="AA410" s="472"/>
      <c r="AB410" s="472"/>
      <c r="AC410" s="472"/>
      <c r="BG410" s="472"/>
      <c r="BH410" s="472"/>
      <c r="BI410" s="472"/>
      <c r="BJ410" s="472"/>
      <c r="BK410" s="472"/>
      <c r="BL410" s="472"/>
    </row>
    <row r="411" spans="23:64" ht="18.95" customHeight="1">
      <c r="W411" s="472"/>
      <c r="X411" s="472"/>
      <c r="Y411" s="472"/>
      <c r="Z411" s="472"/>
      <c r="AA411" s="472"/>
      <c r="AB411" s="472"/>
      <c r="AC411" s="472"/>
      <c r="BG411" s="472"/>
      <c r="BH411" s="472"/>
      <c r="BI411" s="472"/>
      <c r="BJ411" s="472"/>
      <c r="BK411" s="472"/>
      <c r="BL411" s="472"/>
    </row>
    <row r="412" spans="23:64" ht="18.95" customHeight="1">
      <c r="W412" s="472"/>
      <c r="X412" s="472"/>
      <c r="Y412" s="472"/>
      <c r="Z412" s="472"/>
      <c r="AA412" s="472"/>
      <c r="AB412" s="472"/>
      <c r="AC412" s="472"/>
      <c r="BG412" s="472"/>
      <c r="BH412" s="472"/>
      <c r="BI412" s="472"/>
      <c r="BJ412" s="472"/>
      <c r="BK412" s="472"/>
      <c r="BL412" s="472"/>
    </row>
    <row r="413" spans="23:64" ht="18.95" customHeight="1">
      <c r="W413" s="472"/>
      <c r="X413" s="472"/>
      <c r="Y413" s="472"/>
      <c r="Z413" s="472"/>
      <c r="AA413" s="472"/>
      <c r="AB413" s="472"/>
      <c r="AC413" s="472"/>
      <c r="BG413" s="472"/>
      <c r="BH413" s="472"/>
      <c r="BI413" s="472"/>
      <c r="BJ413" s="472"/>
      <c r="BK413" s="472"/>
      <c r="BL413" s="472"/>
    </row>
    <row r="414" spans="23:64" ht="18.95" customHeight="1">
      <c r="W414" s="472"/>
      <c r="X414" s="472"/>
      <c r="Y414" s="472"/>
      <c r="Z414" s="472"/>
      <c r="AA414" s="472"/>
      <c r="AB414" s="472"/>
      <c r="AC414" s="472"/>
      <c r="BG414" s="472"/>
      <c r="BH414" s="472"/>
      <c r="BI414" s="472"/>
      <c r="BJ414" s="472"/>
      <c r="BK414" s="472"/>
      <c r="BL414" s="472"/>
    </row>
    <row r="415" spans="23:64" ht="18.95" customHeight="1">
      <c r="W415" s="472"/>
      <c r="X415" s="472"/>
      <c r="Y415" s="472"/>
      <c r="Z415" s="472"/>
      <c r="AA415" s="472"/>
      <c r="AB415" s="472"/>
      <c r="AC415" s="472"/>
      <c r="BG415" s="472"/>
      <c r="BH415" s="472"/>
      <c r="BI415" s="472"/>
      <c r="BJ415" s="472"/>
      <c r="BK415" s="472"/>
      <c r="BL415" s="472"/>
    </row>
    <row r="416" spans="23:64" ht="18.95" customHeight="1">
      <c r="W416" s="472"/>
      <c r="X416" s="472"/>
      <c r="Y416" s="472"/>
      <c r="Z416" s="472"/>
      <c r="AA416" s="472"/>
      <c r="AB416" s="472"/>
      <c r="AC416" s="472"/>
      <c r="BG416" s="472"/>
      <c r="BH416" s="472"/>
      <c r="BI416" s="472"/>
      <c r="BJ416" s="472"/>
      <c r="BK416" s="472"/>
      <c r="BL416" s="472"/>
    </row>
    <row r="417" spans="23:64" ht="18.95" customHeight="1">
      <c r="W417" s="472"/>
      <c r="X417" s="472"/>
      <c r="Y417" s="472"/>
      <c r="Z417" s="472"/>
      <c r="AA417" s="472"/>
      <c r="AB417" s="472"/>
      <c r="AC417" s="472"/>
      <c r="BG417" s="472"/>
      <c r="BH417" s="472"/>
      <c r="BI417" s="472"/>
      <c r="BJ417" s="472"/>
      <c r="BK417" s="472"/>
      <c r="BL417" s="472"/>
    </row>
    <row r="418" spans="23:64" ht="18.95" customHeight="1">
      <c r="W418" s="472"/>
      <c r="X418" s="472"/>
      <c r="Y418" s="472"/>
      <c r="Z418" s="472"/>
      <c r="AA418" s="472"/>
      <c r="AB418" s="472"/>
      <c r="AC418" s="472"/>
      <c r="BG418" s="472"/>
      <c r="BH418" s="472"/>
      <c r="BI418" s="472"/>
      <c r="BJ418" s="472"/>
      <c r="BK418" s="472"/>
      <c r="BL418" s="472"/>
    </row>
    <row r="419" spans="23:64" ht="18.95" customHeight="1">
      <c r="W419" s="472"/>
      <c r="X419" s="472"/>
      <c r="Y419" s="472"/>
      <c r="Z419" s="472"/>
      <c r="AA419" s="472"/>
      <c r="AB419" s="472"/>
      <c r="AC419" s="472"/>
      <c r="BG419" s="472"/>
      <c r="BH419" s="472"/>
      <c r="BI419" s="472"/>
      <c r="BJ419" s="472"/>
      <c r="BK419" s="472"/>
      <c r="BL419" s="472"/>
    </row>
    <row r="420" spans="23:64" ht="18.95" customHeight="1">
      <c r="W420" s="472"/>
      <c r="X420" s="472"/>
      <c r="Y420" s="472"/>
      <c r="Z420" s="472"/>
      <c r="AA420" s="472"/>
      <c r="AB420" s="472"/>
      <c r="AC420" s="472"/>
      <c r="BG420" s="472"/>
      <c r="BH420" s="472"/>
      <c r="BI420" s="472"/>
      <c r="BJ420" s="472"/>
      <c r="BK420" s="472"/>
      <c r="BL420" s="472"/>
    </row>
    <row r="421" spans="23:64" ht="18.95" customHeight="1">
      <c r="W421" s="472"/>
      <c r="X421" s="472"/>
      <c r="Y421" s="472"/>
      <c r="Z421" s="472"/>
      <c r="AA421" s="472"/>
      <c r="AB421" s="472"/>
      <c r="AC421" s="472"/>
      <c r="BG421" s="472"/>
      <c r="BH421" s="472"/>
      <c r="BI421" s="472"/>
      <c r="BJ421" s="472"/>
      <c r="BK421" s="472"/>
      <c r="BL421" s="472"/>
    </row>
    <row r="422" spans="23:64" ht="18.95" customHeight="1">
      <c r="W422" s="472"/>
      <c r="X422" s="472"/>
      <c r="Y422" s="472"/>
      <c r="Z422" s="472"/>
      <c r="AA422" s="472"/>
      <c r="AB422" s="472"/>
      <c r="AC422" s="472"/>
      <c r="BG422" s="472"/>
      <c r="BH422" s="472"/>
      <c r="BI422" s="472"/>
      <c r="BJ422" s="472"/>
      <c r="BK422" s="472"/>
      <c r="BL422" s="472"/>
    </row>
    <row r="423" spans="23:64" ht="18.95" customHeight="1">
      <c r="W423" s="472"/>
      <c r="X423" s="472"/>
      <c r="Y423" s="472"/>
      <c r="Z423" s="472"/>
      <c r="AA423" s="472"/>
      <c r="AB423" s="472"/>
      <c r="AC423" s="472"/>
      <c r="BG423" s="472"/>
      <c r="BH423" s="472"/>
      <c r="BI423" s="472"/>
      <c r="BJ423" s="472"/>
      <c r="BK423" s="472"/>
      <c r="BL423" s="472"/>
    </row>
    <row r="424" spans="23:64" ht="18.95" customHeight="1">
      <c r="W424" s="472"/>
      <c r="X424" s="472"/>
      <c r="Y424" s="472"/>
      <c r="Z424" s="472"/>
      <c r="AA424" s="472"/>
      <c r="AB424" s="472"/>
      <c r="AC424" s="472"/>
      <c r="BG424" s="472"/>
      <c r="BH424" s="472"/>
      <c r="BI424" s="472"/>
      <c r="BJ424" s="472"/>
      <c r="BK424" s="472"/>
      <c r="BL424" s="472"/>
    </row>
    <row r="425" spans="23:64" ht="18.95" customHeight="1">
      <c r="W425" s="472"/>
      <c r="X425" s="472"/>
      <c r="Y425" s="472"/>
      <c r="Z425" s="472"/>
      <c r="AA425" s="472"/>
      <c r="AB425" s="472"/>
      <c r="AC425" s="472"/>
      <c r="BG425" s="472"/>
      <c r="BH425" s="472"/>
      <c r="BI425" s="472"/>
      <c r="BJ425" s="472"/>
      <c r="BK425" s="472"/>
      <c r="BL425" s="472"/>
    </row>
    <row r="426" spans="23:64" ht="18.95" customHeight="1">
      <c r="W426" s="472"/>
      <c r="X426" s="472"/>
      <c r="Y426" s="472"/>
      <c r="Z426" s="472"/>
      <c r="AA426" s="472"/>
      <c r="AB426" s="472"/>
      <c r="AC426" s="472"/>
      <c r="BG426" s="472"/>
      <c r="BH426" s="472"/>
      <c r="BI426" s="472"/>
      <c r="BJ426" s="472"/>
      <c r="BK426" s="472"/>
      <c r="BL426" s="472"/>
    </row>
    <row r="427" spans="23:64" ht="18.95" customHeight="1">
      <c r="W427" s="472"/>
      <c r="X427" s="472"/>
      <c r="Y427" s="472"/>
      <c r="Z427" s="472"/>
      <c r="AA427" s="472"/>
      <c r="AB427" s="472"/>
      <c r="AC427" s="472"/>
      <c r="BG427" s="472"/>
      <c r="BH427" s="472"/>
      <c r="BI427" s="472"/>
      <c r="BJ427" s="472"/>
      <c r="BK427" s="472"/>
      <c r="BL427" s="472"/>
    </row>
    <row r="428" spans="23:64" ht="18.95" customHeight="1">
      <c r="W428" s="472"/>
      <c r="X428" s="472"/>
      <c r="Y428" s="472"/>
      <c r="Z428" s="472"/>
      <c r="AA428" s="472"/>
      <c r="AB428" s="472"/>
      <c r="AC428" s="472"/>
      <c r="BG428" s="472"/>
      <c r="BH428" s="472"/>
      <c r="BI428" s="472"/>
      <c r="BJ428" s="472"/>
      <c r="BK428" s="472"/>
      <c r="BL428" s="472"/>
    </row>
    <row r="429" spans="23:64" ht="18.95" customHeight="1">
      <c r="W429" s="472"/>
      <c r="X429" s="472"/>
      <c r="Y429" s="472"/>
      <c r="Z429" s="472"/>
      <c r="AA429" s="472"/>
      <c r="AB429" s="472"/>
      <c r="AC429" s="472"/>
      <c r="BG429" s="472"/>
      <c r="BH429" s="472"/>
      <c r="BI429" s="472"/>
      <c r="BJ429" s="472"/>
      <c r="BK429" s="472"/>
      <c r="BL429" s="472"/>
    </row>
    <row r="430" spans="23:64" ht="18.95" customHeight="1">
      <c r="W430" s="472"/>
      <c r="X430" s="472"/>
      <c r="Y430" s="472"/>
      <c r="Z430" s="472"/>
      <c r="AA430" s="472"/>
      <c r="AB430" s="472"/>
      <c r="AC430" s="472"/>
      <c r="BG430" s="472"/>
      <c r="BH430" s="472"/>
      <c r="BI430" s="472"/>
      <c r="BJ430" s="472"/>
      <c r="BK430" s="472"/>
      <c r="BL430" s="472"/>
    </row>
    <row r="431" spans="23:64" ht="18.95" customHeight="1">
      <c r="W431" s="472"/>
      <c r="X431" s="472"/>
      <c r="Y431" s="472"/>
      <c r="Z431" s="472"/>
      <c r="AA431" s="472"/>
      <c r="AB431" s="472"/>
      <c r="AC431" s="472"/>
      <c r="BG431" s="472"/>
      <c r="BH431" s="472"/>
      <c r="BI431" s="472"/>
      <c r="BJ431" s="472"/>
      <c r="BK431" s="472"/>
      <c r="BL431" s="472"/>
    </row>
    <row r="432" spans="23:64" ht="18.95" customHeight="1">
      <c r="W432" s="472"/>
      <c r="X432" s="472"/>
      <c r="Y432" s="472"/>
      <c r="Z432" s="472"/>
      <c r="AA432" s="472"/>
      <c r="AB432" s="472"/>
      <c r="AC432" s="472"/>
      <c r="BG432" s="472"/>
      <c r="BH432" s="472"/>
      <c r="BI432" s="472"/>
      <c r="BJ432" s="472"/>
      <c r="BK432" s="472"/>
      <c r="BL432" s="472"/>
    </row>
    <row r="433" spans="23:64" ht="18.95" customHeight="1">
      <c r="W433" s="472"/>
      <c r="X433" s="472"/>
      <c r="Y433" s="472"/>
      <c r="Z433" s="472"/>
      <c r="AA433" s="472"/>
      <c r="AB433" s="472"/>
      <c r="AC433" s="472"/>
      <c r="BG433" s="472"/>
      <c r="BH433" s="472"/>
      <c r="BI433" s="472"/>
      <c r="BJ433" s="472"/>
      <c r="BK433" s="472"/>
      <c r="BL433" s="472"/>
    </row>
    <row r="434" spans="23:64" ht="18.95" customHeight="1">
      <c r="W434" s="472"/>
      <c r="X434" s="472"/>
      <c r="Y434" s="472"/>
      <c r="Z434" s="472"/>
      <c r="AA434" s="472"/>
      <c r="AB434" s="472"/>
      <c r="AC434" s="472"/>
      <c r="BG434" s="472"/>
      <c r="BH434" s="472"/>
      <c r="BI434" s="472"/>
      <c r="BJ434" s="472"/>
      <c r="BK434" s="472"/>
      <c r="BL434" s="472"/>
    </row>
    <row r="435" spans="23:64" ht="18.95" customHeight="1">
      <c r="W435" s="472"/>
      <c r="X435" s="472"/>
      <c r="Y435" s="472"/>
      <c r="Z435" s="472"/>
      <c r="AA435" s="472"/>
      <c r="AB435" s="472"/>
      <c r="AC435" s="472"/>
      <c r="BG435" s="472"/>
      <c r="BH435" s="472"/>
      <c r="BI435" s="472"/>
      <c r="BJ435" s="472"/>
      <c r="BK435" s="472"/>
      <c r="BL435" s="472"/>
    </row>
    <row r="436" spans="23:64" ht="18.95" customHeight="1">
      <c r="W436" s="472"/>
      <c r="X436" s="472"/>
      <c r="Y436" s="472"/>
      <c r="Z436" s="472"/>
      <c r="AA436" s="472"/>
      <c r="AB436" s="472"/>
      <c r="AC436" s="472"/>
      <c r="BG436" s="472"/>
      <c r="BH436" s="472"/>
      <c r="BI436" s="472"/>
      <c r="BJ436" s="472"/>
      <c r="BK436" s="472"/>
      <c r="BL436" s="472"/>
    </row>
    <row r="437" spans="23:64" ht="18.95" customHeight="1">
      <c r="W437" s="472"/>
      <c r="X437" s="472"/>
      <c r="Y437" s="472"/>
      <c r="Z437" s="472"/>
      <c r="AA437" s="472"/>
      <c r="AB437" s="472"/>
      <c r="AC437" s="472"/>
      <c r="BG437" s="472"/>
      <c r="BH437" s="472"/>
      <c r="BI437" s="472"/>
      <c r="BJ437" s="472"/>
      <c r="BK437" s="472"/>
      <c r="BL437" s="472"/>
    </row>
    <row r="438" spans="23:64" ht="18.95" customHeight="1">
      <c r="W438" s="472"/>
      <c r="X438" s="472"/>
      <c r="Y438" s="472"/>
      <c r="Z438" s="472"/>
      <c r="AA438" s="472"/>
      <c r="AB438" s="472"/>
      <c r="AC438" s="472"/>
      <c r="BG438" s="472"/>
      <c r="BH438" s="472"/>
      <c r="BI438" s="472"/>
      <c r="BJ438" s="472"/>
      <c r="BK438" s="472"/>
      <c r="BL438" s="472"/>
    </row>
    <row r="439" spans="23:64" ht="18.95" customHeight="1">
      <c r="W439" s="472"/>
      <c r="X439" s="472"/>
      <c r="Y439" s="472"/>
      <c r="Z439" s="472"/>
      <c r="AA439" s="472"/>
      <c r="AB439" s="472"/>
      <c r="AC439" s="472"/>
      <c r="BG439" s="472"/>
      <c r="BH439" s="472"/>
      <c r="BI439" s="472"/>
      <c r="BJ439" s="472"/>
      <c r="BK439" s="472"/>
      <c r="BL439" s="472"/>
    </row>
    <row r="440" spans="23:64" ht="18.95" customHeight="1">
      <c r="W440" s="472"/>
      <c r="X440" s="472"/>
      <c r="Y440" s="472"/>
      <c r="Z440" s="472"/>
      <c r="AA440" s="472"/>
      <c r="AB440" s="472"/>
      <c r="AC440" s="472"/>
      <c r="BG440" s="472"/>
      <c r="BH440" s="472"/>
      <c r="BI440" s="472"/>
      <c r="BJ440" s="472"/>
      <c r="BK440" s="472"/>
      <c r="BL440" s="472"/>
    </row>
    <row r="441" spans="23:64" ht="18.95" customHeight="1">
      <c r="W441" s="472"/>
      <c r="X441" s="472"/>
      <c r="Y441" s="472"/>
      <c r="Z441" s="472"/>
      <c r="AA441" s="472"/>
      <c r="AB441" s="472"/>
      <c r="AC441" s="472"/>
      <c r="BG441" s="472"/>
      <c r="BH441" s="472"/>
      <c r="BI441" s="472"/>
      <c r="BJ441" s="472"/>
      <c r="BK441" s="472"/>
      <c r="BL441" s="472"/>
    </row>
    <row r="442" spans="23:64" ht="18.95" customHeight="1">
      <c r="W442" s="472"/>
      <c r="X442" s="472"/>
      <c r="Y442" s="472"/>
      <c r="Z442" s="472"/>
      <c r="AA442" s="472"/>
      <c r="AB442" s="472"/>
      <c r="AC442" s="472"/>
      <c r="BG442" s="472"/>
      <c r="BH442" s="472"/>
      <c r="BI442" s="472"/>
      <c r="BJ442" s="472"/>
      <c r="BK442" s="472"/>
      <c r="BL442" s="472"/>
    </row>
    <row r="443" spans="23:64" ht="18.95" customHeight="1">
      <c r="W443" s="472"/>
      <c r="X443" s="472"/>
      <c r="Y443" s="472"/>
      <c r="Z443" s="472"/>
      <c r="AA443" s="472"/>
      <c r="AB443" s="472"/>
      <c r="AC443" s="472"/>
      <c r="BG443" s="472"/>
      <c r="BH443" s="472"/>
      <c r="BI443" s="472"/>
      <c r="BJ443" s="472"/>
      <c r="BK443" s="472"/>
      <c r="BL443" s="472"/>
    </row>
    <row r="444" spans="23:64" ht="18.95" customHeight="1">
      <c r="W444" s="472"/>
      <c r="X444" s="472"/>
      <c r="Y444" s="472"/>
      <c r="Z444" s="472"/>
      <c r="AA444" s="472"/>
      <c r="AB444" s="472"/>
      <c r="AC444" s="472"/>
      <c r="BG444" s="472"/>
      <c r="BH444" s="472"/>
      <c r="BI444" s="472"/>
      <c r="BJ444" s="472"/>
      <c r="BK444" s="472"/>
      <c r="BL444" s="472"/>
    </row>
    <row r="445" spans="23:64" ht="18.95" customHeight="1">
      <c r="W445" s="472"/>
      <c r="X445" s="472"/>
      <c r="Y445" s="472"/>
      <c r="Z445" s="472"/>
      <c r="AA445" s="472"/>
      <c r="AB445" s="472"/>
      <c r="AC445" s="472"/>
      <c r="BG445" s="472"/>
      <c r="BH445" s="472"/>
      <c r="BI445" s="472"/>
      <c r="BJ445" s="472"/>
      <c r="BK445" s="472"/>
      <c r="BL445" s="472"/>
    </row>
    <row r="446" spans="23:64" ht="18.95" customHeight="1">
      <c r="W446" s="472"/>
      <c r="X446" s="472"/>
      <c r="Y446" s="472"/>
      <c r="Z446" s="472"/>
      <c r="AA446" s="472"/>
      <c r="AB446" s="472"/>
      <c r="AC446" s="472"/>
      <c r="BG446" s="472"/>
      <c r="BH446" s="472"/>
      <c r="BI446" s="472"/>
      <c r="BJ446" s="472"/>
      <c r="BK446" s="472"/>
      <c r="BL446" s="472"/>
    </row>
    <row r="447" spans="23:64" ht="18.95" customHeight="1">
      <c r="W447" s="472"/>
      <c r="X447" s="472"/>
      <c r="Y447" s="472"/>
      <c r="Z447" s="472"/>
      <c r="AA447" s="472"/>
      <c r="AB447" s="472"/>
      <c r="AC447" s="472"/>
      <c r="BG447" s="472"/>
      <c r="BH447" s="472"/>
      <c r="BI447" s="472"/>
      <c r="BJ447" s="472"/>
      <c r="BK447" s="472"/>
      <c r="BL447" s="472"/>
    </row>
    <row r="448" spans="23:64" ht="18.95" customHeight="1">
      <c r="W448" s="472"/>
      <c r="X448" s="472"/>
      <c r="Y448" s="472"/>
      <c r="Z448" s="472"/>
      <c r="AA448" s="472"/>
      <c r="AB448" s="472"/>
      <c r="AC448" s="472"/>
      <c r="BG448" s="472"/>
      <c r="BH448" s="472"/>
      <c r="BI448" s="472"/>
      <c r="BJ448" s="472"/>
      <c r="BK448" s="472"/>
      <c r="BL448" s="472"/>
    </row>
    <row r="449" spans="23:64" ht="18.95" customHeight="1">
      <c r="W449" s="472"/>
      <c r="X449" s="472"/>
      <c r="Y449" s="472"/>
      <c r="Z449" s="472"/>
      <c r="AA449" s="472"/>
      <c r="AB449" s="472"/>
      <c r="AC449" s="472"/>
      <c r="BG449" s="472"/>
      <c r="BH449" s="472"/>
      <c r="BI449" s="472"/>
      <c r="BJ449" s="472"/>
      <c r="BK449" s="472"/>
      <c r="BL449" s="472"/>
    </row>
    <row r="450" spans="23:64" ht="18.95" customHeight="1">
      <c r="W450" s="472"/>
      <c r="X450" s="472"/>
      <c r="Y450" s="472"/>
      <c r="Z450" s="472"/>
      <c r="AA450" s="472"/>
      <c r="AB450" s="472"/>
      <c r="AC450" s="472"/>
      <c r="BG450" s="472"/>
      <c r="BH450" s="472"/>
      <c r="BI450" s="472"/>
      <c r="BJ450" s="472"/>
      <c r="BK450" s="472"/>
      <c r="BL450" s="472"/>
    </row>
    <row r="451" spans="23:64" ht="18.95" customHeight="1">
      <c r="W451" s="472"/>
      <c r="X451" s="472"/>
      <c r="Y451" s="472"/>
      <c r="Z451" s="472"/>
      <c r="AA451" s="472"/>
      <c r="AB451" s="472"/>
      <c r="AC451" s="472"/>
      <c r="BG451" s="472"/>
      <c r="BH451" s="472"/>
      <c r="BI451" s="472"/>
      <c r="BJ451" s="472"/>
      <c r="BK451" s="472"/>
      <c r="BL451" s="472"/>
    </row>
    <row r="452" spans="23:64" ht="18.95" customHeight="1">
      <c r="W452" s="472"/>
      <c r="X452" s="472"/>
      <c r="Y452" s="472"/>
      <c r="Z452" s="472"/>
      <c r="AA452" s="472"/>
      <c r="AB452" s="472"/>
      <c r="AC452" s="472"/>
      <c r="BG452" s="472"/>
      <c r="BH452" s="472"/>
      <c r="BI452" s="472"/>
      <c r="BJ452" s="472"/>
      <c r="BK452" s="472"/>
      <c r="BL452" s="472"/>
    </row>
    <row r="453" spans="23:64" ht="18.95" customHeight="1">
      <c r="W453" s="472"/>
      <c r="X453" s="472"/>
      <c r="Y453" s="472"/>
      <c r="Z453" s="472"/>
      <c r="AA453" s="472"/>
      <c r="AB453" s="472"/>
      <c r="AC453" s="472"/>
      <c r="BG453" s="472"/>
      <c r="BH453" s="472"/>
      <c r="BI453" s="472"/>
      <c r="BJ453" s="472"/>
      <c r="BK453" s="472"/>
      <c r="BL453" s="472"/>
    </row>
    <row r="454" spans="23:64" ht="18.95" customHeight="1">
      <c r="W454" s="472"/>
      <c r="X454" s="472"/>
      <c r="Y454" s="472"/>
      <c r="Z454" s="472"/>
      <c r="AA454" s="472"/>
      <c r="AB454" s="472"/>
      <c r="AC454" s="472"/>
      <c r="BG454" s="472"/>
      <c r="BH454" s="472"/>
      <c r="BI454" s="472"/>
      <c r="BJ454" s="472"/>
      <c r="BK454" s="472"/>
      <c r="BL454" s="472"/>
    </row>
    <row r="455" spans="23:64" ht="18.95" customHeight="1">
      <c r="W455" s="472"/>
      <c r="X455" s="472"/>
      <c r="Y455" s="472"/>
      <c r="Z455" s="472"/>
      <c r="AA455" s="472"/>
      <c r="AB455" s="472"/>
      <c r="AC455" s="472"/>
      <c r="BG455" s="472"/>
      <c r="BH455" s="472"/>
      <c r="BI455" s="472"/>
      <c r="BJ455" s="472"/>
      <c r="BK455" s="472"/>
      <c r="BL455" s="472"/>
    </row>
    <row r="456" spans="23:64" ht="18.95" customHeight="1">
      <c r="W456" s="472"/>
      <c r="X456" s="472"/>
      <c r="Y456" s="472"/>
      <c r="Z456" s="472"/>
      <c r="AA456" s="472"/>
      <c r="AB456" s="472"/>
      <c r="AC456" s="472"/>
      <c r="BG456" s="472"/>
      <c r="BH456" s="472"/>
      <c r="BI456" s="472"/>
      <c r="BJ456" s="472"/>
      <c r="BK456" s="472"/>
      <c r="BL456" s="472"/>
    </row>
    <row r="457" spans="23:64" ht="18.95" customHeight="1">
      <c r="W457" s="472"/>
      <c r="X457" s="472"/>
      <c r="Y457" s="472"/>
      <c r="Z457" s="472"/>
      <c r="AA457" s="472"/>
      <c r="AB457" s="472"/>
      <c r="AC457" s="472"/>
      <c r="BG457" s="472"/>
      <c r="BH457" s="472"/>
      <c r="BI457" s="472"/>
      <c r="BJ457" s="472"/>
      <c r="BK457" s="472"/>
      <c r="BL457" s="472"/>
    </row>
    <row r="458" spans="23:64" ht="18.95" customHeight="1">
      <c r="W458" s="472"/>
      <c r="X458" s="472"/>
      <c r="Y458" s="472"/>
      <c r="Z458" s="472"/>
      <c r="AA458" s="472"/>
      <c r="AB458" s="472"/>
      <c r="AC458" s="472"/>
      <c r="BG458" s="472"/>
      <c r="BH458" s="472"/>
      <c r="BI458" s="472"/>
      <c r="BJ458" s="472"/>
      <c r="BK458" s="472"/>
      <c r="BL458" s="472"/>
    </row>
    <row r="459" spans="23:64" ht="18.95" customHeight="1">
      <c r="W459" s="472"/>
      <c r="X459" s="472"/>
      <c r="Y459" s="472"/>
      <c r="Z459" s="472"/>
      <c r="AA459" s="472"/>
      <c r="AB459" s="472"/>
      <c r="AC459" s="472"/>
      <c r="BG459" s="472"/>
      <c r="BH459" s="472"/>
      <c r="BI459" s="472"/>
      <c r="BJ459" s="472"/>
      <c r="BK459" s="472"/>
      <c r="BL459" s="472"/>
    </row>
    <row r="460" spans="23:64" ht="18.95" customHeight="1">
      <c r="W460" s="472"/>
      <c r="X460" s="472"/>
      <c r="Y460" s="472"/>
      <c r="Z460" s="472"/>
      <c r="AA460" s="472"/>
      <c r="AB460" s="472"/>
      <c r="AC460" s="472"/>
      <c r="BG460" s="472"/>
      <c r="BH460" s="472"/>
      <c r="BI460" s="472"/>
      <c r="BJ460" s="472"/>
      <c r="BK460" s="472"/>
      <c r="BL460" s="472"/>
    </row>
    <row r="461" spans="23:64" ht="18.95" customHeight="1">
      <c r="W461" s="472"/>
      <c r="X461" s="472"/>
      <c r="Y461" s="472"/>
      <c r="Z461" s="472"/>
      <c r="AA461" s="472"/>
      <c r="AB461" s="472"/>
      <c r="AC461" s="472"/>
      <c r="BG461" s="472"/>
      <c r="BH461" s="472"/>
      <c r="BI461" s="472"/>
      <c r="BJ461" s="472"/>
      <c r="BK461" s="472"/>
      <c r="BL461" s="472"/>
    </row>
  </sheetData>
  <autoFilter ref="A10:GK112">
    <filterColumn colId="0">
      <customFilters>
        <customFilter operator="notEqual" val=" "/>
      </customFilters>
    </filterColumn>
  </autoFilter>
  <mergeCells count="122">
    <mergeCell ref="FZ8:FZ9"/>
    <mergeCell ref="GA8:GA9"/>
    <mergeCell ref="GB8:GB9"/>
    <mergeCell ref="GG8:GG9"/>
    <mergeCell ref="FU8:FU9"/>
    <mergeCell ref="FO8:FO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N8:FN9"/>
    <mergeCell ref="FS8:FS9"/>
    <mergeCell ref="FT8:FT9"/>
    <mergeCell ref="EV8:EV9"/>
    <mergeCell ref="ET8:ET9"/>
    <mergeCell ref="EZ8:EZ9"/>
    <mergeCell ref="EW8:EW9"/>
    <mergeCell ref="FC8:FC9"/>
    <mergeCell ref="EU8:EU9"/>
    <mergeCell ref="FJ8:FJ9"/>
    <mergeCell ref="GK8:GK9"/>
    <mergeCell ref="FG8:FG9"/>
    <mergeCell ref="FM8:FM9"/>
    <mergeCell ref="FD8:FD9"/>
    <mergeCell ref="FE8:FE9"/>
    <mergeCell ref="FV8:FV9"/>
    <mergeCell ref="FF8:FF9"/>
    <mergeCell ref="FK8:FK9"/>
    <mergeCell ref="GD8:GD9"/>
    <mergeCell ref="GF8:GF9"/>
    <mergeCell ref="GJ8:GJ9"/>
    <mergeCell ref="GH8:GH9"/>
    <mergeCell ref="FI8:FI9"/>
    <mergeCell ref="FP8:FP9"/>
    <mergeCell ref="FR8:FR9"/>
    <mergeCell ref="FW8:FW9"/>
    <mergeCell ref="FX8:FX9"/>
    <mergeCell ref="FH8:FH9"/>
    <mergeCell ref="FY8:FY9"/>
    <mergeCell ref="FL8:FL9"/>
    <mergeCell ref="FQ8:FQ9"/>
    <mergeCell ref="GI8:GI9"/>
    <mergeCell ref="GE8:GE9"/>
    <mergeCell ref="GC8:GC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N114:XFD114 FD114:GK114 A114:EZ114">
    <cfRule type="cellIs" dxfId="111" priority="11" operator="greaterThan">
      <formula>0</formula>
    </cfRule>
    <cfRule type="cellIs" dxfId="110" priority="12" operator="greaterThan">
      <formula>0</formula>
    </cfRule>
    <cfRule type="cellIs" dxfId="109" priority="13" operator="greaterThan">
      <formula>"0$L$5"</formula>
    </cfRule>
  </conditionalFormatting>
  <conditionalFormatting sqref="FC114">
    <cfRule type="cellIs" dxfId="108" priority="8" operator="greaterThan">
      <formula>0</formula>
    </cfRule>
    <cfRule type="cellIs" dxfId="107" priority="9" operator="greaterThan">
      <formula>0</formula>
    </cfRule>
    <cfRule type="cellIs" dxfId="106" priority="10" operator="greaterThan">
      <formula>"0$L$5"</formula>
    </cfRule>
  </conditionalFormatting>
  <conditionalFormatting sqref="FB114">
    <cfRule type="cellIs" dxfId="105" priority="5" operator="greaterThan">
      <formula>0</formula>
    </cfRule>
    <cfRule type="cellIs" dxfId="104" priority="6" operator="greaterThan">
      <formula>0</formula>
    </cfRule>
    <cfRule type="cellIs" dxfId="103" priority="7" operator="greaterThan">
      <formula>"0$L$5"</formula>
    </cfRule>
  </conditionalFormatting>
  <conditionalFormatting sqref="FA114">
    <cfRule type="cellIs" dxfId="102" priority="2" operator="greaterThan">
      <formula>0</formula>
    </cfRule>
    <cfRule type="cellIs" dxfId="101" priority="3" operator="greaterThan">
      <formula>0</formula>
    </cfRule>
    <cfRule type="cellIs" dxfId="100" priority="4" operator="greaterThan">
      <formula>"0$L$5"</formula>
    </cfRule>
  </conditionalFormatting>
  <conditionalFormatting sqref="A2:XFD3">
    <cfRule type="cellIs" dxfId="99"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t="15.75" hidden="1">
      <c r="G1" s="3"/>
    </row>
    <row r="2" spans="1:13" s="1" customFormat="1" ht="15.75" hidden="1">
      <c r="G2" s="3"/>
    </row>
    <row r="3" spans="1:13" s="1" customFormat="1" ht="15.75" hidden="1">
      <c r="G3" s="3"/>
    </row>
    <row r="4" spans="1:13" s="1" customFormat="1" ht="15.75" hidden="1">
      <c r="G4" s="3"/>
    </row>
    <row r="5" spans="1:13" ht="16.5">
      <c r="B5" s="101" t="s">
        <v>4142</v>
      </c>
      <c r="C5" s="101"/>
      <c r="D5" s="101"/>
      <c r="E5" s="101"/>
    </row>
    <row r="6" spans="1:13">
      <c r="F6" s="104"/>
      <c r="G6" s="103"/>
      <c r="H6" s="104"/>
      <c r="I6" s="104"/>
    </row>
    <row r="7" spans="1:13" ht="28.5">
      <c r="A7" s="105"/>
      <c r="B7" s="792" t="s">
        <v>1714</v>
      </c>
      <c r="C7" s="792" t="s">
        <v>2289</v>
      </c>
      <c r="D7" s="793" t="s">
        <v>4143</v>
      </c>
      <c r="E7" s="793" t="s">
        <v>4144</v>
      </c>
      <c r="F7" s="106">
        <f>pp_NC!GV5</f>
        <v>0</v>
      </c>
      <c r="G7" s="106" t="str">
        <f>'pp3p2m '!ED6</f>
        <v>B</v>
      </c>
      <c r="H7" s="106" t="s">
        <v>1040</v>
      </c>
      <c r="I7" s="106" t="s">
        <v>1040</v>
      </c>
      <c r="J7" s="107"/>
      <c r="K7" s="103"/>
      <c r="L7" s="103"/>
      <c r="M7" s="103"/>
    </row>
    <row r="8" spans="1:13" ht="15">
      <c r="A8" s="93" t="s">
        <v>2292</v>
      </c>
      <c r="B8" s="94"/>
      <c r="C8" s="94" t="s">
        <v>4145</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7.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7.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7.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7.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7.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7.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7.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7.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7.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7.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7.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7.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7.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7.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7.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7.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7.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7.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7.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7.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7.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7.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7.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7.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7.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7.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7.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7.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7.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7.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7.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7.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7.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7.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7.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7.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7.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7.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7.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7.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7.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7.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7.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99"/>
      <c r="F56" s="105"/>
      <c r="G56" s="113">
        <v>1</v>
      </c>
      <c r="H56" s="105"/>
      <c r="I56" s="105"/>
      <c r="J56" s="105"/>
    </row>
    <row r="57" spans="1:10" s="1" customFormat="1" ht="17.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7.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7.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7.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7.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7.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7.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7.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7.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7.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7.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7.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7.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7.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7.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7.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7.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7.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7.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7.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7.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7.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7.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7.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7.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7.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7.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7.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7.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7.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7.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7.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7.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7.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7.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7.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7.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7.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7.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7.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7.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7.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7.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7.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7.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7.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7.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7.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7.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7.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7.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7.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7.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800"/>
      <c r="F115" s="105"/>
      <c r="G115" s="113">
        <v>1</v>
      </c>
      <c r="H115" s="105"/>
      <c r="I115" s="105"/>
      <c r="J115" s="105"/>
    </row>
    <row r="116" spans="1:10" s="1" customFormat="1" ht="17.25">
      <c r="A116" s="9" t="str">
        <f>chitiet!B1750</f>
        <v>AC240</v>
      </c>
      <c r="B116" s="18" t="e">
        <f>IF(E116=0,"",COUNTIF($E$116:$E116,"&gt;0"))</f>
        <v>#NAME?</v>
      </c>
      <c r="C116" s="16" t="e">
        <f>VLOOKUP($A116,DSPK3p1m,4,)</f>
        <v>#NAME?</v>
      </c>
      <c r="D116" s="19" t="e">
        <f>VLOOKUP($A116,DSPK3p1m,5,)</f>
        <v>#NAME?</v>
      </c>
      <c r="E116" s="19" t="e">
        <f>VLOOKUP($A116,DSPK3p1m,6,)</f>
        <v>#NAME?</v>
      </c>
      <c r="F116" s="10">
        <f>chitiet!E1750</f>
        <v>0</v>
      </c>
      <c r="G116" s="7" t="e">
        <f t="shared" ref="G116:G135" si="12">IF(E116&lt;&gt;0,1,0)</f>
        <v>#NAME?</v>
      </c>
      <c r="H116" s="4"/>
      <c r="I116" s="4"/>
      <c r="J116" s="4"/>
    </row>
    <row r="117" spans="1:10" s="1" customFormat="1" ht="17.25">
      <c r="A117" s="9" t="str">
        <f>chitiet!B1751</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7.25">
      <c r="A118" s="9" t="str">
        <f>chitiet!B1752</f>
        <v>AC150</v>
      </c>
      <c r="B118" s="18" t="e">
        <f>IF(E118=0,"",COUNTIF($E$116:$E118,"&gt;0"))</f>
        <v>#NAME?</v>
      </c>
      <c r="C118" s="16" t="e">
        <f t="shared" si="13"/>
        <v>#NAME?</v>
      </c>
      <c r="D118" s="19" t="e">
        <f t="shared" si="14"/>
        <v>#NAME?</v>
      </c>
      <c r="E118" s="19" t="e">
        <f t="shared" si="15"/>
        <v>#NAME?</v>
      </c>
      <c r="F118" s="10">
        <f>chitiet!E1642</f>
        <v>0</v>
      </c>
      <c r="G118" s="7" t="e">
        <f t="shared" si="12"/>
        <v>#NAME?</v>
      </c>
      <c r="H118" s="4"/>
      <c r="I118" s="4"/>
      <c r="J118" s="4"/>
    </row>
    <row r="119" spans="1:10" s="1" customFormat="1" ht="17.25">
      <c r="A119" s="9" t="str">
        <f>chitiet!B1753</f>
        <v>AC120</v>
      </c>
      <c r="B119" s="18" t="e">
        <f>IF(E119=0,"",COUNTIF($E$116:$E119,"&gt;0"))</f>
        <v>#NAME?</v>
      </c>
      <c r="C119" s="16" t="e">
        <f t="shared" si="13"/>
        <v>#NAME?</v>
      </c>
      <c r="D119" s="19" t="e">
        <f t="shared" si="14"/>
        <v>#NAME?</v>
      </c>
      <c r="E119" s="19" t="e">
        <f t="shared" si="15"/>
        <v>#NAME?</v>
      </c>
      <c r="F119" s="10">
        <f>chitiet!E1753</f>
        <v>0</v>
      </c>
      <c r="G119" s="7" t="e">
        <f t="shared" si="12"/>
        <v>#NAME?</v>
      </c>
      <c r="H119" s="4"/>
      <c r="I119" s="4"/>
      <c r="J119" s="4"/>
    </row>
    <row r="120" spans="1:10" s="1" customFormat="1" ht="17.25">
      <c r="A120" s="9" t="str">
        <f>chitiet!B1754</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7.25">
      <c r="A121" s="9" t="str">
        <f>chitiet!B1755</f>
        <v>AC70</v>
      </c>
      <c r="B121" s="18" t="e">
        <f>IF(E121=0,"",COUNTIF($E$116:$E121,"&gt;0"))</f>
        <v>#NAME?</v>
      </c>
      <c r="C121" s="16" t="e">
        <f t="shared" si="13"/>
        <v>#NAME?</v>
      </c>
      <c r="D121" s="19" t="e">
        <f t="shared" si="14"/>
        <v>#NAME?</v>
      </c>
      <c r="E121" s="19" t="e">
        <f t="shared" si="15"/>
        <v>#NAME?</v>
      </c>
      <c r="F121" s="10">
        <f>chitiet!E1645</f>
        <v>0</v>
      </c>
      <c r="G121" s="7" t="e">
        <f t="shared" si="12"/>
        <v>#NAME?</v>
      </c>
      <c r="H121" s="4"/>
      <c r="I121" s="4"/>
      <c r="J121" s="4"/>
    </row>
    <row r="122" spans="1:10" s="1" customFormat="1" ht="17.25">
      <c r="A122" s="9" t="str">
        <f>chitiet!B1756</f>
        <v>AC50</v>
      </c>
      <c r="B122" s="18" t="e">
        <f>IF(E122=0,"",COUNTIF($E$116:$E122,"&gt;0"))</f>
        <v>#NAME?</v>
      </c>
      <c r="C122" s="16" t="e">
        <f t="shared" si="13"/>
        <v>#NAME?</v>
      </c>
      <c r="D122" s="19" t="e">
        <f t="shared" si="14"/>
        <v>#NAME?</v>
      </c>
      <c r="E122" s="19" t="e">
        <f t="shared" si="15"/>
        <v>#NAME?</v>
      </c>
      <c r="F122" s="10">
        <f>chitiet!E1630</f>
        <v>0</v>
      </c>
      <c r="G122" s="7" t="e">
        <f t="shared" si="12"/>
        <v>#NAME?</v>
      </c>
      <c r="H122" s="4"/>
      <c r="I122" s="4"/>
      <c r="J122" s="4"/>
    </row>
    <row r="123" spans="1:10" s="1" customFormat="1" ht="17.25">
      <c r="A123" s="9" t="str">
        <f>chitiet!B1757</f>
        <v>ACXV50</v>
      </c>
      <c r="B123" s="18" t="e">
        <f>IF(E123=0,"",COUNTIF($E$116:$E123,"&gt;0"))</f>
        <v>#NAME?</v>
      </c>
      <c r="C123" s="16" t="e">
        <f t="shared" si="13"/>
        <v>#NAME?</v>
      </c>
      <c r="D123" s="19" t="e">
        <f t="shared" si="14"/>
        <v>#NAME?</v>
      </c>
      <c r="E123" s="19" t="e">
        <f t="shared" si="15"/>
        <v>#NAME?</v>
      </c>
      <c r="F123" s="10">
        <f>chitiet!E1631</f>
        <v>0</v>
      </c>
      <c r="G123" s="7" t="e">
        <f>IF(E123&lt;&gt;0,1,0)</f>
        <v>#NAME?</v>
      </c>
      <c r="H123" s="4"/>
      <c r="I123" s="4"/>
      <c r="J123" s="4"/>
    </row>
    <row r="124" spans="1:10" s="1" customFormat="1" ht="17.25">
      <c r="A124" s="9" t="str">
        <f>chitiet!B1758</f>
        <v>XLPE240A</v>
      </c>
      <c r="B124" s="18" t="e">
        <f>IF(E124=0,"",COUNTIF($E$116:$E124,"&gt;0"))</f>
        <v>#NAME?</v>
      </c>
      <c r="C124" s="16" t="e">
        <f t="shared" si="13"/>
        <v>#NAME?</v>
      </c>
      <c r="D124" s="19" t="e">
        <f t="shared" si="14"/>
        <v>#NAME?</v>
      </c>
      <c r="E124" s="19" t="e">
        <f t="shared" si="15"/>
        <v>#NAME?</v>
      </c>
      <c r="F124" s="10">
        <f>chitiet!E1654</f>
        <v>0</v>
      </c>
      <c r="G124" s="7" t="e">
        <f t="shared" si="12"/>
        <v>#NAME?</v>
      </c>
      <c r="H124" s="4"/>
      <c r="I124" s="4"/>
      <c r="J124" s="4"/>
    </row>
    <row r="125" spans="1:10" s="1" customFormat="1" ht="17.25">
      <c r="A125" s="9" t="str">
        <f>chitiet!B1759</f>
        <v>XLPE185A</v>
      </c>
      <c r="B125" s="18" t="e">
        <f>IF(E125=0,"",COUNTIF($E$116:$E125,"&gt;0"))</f>
        <v>#NAME?</v>
      </c>
      <c r="C125" s="16" t="e">
        <f t="shared" si="13"/>
        <v>#NAME?</v>
      </c>
      <c r="D125" s="19" t="e">
        <f t="shared" si="14"/>
        <v>#NAME?</v>
      </c>
      <c r="E125" s="19" t="e">
        <f t="shared" si="15"/>
        <v>#NAME?</v>
      </c>
      <c r="F125" s="10">
        <f>chitiet!E1655</f>
        <v>0</v>
      </c>
      <c r="G125" s="7" t="e">
        <f>IF(E125&lt;&gt;0,1,0)</f>
        <v>#NAME?</v>
      </c>
      <c r="H125" s="4"/>
      <c r="I125" s="4"/>
      <c r="J125" s="4"/>
    </row>
    <row r="126" spans="1:10" s="1" customFormat="1" ht="17.25">
      <c r="A126" s="9" t="str">
        <f>chitiet!B1759</f>
        <v>XLPE185A</v>
      </c>
      <c r="B126" s="18" t="e">
        <f>IF(E126=0,"",COUNTIF($E$116:$E126,"&gt;0"))</f>
        <v>#NAME?</v>
      </c>
      <c r="C126" s="16" t="e">
        <f t="shared" si="13"/>
        <v>#NAME?</v>
      </c>
      <c r="D126" s="19" t="e">
        <f t="shared" si="14"/>
        <v>#NAME?</v>
      </c>
      <c r="E126" s="19" t="e">
        <f t="shared" si="15"/>
        <v>#NAME?</v>
      </c>
      <c r="F126" s="10">
        <f>chitiet!E1638</f>
        <v>0</v>
      </c>
      <c r="G126" s="7" t="e">
        <f t="shared" si="12"/>
        <v>#NAME?</v>
      </c>
      <c r="H126" s="4"/>
      <c r="I126" s="4"/>
      <c r="J126" s="4"/>
    </row>
    <row r="127" spans="1:10" s="1" customFormat="1" ht="17.25">
      <c r="A127" s="9" t="str">
        <f>chitiet!B1760</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7.25">
      <c r="A128" s="9" t="str">
        <f>chitiet!B1761</f>
        <v>XLPE120A</v>
      </c>
      <c r="B128" s="18" t="e">
        <f>IF(E128=0,"",COUNTIF($E$116:$E128,"&gt;0"))</f>
        <v>#NAME?</v>
      </c>
      <c r="C128" s="16" t="e">
        <f t="shared" si="13"/>
        <v>#NAME?</v>
      </c>
      <c r="D128" s="19" t="e">
        <f t="shared" si="14"/>
        <v>#NAME?</v>
      </c>
      <c r="E128" s="19" t="e">
        <f t="shared" si="15"/>
        <v>#NAME?</v>
      </c>
      <c r="F128" s="10">
        <f>chitiet!E1657</f>
        <v>0</v>
      </c>
      <c r="G128" s="7" t="e">
        <f t="shared" si="12"/>
        <v>#NAME?</v>
      </c>
      <c r="H128" s="4"/>
      <c r="I128" s="4"/>
      <c r="J128" s="4"/>
    </row>
    <row r="129" spans="1:10" s="1" customFormat="1" ht="17.25">
      <c r="A129" s="9" t="str">
        <f>chitiet!B1762</f>
        <v>XLPE95A</v>
      </c>
      <c r="B129" s="18" t="e">
        <f>IF(E129=0,"",COUNTIF($E$116:$E129,"&gt;0"))</f>
        <v>#NAME?</v>
      </c>
      <c r="C129" s="16" t="e">
        <f t="shared" si="13"/>
        <v>#NAME?</v>
      </c>
      <c r="D129" s="19" t="e">
        <f t="shared" si="14"/>
        <v>#NAME?</v>
      </c>
      <c r="E129" s="19" t="e">
        <f t="shared" si="15"/>
        <v>#NAME?</v>
      </c>
      <c r="F129" s="10">
        <f>chitiet!E1641</f>
        <v>0</v>
      </c>
      <c r="G129" s="7" t="e">
        <f t="shared" si="12"/>
        <v>#NAME?</v>
      </c>
      <c r="H129" s="4"/>
      <c r="I129" s="4"/>
      <c r="J129" s="4"/>
    </row>
    <row r="130" spans="1:10" s="1" customFormat="1" ht="17.25">
      <c r="A130" s="9" t="str">
        <f>chitiet!B1764</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chitiet!B1765</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7.25">
      <c r="A132" s="9" t="str">
        <f>chitiet!B1766</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7.25">
      <c r="A133" s="9" t="str">
        <f>chitiet!B1767</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7.25">
      <c r="A134" s="9" t="str">
        <f>chitiet!B1768</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chitiet!B1769</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chitiet!B1770</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chitiet!B1771</f>
        <v>B16300</v>
      </c>
      <c r="B137" s="114"/>
      <c r="C137" s="115" t="e">
        <f t="shared" si="16"/>
        <v>#NAME?</v>
      </c>
      <c r="D137" s="98" t="e">
        <f t="shared" si="17"/>
        <v>#NAME?</v>
      </c>
      <c r="E137" s="126" t="e">
        <f>E136</f>
        <v>#NAME?</v>
      </c>
      <c r="F137" s="105"/>
      <c r="G137" s="113" t="e">
        <f>G136</f>
        <v>#NAME?</v>
      </c>
      <c r="H137" s="105"/>
      <c r="I137" s="105"/>
      <c r="J137" s="105"/>
    </row>
    <row r="138" spans="1:10" s="1" customFormat="1" ht="17.25">
      <c r="A138" s="9" t="str">
        <f>chitiet!B1772</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7.25">
      <c r="A139" s="9" t="str">
        <f>chitiet!B1773</f>
        <v>R1</v>
      </c>
      <c r="B139" s="18"/>
      <c r="C139" s="16" t="e">
        <f t="shared" si="16"/>
        <v>#NAME?</v>
      </c>
      <c r="D139" s="19" t="e">
        <f t="shared" si="17"/>
        <v>#NAME?</v>
      </c>
      <c r="E139" s="29" t="e">
        <f>E138</f>
        <v>#NAME?</v>
      </c>
      <c r="F139" s="4"/>
      <c r="G139" s="7" t="e">
        <f>G138</f>
        <v>#NAME?</v>
      </c>
      <c r="H139" s="4"/>
      <c r="I139" s="4"/>
      <c r="J139" s="4"/>
    </row>
    <row r="140" spans="1:10" s="1" customFormat="1" ht="17.25">
      <c r="A140" s="9" t="str">
        <f>chitiet!B1774</f>
        <v>B16600v</v>
      </c>
      <c r="B140" s="18"/>
      <c r="C140" s="16" t="e">
        <f t="shared" si="16"/>
        <v>#NAME?</v>
      </c>
      <c r="D140" s="19" t="e">
        <f t="shared" si="17"/>
        <v>#NAME?</v>
      </c>
      <c r="E140" s="29" t="e">
        <f>E139</f>
        <v>#NAME?</v>
      </c>
      <c r="F140" s="4"/>
      <c r="G140" s="7" t="e">
        <f>G139</f>
        <v>#NAME?</v>
      </c>
      <c r="H140" s="4"/>
      <c r="I140" s="4"/>
      <c r="J140" s="4"/>
    </row>
    <row r="141" spans="1:10" s="1" customFormat="1" ht="17.25">
      <c r="A141" s="9" t="str">
        <f>chitiet!B1775</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7.25">
      <c r="A142" s="9" t="str">
        <f>chitiet!B1776</f>
        <v>R1</v>
      </c>
      <c r="B142" s="18"/>
      <c r="C142" s="16" t="e">
        <f t="shared" si="16"/>
        <v>#NAME?</v>
      </c>
      <c r="D142" s="19" t="e">
        <f t="shared" si="17"/>
        <v>#NAME?</v>
      </c>
      <c r="E142" s="29" t="e">
        <f>E141</f>
        <v>#NAME?</v>
      </c>
      <c r="F142" s="4"/>
      <c r="G142" s="7" t="e">
        <f>G141</f>
        <v>#NAME?</v>
      </c>
      <c r="H142" s="4"/>
      <c r="I142" s="4"/>
      <c r="J142" s="4"/>
    </row>
    <row r="143" spans="1:10" s="1" customFormat="1" ht="17.25">
      <c r="A143" s="9" t="str">
        <f>chitiet!B1777</f>
        <v>B16100</v>
      </c>
      <c r="B143" s="18"/>
      <c r="C143" s="16" t="e">
        <f t="shared" si="16"/>
        <v>#NAME?</v>
      </c>
      <c r="D143" s="19" t="e">
        <f t="shared" si="17"/>
        <v>#NAME?</v>
      </c>
      <c r="E143" s="29" t="e">
        <f>E142</f>
        <v>#NAME?</v>
      </c>
      <c r="F143" s="4"/>
      <c r="G143" s="7" t="e">
        <f>G142</f>
        <v>#NAME?</v>
      </c>
      <c r="H143" s="4"/>
      <c r="I143" s="4"/>
      <c r="J143" s="4"/>
    </row>
    <row r="144" spans="1:10" s="1" customFormat="1" ht="17.25">
      <c r="A144" s="9" t="str">
        <f>chitiet!B1778</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7.25">
      <c r="A145" s="9" t="str">
        <f>chitiet!B1779</f>
        <v>R1</v>
      </c>
      <c r="B145" s="18"/>
      <c r="C145" s="16" t="e">
        <f t="shared" si="16"/>
        <v>#NAME?</v>
      </c>
      <c r="D145" s="19" t="e">
        <f t="shared" si="17"/>
        <v>#NAME?</v>
      </c>
      <c r="E145" s="19" t="e">
        <f>E144</f>
        <v>#NAME?</v>
      </c>
      <c r="F145" s="4"/>
      <c r="G145" s="7" t="e">
        <f>G144</f>
        <v>#NAME?</v>
      </c>
      <c r="H145" s="4"/>
      <c r="I145" s="4"/>
      <c r="J145" s="4"/>
    </row>
    <row r="146" spans="1:10" s="1" customFormat="1" ht="17.25">
      <c r="A146" s="9" t="str">
        <f>chitiet!B1780</f>
        <v>B16300</v>
      </c>
      <c r="B146" s="18"/>
      <c r="C146" s="16" t="e">
        <f t="shared" si="16"/>
        <v>#NAME?</v>
      </c>
      <c r="D146" s="19" t="e">
        <f t="shared" si="17"/>
        <v>#NAME?</v>
      </c>
      <c r="E146" s="19" t="e">
        <f>E145</f>
        <v>#NAME?</v>
      </c>
      <c r="F146" s="4"/>
      <c r="G146" s="7" t="e">
        <f>G145</f>
        <v>#NAME?</v>
      </c>
      <c r="H146" s="4"/>
      <c r="I146" s="4"/>
      <c r="J146" s="4"/>
    </row>
    <row r="147" spans="1:10" s="1" customFormat="1" ht="17.25">
      <c r="A147" s="9" t="str">
        <f>chitiet!B1781</f>
        <v>ke50</v>
      </c>
      <c r="B147" s="18"/>
      <c r="C147" s="16" t="e">
        <f t="shared" si="16"/>
        <v>#NAME?</v>
      </c>
      <c r="D147" s="19" t="e">
        <f t="shared" si="17"/>
        <v>#NAME?</v>
      </c>
      <c r="E147" s="32" t="e">
        <f>E146*2</f>
        <v>#NAME?</v>
      </c>
      <c r="F147" s="4"/>
      <c r="G147" s="7" t="e">
        <f>G146</f>
        <v>#NAME?</v>
      </c>
      <c r="H147" s="4"/>
      <c r="I147" s="4"/>
      <c r="J147" s="4"/>
    </row>
    <row r="148" spans="1:10" ht="15">
      <c r="A148" s="120" t="str">
        <f>chitiet!B1782</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chitiet!B1783</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chitiet!B1784</f>
        <v>BM16300</v>
      </c>
      <c r="B150" s="114"/>
      <c r="C150" s="115" t="e">
        <f t="shared" si="16"/>
        <v>#NAME?</v>
      </c>
      <c r="D150" s="98" t="e">
        <f t="shared" si="17"/>
        <v>#NAME?</v>
      </c>
      <c r="E150" s="126" t="e">
        <f>E148</f>
        <v>#NAME?</v>
      </c>
      <c r="F150" s="105"/>
      <c r="G150" s="113" t="e">
        <f>IF(E150&lt;&gt;0,1,0)</f>
        <v>#NAME?</v>
      </c>
      <c r="H150" s="105"/>
      <c r="I150" s="105"/>
      <c r="J150" s="105"/>
    </row>
    <row r="151" spans="1:10" s="1" customFormat="1" ht="17.25">
      <c r="A151" s="9" t="str">
        <f>chitiet!B1785</f>
        <v>ke50</v>
      </c>
      <c r="B151" s="18"/>
      <c r="C151" s="16" t="e">
        <f t="shared" si="16"/>
        <v>#NAME?</v>
      </c>
      <c r="D151" s="19" t="e">
        <f t="shared" si="17"/>
        <v>#NAME?</v>
      </c>
      <c r="E151" s="29" t="e">
        <f>E148*0</f>
        <v>#NAME?</v>
      </c>
      <c r="F151" s="4"/>
      <c r="G151" s="7" t="e">
        <f>IF(E151&lt;&gt;0,1,0)</f>
        <v>#NAME?</v>
      </c>
      <c r="H151" s="4"/>
      <c r="I151" s="4"/>
      <c r="J151" s="4"/>
    </row>
    <row r="152" spans="1:10" s="1" customFormat="1" ht="17.25">
      <c r="A152" s="9" t="str">
        <f>chitiet!B1790</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7.25">
      <c r="A153" s="9" t="str">
        <f>chitiet!B1791</f>
        <v>kn50</v>
      </c>
      <c r="B153" s="18"/>
      <c r="C153" s="16" t="e">
        <f t="shared" si="16"/>
        <v>#NAME?</v>
      </c>
      <c r="D153" s="19" t="e">
        <f t="shared" si="17"/>
        <v>#NAME?</v>
      </c>
      <c r="E153" s="29" t="e">
        <f>E152</f>
        <v>#NAME?</v>
      </c>
      <c r="F153" s="4"/>
      <c r="G153" s="7" t="e">
        <f>G152</f>
        <v>#NAME?</v>
      </c>
      <c r="H153" s="4"/>
      <c r="I153" s="4"/>
      <c r="J153" s="4"/>
    </row>
    <row r="154" spans="1:10" s="1" customFormat="1" ht="17.25">
      <c r="A154" s="9" t="str">
        <f>chitiet!B1792</f>
        <v>MT</v>
      </c>
      <c r="B154" s="18"/>
      <c r="C154" s="16" t="e">
        <f t="shared" si="16"/>
        <v>#NAME?</v>
      </c>
      <c r="D154" s="19" t="e">
        <f t="shared" si="17"/>
        <v>#NAME?</v>
      </c>
      <c r="E154" s="29" t="e">
        <f>E153*2</f>
        <v>#NAME?</v>
      </c>
      <c r="F154" s="4"/>
      <c r="G154" s="7" t="e">
        <f>G153</f>
        <v>#NAME?</v>
      </c>
      <c r="H154" s="4"/>
      <c r="I154" s="4"/>
      <c r="J154" s="4"/>
    </row>
    <row r="155" spans="1:10" s="1" customFormat="1" ht="17.25">
      <c r="A155" s="9" t="str">
        <f>chitiet!B1793</f>
        <v>KE50</v>
      </c>
      <c r="B155" s="18"/>
      <c r="C155" s="16" t="e">
        <f t="shared" si="16"/>
        <v>#NAME?</v>
      </c>
      <c r="D155" s="19" t="e">
        <f t="shared" si="17"/>
        <v>#NAME?</v>
      </c>
      <c r="E155" s="29" t="e">
        <f>E153*0</f>
        <v>#NAME?</v>
      </c>
      <c r="F155" s="4"/>
      <c r="G155" s="7"/>
      <c r="H155" s="4"/>
      <c r="I155" s="4"/>
      <c r="J155" s="4"/>
    </row>
    <row r="156" spans="1:10" ht="15">
      <c r="A156" s="120" t="str">
        <f>chitiet!B1794</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chitiet!B1795</f>
        <v>SD</v>
      </c>
      <c r="B157" s="114"/>
      <c r="C157" s="125" t="e">
        <f t="shared" si="16"/>
        <v>#NAME?</v>
      </c>
      <c r="D157" s="126" t="e">
        <f t="shared" si="17"/>
        <v>#NAME?</v>
      </c>
      <c r="E157" s="126" t="e">
        <f>E156</f>
        <v>#NAME?</v>
      </c>
      <c r="F157" s="105"/>
      <c r="G157" s="113" t="e">
        <f>G156</f>
        <v>#NAME?</v>
      </c>
      <c r="H157" s="105"/>
      <c r="I157" s="105"/>
      <c r="J157" s="105"/>
    </row>
    <row r="158" spans="1:10" ht="15">
      <c r="A158" s="120" t="str">
        <f>chitiet!B1796</f>
        <v>CSD</v>
      </c>
      <c r="B158" s="114"/>
      <c r="C158" s="125" t="e">
        <f t="shared" si="16"/>
        <v>#NAME?</v>
      </c>
      <c r="D158" s="126" t="e">
        <f t="shared" si="17"/>
        <v>#NAME?</v>
      </c>
      <c r="E158" s="126" t="e">
        <f>E157</f>
        <v>#NAME?</v>
      </c>
      <c r="F158" s="105"/>
      <c r="G158" s="113" t="e">
        <f>G157</f>
        <v>#NAME?</v>
      </c>
      <c r="H158" s="105"/>
      <c r="I158" s="105"/>
      <c r="J158" s="105"/>
    </row>
    <row r="159" spans="1:10" s="1" customFormat="1" ht="17.25">
      <c r="A159" s="9" t="str">
        <f>chitiet!B1797</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7.25">
      <c r="A160" s="9" t="str">
        <f>chitiet!B1798</f>
        <v>SD</v>
      </c>
      <c r="B160" s="18"/>
      <c r="C160" s="37" t="e">
        <f t="shared" si="16"/>
        <v>#NAME?</v>
      </c>
      <c r="D160" s="29" t="e">
        <f t="shared" si="17"/>
        <v>#NAME?</v>
      </c>
      <c r="E160" s="29" t="e">
        <f>E159</f>
        <v>#NAME?</v>
      </c>
      <c r="F160" s="4"/>
      <c r="G160" s="7" t="e">
        <f>G159</f>
        <v>#NAME?</v>
      </c>
      <c r="H160" s="4"/>
      <c r="I160" s="4"/>
      <c r="J160" s="4"/>
    </row>
    <row r="161" spans="1:10" s="1" customFormat="1" ht="17.25">
      <c r="A161" s="9" t="str">
        <f>chitiet!B1799</f>
        <v>CSDI</v>
      </c>
      <c r="B161" s="18"/>
      <c r="C161" s="37" t="e">
        <f t="shared" si="16"/>
        <v>#NAME?</v>
      </c>
      <c r="D161" s="29" t="e">
        <f t="shared" si="17"/>
        <v>#NAME?</v>
      </c>
      <c r="E161" s="29" t="e">
        <f t="shared" si="18"/>
        <v>#NAME?</v>
      </c>
      <c r="F161" s="4"/>
      <c r="G161" s="7" t="e">
        <f>G160</f>
        <v>#NAME?</v>
      </c>
      <c r="H161" s="4"/>
      <c r="I161" s="4"/>
      <c r="J161" s="4"/>
    </row>
    <row r="162" spans="1:10" s="1" customFormat="1" ht="17.25">
      <c r="A162" s="9" t="str">
        <f>chitiet!B1800</f>
        <v>B16250</v>
      </c>
      <c r="B162" s="18"/>
      <c r="C162" s="37" t="e">
        <f t="shared" si="16"/>
        <v>#NAME?</v>
      </c>
      <c r="D162" s="29" t="e">
        <f t="shared" si="17"/>
        <v>#NAME?</v>
      </c>
      <c r="E162" s="29" t="e">
        <f t="shared" si="18"/>
        <v>#NAME?</v>
      </c>
      <c r="F162" s="4"/>
      <c r="G162" s="7" t="e">
        <f>G161</f>
        <v>#NAME?</v>
      </c>
      <c r="H162" s="4"/>
      <c r="I162" s="4"/>
      <c r="J162" s="4"/>
    </row>
    <row r="163" spans="1:10" s="1" customFormat="1" ht="17.25">
      <c r="A163" s="9" t="str">
        <f>chitiet!B1801</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7.25">
      <c r="A164" s="9" t="str">
        <f>chitiet!B1802</f>
        <v>SD</v>
      </c>
      <c r="B164" s="18"/>
      <c r="C164" s="37" t="e">
        <f t="shared" si="16"/>
        <v>#NAME?</v>
      </c>
      <c r="D164" s="32" t="e">
        <f t="shared" si="17"/>
        <v>#NAME?</v>
      </c>
      <c r="E164" s="29" t="e">
        <f>E163*2</f>
        <v>#NAME?</v>
      </c>
      <c r="F164" s="4"/>
      <c r="G164" s="7" t="e">
        <f>G163</f>
        <v>#NAME?</v>
      </c>
      <c r="H164" s="4"/>
      <c r="I164" s="4"/>
      <c r="J164" s="4"/>
    </row>
    <row r="165" spans="1:10" s="1" customFormat="1" ht="17.25">
      <c r="A165" s="9" t="str">
        <f>chitiet!B1803</f>
        <v>CSDG</v>
      </c>
      <c r="B165" s="18"/>
      <c r="C165" s="37" t="e">
        <f t="shared" si="16"/>
        <v>#NAME?</v>
      </c>
      <c r="D165" s="32" t="e">
        <f t="shared" si="17"/>
        <v>#NAME?</v>
      </c>
      <c r="E165" s="29" t="e">
        <f t="shared" si="18"/>
        <v>#NAME?</v>
      </c>
      <c r="F165" s="4"/>
      <c r="G165" s="7" t="e">
        <f>G164</f>
        <v>#NAME?</v>
      </c>
      <c r="H165" s="4"/>
      <c r="I165" s="4"/>
      <c r="J165" s="4"/>
    </row>
    <row r="166" spans="1:10" s="1" customFormat="1" ht="17.25">
      <c r="A166" s="9" t="str">
        <f>chitiet!B1804</f>
        <v>B16250</v>
      </c>
      <c r="B166" s="18"/>
      <c r="C166" s="37" t="e">
        <f t="shared" si="16"/>
        <v>#NAME?</v>
      </c>
      <c r="D166" s="32" t="e">
        <f t="shared" si="17"/>
        <v>#NAME?</v>
      </c>
      <c r="E166" s="29" t="e">
        <f>E163*2</f>
        <v>#NAME?</v>
      </c>
      <c r="F166" s="4"/>
      <c r="G166" s="7" t="e">
        <f>G165</f>
        <v>#NAME?</v>
      </c>
      <c r="H166" s="4"/>
      <c r="I166" s="4"/>
      <c r="J166" s="4"/>
    </row>
    <row r="167" spans="1:10" s="1" customFormat="1" ht="17.25">
      <c r="A167" s="9" t="str">
        <f>chitiet!B1805</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7.25">
      <c r="A168" s="9" t="str">
        <f>chitiet!B1806</f>
        <v>St</v>
      </c>
      <c r="B168" s="18"/>
      <c r="C168" s="37" t="e">
        <f t="shared" si="16"/>
        <v>#NAME?</v>
      </c>
      <c r="D168" s="29" t="e">
        <f t="shared" si="17"/>
        <v>#NAME?</v>
      </c>
      <c r="E168" s="29"/>
      <c r="F168" s="4"/>
      <c r="G168" s="7" t="e">
        <f>G167</f>
        <v>#NAME?</v>
      </c>
      <c r="H168" s="4"/>
      <c r="I168" s="4"/>
      <c r="J168" s="4"/>
    </row>
    <row r="169" spans="1:10" s="1" customFormat="1" ht="17.25">
      <c r="A169" s="9" t="str">
        <f>chitiet!B1807</f>
        <v>MT</v>
      </c>
      <c r="B169" s="18"/>
      <c r="C169" s="37" t="e">
        <f t="shared" si="16"/>
        <v>#NAME?</v>
      </c>
      <c r="D169" s="29" t="e">
        <f t="shared" si="17"/>
        <v>#NAME?</v>
      </c>
      <c r="E169" s="29"/>
      <c r="F169" s="4"/>
      <c r="G169" s="7" t="e">
        <f>G168</f>
        <v>#NAME?</v>
      </c>
      <c r="H169" s="4"/>
      <c r="I169" s="4"/>
      <c r="J169" s="4"/>
    </row>
    <row r="170" spans="1:10" s="1" customFormat="1" ht="17.25">
      <c r="A170" s="9" t="str">
        <f>chitiet!B1808</f>
        <v>VT</v>
      </c>
      <c r="B170" s="18"/>
      <c r="C170" s="37" t="e">
        <f t="shared" si="16"/>
        <v>#NAME?</v>
      </c>
      <c r="D170" s="29" t="e">
        <f t="shared" si="17"/>
        <v>#NAME?</v>
      </c>
      <c r="E170" s="29"/>
      <c r="F170" s="4"/>
      <c r="G170" s="7" t="e">
        <f>G169</f>
        <v>#NAME?</v>
      </c>
      <c r="H170" s="4"/>
      <c r="I170" s="4"/>
      <c r="J170" s="4"/>
    </row>
    <row r="171" spans="1:10" s="1" customFormat="1" ht="17.25">
      <c r="A171" s="9" t="str">
        <f>chitiet!B1809</f>
        <v>MND</v>
      </c>
      <c r="B171" s="18"/>
      <c r="C171" s="37" t="e">
        <f t="shared" si="16"/>
        <v>#NAME?</v>
      </c>
      <c r="D171" s="29" t="e">
        <f t="shared" si="17"/>
        <v>#NAME?</v>
      </c>
      <c r="E171" s="29"/>
      <c r="F171" s="4"/>
      <c r="G171" s="7" t="e">
        <f>G170</f>
        <v>#NAME?</v>
      </c>
      <c r="H171" s="4"/>
      <c r="I171" s="4"/>
      <c r="J171" s="4"/>
    </row>
    <row r="172" spans="1:10" s="1" customFormat="1" ht="17.25">
      <c r="A172" s="9" t="str">
        <f>chitiet!B1810</f>
        <v>Bm16300</v>
      </c>
      <c r="B172" s="18"/>
      <c r="C172" s="37" t="e">
        <f t="shared" si="16"/>
        <v>#NAME?</v>
      </c>
      <c r="D172" s="29" t="e">
        <f t="shared" si="17"/>
        <v>#NAME?</v>
      </c>
      <c r="E172" s="29"/>
      <c r="F172" s="4"/>
      <c r="G172" s="7" t="e">
        <f>G171</f>
        <v>#NAME?</v>
      </c>
      <c r="H172" s="4"/>
      <c r="I172" s="4"/>
      <c r="J172" s="4"/>
    </row>
    <row r="173" spans="1:10" ht="15">
      <c r="A173" s="120" t="str">
        <f>chitiet!B1814</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chitiet!B1815</f>
        <v>Stply</v>
      </c>
      <c r="B174" s="114"/>
      <c r="C174" s="125" t="e">
        <f t="shared" si="16"/>
        <v>#NAME?</v>
      </c>
      <c r="D174" s="126" t="e">
        <f t="shared" si="17"/>
        <v>#NAME?</v>
      </c>
      <c r="E174" s="126">
        <f>chitiet!D1815</f>
        <v>1</v>
      </c>
      <c r="F174" s="105"/>
      <c r="G174" s="113">
        <f t="shared" si="19"/>
        <v>1</v>
      </c>
      <c r="H174" s="105"/>
      <c r="I174" s="105"/>
      <c r="J174" s="105"/>
    </row>
    <row r="175" spans="1:10" ht="15">
      <c r="A175" s="120" t="str">
        <f>chitiet!B1816</f>
        <v>MT</v>
      </c>
      <c r="B175" s="114"/>
      <c r="C175" s="125" t="e">
        <f t="shared" si="16"/>
        <v>#NAME?</v>
      </c>
      <c r="D175" s="126" t="e">
        <f t="shared" si="17"/>
        <v>#NAME?</v>
      </c>
      <c r="E175" s="126">
        <f>chitiet!D1816</f>
        <v>2</v>
      </c>
      <c r="F175" s="105"/>
      <c r="G175" s="113">
        <f t="shared" si="19"/>
        <v>1</v>
      </c>
      <c r="H175" s="105"/>
      <c r="I175" s="105"/>
      <c r="J175" s="105"/>
    </row>
    <row r="176" spans="1:10" ht="15">
      <c r="A176" s="120" t="str">
        <f>chitiet!B1818</f>
        <v>khanhkep</v>
      </c>
      <c r="B176" s="114"/>
      <c r="C176" s="125" t="e">
        <f t="shared" si="16"/>
        <v>#NAME?</v>
      </c>
      <c r="D176" s="126" t="e">
        <f t="shared" si="17"/>
        <v>#NAME?</v>
      </c>
      <c r="E176" s="126">
        <f>chitiet!D1818</f>
        <v>0</v>
      </c>
      <c r="F176" s="105"/>
      <c r="G176" s="113">
        <f t="shared" si="19"/>
        <v>0</v>
      </c>
      <c r="H176" s="105"/>
      <c r="I176" s="105"/>
      <c r="J176" s="105"/>
    </row>
    <row r="177" spans="1:10" s="1" customFormat="1" ht="17.25">
      <c r="A177" s="9" t="str">
        <f>chitiet!B1819</f>
        <v>gniu</v>
      </c>
      <c r="B177" s="18"/>
      <c r="C177" s="37" t="e">
        <f>VLOOKUP($A177,DSPK3p1m,4,)&amp;" : duøng neùo daây boïc 50mm2"</f>
        <v>#NAME?</v>
      </c>
      <c r="D177" s="29" t="e">
        <f t="shared" si="17"/>
        <v>#NAME?</v>
      </c>
      <c r="E177" s="29">
        <f>chitiet!D1819</f>
        <v>1</v>
      </c>
      <c r="F177" s="4"/>
      <c r="G177" s="7">
        <f>IF(E177&lt;&gt;0,1,0)</f>
        <v>1</v>
      </c>
      <c r="H177" s="4"/>
      <c r="I177" s="4"/>
      <c r="J177" s="4"/>
    </row>
    <row r="178" spans="1:10" s="1" customFormat="1" ht="17.25">
      <c r="A178" s="9" t="str">
        <f>chitiet!B1820</f>
        <v>k240</v>
      </c>
      <c r="B178" s="18"/>
      <c r="C178" s="37" t="e">
        <f t="shared" si="16"/>
        <v>#NAME?</v>
      </c>
      <c r="D178" s="29" t="e">
        <f t="shared" si="17"/>
        <v>#NAME?</v>
      </c>
      <c r="E178" s="29">
        <f>chitiet!D1820</f>
        <v>0</v>
      </c>
      <c r="F178" s="4"/>
      <c r="G178" s="7">
        <f t="shared" ref="G178:G183" si="20">IF(E178&lt;&gt;0,1,0)</f>
        <v>0</v>
      </c>
      <c r="H178" s="4"/>
      <c r="I178" s="4"/>
      <c r="J178" s="4"/>
    </row>
    <row r="179" spans="1:10" s="1" customFormat="1" ht="17.25">
      <c r="A179" s="9" t="str">
        <f>chitiet!B1821</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7.25">
      <c r="A180" s="9" t="str">
        <f>chitiet!B1822</f>
        <v>Stply</v>
      </c>
      <c r="B180" s="18"/>
      <c r="C180" s="37" t="e">
        <f t="shared" si="16"/>
        <v>#NAME?</v>
      </c>
      <c r="D180" s="29" t="e">
        <f t="shared" si="17"/>
        <v>#NAME?</v>
      </c>
      <c r="E180" s="29">
        <f>chitiet!D1822</f>
        <v>0</v>
      </c>
      <c r="F180" s="4"/>
      <c r="G180" s="7">
        <f t="shared" si="20"/>
        <v>0</v>
      </c>
      <c r="H180" s="4"/>
      <c r="I180" s="4"/>
      <c r="J180" s="4"/>
    </row>
    <row r="181" spans="1:10" s="1" customFormat="1" ht="17.25">
      <c r="A181" s="9" t="str">
        <f>chitiet!B1823</f>
        <v>MT</v>
      </c>
      <c r="B181" s="18"/>
      <c r="C181" s="37" t="e">
        <f t="shared" si="16"/>
        <v>#NAME?</v>
      </c>
      <c r="D181" s="29" t="e">
        <f t="shared" si="17"/>
        <v>#NAME?</v>
      </c>
      <c r="E181" s="29">
        <f>chitiet!D1823</f>
        <v>0</v>
      </c>
      <c r="F181" s="4"/>
      <c r="G181" s="7">
        <f t="shared" si="20"/>
        <v>0</v>
      </c>
      <c r="H181" s="4"/>
      <c r="I181" s="4"/>
      <c r="J181" s="4"/>
    </row>
    <row r="182" spans="1:10" s="1" customFormat="1" ht="17.25">
      <c r="A182" s="9" t="str">
        <f>chitiet!B1824</f>
        <v>KN185</v>
      </c>
      <c r="B182" s="18"/>
      <c r="C182" s="37" t="e">
        <f t="shared" si="16"/>
        <v>#NAME?</v>
      </c>
      <c r="D182" s="29" t="e">
        <f t="shared" si="17"/>
        <v>#NAME?</v>
      </c>
      <c r="E182" s="29">
        <f>chitiet!D1824</f>
        <v>0</v>
      </c>
      <c r="F182" s="4"/>
      <c r="G182" s="7">
        <f t="shared" si="20"/>
        <v>0</v>
      </c>
      <c r="H182" s="4"/>
      <c r="I182" s="4"/>
      <c r="J182" s="4"/>
    </row>
    <row r="183" spans="1:10" s="1" customFormat="1" ht="17.25">
      <c r="A183" s="9" t="str">
        <f>chitiet!B1825</f>
        <v>BM16300</v>
      </c>
      <c r="B183" s="18"/>
      <c r="C183" s="37" t="e">
        <f t="shared" si="16"/>
        <v>#NAME?</v>
      </c>
      <c r="D183" s="29" t="e">
        <f t="shared" si="17"/>
        <v>#NAME?</v>
      </c>
      <c r="E183" s="29">
        <f>chitiet!D1825</f>
        <v>0</v>
      </c>
      <c r="F183" s="4"/>
      <c r="G183" s="7">
        <f t="shared" si="20"/>
        <v>0</v>
      </c>
      <c r="H183" s="4"/>
      <c r="I183" s="4"/>
      <c r="J183" s="4"/>
    </row>
    <row r="184" spans="1:10" s="1" customFormat="1" ht="17.25">
      <c r="A184" s="9" t="str">
        <f>chitiet!B1826</f>
        <v>CD bắt xà</v>
      </c>
      <c r="B184" s="18" t="str">
        <f>IF(E184=0,"",COUNTIF($B$116:$B176,"&gt;0")+1)</f>
        <v/>
      </c>
      <c r="C184" s="37" t="e">
        <f t="shared" si="16"/>
        <v>#NAME?</v>
      </c>
      <c r="D184" s="29" t="e">
        <f t="shared" si="17"/>
        <v>#NAME?</v>
      </c>
      <c r="E184" s="29">
        <f>chitiet!D1826</f>
        <v>0</v>
      </c>
      <c r="F184" s="4"/>
      <c r="G184" s="7">
        <f t="shared" si="19"/>
        <v>0</v>
      </c>
      <c r="H184" s="4"/>
      <c r="I184" s="4"/>
      <c r="J184" s="4"/>
    </row>
    <row r="185" spans="1:10" s="1" customFormat="1" ht="17.25">
      <c r="A185" s="9" t="str">
        <f>chitiet!B1827</f>
        <v>cdtru140</v>
      </c>
      <c r="B185" s="18" t="str">
        <f>IF(E185=0,"",COUNTIF($B$116:$B184,"&gt;0")+1)</f>
        <v/>
      </c>
      <c r="C185" s="37" t="e">
        <f t="shared" si="16"/>
        <v>#NAME?</v>
      </c>
      <c r="D185" s="29" t="e">
        <f t="shared" si="17"/>
        <v>#NAME?</v>
      </c>
      <c r="E185" s="29">
        <f>chitiet!D1827</f>
        <v>0</v>
      </c>
      <c r="F185" s="4"/>
      <c r="G185" s="7">
        <f t="shared" si="19"/>
        <v>0</v>
      </c>
      <c r="H185" s="4"/>
      <c r="I185" s="4"/>
      <c r="J185" s="4"/>
    </row>
    <row r="186" spans="1:10" ht="15">
      <c r="A186" s="120">
        <f>chitiet!B1831</f>
        <v>0</v>
      </c>
      <c r="B186" s="114">
        <f>IF(E186=0,"",COUNTIF($B$116:$B184,"&gt;0")+1)</f>
        <v>1</v>
      </c>
      <c r="C186" s="122" t="s">
        <v>4146</v>
      </c>
      <c r="D186" s="122"/>
      <c r="E186" s="122">
        <v>1</v>
      </c>
      <c r="F186" s="105"/>
      <c r="G186" s="113">
        <v>1</v>
      </c>
      <c r="H186" s="105"/>
      <c r="I186" s="105"/>
      <c r="J186" s="105"/>
    </row>
    <row r="187" spans="1:10" s="1" customFormat="1" ht="17.25">
      <c r="A187" s="9" t="str">
        <f>chitiet!B1832</f>
        <v>KD240</v>
      </c>
      <c r="B187" s="18" t="str">
        <f>IF(E187=0,"",COUNTIF($B$116:$B186,"&gt;0")+1)</f>
        <v/>
      </c>
      <c r="C187" s="37" t="e">
        <f>VLOOKUP($A187,DSPK3p1m,4,)</f>
        <v>#NAME?</v>
      </c>
      <c r="D187" s="29" t="e">
        <f t="shared" ref="D187:D248" si="21">VLOOKUP($A187,DSPK3p1m,5,)</f>
        <v>#NAME?</v>
      </c>
      <c r="E187" s="29">
        <f>chitiet!D1832</f>
        <v>0</v>
      </c>
      <c r="F187" s="4"/>
      <c r="G187" s="7">
        <f>IF(E187&lt;&gt;0,1,0)</f>
        <v>0</v>
      </c>
      <c r="H187" s="4"/>
      <c r="I187" s="4"/>
      <c r="J187" s="4"/>
    </row>
    <row r="188" spans="1:10" s="1" customFormat="1" ht="17.25">
      <c r="A188" s="9" t="str">
        <f>chitiet!B1833</f>
        <v>KD185</v>
      </c>
      <c r="B188" s="18" t="str">
        <f>IF(E188=0,"",COUNTIF($B$116:$B187,"&gt;0")+1)</f>
        <v/>
      </c>
      <c r="C188" s="37" t="e">
        <f>VLOOKUP($A188,DSPK3p1m,4,)</f>
        <v>#NAME?</v>
      </c>
      <c r="D188" s="29" t="e">
        <f t="shared" si="21"/>
        <v>#NAME?</v>
      </c>
      <c r="E188" s="29">
        <f>chitiet!D1833</f>
        <v>0</v>
      </c>
      <c r="F188" s="4"/>
      <c r="G188" s="7">
        <f t="shared" ref="G188:G200" si="22">IF(E188&lt;&gt;0,1,0)</f>
        <v>0</v>
      </c>
      <c r="H188" s="4"/>
      <c r="I188" s="4"/>
      <c r="J188" s="4"/>
    </row>
    <row r="189" spans="1:10" s="1" customFormat="1" ht="17.25">
      <c r="A189" s="9" t="str">
        <f>chitiet!B1834</f>
        <v>KD150</v>
      </c>
      <c r="B189" s="18" t="str">
        <f>IF(E189=0,"",COUNTIF($B$116:$B188,"&gt;0")+1)</f>
        <v/>
      </c>
      <c r="C189" s="37" t="e">
        <f t="shared" ref="C189:C248" si="23">VLOOKUP($A189,DSPK3p1m,4,)</f>
        <v>#NAME?</v>
      </c>
      <c r="D189" s="29" t="e">
        <f t="shared" si="21"/>
        <v>#NAME?</v>
      </c>
      <c r="E189" s="29">
        <f>chitiet!D1834</f>
        <v>0</v>
      </c>
      <c r="F189" s="4"/>
      <c r="G189" s="7">
        <f t="shared" si="22"/>
        <v>0</v>
      </c>
      <c r="H189" s="4"/>
      <c r="I189" s="4"/>
      <c r="J189" s="4"/>
    </row>
    <row r="190" spans="1:10" s="1" customFormat="1" ht="17.25">
      <c r="A190" s="9" t="str">
        <f>chitiet!B1835</f>
        <v>KD120</v>
      </c>
      <c r="B190" s="18" t="str">
        <f>IF(E190=0,"",COUNTIF($B$116:$B189,"&gt;0")+1)</f>
        <v/>
      </c>
      <c r="C190" s="37" t="e">
        <f t="shared" si="23"/>
        <v>#NAME?</v>
      </c>
      <c r="D190" s="29" t="e">
        <f t="shared" si="21"/>
        <v>#NAME?</v>
      </c>
      <c r="E190" s="29">
        <f>chitiet!D1835</f>
        <v>0</v>
      </c>
      <c r="F190" s="4"/>
      <c r="G190" s="7">
        <f t="shared" si="22"/>
        <v>0</v>
      </c>
      <c r="H190" s="4"/>
      <c r="I190" s="4"/>
      <c r="J190" s="4"/>
    </row>
    <row r="191" spans="1:10" s="1" customFormat="1" ht="17.25">
      <c r="A191" s="9" t="str">
        <f>chitiet!B1836</f>
        <v>KD95</v>
      </c>
      <c r="B191" s="18" t="str">
        <f>IF(E191=0,"",COUNTIF($B$116:$B190,"&gt;0")+1)</f>
        <v/>
      </c>
      <c r="C191" s="37" t="e">
        <f t="shared" si="23"/>
        <v>#NAME?</v>
      </c>
      <c r="D191" s="29" t="e">
        <f t="shared" si="21"/>
        <v>#NAME?</v>
      </c>
      <c r="E191" s="29">
        <f>chitiet!D1836</f>
        <v>0</v>
      </c>
      <c r="F191" s="4"/>
      <c r="G191" s="7">
        <f t="shared" si="22"/>
        <v>0</v>
      </c>
      <c r="H191" s="4"/>
      <c r="I191" s="4"/>
      <c r="J191" s="4"/>
    </row>
    <row r="192" spans="1:10" s="1" customFormat="1" ht="17.25">
      <c r="A192" s="9" t="str">
        <f>chitiet!B1837</f>
        <v>KD70</v>
      </c>
      <c r="B192" s="18" t="str">
        <f>IF(E192=0,"",COUNTIF($B$116:$B191,"&gt;0")+1)</f>
        <v/>
      </c>
      <c r="C192" s="37" t="e">
        <f t="shared" si="23"/>
        <v>#NAME?</v>
      </c>
      <c r="D192" s="29" t="e">
        <f t="shared" si="21"/>
        <v>#NAME?</v>
      </c>
      <c r="E192" s="29">
        <f>chitiet!D1837</f>
        <v>0</v>
      </c>
      <c r="F192" s="4"/>
      <c r="G192" s="7">
        <f t="shared" si="22"/>
        <v>0</v>
      </c>
      <c r="H192" s="4"/>
      <c r="I192" s="4"/>
      <c r="J192" s="4"/>
    </row>
    <row r="193" spans="1:10" s="1" customFormat="1" ht="17.25">
      <c r="A193" s="9" t="str">
        <f>chitiet!B1838</f>
        <v>KD50</v>
      </c>
      <c r="B193" s="18" t="str">
        <f>IF(E193=0,"",COUNTIF($B$116:$B192,"&gt;0")+1)</f>
        <v/>
      </c>
      <c r="C193" s="37" t="e">
        <f t="shared" si="23"/>
        <v>#NAME?</v>
      </c>
      <c r="D193" s="29" t="e">
        <f t="shared" si="21"/>
        <v>#NAME?</v>
      </c>
      <c r="E193" s="29">
        <f>chitiet!D1838</f>
        <v>0</v>
      </c>
      <c r="F193" s="4"/>
      <c r="G193" s="7">
        <f t="shared" si="22"/>
        <v>0</v>
      </c>
      <c r="H193" s="4"/>
      <c r="I193" s="4"/>
      <c r="J193" s="4"/>
    </row>
    <row r="194" spans="1:10" s="1" customFormat="1" ht="17.25">
      <c r="A194" s="9" t="str">
        <f>chitiet!B1839</f>
        <v>KN240</v>
      </c>
      <c r="B194" s="18" t="str">
        <f>IF(E194=0,"",COUNTIF($B$116:$B193,"&gt;0")+1)</f>
        <v/>
      </c>
      <c r="C194" s="37" t="e">
        <f t="shared" si="23"/>
        <v>#NAME?</v>
      </c>
      <c r="D194" s="29" t="e">
        <f t="shared" si="21"/>
        <v>#NAME?</v>
      </c>
      <c r="E194" s="29">
        <f>chitiet!D1839</f>
        <v>0</v>
      </c>
      <c r="F194" s="4"/>
      <c r="G194" s="7">
        <f t="shared" si="22"/>
        <v>0</v>
      </c>
      <c r="H194" s="4"/>
      <c r="I194" s="4"/>
      <c r="J194" s="4"/>
    </row>
    <row r="195" spans="1:10" s="1" customFormat="1" ht="17.25">
      <c r="A195" s="9" t="str">
        <f>chitiet!B1840</f>
        <v>kn50</v>
      </c>
      <c r="B195" s="18" t="str">
        <f>IF(E195=0,"",COUNTIF($B$116:$B194,"&gt;0")+1)</f>
        <v/>
      </c>
      <c r="C195" s="37" t="e">
        <f t="shared" si="23"/>
        <v>#NAME?</v>
      </c>
      <c r="D195" s="29" t="e">
        <f t="shared" si="21"/>
        <v>#NAME?</v>
      </c>
      <c r="E195" s="29">
        <f>chitiet!D1840</f>
        <v>0</v>
      </c>
      <c r="F195" s="4"/>
      <c r="G195" s="7">
        <f t="shared" si="22"/>
        <v>0</v>
      </c>
      <c r="H195" s="4"/>
      <c r="I195" s="4"/>
      <c r="J195" s="4"/>
    </row>
    <row r="196" spans="1:10" s="1" customFormat="1" ht="17.25">
      <c r="A196" s="9" t="str">
        <f>chitiet!B1841</f>
        <v>KN150</v>
      </c>
      <c r="B196" s="18" t="str">
        <f>IF(E196=0,"",COUNTIF($B$116:$B195,"&gt;0")+1)</f>
        <v/>
      </c>
      <c r="C196" s="37" t="e">
        <f t="shared" si="23"/>
        <v>#NAME?</v>
      </c>
      <c r="D196" s="29" t="e">
        <f t="shared" si="21"/>
        <v>#NAME?</v>
      </c>
      <c r="E196" s="29">
        <f>chitiet!D1841</f>
        <v>0</v>
      </c>
      <c r="F196" s="4"/>
      <c r="G196" s="7">
        <f t="shared" si="22"/>
        <v>0</v>
      </c>
      <c r="H196" s="4"/>
      <c r="I196" s="4"/>
      <c r="J196" s="4"/>
    </row>
    <row r="197" spans="1:10" s="1" customFormat="1" ht="17.25">
      <c r="A197" s="9" t="str">
        <f>chitiet!B1842</f>
        <v>KN120</v>
      </c>
      <c r="B197" s="18" t="str">
        <f>IF(E197=0,"",COUNTIF($B$116:$B196,"&gt;0")+1)</f>
        <v/>
      </c>
      <c r="C197" s="37" t="e">
        <f t="shared" si="23"/>
        <v>#NAME?</v>
      </c>
      <c r="D197" s="29" t="e">
        <f t="shared" si="21"/>
        <v>#NAME?</v>
      </c>
      <c r="E197" s="29">
        <f>chitiet!D1842</f>
        <v>0</v>
      </c>
      <c r="F197" s="4"/>
      <c r="G197" s="7">
        <f t="shared" si="22"/>
        <v>0</v>
      </c>
      <c r="H197" s="4"/>
      <c r="I197" s="4"/>
      <c r="J197" s="4"/>
    </row>
    <row r="198" spans="1:10" s="1" customFormat="1" ht="17.25">
      <c r="A198" s="9" t="str">
        <f>chitiet!B1843</f>
        <v>KN95</v>
      </c>
      <c r="B198" s="18" t="str">
        <f>IF(E198=0,"",COUNTIF($B$116:$B197,"&gt;0")+1)</f>
        <v/>
      </c>
      <c r="C198" s="37" t="e">
        <f t="shared" si="23"/>
        <v>#NAME?</v>
      </c>
      <c r="D198" s="29" t="e">
        <f t="shared" si="21"/>
        <v>#NAME?</v>
      </c>
      <c r="E198" s="29">
        <f>chitiet!D1843</f>
        <v>0</v>
      </c>
      <c r="F198" s="4"/>
      <c r="G198" s="7">
        <f t="shared" si="22"/>
        <v>0</v>
      </c>
      <c r="H198" s="4"/>
      <c r="I198" s="4"/>
      <c r="J198" s="4"/>
    </row>
    <row r="199" spans="1:10" s="1" customFormat="1" ht="17.25">
      <c r="A199" s="9" t="str">
        <f>chitiet!B1844</f>
        <v>KN70</v>
      </c>
      <c r="B199" s="18" t="str">
        <f>IF(E199=0,"",COUNTIF($B$116:$B198,"&gt;0")+1)</f>
        <v/>
      </c>
      <c r="C199" s="37" t="e">
        <f t="shared" si="23"/>
        <v>#NAME?</v>
      </c>
      <c r="D199" s="29" t="e">
        <f t="shared" si="21"/>
        <v>#NAME?</v>
      </c>
      <c r="E199" s="29">
        <f>chitiet!D1844</f>
        <v>0</v>
      </c>
      <c r="F199" s="4"/>
      <c r="G199" s="7">
        <f t="shared" si="22"/>
        <v>0</v>
      </c>
      <c r="H199" s="4"/>
      <c r="I199" s="4"/>
      <c r="J199" s="4"/>
    </row>
    <row r="200" spans="1:10" s="1" customFormat="1" ht="17.25">
      <c r="A200" s="9" t="str">
        <f>chitiet!B1845</f>
        <v>KN50</v>
      </c>
      <c r="B200" s="18" t="str">
        <f>IF(E200=0,"",COUNTIF($B$116:$B199,"&gt;0")+1)</f>
        <v/>
      </c>
      <c r="C200" s="37" t="e">
        <f t="shared" si="23"/>
        <v>#NAME?</v>
      </c>
      <c r="D200" s="29" t="e">
        <f t="shared" si="21"/>
        <v>#NAME?</v>
      </c>
      <c r="E200" s="29">
        <f>chitiet!D1845</f>
        <v>0</v>
      </c>
      <c r="F200" s="4"/>
      <c r="G200" s="7">
        <f t="shared" si="22"/>
        <v>0</v>
      </c>
      <c r="H200" s="4"/>
      <c r="I200" s="4"/>
      <c r="J200" s="4"/>
    </row>
    <row r="201" spans="1:10" s="1" customFormat="1" ht="17.25">
      <c r="A201" s="9" t="str">
        <f>chitiet!B1846</f>
        <v>oxc25</v>
      </c>
      <c r="B201" s="18" t="str">
        <f>IF(E201=0,"",COUNTIF($B$116:$B200,"&gt;0")+1)</f>
        <v/>
      </c>
      <c r="C201" s="37" t="e">
        <f t="shared" si="23"/>
        <v>#NAME?</v>
      </c>
      <c r="D201" s="29" t="e">
        <f t="shared" si="21"/>
        <v>#NAME?</v>
      </c>
      <c r="E201" s="29">
        <f>chitiet!D1846</f>
        <v>0</v>
      </c>
      <c r="F201" s="4"/>
      <c r="G201" s="7">
        <f t="shared" ref="G201:G247" si="24">IF(E201&lt;&gt;0,1,0)</f>
        <v>0</v>
      </c>
      <c r="H201" s="4"/>
      <c r="I201" s="4"/>
      <c r="J201" s="4"/>
    </row>
    <row r="202" spans="1:10" s="1" customFormat="1" ht="17.25">
      <c r="A202" s="9" t="str">
        <f>chitiet!B1848</f>
        <v>ke35</v>
      </c>
      <c r="B202" s="18" t="str">
        <f>IF(E202=0,"",COUNTIF($B$116:$B201,"&gt;0")+1)</f>
        <v/>
      </c>
      <c r="C202" s="37" t="e">
        <f t="shared" si="23"/>
        <v>#NAME?</v>
      </c>
      <c r="D202" s="29" t="e">
        <f t="shared" si="21"/>
        <v>#NAME?</v>
      </c>
      <c r="E202" s="29">
        <f>chitiet!D1848</f>
        <v>0</v>
      </c>
      <c r="F202" s="4"/>
      <c r="G202" s="7">
        <f t="shared" si="24"/>
        <v>0</v>
      </c>
      <c r="H202" s="4"/>
      <c r="I202" s="4"/>
      <c r="J202" s="4"/>
    </row>
    <row r="203" spans="1:10" ht="15">
      <c r="A203" s="120" t="str">
        <f>chitiet!B1849</f>
        <v>ke50</v>
      </c>
      <c r="B203" s="114"/>
      <c r="C203" s="125" t="e">
        <f>VLOOKUP($A203,DSPK3p1m,4,)</f>
        <v>#NAME?</v>
      </c>
      <c r="D203" s="126" t="e">
        <f t="shared" si="21"/>
        <v>#NAME?</v>
      </c>
      <c r="E203" s="126">
        <f>chitiet!D1849</f>
        <v>18</v>
      </c>
      <c r="F203" s="105"/>
      <c r="G203" s="113">
        <f t="shared" si="24"/>
        <v>1</v>
      </c>
      <c r="H203" s="105"/>
      <c r="I203" s="105"/>
      <c r="J203" s="105"/>
    </row>
    <row r="204" spans="1:10" s="1" customFormat="1" ht="17.25">
      <c r="A204" s="9" t="str">
        <f>chitiet!B1850</f>
        <v>ke70</v>
      </c>
      <c r="B204" s="18"/>
      <c r="C204" s="37" t="e">
        <f t="shared" si="23"/>
        <v>#NAME?</v>
      </c>
      <c r="D204" s="29" t="e">
        <f t="shared" si="21"/>
        <v>#NAME?</v>
      </c>
      <c r="E204" s="29">
        <f>chitiet!D1850</f>
        <v>0</v>
      </c>
      <c r="F204" s="4"/>
      <c r="G204" s="7">
        <f t="shared" ref="G204:G209" si="25">IF(E204&lt;&gt;0,1,0)</f>
        <v>0</v>
      </c>
      <c r="H204" s="4"/>
      <c r="I204" s="4"/>
      <c r="J204" s="4"/>
    </row>
    <row r="205" spans="1:10" s="1" customFormat="1" ht="17.25">
      <c r="A205" s="9" t="str">
        <f>chitiet!B1851</f>
        <v>ke95</v>
      </c>
      <c r="B205" s="18" t="str">
        <f>IF(E205=0,"",COUNTIF($B$116:$B204,"&gt;0")+1)</f>
        <v/>
      </c>
      <c r="C205" s="37" t="e">
        <f t="shared" si="23"/>
        <v>#NAME?</v>
      </c>
      <c r="D205" s="29" t="e">
        <f t="shared" si="21"/>
        <v>#NAME?</v>
      </c>
      <c r="E205" s="29">
        <f>chitiet!D1851</f>
        <v>0</v>
      </c>
      <c r="F205" s="4"/>
      <c r="G205" s="7">
        <f t="shared" si="25"/>
        <v>0</v>
      </c>
      <c r="H205" s="4"/>
      <c r="I205" s="4"/>
      <c r="J205" s="4"/>
    </row>
    <row r="206" spans="1:10" s="1" customFormat="1" ht="17.25">
      <c r="A206" s="9" t="str">
        <f>chitiet!B1852</f>
        <v>ke120</v>
      </c>
      <c r="B206" s="18" t="str">
        <f>IF(E206=0,"",COUNTIF($B$116:$B204,"&gt;0")+1)</f>
        <v/>
      </c>
      <c r="C206" s="37" t="e">
        <f t="shared" si="23"/>
        <v>#NAME?</v>
      </c>
      <c r="D206" s="29" t="e">
        <f t="shared" si="21"/>
        <v>#NAME?</v>
      </c>
      <c r="E206" s="29">
        <f>chitiet!D1852</f>
        <v>0</v>
      </c>
      <c r="F206" s="4"/>
      <c r="G206" s="7">
        <f t="shared" si="25"/>
        <v>0</v>
      </c>
      <c r="H206" s="4"/>
      <c r="I206" s="4"/>
      <c r="J206" s="4"/>
    </row>
    <row r="207" spans="1:10" s="1" customFormat="1" ht="17.25">
      <c r="A207" s="9" t="str">
        <f>chitiet!B1853</f>
        <v>ke150</v>
      </c>
      <c r="B207" s="18" t="str">
        <f>IF(E207=0,"",COUNTIF($B$116:$B206,"&gt;0")+1)</f>
        <v/>
      </c>
      <c r="C207" s="37" t="e">
        <f t="shared" si="23"/>
        <v>#NAME?</v>
      </c>
      <c r="D207" s="29" t="e">
        <f t="shared" si="21"/>
        <v>#NAME?</v>
      </c>
      <c r="E207" s="29">
        <f>chitiet!D1853</f>
        <v>0</v>
      </c>
      <c r="F207" s="4"/>
      <c r="G207" s="7">
        <f t="shared" si="25"/>
        <v>0</v>
      </c>
      <c r="H207" s="4"/>
      <c r="I207" s="4"/>
      <c r="J207" s="4"/>
    </row>
    <row r="208" spans="1:10" s="1" customFormat="1" ht="17.25">
      <c r="A208" s="9" t="str">
        <f>chitiet!B1854</f>
        <v>ke185</v>
      </c>
      <c r="B208" s="18" t="str">
        <f>IF(E208=0,"",COUNTIF($B$116:$B207,"&gt;0")+1)</f>
        <v/>
      </c>
      <c r="C208" s="37" t="e">
        <f t="shared" si="23"/>
        <v>#NAME?</v>
      </c>
      <c r="D208" s="29" t="e">
        <f t="shared" si="21"/>
        <v>#NAME?</v>
      </c>
      <c r="E208" s="29">
        <f>chitiet!D1854</f>
        <v>0</v>
      </c>
      <c r="F208" s="4"/>
      <c r="G208" s="7">
        <f t="shared" si="25"/>
        <v>0</v>
      </c>
      <c r="H208" s="4"/>
      <c r="I208" s="4"/>
      <c r="J208" s="4"/>
    </row>
    <row r="209" spans="1:10" s="1" customFormat="1" ht="17.25">
      <c r="A209" s="9" t="str">
        <f>chitiet!B1855</f>
        <v>ke240</v>
      </c>
      <c r="B209" s="18" t="str">
        <f>IF(E209=0,"",COUNTIF($B$116:$B207,"&gt;0")+1)</f>
        <v/>
      </c>
      <c r="C209" s="37" t="e">
        <f t="shared" si="23"/>
        <v>#NAME?</v>
      </c>
      <c r="D209" s="29" t="e">
        <f t="shared" si="21"/>
        <v>#NAME?</v>
      </c>
      <c r="E209" s="29">
        <f>chitiet!D1855</f>
        <v>0</v>
      </c>
      <c r="F209" s="4"/>
      <c r="G209" s="7">
        <f t="shared" si="25"/>
        <v>0</v>
      </c>
      <c r="H209" s="4"/>
      <c r="I209" s="4"/>
      <c r="J209" s="4"/>
    </row>
    <row r="210" spans="1:10" s="1" customFormat="1" ht="17.25">
      <c r="A210" s="9" t="str">
        <f>chitiet!B1856</f>
        <v>k50</v>
      </c>
      <c r="B210" s="18" t="str">
        <f>IF(E210=0,"",COUNTIF($B$116:$B202,"&gt;0")+1)</f>
        <v/>
      </c>
      <c r="C210" s="37" t="e">
        <f t="shared" si="23"/>
        <v>#NAME?</v>
      </c>
      <c r="D210" s="29" t="e">
        <f t="shared" si="21"/>
        <v>#NAME?</v>
      </c>
      <c r="E210" s="29">
        <f>chitiet!D1856</f>
        <v>0</v>
      </c>
      <c r="F210" s="4"/>
      <c r="G210" s="7">
        <f t="shared" si="24"/>
        <v>0</v>
      </c>
      <c r="H210" s="4"/>
      <c r="I210" s="4"/>
      <c r="J210" s="4"/>
    </row>
    <row r="211" spans="1:10" s="1" customFormat="1" ht="17.25">
      <c r="A211" s="9" t="str">
        <f>chitiet!B1857</f>
        <v>k70</v>
      </c>
      <c r="B211" s="18" t="str">
        <f>IF(E211=0,"",COUNTIF($B$116:$B210,"&gt;0")+1)</f>
        <v/>
      </c>
      <c r="C211" s="37" t="e">
        <f t="shared" si="23"/>
        <v>#NAME?</v>
      </c>
      <c r="D211" s="29" t="e">
        <f t="shared" si="21"/>
        <v>#NAME?</v>
      </c>
      <c r="E211" s="29">
        <f>chitiet!D1857</f>
        <v>0</v>
      </c>
      <c r="F211" s="4"/>
      <c r="G211" s="7">
        <f t="shared" si="24"/>
        <v>0</v>
      </c>
      <c r="H211" s="4"/>
      <c r="I211" s="4"/>
      <c r="J211" s="4"/>
    </row>
    <row r="212" spans="1:10" s="1" customFormat="1" ht="17.25">
      <c r="A212" s="9" t="str">
        <f>chitiet!B1858</f>
        <v>k95</v>
      </c>
      <c r="B212" s="18" t="str">
        <f>IF(E212=0,"",COUNTIF($B$116:$B211,"&gt;0")+1)</f>
        <v/>
      </c>
      <c r="C212" s="37" t="e">
        <f t="shared" si="23"/>
        <v>#NAME?</v>
      </c>
      <c r="D212" s="29" t="e">
        <f t="shared" si="21"/>
        <v>#NAME?</v>
      </c>
      <c r="E212" s="29">
        <f>chitiet!D1858</f>
        <v>0</v>
      </c>
      <c r="F212" s="4"/>
      <c r="G212" s="7">
        <f t="shared" si="24"/>
        <v>0</v>
      </c>
      <c r="H212" s="4"/>
      <c r="I212" s="4"/>
      <c r="J212" s="4"/>
    </row>
    <row r="213" spans="1:10" s="1" customFormat="1" ht="17.25">
      <c r="A213" s="9" t="str">
        <f>chitiet!B1859</f>
        <v>k150</v>
      </c>
      <c r="B213" s="18" t="str">
        <f>IF(E213=0,"",COUNTIF($B$116:$B212,"&gt;0")+1)</f>
        <v/>
      </c>
      <c r="C213" s="37" t="e">
        <f t="shared" si="23"/>
        <v>#NAME?</v>
      </c>
      <c r="D213" s="29" t="e">
        <f t="shared" si="21"/>
        <v>#NAME?</v>
      </c>
      <c r="E213" s="29">
        <f>chitiet!D1859</f>
        <v>0</v>
      </c>
      <c r="F213" s="4"/>
      <c r="G213" s="7">
        <f t="shared" si="24"/>
        <v>0</v>
      </c>
      <c r="H213" s="4"/>
      <c r="I213" s="4"/>
      <c r="J213" s="4"/>
    </row>
    <row r="214" spans="1:10" s="1" customFormat="1" ht="17.25">
      <c r="A214" s="9" t="str">
        <f>chitiet!B1860</f>
        <v>k185</v>
      </c>
      <c r="B214" s="18" t="str">
        <f>IF(E214=0,"",COUNTIF($B$116:$B213,"&gt;0")+1)</f>
        <v/>
      </c>
      <c r="C214" s="37" t="e">
        <f t="shared" si="23"/>
        <v>#NAME?</v>
      </c>
      <c r="D214" s="29" t="e">
        <f t="shared" si="21"/>
        <v>#NAME?</v>
      </c>
      <c r="E214" s="29">
        <f>chitiet!D1875</f>
        <v>0</v>
      </c>
      <c r="F214" s="4"/>
      <c r="G214" s="7">
        <f t="shared" si="24"/>
        <v>0</v>
      </c>
      <c r="H214" s="4"/>
      <c r="I214" s="4"/>
      <c r="J214" s="4"/>
    </row>
    <row r="215" spans="1:10" s="1" customFormat="1" ht="17.25">
      <c r="A215" s="9" t="str">
        <f>chitiet!B1861</f>
        <v>k50</v>
      </c>
      <c r="B215" s="18" t="str">
        <f>IF(E215=0,"",COUNTIF($B$116:$B214,"&gt;0")+1)</f>
        <v/>
      </c>
      <c r="C215" s="37" t="e">
        <f t="shared" si="23"/>
        <v>#NAME?</v>
      </c>
      <c r="D215" s="29" t="e">
        <f t="shared" si="21"/>
        <v>#NAME?</v>
      </c>
      <c r="E215" s="29">
        <f>chitiet!D1861</f>
        <v>0</v>
      </c>
      <c r="F215" s="4"/>
      <c r="G215" s="7">
        <f t="shared" si="24"/>
        <v>0</v>
      </c>
      <c r="H215" s="4"/>
      <c r="I215" s="4"/>
      <c r="J215" s="4"/>
    </row>
    <row r="216" spans="1:10" s="1" customFormat="1" ht="17.25">
      <c r="A216" s="9" t="str">
        <f>chitiet!B1862</f>
        <v>cose50</v>
      </c>
      <c r="B216" s="18" t="str">
        <f>IF(E216=0,"",COUNTIF($B$116:$B215,"&gt;0")+1)</f>
        <v/>
      </c>
      <c r="C216" s="37" t="e">
        <f t="shared" si="23"/>
        <v>#NAME?</v>
      </c>
      <c r="D216" s="29" t="e">
        <f t="shared" si="21"/>
        <v>#NAME?</v>
      </c>
      <c r="E216" s="29">
        <f>chitiet!D1862</f>
        <v>0</v>
      </c>
      <c r="F216" s="4"/>
      <c r="G216" s="7">
        <f>IF(E216&lt;&gt;0,1,0)</f>
        <v>0</v>
      </c>
      <c r="H216" s="4"/>
      <c r="I216" s="4"/>
      <c r="J216" s="4"/>
    </row>
    <row r="217" spans="1:10" s="1" customFormat="1" ht="17.25">
      <c r="A217" s="9" t="str">
        <f>chitiet!B1863</f>
        <v>cos95</v>
      </c>
      <c r="B217" s="18" t="str">
        <f>IF(E217=0,"",COUNTIF($B$116:$B215,"&gt;0")+1)</f>
        <v/>
      </c>
      <c r="C217" s="37" t="e">
        <f t="shared" si="23"/>
        <v>#NAME?</v>
      </c>
      <c r="D217" s="29" t="e">
        <f t="shared" si="21"/>
        <v>#NAME?</v>
      </c>
      <c r="E217" s="29">
        <f>chitiet!D1863</f>
        <v>0</v>
      </c>
      <c r="F217" s="4"/>
      <c r="G217" s="7">
        <f t="shared" si="24"/>
        <v>0</v>
      </c>
      <c r="H217" s="4"/>
      <c r="I217" s="4"/>
      <c r="J217" s="4"/>
    </row>
    <row r="218" spans="1:10" s="1" customFormat="1" ht="17.25">
      <c r="A218" s="9" t="str">
        <f>chitiet!B1864</f>
        <v>cos120</v>
      </c>
      <c r="B218" s="18" t="str">
        <f>IF(E218=0,"",COUNTIF($B$116:$B217,"&gt;0")+1)</f>
        <v/>
      </c>
      <c r="C218" s="37" t="e">
        <f t="shared" si="23"/>
        <v>#NAME?</v>
      </c>
      <c r="D218" s="29" t="e">
        <f t="shared" si="21"/>
        <v>#NAME?</v>
      </c>
      <c r="E218" s="29">
        <f>chitiet!D1864</f>
        <v>0</v>
      </c>
      <c r="F218" s="4"/>
      <c r="G218" s="7">
        <f t="shared" si="24"/>
        <v>0</v>
      </c>
      <c r="H218" s="4"/>
      <c r="I218" s="4"/>
      <c r="J218" s="4"/>
    </row>
    <row r="219" spans="1:10" s="1" customFormat="1" ht="17.25">
      <c r="A219" s="9" t="str">
        <f>chitiet!B1865</f>
        <v>cos150</v>
      </c>
      <c r="B219" s="18" t="str">
        <f>IF(E219=0,"",COUNTIF($B$116:$B218,"&gt;0")+1)</f>
        <v/>
      </c>
      <c r="C219" s="37" t="e">
        <f t="shared" si="23"/>
        <v>#NAME?</v>
      </c>
      <c r="D219" s="29" t="e">
        <f t="shared" si="21"/>
        <v>#NAME?</v>
      </c>
      <c r="E219" s="29">
        <f>chitiet!D1865</f>
        <v>0</v>
      </c>
      <c r="F219" s="4"/>
      <c r="G219" s="7">
        <f t="shared" si="24"/>
        <v>0</v>
      </c>
      <c r="H219" s="4"/>
      <c r="I219" s="4"/>
      <c r="J219" s="4"/>
    </row>
    <row r="220" spans="1:10" s="1" customFormat="1" ht="17.25">
      <c r="A220" s="9" t="str">
        <f>chitiet!B1868</f>
        <v>ttf50</v>
      </c>
      <c r="B220" s="18">
        <f>IF(E220=0,"",COUNTIF($B$116:$B219,"&gt;0")+1)</f>
        <v>2</v>
      </c>
      <c r="C220" s="37" t="e">
        <f t="shared" si="23"/>
        <v>#NAME?</v>
      </c>
      <c r="D220" s="29" t="e">
        <f t="shared" si="21"/>
        <v>#NAME?</v>
      </c>
      <c r="E220" s="29">
        <f>chitiet!D1868</f>
        <v>63</v>
      </c>
      <c r="F220" s="4"/>
      <c r="G220" s="7">
        <f t="shared" si="24"/>
        <v>1</v>
      </c>
      <c r="H220" s="4"/>
      <c r="I220" s="4"/>
      <c r="J220" s="4"/>
    </row>
    <row r="221" spans="1:10" s="1" customFormat="1" ht="17.25">
      <c r="A221" s="9" t="str">
        <f>chitiet!B1869</f>
        <v>ssf50</v>
      </c>
      <c r="B221" s="18">
        <f>IF(E221=0,"",COUNTIF($B$116:$B220,"&gt;0")+1)</f>
        <v>3</v>
      </c>
      <c r="C221" s="37" t="e">
        <f t="shared" si="23"/>
        <v>#NAME?</v>
      </c>
      <c r="D221" s="29" t="e">
        <f t="shared" si="21"/>
        <v>#NAME?</v>
      </c>
      <c r="E221" s="29">
        <f>chitiet!D1869</f>
        <v>6</v>
      </c>
      <c r="F221" s="4"/>
      <c r="G221" s="7">
        <f t="shared" si="24"/>
        <v>1</v>
      </c>
      <c r="H221" s="4"/>
      <c r="I221" s="4"/>
      <c r="J221" s="4"/>
    </row>
    <row r="222" spans="1:10" s="1" customFormat="1" ht="17.25">
      <c r="A222" s="9" t="str">
        <f>chitiet!B1870</f>
        <v>B1230</v>
      </c>
      <c r="B222" s="18" t="str">
        <f>IF(E222=0,"",COUNTIF($B$116:$B221,"&gt;0")+1)</f>
        <v/>
      </c>
      <c r="C222" s="37" t="e">
        <f t="shared" si="23"/>
        <v>#NAME?</v>
      </c>
      <c r="D222" s="29" t="e">
        <f t="shared" si="21"/>
        <v>#NAME?</v>
      </c>
      <c r="E222" s="29">
        <f>chitiet!D1870</f>
        <v>0</v>
      </c>
      <c r="F222" s="4"/>
      <c r="G222" s="7">
        <f t="shared" si="24"/>
        <v>0</v>
      </c>
      <c r="H222" s="4"/>
      <c r="I222" s="4"/>
      <c r="J222" s="4"/>
    </row>
    <row r="223" spans="1:10" ht="15">
      <c r="A223" s="120" t="str">
        <f>chitiet!B1871</f>
        <v xml:space="preserve">KQ2/0 </v>
      </c>
      <c r="B223" s="114"/>
      <c r="C223" s="125" t="e">
        <f t="shared" si="23"/>
        <v>#NAME?</v>
      </c>
      <c r="D223" s="126" t="e">
        <f t="shared" si="21"/>
        <v>#NAME?</v>
      </c>
      <c r="E223" s="126">
        <f>chitiet!D1871</f>
        <v>6</v>
      </c>
      <c r="F223" s="105"/>
      <c r="G223" s="113">
        <f t="shared" si="24"/>
        <v>1</v>
      </c>
      <c r="H223" s="105"/>
      <c r="I223" s="105"/>
      <c r="J223" s="105"/>
    </row>
    <row r="224" spans="1:10" s="1" customFormat="1" ht="17.25">
      <c r="A224" s="9" t="str">
        <f>chitiet!B1872</f>
        <v>KQ4/0</v>
      </c>
      <c r="B224" s="18" t="str">
        <f>IF(E224=0,"",COUNTIF($B$116:$B223,"&gt;0")+1)</f>
        <v/>
      </c>
      <c r="C224" s="37" t="e">
        <f t="shared" si="23"/>
        <v>#NAME?</v>
      </c>
      <c r="D224" s="29" t="e">
        <f t="shared" si="21"/>
        <v>#NAME?</v>
      </c>
      <c r="E224" s="29">
        <f>chitiet!D1872</f>
        <v>0</v>
      </c>
      <c r="F224" s="4"/>
      <c r="G224" s="7">
        <f t="shared" si="24"/>
        <v>0</v>
      </c>
      <c r="H224" s="4"/>
      <c r="I224" s="4"/>
      <c r="J224" s="4"/>
    </row>
    <row r="225" spans="1:10" ht="15">
      <c r="A225" s="120" t="str">
        <f>chitiet!B1873</f>
        <v>KH2/0</v>
      </c>
      <c r="B225" s="114"/>
      <c r="C225" s="125" t="e">
        <f t="shared" si="23"/>
        <v>#NAME?</v>
      </c>
      <c r="D225" s="126" t="e">
        <f t="shared" si="21"/>
        <v>#NAME?</v>
      </c>
      <c r="E225" s="126">
        <f>chitiet!D1873</f>
        <v>6</v>
      </c>
      <c r="F225" s="105"/>
      <c r="G225" s="113">
        <f t="shared" si="24"/>
        <v>1</v>
      </c>
      <c r="H225" s="105"/>
      <c r="I225" s="105"/>
      <c r="J225" s="105"/>
    </row>
    <row r="226" spans="1:10" s="1" customFormat="1" ht="17.25">
      <c r="A226" s="9" t="str">
        <f>chitiet!B1874</f>
        <v>KH4/0</v>
      </c>
      <c r="B226" s="18" t="str">
        <f>IF(E226=0,"",COUNTIF($B$116:$B225,"&gt;0")+1)</f>
        <v/>
      </c>
      <c r="C226" s="37" t="e">
        <f t="shared" si="23"/>
        <v>#NAME?</v>
      </c>
      <c r="D226" s="29" t="e">
        <f t="shared" si="21"/>
        <v>#NAME?</v>
      </c>
      <c r="E226" s="29">
        <f>chitiet!D1874</f>
        <v>0</v>
      </c>
      <c r="F226" s="4"/>
      <c r="G226" s="7">
        <f t="shared" si="24"/>
        <v>0</v>
      </c>
      <c r="H226" s="4"/>
      <c r="I226" s="4"/>
      <c r="J226" s="4"/>
    </row>
    <row r="227" spans="1:10" ht="15">
      <c r="A227" s="120" t="str">
        <f>chitiet!B1876</f>
        <v>XLPE25</v>
      </c>
      <c r="B227" s="114"/>
      <c r="C227" s="120" t="str">
        <f>chitiet!F1876</f>
        <v>Cáp 24KV CX-25mm2</v>
      </c>
      <c r="D227" s="126" t="e">
        <f t="shared" si="21"/>
        <v>#NAME?</v>
      </c>
      <c r="E227" s="126">
        <f>chitiet!D1876</f>
        <v>9</v>
      </c>
      <c r="F227" s="105"/>
      <c r="G227" s="113">
        <f>IF(E227&lt;&gt;0,1,0)</f>
        <v>1</v>
      </c>
      <c r="H227" s="105"/>
      <c r="I227" s="105"/>
      <c r="J227" s="105"/>
    </row>
    <row r="228" spans="1:10" s="1" customFormat="1" ht="17.25">
      <c r="A228" s="9" t="str">
        <f>chitiet!B1877</f>
        <v>XLPE25</v>
      </c>
      <c r="B228" s="18" t="str">
        <f>IF(E228=0,"",COUNTIF($B$116:$B227,"&gt;0")+1)</f>
        <v/>
      </c>
      <c r="C228" s="9" t="str">
        <f>chitiet!F1877</f>
        <v>Cáp 24KV CX-25mm2 : đấu nối FCO</v>
      </c>
      <c r="D228" s="29" t="e">
        <f t="shared" si="21"/>
        <v>#NAME?</v>
      </c>
      <c r="E228" s="29">
        <f>chitiet!D1877</f>
        <v>0</v>
      </c>
      <c r="F228" s="4"/>
      <c r="G228" s="7">
        <f>IF(E228&lt;&gt;0,1,0)</f>
        <v>0</v>
      </c>
      <c r="H228" s="4"/>
      <c r="I228" s="4"/>
      <c r="J228" s="4"/>
    </row>
    <row r="229" spans="1:10" s="1" customFormat="1" ht="17.25">
      <c r="A229" s="9" t="str">
        <f>chitiet!B1881</f>
        <v>ON50</v>
      </c>
      <c r="B229" s="18" t="str">
        <f>IF(E229=0,"",COUNTIF($B$116:$B227,"&gt;0")+1)</f>
        <v/>
      </c>
      <c r="C229" s="37" t="e">
        <f t="shared" si="23"/>
        <v>#NAME?</v>
      </c>
      <c r="D229" s="29" t="e">
        <f t="shared" si="21"/>
        <v>#NAME?</v>
      </c>
      <c r="E229" s="29">
        <f>chitiet!D1881</f>
        <v>0</v>
      </c>
      <c r="F229" s="4"/>
      <c r="G229" s="7">
        <f t="shared" si="24"/>
        <v>0</v>
      </c>
      <c r="H229" s="4"/>
      <c r="I229" s="4"/>
      <c r="J229" s="4"/>
    </row>
    <row r="230" spans="1:10" s="1" customFormat="1" ht="17.25">
      <c r="A230" s="9" t="str">
        <f>chitiet!B1882</f>
        <v>ON70</v>
      </c>
      <c r="B230" s="18" t="str">
        <f>IF(E230=0,"",COUNTIF($B$116:$B229,"&gt;0")+1)</f>
        <v/>
      </c>
      <c r="C230" s="37" t="e">
        <f t="shared" si="23"/>
        <v>#NAME?</v>
      </c>
      <c r="D230" s="29" t="e">
        <f t="shared" si="21"/>
        <v>#NAME?</v>
      </c>
      <c r="E230" s="29">
        <f>chitiet!D1882</f>
        <v>0</v>
      </c>
      <c r="F230" s="4"/>
      <c r="G230" s="7">
        <f t="shared" si="24"/>
        <v>0</v>
      </c>
      <c r="H230" s="4"/>
      <c r="I230" s="4"/>
      <c r="J230" s="4"/>
    </row>
    <row r="231" spans="1:10" s="1" customFormat="1" ht="17.25">
      <c r="A231" s="9" t="str">
        <f>chitiet!B1883</f>
        <v>ON95</v>
      </c>
      <c r="B231" s="18" t="str">
        <f>IF(E231=0,"",COUNTIF($B$116:$B230,"&gt;0")+1)</f>
        <v/>
      </c>
      <c r="C231" s="37" t="e">
        <f t="shared" si="23"/>
        <v>#NAME?</v>
      </c>
      <c r="D231" s="29" t="e">
        <f t="shared" si="21"/>
        <v>#NAME?</v>
      </c>
      <c r="E231" s="29">
        <f>chitiet!D1883</f>
        <v>0</v>
      </c>
      <c r="F231" s="4"/>
      <c r="G231" s="7">
        <f t="shared" si="24"/>
        <v>0</v>
      </c>
      <c r="H231" s="4"/>
      <c r="I231" s="4"/>
      <c r="J231" s="4"/>
    </row>
    <row r="232" spans="1:10" s="1" customFormat="1" ht="17.25">
      <c r="A232" s="9" t="str">
        <f>chitiet!B1884</f>
        <v>ON120</v>
      </c>
      <c r="B232" s="18" t="str">
        <f>IF(E232=0,"",COUNTIF($B$116:$B231,"&gt;0")+1)</f>
        <v/>
      </c>
      <c r="C232" s="37" t="e">
        <f t="shared" si="23"/>
        <v>#NAME?</v>
      </c>
      <c r="D232" s="29" t="e">
        <f t="shared" si="21"/>
        <v>#NAME?</v>
      </c>
      <c r="E232" s="29">
        <f>chitiet!D1884</f>
        <v>0</v>
      </c>
      <c r="F232" s="4"/>
      <c r="G232" s="7">
        <f t="shared" si="24"/>
        <v>0</v>
      </c>
      <c r="H232" s="4"/>
      <c r="I232" s="4"/>
      <c r="J232" s="4"/>
    </row>
    <row r="233" spans="1:10" s="1" customFormat="1" ht="17.25">
      <c r="A233" s="9" t="str">
        <f>chitiet!B1885</f>
        <v>ON150</v>
      </c>
      <c r="B233" s="18" t="str">
        <f>IF(E233=0,"",COUNTIF($B$116:$B232,"&gt;0")+1)</f>
        <v/>
      </c>
      <c r="C233" s="37" t="e">
        <f t="shared" si="23"/>
        <v>#NAME?</v>
      </c>
      <c r="D233" s="29" t="e">
        <f t="shared" si="21"/>
        <v>#NAME?</v>
      </c>
      <c r="E233" s="29">
        <f>chitiet!D1885</f>
        <v>0</v>
      </c>
      <c r="F233" s="4"/>
      <c r="G233" s="7">
        <f t="shared" si="24"/>
        <v>0</v>
      </c>
      <c r="H233" s="4"/>
      <c r="I233" s="4"/>
      <c r="J233" s="4"/>
    </row>
    <row r="234" spans="1:10" s="1" customFormat="1" ht="17.25">
      <c r="A234" s="9" t="str">
        <f>chitiet!B1886</f>
        <v>ON185</v>
      </c>
      <c r="B234" s="18" t="str">
        <f>IF(E234=0,"",COUNTIF($B$116:$B233,"&gt;0")+1)</f>
        <v/>
      </c>
      <c r="C234" s="37" t="e">
        <f t="shared" si="23"/>
        <v>#NAME?</v>
      </c>
      <c r="D234" s="29" t="e">
        <f t="shared" si="21"/>
        <v>#NAME?</v>
      </c>
      <c r="E234" s="29">
        <f>chitiet!D1886</f>
        <v>0</v>
      </c>
      <c r="F234" s="4"/>
      <c r="G234" s="7">
        <f t="shared" si="24"/>
        <v>0</v>
      </c>
      <c r="H234" s="4"/>
      <c r="I234" s="4"/>
      <c r="J234" s="4"/>
    </row>
    <row r="235" spans="1:10" s="1" customFormat="1" ht="17.25">
      <c r="A235" s="9" t="str">
        <f>chitiet!B1887</f>
        <v>ON240</v>
      </c>
      <c r="B235" s="18" t="str">
        <f>IF(E235=0,"",COUNTIF($B$116:$B234,"&gt;0")+1)</f>
        <v/>
      </c>
      <c r="C235" s="37" t="e">
        <f t="shared" si="23"/>
        <v>#NAME?</v>
      </c>
      <c r="D235" s="29" t="e">
        <f t="shared" si="21"/>
        <v>#NAME?</v>
      </c>
      <c r="E235" s="29">
        <f>chitiet!D1887</f>
        <v>0</v>
      </c>
      <c r="F235" s="4"/>
      <c r="G235" s="7">
        <f t="shared" si="24"/>
        <v>0</v>
      </c>
      <c r="H235" s="4"/>
      <c r="I235" s="4"/>
      <c r="J235" s="4"/>
    </row>
    <row r="236" spans="1:10" s="1" customFormat="1" ht="17.25">
      <c r="A236" s="9" t="str">
        <f>chitiet!B1888</f>
        <v>CDTRUDOI</v>
      </c>
      <c r="B236" s="18" t="str">
        <f>IF(E236=0,"",COUNTIF($B$116:$B235,"&gt;0")+1)</f>
        <v/>
      </c>
      <c r="C236" s="37" t="e">
        <f t="shared" si="23"/>
        <v>#NAME?</v>
      </c>
      <c r="D236" s="29" t="e">
        <f t="shared" si="21"/>
        <v>#NAME?</v>
      </c>
      <c r="E236" s="29">
        <f>chitiet!D1888</f>
        <v>0</v>
      </c>
      <c r="F236" s="4"/>
      <c r="G236" s="7">
        <f t="shared" ref="G236:G241" si="26">IF(E236&lt;&gt;0,1,0)</f>
        <v>0</v>
      </c>
      <c r="H236" s="4"/>
      <c r="I236" s="4"/>
      <c r="J236" s="4"/>
    </row>
    <row r="237" spans="1:10" s="1" customFormat="1" ht="17.25">
      <c r="A237" s="9" t="str">
        <f>chitiet!B1890</f>
        <v>B16450V</v>
      </c>
      <c r="B237" s="18" t="str">
        <f>IF(E237=0,"",COUNTIF($B$116:$B236,"&gt;0")+1)</f>
        <v/>
      </c>
      <c r="C237" s="37" t="e">
        <f t="shared" si="23"/>
        <v>#NAME?</v>
      </c>
      <c r="D237" s="29" t="e">
        <f t="shared" si="21"/>
        <v>#NAME?</v>
      </c>
      <c r="E237" s="29">
        <f>chitiet!D1890</f>
        <v>0</v>
      </c>
      <c r="F237" s="4"/>
      <c r="G237" s="7">
        <f t="shared" si="26"/>
        <v>0</v>
      </c>
      <c r="H237" s="4"/>
      <c r="I237" s="4"/>
      <c r="J237" s="4"/>
    </row>
    <row r="238" spans="1:10" s="1" customFormat="1" ht="17.25">
      <c r="A238" s="9" t="str">
        <f>chitiet!B1891</f>
        <v>B16550v</v>
      </c>
      <c r="B238" s="18" t="str">
        <f>IF(E238=0,"",COUNTIF($B$116:$B237,"&gt;0")+1)</f>
        <v/>
      </c>
      <c r="C238" s="37" t="e">
        <f>VLOOKUP($A238,DSPK3p1m,4,)&amp;": baét truï ñoâi"</f>
        <v>#NAME?</v>
      </c>
      <c r="D238" s="29" t="e">
        <f t="shared" si="21"/>
        <v>#NAME?</v>
      </c>
      <c r="E238" s="29">
        <f>chitiet!D1891</f>
        <v>0</v>
      </c>
      <c r="F238" s="4"/>
      <c r="G238" s="7">
        <f t="shared" si="26"/>
        <v>0</v>
      </c>
      <c r="H238" s="4"/>
      <c r="I238" s="4"/>
      <c r="J238" s="4"/>
    </row>
    <row r="239" spans="1:10" s="1" customFormat="1" ht="17.25">
      <c r="A239" s="9" t="str">
        <f>chitiet!B1892</f>
        <v>B16600v</v>
      </c>
      <c r="B239" s="18" t="str">
        <f>IF(E239=0,"",COUNTIF($B$116:$B238,"&gt;0")+1)</f>
        <v/>
      </c>
      <c r="C239" s="37" t="e">
        <f>VLOOKUP($A239,DSPK3p1m,4,)</f>
        <v>#NAME?</v>
      </c>
      <c r="D239" s="29" t="e">
        <f t="shared" si="21"/>
        <v>#NAME?</v>
      </c>
      <c r="E239" s="29">
        <f>chitiet!D1892</f>
        <v>0</v>
      </c>
      <c r="F239" s="4"/>
      <c r="G239" s="7">
        <f t="shared" si="26"/>
        <v>0</v>
      </c>
      <c r="H239" s="4"/>
      <c r="I239" s="4"/>
      <c r="J239" s="4"/>
    </row>
    <row r="240" spans="1:10" s="1" customFormat="1" ht="17.25">
      <c r="A240" s="9" t="str">
        <f>chitiet!B1893</f>
        <v>BM16250</v>
      </c>
      <c r="B240" s="18" t="str">
        <f>IF(E240=0,"",COUNTIF($B$116:$B239,"&gt;0")+1)</f>
        <v/>
      </c>
      <c r="C240" s="37" t="e">
        <f t="shared" si="23"/>
        <v>#NAME?</v>
      </c>
      <c r="D240" s="29" t="e">
        <f t="shared" si="21"/>
        <v>#NAME?</v>
      </c>
      <c r="E240" s="29">
        <f>chitiet!D1893</f>
        <v>0</v>
      </c>
      <c r="F240" s="4"/>
      <c r="G240" s="7">
        <f t="shared" si="26"/>
        <v>0</v>
      </c>
      <c r="H240" s="4"/>
      <c r="I240" s="4"/>
      <c r="J240" s="4"/>
    </row>
    <row r="241" spans="1:10" s="1" customFormat="1" ht="17.25">
      <c r="A241" s="9" t="str">
        <f>chitiet!B1894</f>
        <v>R2</v>
      </c>
      <c r="B241" s="18" t="str">
        <f>IF(E241=0,"",COUNTIF($B$116:$B240,"&gt;0")+1)</f>
        <v/>
      </c>
      <c r="C241" s="37" t="e">
        <f t="shared" si="23"/>
        <v>#NAME?</v>
      </c>
      <c r="D241" s="29" t="e">
        <f t="shared" si="21"/>
        <v>#NAME?</v>
      </c>
      <c r="E241" s="29">
        <f>chitiet!D1894</f>
        <v>0</v>
      </c>
      <c r="F241" s="4"/>
      <c r="G241" s="7">
        <f t="shared" si="26"/>
        <v>0</v>
      </c>
      <c r="H241" s="4"/>
      <c r="I241" s="4"/>
      <c r="J241" s="4"/>
    </row>
    <row r="242" spans="1:10" ht="15">
      <c r="A242" s="120" t="str">
        <f>chitiet!B1895</f>
        <v>R3</v>
      </c>
      <c r="B242" s="114" t="str">
        <f>IF(E242=0,"",COUNTIF($B$116:$B241,"&gt;0")+1)</f>
        <v/>
      </c>
      <c r="C242" s="125" t="e">
        <f t="shared" si="23"/>
        <v>#NAME?</v>
      </c>
      <c r="D242" s="126" t="e">
        <f t="shared" si="21"/>
        <v>#NAME?</v>
      </c>
      <c r="E242" s="126">
        <f>chitiet!D1895</f>
        <v>0</v>
      </c>
      <c r="F242" s="105"/>
      <c r="G242" s="113">
        <f>IF(E242&lt;&gt;0,1,0)</f>
        <v>0</v>
      </c>
      <c r="H242" s="105"/>
      <c r="I242" s="105"/>
      <c r="J242" s="105"/>
    </row>
    <row r="243" spans="1:10" s="1" customFormat="1" ht="17.25">
      <c r="A243" s="9" t="str">
        <f>chitiet!B1896</f>
        <v>R4</v>
      </c>
      <c r="B243" s="18" t="str">
        <f>IF(E243=0,"",COUNTIF($B$116:$B241,"&gt;0")+1)</f>
        <v/>
      </c>
      <c r="C243" s="37" t="e">
        <f t="shared" si="23"/>
        <v>#NAME?</v>
      </c>
      <c r="D243" s="29" t="e">
        <f t="shared" si="21"/>
        <v>#NAME?</v>
      </c>
      <c r="E243" s="29">
        <f>chitiet!D1896</f>
        <v>0</v>
      </c>
      <c r="F243" s="4"/>
      <c r="G243" s="7">
        <f>IF(E243&lt;&gt;0,1,0)</f>
        <v>0</v>
      </c>
      <c r="H243" s="4"/>
      <c r="I243" s="4"/>
      <c r="J243" s="4"/>
    </row>
    <row r="244" spans="1:10" s="1" customFormat="1" ht="17.25">
      <c r="A244" s="9" t="str">
        <f>chitiet!B1897</f>
        <v>b16350</v>
      </c>
      <c r="B244" s="18" t="str">
        <f>IF(E244=0,"",COUNTIF($B$116:$B243,"&gt;0")+1)</f>
        <v/>
      </c>
      <c r="C244" s="37" t="e">
        <f t="shared" si="23"/>
        <v>#NAME?</v>
      </c>
      <c r="D244" s="29" t="e">
        <f t="shared" si="21"/>
        <v>#NAME?</v>
      </c>
      <c r="E244" s="29">
        <f>chitiet!D1897</f>
        <v>0</v>
      </c>
      <c r="F244" s="4"/>
      <c r="G244" s="7">
        <f>IF(E244&lt;&gt;0,1,0)</f>
        <v>0</v>
      </c>
      <c r="H244" s="4"/>
      <c r="I244" s="4"/>
      <c r="J244" s="4"/>
    </row>
    <row r="245" spans="1:10" s="1" customFormat="1" ht="17.25">
      <c r="A245" s="9" t="str">
        <f>chitiet!B1898</f>
        <v>batli</v>
      </c>
      <c r="B245" s="18" t="str">
        <f>IF(E245=0,"",COUNTIF($B$116:$B241,"&gt;0")+1)</f>
        <v/>
      </c>
      <c r="C245" s="37" t="e">
        <f t="shared" si="23"/>
        <v>#NAME?</v>
      </c>
      <c r="D245" s="29" t="e">
        <f t="shared" si="21"/>
        <v>#NAME?</v>
      </c>
      <c r="E245" s="43">
        <f>chitiet!D1898</f>
        <v>0</v>
      </c>
      <c r="F245" s="4"/>
      <c r="G245" s="7">
        <f>IF(E245&lt;&gt;0,1,0)</f>
        <v>0</v>
      </c>
      <c r="H245" s="4"/>
      <c r="I245" s="4"/>
      <c r="J245" s="4"/>
    </row>
    <row r="246" spans="1:10" s="1" customFormat="1" ht="17.25">
      <c r="A246" s="9" t="str">
        <f>chitiet!B1899</f>
        <v>batliA</v>
      </c>
      <c r="B246" s="18" t="str">
        <f>IF(E246=0,"",COUNTIF($B$116:$B242,"&gt;0")+1)</f>
        <v/>
      </c>
      <c r="C246" s="37" t="e">
        <f t="shared" si="23"/>
        <v>#NAME?</v>
      </c>
      <c r="D246" s="29" t="e">
        <f t="shared" si="21"/>
        <v>#NAME?</v>
      </c>
      <c r="E246" s="43">
        <f>chitiet!D1899</f>
        <v>0</v>
      </c>
      <c r="F246" s="4"/>
      <c r="G246" s="7">
        <f>IF(E246&lt;&gt;0,1,0)</f>
        <v>0</v>
      </c>
      <c r="H246" s="4"/>
      <c r="I246" s="4"/>
      <c r="J246" s="4"/>
    </row>
    <row r="247" spans="1:10" ht="15">
      <c r="A247" s="120" t="str">
        <f>chitiet!B1900</f>
        <v>DAYA70</v>
      </c>
      <c r="B247" s="114"/>
      <c r="C247" s="125" t="e">
        <f t="shared" si="23"/>
        <v>#NAME?</v>
      </c>
      <c r="D247" s="126" t="e">
        <f t="shared" si="21"/>
        <v>#NAME?</v>
      </c>
      <c r="E247" s="802">
        <f>chitiet!D1900</f>
        <v>0</v>
      </c>
      <c r="F247" s="105"/>
      <c r="G247" s="113">
        <f t="shared" si="24"/>
        <v>0</v>
      </c>
      <c r="H247" s="105"/>
      <c r="I247" s="105"/>
      <c r="J247" s="105"/>
    </row>
    <row r="248" spans="1:10" s="1" customFormat="1" ht="17.25">
      <c r="A248" s="9" t="str">
        <f>chitiet!B1902</f>
        <v>bnh</v>
      </c>
      <c r="B248" s="18" t="str">
        <f>IF(E248=0,"",COUNTIF($B$116:$B247,"&gt;0")+1)</f>
        <v/>
      </c>
      <c r="C248" s="37" t="e">
        <f t="shared" si="23"/>
        <v>#NAME?</v>
      </c>
      <c r="D248" s="29" t="e">
        <f t="shared" si="21"/>
        <v>#NAME?</v>
      </c>
      <c r="E248" s="29">
        <f>chitiet!D1902</f>
        <v>0</v>
      </c>
      <c r="F248" s="4"/>
      <c r="G248" s="7">
        <f>IF(E248&lt;&gt;0,1,0)</f>
        <v>0</v>
      </c>
      <c r="H248" s="4"/>
      <c r="I248" s="4"/>
      <c r="J248" s="4"/>
    </row>
    <row r="249" spans="1:10" s="1" customFormat="1" ht="18.75">
      <c r="A249" s="12" t="s">
        <v>1902</v>
      </c>
      <c r="B249" s="15" t="s">
        <v>1903</v>
      </c>
      <c r="C249" s="97" t="s">
        <v>4147</v>
      </c>
      <c r="D249" s="98" t="s">
        <v>2309</v>
      </c>
      <c r="E249" s="29"/>
      <c r="F249" s="4"/>
      <c r="G249" s="7"/>
      <c r="H249" s="4"/>
      <c r="I249" s="4"/>
      <c r="J249" s="4"/>
    </row>
    <row r="250" spans="1:10" s="1" customFormat="1" ht="17.25">
      <c r="A250" s="13">
        <f>chitiet!B2234</f>
        <v>0</v>
      </c>
      <c r="B250" s="18" t="str">
        <f>IF(E250=0,"",COUNTIF($E$250:$E250,"&gt;0"))</f>
        <v/>
      </c>
      <c r="C250" s="16" t="s">
        <v>3304</v>
      </c>
      <c r="D250" s="19" t="s">
        <v>2448</v>
      </c>
      <c r="E250" s="29">
        <f>chitiet!D2234</f>
        <v>0</v>
      </c>
      <c r="F250" s="4"/>
      <c r="G250" s="7">
        <f t="shared" ref="G250:G256" si="27">IF(E250&lt;&gt;0,1,0)</f>
        <v>0</v>
      </c>
      <c r="H250" s="4"/>
      <c r="I250" s="4"/>
      <c r="J250" s="4"/>
    </row>
    <row r="251" spans="1:10" s="1" customFormat="1" ht="17.25">
      <c r="A251" s="13">
        <f>chitiet!B2235</f>
        <v>0</v>
      </c>
      <c r="B251" s="18" t="str">
        <f>IF(E251=0,"",COUNTIF($E$250:$E251,"&gt;0"))</f>
        <v/>
      </c>
      <c r="C251" s="16" t="s">
        <v>3305</v>
      </c>
      <c r="D251" s="19" t="s">
        <v>2448</v>
      </c>
      <c r="E251" s="29">
        <f>chitiet!D2235</f>
        <v>0</v>
      </c>
      <c r="F251" s="4"/>
      <c r="G251" s="7">
        <f t="shared" si="27"/>
        <v>0</v>
      </c>
      <c r="H251" s="4"/>
      <c r="I251" s="4"/>
      <c r="J251" s="4"/>
    </row>
    <row r="252" spans="1:10" s="1" customFormat="1" ht="17.25">
      <c r="A252" s="13">
        <f>chitiet!B2236</f>
        <v>0</v>
      </c>
      <c r="B252" s="18" t="str">
        <f>IF(E252=0,"",COUNTIF($E$250:$E252,"&gt;0"))</f>
        <v/>
      </c>
      <c r="C252" s="16" t="s">
        <v>3306</v>
      </c>
      <c r="D252" s="19" t="s">
        <v>3307</v>
      </c>
      <c r="E252" s="29">
        <f>chitiet!D2236</f>
        <v>0</v>
      </c>
      <c r="F252" s="4"/>
      <c r="G252" s="7">
        <f t="shared" si="27"/>
        <v>0</v>
      </c>
      <c r="H252" s="4"/>
      <c r="I252" s="4"/>
      <c r="J252" s="4"/>
    </row>
    <row r="253" spans="1:10" s="1" customFormat="1" ht="17.25">
      <c r="A253" s="13">
        <f>chitiet!B2237</f>
        <v>0</v>
      </c>
      <c r="B253" s="18" t="str">
        <f>IF(E253=0,"",COUNTIF($E$250:$E253,"&gt;0"))</f>
        <v/>
      </c>
      <c r="C253" s="16" t="s">
        <v>3308</v>
      </c>
      <c r="D253" s="19" t="s">
        <v>2448</v>
      </c>
      <c r="E253" s="29">
        <f>chitiet!D2237</f>
        <v>0</v>
      </c>
      <c r="F253" s="4"/>
      <c r="G253" s="7">
        <f t="shared" si="27"/>
        <v>0</v>
      </c>
      <c r="H253" s="4"/>
      <c r="I253" s="4"/>
      <c r="J253" s="4"/>
    </row>
    <row r="254" spans="1:10" s="1" customFormat="1" ht="17.25">
      <c r="A254" s="13">
        <f>chitiet!B2238</f>
        <v>0</v>
      </c>
      <c r="B254" s="18" t="str">
        <f>IF(E254=0,"",COUNTIF($E$250:$E254,"&gt;0"))</f>
        <v/>
      </c>
      <c r="C254" s="16" t="s">
        <v>3309</v>
      </c>
      <c r="D254" s="19" t="s">
        <v>2448</v>
      </c>
      <c r="E254" s="29">
        <f>chitiet!D2238</f>
        <v>0</v>
      </c>
      <c r="F254" s="4"/>
      <c r="G254" s="7">
        <f t="shared" si="27"/>
        <v>0</v>
      </c>
      <c r="H254" s="4"/>
      <c r="I254" s="4"/>
      <c r="J254" s="4"/>
    </row>
    <row r="255" spans="1:10" s="1" customFormat="1" ht="17.25">
      <c r="A255" s="13">
        <f>chitiet!B2239</f>
        <v>0</v>
      </c>
      <c r="B255" s="18" t="str">
        <f>IF(E255=0,"",COUNTIF($E$250:$E255,"&gt;0"))</f>
        <v/>
      </c>
      <c r="C255" s="16" t="s">
        <v>3310</v>
      </c>
      <c r="D255" s="19" t="s">
        <v>2448</v>
      </c>
      <c r="E255" s="29">
        <f>chitiet!D2239</f>
        <v>0</v>
      </c>
      <c r="F255" s="4"/>
      <c r="G255" s="7">
        <f t="shared" si="27"/>
        <v>0</v>
      </c>
      <c r="H255" s="4"/>
      <c r="I255" s="4"/>
      <c r="J255" s="4"/>
    </row>
    <row r="256" spans="1:10" s="1" customFormat="1" ht="17.25">
      <c r="A256" s="13">
        <f>chitiet!B2240</f>
        <v>0</v>
      </c>
      <c r="B256" s="18" t="str">
        <f>IF(E256=0,"",COUNTIF($E$250:$E256,"&gt;0"))</f>
        <v/>
      </c>
      <c r="C256" s="16" t="s">
        <v>3311</v>
      </c>
      <c r="D256" s="19" t="s">
        <v>2566</v>
      </c>
      <c r="E256" s="29">
        <f>chitiet!D2240</f>
        <v>0</v>
      </c>
      <c r="F256" s="4"/>
      <c r="G256" s="7">
        <f t="shared" si="27"/>
        <v>0</v>
      </c>
      <c r="H256" s="4"/>
      <c r="I256" s="4"/>
      <c r="J256" s="4"/>
    </row>
    <row r="257" spans="1:10" s="1" customFormat="1" ht="18.75">
      <c r="A257" s="12" t="s">
        <v>1902</v>
      </c>
      <c r="B257" s="15" t="s">
        <v>1903</v>
      </c>
      <c r="C257" s="97" t="s">
        <v>2310</v>
      </c>
      <c r="D257" s="98" t="s">
        <v>2309</v>
      </c>
      <c r="E257" s="29"/>
      <c r="F257" s="4"/>
      <c r="G257" s="7">
        <f>IF(E257&lt;&gt;0,1,0)</f>
        <v>0</v>
      </c>
      <c r="H257" s="4"/>
      <c r="I257" s="4"/>
      <c r="J257" s="4"/>
    </row>
    <row r="258" spans="1:10" s="1" customFormat="1" ht="17.25">
      <c r="A258" s="13" t="str">
        <f>chitiet!B2264</f>
        <v>LTD</v>
      </c>
      <c r="B258" s="18" t="str">
        <f>IF(E258=0,"",COUNTIF($B$257:$B257,"&gt;0")+1)</f>
        <v/>
      </c>
      <c r="C258" s="16" t="s">
        <v>1189</v>
      </c>
      <c r="D258" s="19" t="s">
        <v>2566</v>
      </c>
      <c r="E258" s="29">
        <f>chitiet!D2264</f>
        <v>0</v>
      </c>
      <c r="F258" s="4"/>
      <c r="G258" s="7">
        <f t="shared" ref="G258:G274" si="28">IF(E258&lt;&gt;0,1,0)</f>
        <v>0</v>
      </c>
      <c r="H258" s="4"/>
      <c r="I258" s="4"/>
      <c r="J258" s="4"/>
    </row>
    <row r="259" spans="1:10" s="1" customFormat="1" ht="17.25">
      <c r="A259" s="13" t="str">
        <f>chitiet!B2265</f>
        <v>lbfco100-22</v>
      </c>
      <c r="B259" s="18" t="str">
        <f>IF(E259=0,"",COUNTIF($B$257:$B258,"&gt;0")+1)</f>
        <v/>
      </c>
      <c r="C259" s="16" t="s">
        <v>1261</v>
      </c>
      <c r="D259" s="19" t="s">
        <v>2566</v>
      </c>
      <c r="E259" s="29">
        <f>chitiet!D2265</f>
        <v>0</v>
      </c>
      <c r="F259" s="4"/>
      <c r="G259" s="7">
        <f>IF(E259&lt;&gt;0,1,0)</f>
        <v>0</v>
      </c>
      <c r="H259" s="4"/>
      <c r="I259" s="4"/>
      <c r="J259" s="4"/>
    </row>
    <row r="260" spans="1:10" s="1" customFormat="1" ht="17.25">
      <c r="A260" s="13" t="str">
        <f>chitiet!B2267</f>
        <v>lbfco200-22</v>
      </c>
      <c r="B260" s="18" t="str">
        <f>IF(E260=0,"",COUNTIF($B$257:$B259,"&gt;0")+1)</f>
        <v/>
      </c>
      <c r="C260" s="16" t="s">
        <v>1260</v>
      </c>
      <c r="D260" s="19" t="s">
        <v>2566</v>
      </c>
      <c r="E260" s="29">
        <f>chitiet!D2267</f>
        <v>0</v>
      </c>
      <c r="F260" s="4"/>
      <c r="G260" s="7">
        <f>IF(E260&lt;&gt;0,1,0)</f>
        <v>0</v>
      </c>
      <c r="H260" s="4"/>
      <c r="I260" s="4"/>
      <c r="J260" s="4"/>
    </row>
    <row r="261" spans="1:10" s="1" customFormat="1" ht="17.25">
      <c r="A261" s="13" t="str">
        <f>chitiet!B2268</f>
        <v>chi100K</v>
      </c>
      <c r="B261" s="18" t="str">
        <f>IF(E261=0,"",COUNTIF($B$257:$B260,"&gt;0")+1)</f>
        <v/>
      </c>
      <c r="C261" s="16" t="s">
        <v>3456</v>
      </c>
      <c r="D261" s="19" t="s">
        <v>2611</v>
      </c>
      <c r="E261" s="29">
        <f>(chitiet!D2268)</f>
        <v>0</v>
      </c>
      <c r="F261" s="4"/>
      <c r="G261" s="7">
        <f t="shared" si="28"/>
        <v>0</v>
      </c>
      <c r="H261" s="4"/>
      <c r="I261" s="4"/>
      <c r="J261" s="4"/>
    </row>
    <row r="262" spans="1:10" s="1" customFormat="1" ht="17.25">
      <c r="A262" s="13" t="str">
        <f>chitiet!B2269</f>
        <v>FCO200-22</v>
      </c>
      <c r="B262" s="18" t="str">
        <f>IF(E262=0,"",COUNTIF($B$257:$B261,"&gt;0")+1)</f>
        <v/>
      </c>
      <c r="C262" s="16" t="s">
        <v>2036</v>
      </c>
      <c r="D262" s="19" t="s">
        <v>2566</v>
      </c>
      <c r="E262" s="29">
        <f>chitiet!D2269</f>
        <v>0</v>
      </c>
      <c r="F262" s="4"/>
      <c r="G262" s="7">
        <f t="shared" si="28"/>
        <v>0</v>
      </c>
      <c r="H262" s="4"/>
      <c r="I262" s="4"/>
      <c r="J262" s="4"/>
    </row>
    <row r="263" spans="1:10" s="1" customFormat="1" ht="17.25">
      <c r="A263" s="13" t="str">
        <f>chitiet!B2270</f>
        <v>FCO100-22</v>
      </c>
      <c r="B263" s="18">
        <f>IF(E263=0,"",COUNTIF($B$116:$B261,"&gt;0")+1)</f>
        <v>4</v>
      </c>
      <c r="C263" s="16" t="s">
        <v>95</v>
      </c>
      <c r="D263" s="19" t="s">
        <v>2566</v>
      </c>
      <c r="E263" s="29">
        <f>chitiet!D2270</f>
        <v>3</v>
      </c>
      <c r="F263" s="4"/>
      <c r="G263" s="7">
        <f t="shared" si="28"/>
        <v>1</v>
      </c>
      <c r="H263" s="4"/>
      <c r="I263" s="4"/>
      <c r="J263" s="4"/>
    </row>
    <row r="264" spans="1:10" s="1" customFormat="1" ht="17.25">
      <c r="A264" s="13" t="str">
        <f>chitiet!B2271</f>
        <v>chi8k</v>
      </c>
      <c r="B264" s="18" t="str">
        <f>IF(E264=0,"",COUNTIF($B$116:$B263,"&gt;0")+1)</f>
        <v/>
      </c>
      <c r="C264" s="16" t="s">
        <v>3445</v>
      </c>
      <c r="D264" s="19" t="s">
        <v>2611</v>
      </c>
      <c r="E264" s="29">
        <f>chitiet!D2271</f>
        <v>0</v>
      </c>
      <c r="F264" s="4"/>
      <c r="G264" s="7">
        <f t="shared" si="28"/>
        <v>0</v>
      </c>
      <c r="H264" s="4"/>
      <c r="I264" s="4"/>
      <c r="J264" s="4"/>
    </row>
    <row r="265" spans="1:10" s="1" customFormat="1" ht="17.25">
      <c r="A265" s="13" t="str">
        <f>chitiet!B2272</f>
        <v>chi12k</v>
      </c>
      <c r="B265" s="18" t="str">
        <f>IF(E265=0,"",COUNTIF($B$116:$B264,"&gt;0")+1)</f>
        <v/>
      </c>
      <c r="C265" s="16" t="s">
        <v>3447</v>
      </c>
      <c r="D265" s="19" t="s">
        <v>2611</v>
      </c>
      <c r="E265" s="29">
        <f>chitiet!D2272</f>
        <v>0</v>
      </c>
      <c r="F265" s="4"/>
      <c r="G265" s="7">
        <f>IF(E265&lt;&gt;0,1,0)</f>
        <v>0</v>
      </c>
      <c r="H265" s="4"/>
      <c r="I265" s="4"/>
      <c r="J265" s="4"/>
    </row>
    <row r="266" spans="1:10" s="1" customFormat="1" ht="17.25">
      <c r="A266" s="13" t="str">
        <f>chitiet!B2273</f>
        <v>tu22</v>
      </c>
      <c r="B266" s="18" t="str">
        <f>IF(E266=0,"",COUNTIF($B$257:$B264,"&gt;0")+1)</f>
        <v/>
      </c>
      <c r="C266" s="16" t="s">
        <v>3388</v>
      </c>
      <c r="D266" s="19" t="s">
        <v>2566</v>
      </c>
      <c r="E266" s="29">
        <f>(chitiet!D2273)</f>
        <v>0</v>
      </c>
      <c r="F266" s="4"/>
      <c r="G266" s="7">
        <f>IF(E266&lt;&gt;0,1,0)</f>
        <v>0</v>
      </c>
      <c r="H266" s="4"/>
      <c r="I266" s="4"/>
      <c r="J266" s="4"/>
    </row>
    <row r="267" spans="1:10" s="1" customFormat="1" ht="17.25">
      <c r="A267" s="13" t="str">
        <f>chitiet!B2274</f>
        <v>ti20</v>
      </c>
      <c r="B267" s="18" t="str">
        <f>IF(E267=0,"",COUNTIF($B$257:$B266,"&gt;0")+1)</f>
        <v/>
      </c>
      <c r="C267" s="16" t="s">
        <v>3367</v>
      </c>
      <c r="D267" s="19" t="s">
        <v>2566</v>
      </c>
      <c r="E267" s="29">
        <f>chitiet!D2274</f>
        <v>0</v>
      </c>
      <c r="F267" s="4"/>
      <c r="G267" s="7">
        <f>IF(E267&lt;&gt;0,1,0)</f>
        <v>0</v>
      </c>
      <c r="H267" s="4"/>
      <c r="I267" s="4"/>
      <c r="J267" s="4"/>
    </row>
    <row r="268" spans="1:10" s="1" customFormat="1" ht="17.25">
      <c r="A268" s="13" t="str">
        <f>chitiet!B2275</f>
        <v>dk3dt</v>
      </c>
      <c r="B268" s="18" t="str">
        <f>IF(E268=0,"",COUNTIF($B$257:$B267,"&gt;0")+1)</f>
        <v/>
      </c>
      <c r="C268" s="16" t="s">
        <v>3463</v>
      </c>
      <c r="D268" s="19" t="s">
        <v>2566</v>
      </c>
      <c r="E268" s="29">
        <f>chitiet!D2275</f>
        <v>0</v>
      </c>
      <c r="F268" s="4"/>
      <c r="G268" s="7">
        <f>IF(E268&lt;&gt;0,1,0)</f>
        <v>0</v>
      </c>
      <c r="H268" s="4"/>
      <c r="I268" s="4"/>
      <c r="J268" s="4"/>
    </row>
    <row r="269" spans="1:10" s="1" customFormat="1" ht="17.25">
      <c r="A269" s="13" t="str">
        <f>chitiet!B2276</f>
        <v>DS1P</v>
      </c>
      <c r="B269" s="18" t="str">
        <f>IF(E269=0,"",COUNTIF($B$257:$B268,"&gt;0")+1)</f>
        <v/>
      </c>
      <c r="C269" s="16" t="s">
        <v>1220</v>
      </c>
      <c r="D269" s="19" t="s">
        <v>2448</v>
      </c>
      <c r="E269" s="29">
        <f>chitiet!D2276</f>
        <v>0</v>
      </c>
      <c r="F269" s="4"/>
      <c r="G269" s="7">
        <f t="shared" si="28"/>
        <v>0</v>
      </c>
      <c r="H269" s="4"/>
      <c r="I269" s="4"/>
      <c r="J269" s="4"/>
    </row>
    <row r="270" spans="1:10" s="1" customFormat="1" ht="17.25">
      <c r="A270" s="13" t="str">
        <f>chitiet!B2277</f>
        <v>DS3P</v>
      </c>
      <c r="B270" s="18" t="str">
        <f>IF(E270=0,"",COUNTIF($B$257:$B269,"&gt;0")+1)</f>
        <v/>
      </c>
      <c r="C270" s="16" t="s">
        <v>1598</v>
      </c>
      <c r="D270" s="19" t="s">
        <v>2448</v>
      </c>
      <c r="E270" s="29">
        <f>chitiet!D2277</f>
        <v>0</v>
      </c>
      <c r="F270" s="4"/>
      <c r="G270" s="7">
        <f t="shared" si="28"/>
        <v>0</v>
      </c>
      <c r="H270" s="4"/>
      <c r="I270" s="4"/>
      <c r="J270" s="4"/>
    </row>
    <row r="271" spans="1:10" s="1" customFormat="1" ht="17.25">
      <c r="A271" s="13" t="str">
        <f>chitiet!B2278</f>
        <v>LBS 16</v>
      </c>
      <c r="B271" s="18" t="str">
        <f>IF(E271=0,"",COUNTIF($B$257:$B270,"&gt;0")+1)</f>
        <v/>
      </c>
      <c r="C271" s="16" t="s">
        <v>1708</v>
      </c>
      <c r="D271" s="19" t="s">
        <v>2448</v>
      </c>
      <c r="E271" s="29">
        <f>chitiet!D2278</f>
        <v>0</v>
      </c>
      <c r="F271" s="4"/>
      <c r="G271" s="7">
        <f t="shared" si="28"/>
        <v>0</v>
      </c>
      <c r="H271" s="4"/>
      <c r="I271" s="4"/>
      <c r="J271" s="4"/>
    </row>
    <row r="272" spans="1:10" s="1" customFormat="1" ht="17.25">
      <c r="A272" s="13" t="str">
        <f>chitiet!B2279</f>
        <v>Recloser</v>
      </c>
      <c r="B272" s="18" t="str">
        <f>IF(E272=0,"",COUNTIF($B$257:$B271,"&gt;0")+1)</f>
        <v/>
      </c>
      <c r="C272" s="38" t="s">
        <v>2065</v>
      </c>
      <c r="D272" s="39" t="s">
        <v>2448</v>
      </c>
      <c r="E272" s="29">
        <f>chitiet!D2279</f>
        <v>0</v>
      </c>
      <c r="F272" s="4"/>
      <c r="G272" s="7">
        <f t="shared" si="28"/>
        <v>0</v>
      </c>
      <c r="H272" s="4"/>
      <c r="I272" s="4"/>
      <c r="J272" s="4"/>
    </row>
    <row r="273" spans="1:10" s="1" customFormat="1" ht="17.25">
      <c r="A273" s="13" t="str">
        <f>chitiet!B2282</f>
        <v>batLI</v>
      </c>
      <c r="B273" s="18" t="str">
        <f>IF(E273=0,"",COUNTIF($B$257:$B272,"&gt;0")+1)</f>
        <v/>
      </c>
      <c r="C273" s="16" t="s">
        <v>2702</v>
      </c>
      <c r="D273" s="19" t="s">
        <v>2394</v>
      </c>
      <c r="E273" s="29">
        <f>chitiet!D2282</f>
        <v>0</v>
      </c>
      <c r="F273" s="4"/>
      <c r="G273" s="7">
        <f t="shared" si="28"/>
        <v>0</v>
      </c>
      <c r="H273" s="4"/>
      <c r="I273" s="4"/>
      <c r="J273" s="4"/>
    </row>
    <row r="274" spans="1:10" s="1" customFormat="1" ht="17.25">
      <c r="A274" s="13" t="str">
        <f>chitiet!B2283</f>
        <v>chfco</v>
      </c>
      <c r="B274" s="18" t="str">
        <f>IF(E274=0,"",COUNTIF($B$257:$B273,"&gt;0")+1)</f>
        <v/>
      </c>
      <c r="C274" s="38" t="s">
        <v>3524</v>
      </c>
      <c r="D274" s="39" t="s">
        <v>2448</v>
      </c>
      <c r="E274" s="29">
        <f>chitiet!D2283</f>
        <v>0</v>
      </c>
      <c r="F274" s="4"/>
      <c r="G274" s="7">
        <f t="shared" si="28"/>
        <v>0</v>
      </c>
      <c r="H274" s="4"/>
      <c r="I274" s="4"/>
      <c r="J274" s="4"/>
    </row>
    <row r="275" spans="1:10" s="1" customFormat="1" ht="18.75">
      <c r="A275" s="13" t="str">
        <f>chitiet!A2284</f>
        <v>TĐĐ</v>
      </c>
      <c r="B275" s="15" t="s">
        <v>1669</v>
      </c>
      <c r="C275" s="97" t="s">
        <v>2581</v>
      </c>
      <c r="D275" s="98" t="s">
        <v>2309</v>
      </c>
      <c r="E275" s="29"/>
      <c r="F275" s="4"/>
      <c r="G275" s="7"/>
      <c r="H275" s="4"/>
      <c r="I275" s="4"/>
      <c r="J275" s="4"/>
    </row>
    <row r="276" spans="1:10" s="1" customFormat="1" ht="17.25">
      <c r="A276" s="13" t="str">
        <f>chitiet!B2285</f>
        <v>CVV4X2,5</v>
      </c>
      <c r="B276" s="18" t="str">
        <f>IF(E276=0,"",COUNTIF($B$275:$B275,"&gt;0")+1)</f>
        <v/>
      </c>
      <c r="C276" s="16" t="s">
        <v>2795</v>
      </c>
      <c r="D276" s="19" t="s">
        <v>2541</v>
      </c>
      <c r="E276" s="29">
        <f>chitiet!D2285</f>
        <v>0</v>
      </c>
      <c r="F276" s="4"/>
      <c r="G276" s="7">
        <f>IF(E276&lt;&gt;0,1,0)</f>
        <v>0</v>
      </c>
      <c r="H276" s="4"/>
      <c r="I276" s="4"/>
      <c r="J276" s="4"/>
    </row>
    <row r="277" spans="1:10" s="1" customFormat="1" ht="17.25">
      <c r="A277" s="13" t="str">
        <f>chitiet!B2286</f>
        <v>xAtuti</v>
      </c>
      <c r="B277" s="18" t="str">
        <f>IF(E277=0,"",COUNTIF($B$275:$B276,"&gt;0")+1)</f>
        <v/>
      </c>
      <c r="C277" s="16" t="s">
        <v>3615</v>
      </c>
      <c r="D277" s="19" t="s">
        <v>2394</v>
      </c>
      <c r="E277" s="29">
        <f>chitiet!D2286</f>
        <v>0</v>
      </c>
      <c r="F277" s="4"/>
      <c r="G277" s="7">
        <f>IF(E277&lt;&gt;0,1,0)</f>
        <v>0</v>
      </c>
      <c r="H277" s="4"/>
      <c r="I277" s="4"/>
      <c r="J277" s="4"/>
    </row>
    <row r="278" spans="1:10" s="1" customFormat="1" ht="17.25">
      <c r="A278" s="13" t="str">
        <f>chitiet!B2287</f>
        <v>batLI</v>
      </c>
      <c r="B278" s="18" t="str">
        <f>IF(E278=0,"",COUNTIF($B$275:$B277,"&gt;0")+1)</f>
        <v/>
      </c>
      <c r="C278" s="16" t="s">
        <v>2702</v>
      </c>
      <c r="D278" s="19" t="s">
        <v>2394</v>
      </c>
      <c r="E278" s="29">
        <f>chitiet!D2287</f>
        <v>0</v>
      </c>
      <c r="F278" s="4"/>
      <c r="G278" s="7">
        <f>IF(E278&lt;&gt;0,1,0)</f>
        <v>0</v>
      </c>
      <c r="H278" s="4"/>
      <c r="I278" s="4"/>
      <c r="J278" s="4"/>
    </row>
    <row r="279" spans="1:10" s="1" customFormat="1" ht="17.25">
      <c r="A279" s="13" t="str">
        <f>chitiet!B2288</f>
        <v>COS2,5</v>
      </c>
      <c r="B279" s="18" t="str">
        <f>IF(E279=0,"",COUNTIF($B$275:$B277,"&gt;0")+1)</f>
        <v/>
      </c>
      <c r="C279" s="16" t="s">
        <v>3492</v>
      </c>
      <c r="D279" s="19" t="s">
        <v>2566</v>
      </c>
      <c r="E279" s="29">
        <f>chitiet!D2288</f>
        <v>0</v>
      </c>
      <c r="F279" s="4"/>
      <c r="G279" s="7">
        <f t="shared" ref="G279:G299" si="29">IF(E279&lt;&gt;0,1,0)</f>
        <v>0</v>
      </c>
      <c r="H279" s="4"/>
      <c r="I279" s="4"/>
      <c r="J279" s="4"/>
    </row>
    <row r="280" spans="1:10" s="1" customFormat="1" ht="17.25">
      <c r="A280" s="13" t="str">
        <f>chitiet!B2289</f>
        <v>D16/10</v>
      </c>
      <c r="B280" s="18" t="str">
        <f>IF(E280=0,"",COUNTIF($B$275:$B279,"&gt;0")+1)</f>
        <v/>
      </c>
      <c r="C280" s="16" t="s">
        <v>3536</v>
      </c>
      <c r="D280" s="19" t="s">
        <v>2541</v>
      </c>
      <c r="E280" s="29">
        <f>chitiet!D2289</f>
        <v>0</v>
      </c>
      <c r="F280" s="4"/>
      <c r="G280" s="7">
        <f t="shared" si="29"/>
        <v>0</v>
      </c>
      <c r="H280" s="4"/>
      <c r="I280" s="4"/>
      <c r="J280" s="4"/>
    </row>
    <row r="281" spans="1:10" s="1" customFormat="1" ht="17.25">
      <c r="A281" s="13" t="str">
        <f>chitiet!B2290</f>
        <v>oxc25</v>
      </c>
      <c r="B281" s="18" t="str">
        <f>IF(E281=0,"",COUNTIF($B$275:$B280,"&gt;0")+1)</f>
        <v/>
      </c>
      <c r="C281" s="16" t="s">
        <v>3602</v>
      </c>
      <c r="D281" s="19" t="s">
        <v>2566</v>
      </c>
      <c r="E281" s="29">
        <f>chitiet!D2290</f>
        <v>0</v>
      </c>
      <c r="F281" s="4"/>
      <c r="G281" s="7">
        <f t="shared" si="29"/>
        <v>0</v>
      </c>
      <c r="H281" s="4"/>
      <c r="I281" s="4"/>
      <c r="J281" s="4"/>
    </row>
    <row r="282" spans="1:10" s="1" customFormat="1" ht="17.25">
      <c r="A282" s="13" t="str">
        <f>chitiet!B2291</f>
        <v>PVC42</v>
      </c>
      <c r="B282" s="18" t="str">
        <f>IF(E282=0,"",COUNTIF($B$275:$B281,"&gt;0")+1)</f>
        <v/>
      </c>
      <c r="C282" s="16" t="s">
        <v>3556</v>
      </c>
      <c r="D282" s="19" t="s">
        <v>1829</v>
      </c>
      <c r="E282" s="29">
        <f>chitiet!D2291</f>
        <v>0</v>
      </c>
      <c r="F282" s="4"/>
      <c r="G282" s="7">
        <f t="shared" si="29"/>
        <v>0</v>
      </c>
      <c r="H282" s="4"/>
      <c r="I282" s="4"/>
      <c r="J282" s="4"/>
    </row>
    <row r="283" spans="1:10" s="1" customFormat="1" ht="17.25">
      <c r="A283" s="13" t="str">
        <f>chitiet!B2292</f>
        <v>CD25x2</v>
      </c>
      <c r="B283" s="18" t="str">
        <f>IF(E283=0,"",COUNTIF($B$275:$B282,"&gt;0")+1)</f>
        <v/>
      </c>
      <c r="C283" s="16" t="s">
        <v>2998</v>
      </c>
      <c r="D283" s="19" t="s">
        <v>2448</v>
      </c>
      <c r="E283" s="29">
        <f>chitiet!D2292</f>
        <v>0</v>
      </c>
      <c r="F283" s="4"/>
      <c r="G283" s="7">
        <f t="shared" si="29"/>
        <v>0</v>
      </c>
      <c r="H283" s="4"/>
      <c r="I283" s="4"/>
      <c r="J283" s="4"/>
    </row>
    <row r="284" spans="1:10" s="1" customFormat="1" ht="17.25">
      <c r="A284" s="13" t="str">
        <f>chitiet!B2293</f>
        <v>CUT42</v>
      </c>
      <c r="B284" s="18" t="str">
        <f>IF(E284=0,"",COUNTIF($B$275:$B283,"&gt;0")+1)</f>
        <v/>
      </c>
      <c r="C284" s="16" t="s">
        <v>3563</v>
      </c>
      <c r="D284" s="19" t="s">
        <v>2566</v>
      </c>
      <c r="E284" s="29">
        <f>chitiet!D2293</f>
        <v>0</v>
      </c>
      <c r="F284" s="4"/>
      <c r="G284" s="7">
        <f t="shared" si="29"/>
        <v>0</v>
      </c>
      <c r="H284" s="4"/>
      <c r="I284" s="4"/>
      <c r="J284" s="4"/>
    </row>
    <row r="285" spans="1:10" s="1" customFormat="1" ht="17.25">
      <c r="A285" s="13" t="str">
        <f>chitiet!B2294</f>
        <v>CUT42T</v>
      </c>
      <c r="B285" s="18" t="str">
        <f>IF(E285=0,"",COUNTIF($B$275:$B284,"&gt;0")+1)</f>
        <v/>
      </c>
      <c r="C285" s="38" t="s">
        <v>3564</v>
      </c>
      <c r="D285" s="39" t="s">
        <v>2566</v>
      </c>
      <c r="E285" s="29">
        <f>chitiet!D2294</f>
        <v>0</v>
      </c>
      <c r="F285" s="4"/>
      <c r="G285" s="7">
        <f t="shared" si="29"/>
        <v>0</v>
      </c>
      <c r="H285" s="4"/>
      <c r="I285" s="4"/>
      <c r="J285" s="4"/>
    </row>
    <row r="286" spans="1:10" s="1" customFormat="1" ht="17.25">
      <c r="A286" s="13" t="str">
        <f>chitiet!B2295</f>
        <v>NPVC42</v>
      </c>
      <c r="B286" s="18" t="str">
        <f>IF(E286=0,"",COUNTIF($B$275:$B285,"&gt;0")+1)</f>
        <v/>
      </c>
      <c r="C286" s="16" t="s">
        <v>3577</v>
      </c>
      <c r="D286" s="19" t="s">
        <v>2566</v>
      </c>
      <c r="E286" s="29">
        <f>chitiet!D2295</f>
        <v>0</v>
      </c>
      <c r="F286" s="4"/>
      <c r="G286" s="7">
        <f t="shared" si="29"/>
        <v>0</v>
      </c>
      <c r="H286" s="4"/>
      <c r="I286" s="4"/>
      <c r="J286" s="4"/>
    </row>
    <row r="287" spans="1:10" s="1" customFormat="1" ht="17.25">
      <c r="A287" s="13" t="str">
        <f>chitiet!B2296</f>
        <v>XLPE25</v>
      </c>
      <c r="B287" s="18" t="str">
        <f>IF(E287=0,"",COUNTIF($B$275:$B286,"&gt;0")+1)</f>
        <v/>
      </c>
      <c r="C287" s="16" t="s">
        <v>2717</v>
      </c>
      <c r="D287" s="19" t="s">
        <v>2541</v>
      </c>
      <c r="E287" s="29">
        <f>chitiet!D2296</f>
        <v>0</v>
      </c>
      <c r="F287" s="4"/>
      <c r="G287" s="7">
        <f t="shared" si="29"/>
        <v>0</v>
      </c>
      <c r="H287" s="4"/>
      <c r="I287" s="4"/>
      <c r="J287" s="4"/>
    </row>
    <row r="288" spans="1:10" s="1" customFormat="1" ht="17.25">
      <c r="A288" s="13" t="str">
        <f>chitiet!B2297</f>
        <v>KEO</v>
      </c>
      <c r="B288" s="18" t="str">
        <f>IF(E288=0,"",COUNTIF($B$275:$B287,"&gt;0")+1)</f>
        <v/>
      </c>
      <c r="C288" s="16" t="s">
        <v>3593</v>
      </c>
      <c r="D288" s="19" t="s">
        <v>388</v>
      </c>
      <c r="E288" s="29">
        <f>chitiet!D2297</f>
        <v>0</v>
      </c>
      <c r="F288" s="4"/>
      <c r="G288" s="7">
        <f t="shared" si="29"/>
        <v>0</v>
      </c>
      <c r="H288" s="4"/>
      <c r="I288" s="4"/>
      <c r="J288" s="4"/>
    </row>
    <row r="289" spans="1:10" s="1" customFormat="1" ht="17.25">
      <c r="A289" s="13" t="str">
        <f>chitiet!B2298</f>
        <v>BANGKEO</v>
      </c>
      <c r="B289" s="18" t="str">
        <f>IF(E289=0,"",COUNTIF($B$275:$B288,"&gt;0")+1)</f>
        <v/>
      </c>
      <c r="C289" s="16" t="s">
        <v>3586</v>
      </c>
      <c r="D289" s="19" t="s">
        <v>3587</v>
      </c>
      <c r="E289" s="29">
        <f>chitiet!D2298</f>
        <v>0</v>
      </c>
      <c r="F289" s="4"/>
      <c r="G289" s="7">
        <f t="shared" si="29"/>
        <v>0</v>
      </c>
      <c r="H289" s="4"/>
      <c r="I289" s="4"/>
      <c r="J289" s="4"/>
    </row>
    <row r="290" spans="1:10" s="1" customFormat="1" ht="17.25">
      <c r="A290" s="13" t="str">
        <f>chitiet!B2299</f>
        <v>KVRT42</v>
      </c>
      <c r="B290" s="18" t="str">
        <f>IF(E290=0,"",COUNTIF($B$275:$B289,"&gt;0")+1)</f>
        <v/>
      </c>
      <c r="C290" s="16" t="s">
        <v>3594</v>
      </c>
      <c r="D290" s="19" t="s">
        <v>2566</v>
      </c>
      <c r="E290" s="29">
        <f>chitiet!D2299</f>
        <v>0</v>
      </c>
      <c r="F290" s="4"/>
      <c r="G290" s="7">
        <f t="shared" si="29"/>
        <v>0</v>
      </c>
      <c r="H290" s="4"/>
      <c r="I290" s="4"/>
      <c r="J290" s="4"/>
    </row>
    <row r="291" spans="1:10" s="1" customFormat="1" ht="17.25">
      <c r="A291" s="13" t="str">
        <f>chitiet!B2300</f>
        <v>KVRN42</v>
      </c>
      <c r="B291" s="18" t="str">
        <f>IF(E291=0,"",COUNTIF($B$275:$B290,"&gt;0")+1)</f>
        <v/>
      </c>
      <c r="C291" s="38" t="s">
        <v>3598</v>
      </c>
      <c r="D291" s="39" t="s">
        <v>2566</v>
      </c>
      <c r="E291" s="29">
        <f>chitiet!D2300</f>
        <v>0</v>
      </c>
      <c r="F291" s="4"/>
      <c r="G291" s="7">
        <f t="shared" si="29"/>
        <v>0</v>
      </c>
      <c r="H291" s="4"/>
      <c r="I291" s="4"/>
      <c r="J291" s="4"/>
    </row>
    <row r="292" spans="1:10" s="1" customFormat="1" ht="17.25">
      <c r="A292" s="13" t="str">
        <f>chitiet!B2301</f>
        <v>bangnhua</v>
      </c>
      <c r="B292" s="18" t="str">
        <f>IF(E292=0,"",COUNTIF($B$275:$B291,"&gt;0")+1)</f>
        <v/>
      </c>
      <c r="C292" s="16" t="s">
        <v>3585</v>
      </c>
      <c r="D292" s="19" t="s">
        <v>2566</v>
      </c>
      <c r="E292" s="29">
        <f>chitiet!D2301</f>
        <v>0</v>
      </c>
      <c r="F292" s="4"/>
      <c r="G292" s="7">
        <f t="shared" si="29"/>
        <v>0</v>
      </c>
      <c r="H292" s="4"/>
      <c r="I292" s="4"/>
      <c r="J292" s="4"/>
    </row>
    <row r="293" spans="1:10" s="1" customFormat="1" ht="17.25">
      <c r="A293" s="13" t="str">
        <f>chitiet!B2302</f>
        <v>TUDKDT</v>
      </c>
      <c r="B293" s="18" t="str">
        <f>IF(E293=0,"",COUNTIF($B$275:$B292,"&gt;0")+1)</f>
        <v/>
      </c>
      <c r="C293" s="38" t="s">
        <v>3415</v>
      </c>
      <c r="D293" s="39" t="s">
        <v>2566</v>
      </c>
      <c r="E293" s="29">
        <f>chitiet!D2302</f>
        <v>0</v>
      </c>
      <c r="F293" s="4"/>
      <c r="G293" s="7">
        <f t="shared" si="29"/>
        <v>0</v>
      </c>
      <c r="H293" s="4"/>
      <c r="I293" s="4"/>
      <c r="J293" s="4"/>
    </row>
    <row r="294" spans="1:10" s="1" customFormat="1" ht="17.25">
      <c r="A294" s="13" t="str">
        <f>chitiet!B2303</f>
        <v>cd320</v>
      </c>
      <c r="B294" s="18" t="str">
        <f>IF(E294=0,"",COUNTIF($B$275:$B293,"&gt;0")+1)</f>
        <v/>
      </c>
      <c r="C294" s="38" t="s">
        <v>2989</v>
      </c>
      <c r="D294" s="39" t="s">
        <v>2448</v>
      </c>
      <c r="E294" s="29">
        <f>chitiet!D2303</f>
        <v>0</v>
      </c>
      <c r="F294" s="4"/>
      <c r="G294" s="7">
        <f>IF(E294&lt;&gt;0,1,0)</f>
        <v>0</v>
      </c>
      <c r="H294" s="4"/>
      <c r="I294" s="4"/>
      <c r="J294" s="4"/>
    </row>
    <row r="295" spans="1:10" s="1" customFormat="1" ht="17.25">
      <c r="A295" s="13" t="str">
        <f>chitiet!B2304</f>
        <v>keobit</v>
      </c>
      <c r="B295" s="18" t="str">
        <f>IF(E295=0,"",COUNTIF($B$275:$B293,"&gt;0")+1)</f>
        <v/>
      </c>
      <c r="C295" s="38" t="s">
        <v>3588</v>
      </c>
      <c r="D295" s="39" t="s">
        <v>3589</v>
      </c>
      <c r="E295" s="29">
        <f>chitiet!D2304</f>
        <v>0</v>
      </c>
      <c r="F295" s="4"/>
      <c r="G295" s="7">
        <f t="shared" si="29"/>
        <v>0</v>
      </c>
      <c r="H295" s="4"/>
      <c r="I295" s="4"/>
      <c r="J295" s="4"/>
    </row>
    <row r="296" spans="1:10" s="1" customFormat="1" ht="17.25">
      <c r="A296" s="13" t="str">
        <f>chitiet!B2305</f>
        <v>M5M</v>
      </c>
      <c r="B296" s="18" t="str">
        <f>IF(E296=0,"",COUNTIF($B$275:$B295,"&gt;0")+1)</f>
        <v/>
      </c>
      <c r="C296" s="16" t="s">
        <v>2796</v>
      </c>
      <c r="D296" s="19" t="s">
        <v>2541</v>
      </c>
      <c r="E296" s="29">
        <f>chitiet!D2305</f>
        <v>0</v>
      </c>
      <c r="F296" s="4"/>
      <c r="G296" s="7">
        <f t="shared" si="29"/>
        <v>0</v>
      </c>
      <c r="H296" s="4"/>
      <c r="I296" s="4"/>
      <c r="J296" s="4"/>
    </row>
    <row r="297" spans="1:10" s="1" customFormat="1" ht="17.25">
      <c r="A297" s="13" t="str">
        <f>chitiet!B2306</f>
        <v>b12150</v>
      </c>
      <c r="B297" s="18" t="str">
        <f>IF(E297=0,"",COUNTIF($B$275:$B296,"&gt;0")+1)</f>
        <v/>
      </c>
      <c r="C297" s="16" t="s">
        <v>2643</v>
      </c>
      <c r="D297" s="19" t="s">
        <v>2448</v>
      </c>
      <c r="E297" s="29">
        <f>chitiet!D2306</f>
        <v>0</v>
      </c>
      <c r="F297" s="4"/>
      <c r="G297" s="7">
        <f t="shared" si="29"/>
        <v>0</v>
      </c>
      <c r="H297" s="4"/>
      <c r="I297" s="4"/>
      <c r="J297" s="4"/>
    </row>
    <row r="298" spans="1:10" s="1" customFormat="1" ht="17.25">
      <c r="A298" s="13" t="str">
        <f>chitiet!B2307</f>
        <v>sl50</v>
      </c>
      <c r="B298" s="18" t="str">
        <f>IF(E298=0,"",COUNTIF($B$275:$B297,"&gt;0")+1)</f>
        <v/>
      </c>
      <c r="C298" s="16" t="s">
        <v>2975</v>
      </c>
      <c r="D298" s="19" t="s">
        <v>2256</v>
      </c>
      <c r="E298" s="29">
        <f>chitiet!D2307</f>
        <v>0</v>
      </c>
      <c r="F298" s="4"/>
      <c r="G298" s="7">
        <f t="shared" si="29"/>
        <v>0</v>
      </c>
      <c r="H298" s="4"/>
      <c r="I298" s="4"/>
      <c r="J298" s="4"/>
    </row>
    <row r="299" spans="1:10" s="1" customFormat="1" ht="17.25">
      <c r="A299" s="13" t="str">
        <f>chitiet!B2308</f>
        <v>b1260</v>
      </c>
      <c r="B299" s="40" t="str">
        <f>IF(E299=0,"",COUNTIF($B$275:$B298,"&gt;0")+1)</f>
        <v/>
      </c>
      <c r="C299" s="38" t="s">
        <v>2640</v>
      </c>
      <c r="D299" s="39" t="s">
        <v>2448</v>
      </c>
      <c r="E299" s="41">
        <f>chitiet!D2308</f>
        <v>0</v>
      </c>
      <c r="F299" s="4"/>
      <c r="G299" s="7">
        <f t="shared" si="29"/>
        <v>0</v>
      </c>
      <c r="H299" s="4"/>
      <c r="I299" s="4"/>
      <c r="J299" s="4"/>
    </row>
    <row r="300" spans="1:10" s="1" customFormat="1" ht="17.25">
      <c r="A300" s="6"/>
      <c r="B300" s="14"/>
      <c r="C300" s="14"/>
      <c r="D300" s="14"/>
      <c r="E300" s="14"/>
      <c r="F300" s="4"/>
      <c r="G300" s="4"/>
      <c r="H300" s="4"/>
      <c r="I300" s="4"/>
      <c r="J300" s="4"/>
    </row>
    <row r="301" spans="1:10" s="1" customFormat="1" ht="17.25">
      <c r="A301" s="4"/>
      <c r="B301" s="46"/>
      <c r="C301" s="794" t="s">
        <v>4148</v>
      </c>
      <c r="D301" s="47"/>
      <c r="E301" s="48"/>
      <c r="F301" s="4"/>
      <c r="G301" s="4"/>
      <c r="H301" s="4"/>
      <c r="I301" s="4"/>
      <c r="J301" s="4"/>
    </row>
    <row r="302" spans="1:10" s="1" customFormat="1" ht="17.25">
      <c r="A302" s="9" t="str">
        <f>chitiet!B1930</f>
        <v>FCO100-22</v>
      </c>
      <c r="B302" s="44" t="str">
        <f>IF(E302=0,"",COUNTIF($B$116:$B301,"&gt;0")+1)</f>
        <v/>
      </c>
      <c r="C302" s="795" t="s">
        <v>4149</v>
      </c>
      <c r="D302" s="45" t="e">
        <f>VLOOKUP($A302,DSPK3p1m,5,)</f>
        <v>#NAME?</v>
      </c>
      <c r="E302" s="45"/>
      <c r="F302" s="4"/>
      <c r="G302" s="7">
        <f>IF(E302&lt;&gt;0,1,0)</f>
        <v>0</v>
      </c>
      <c r="H302" s="4"/>
      <c r="I302" s="4"/>
      <c r="J302" s="4"/>
    </row>
    <row r="303" spans="1:10" s="1" customFormat="1" ht="17.25">
      <c r="A303" s="13" t="str">
        <f>chitiet!B1921</f>
        <v>LCHSNply</v>
      </c>
      <c r="B303" s="18" t="str">
        <f>IF(E303=0,"",COUNTIF($B$116:$B302,"&gt;0")+1)</f>
        <v/>
      </c>
      <c r="C303" s="125" t="s">
        <v>4150</v>
      </c>
      <c r="D303" s="29" t="e">
        <f>VLOOKUP($A303,DSPK3p1m,5,)</f>
        <v>#NAME?</v>
      </c>
      <c r="E303" s="29">
        <f>chitiet!D1921</f>
        <v>0</v>
      </c>
      <c r="F303" s="4"/>
      <c r="G303" s="7">
        <f>IF(E303&lt;&gt;0,1,0)</f>
        <v>0</v>
      </c>
      <c r="H303" s="4"/>
      <c r="I303" s="4"/>
      <c r="J303" s="4"/>
    </row>
    <row r="304" spans="1:10" s="1" customFormat="1" ht="17.25">
      <c r="A304" s="9" t="str">
        <f>chitiet!B1940</f>
        <v>LSOC</v>
      </c>
      <c r="B304" s="18" t="str">
        <f>IF(E304=0,"",COUNTIF($B$116:$B303,"&gt;0")+1)</f>
        <v/>
      </c>
      <c r="C304" s="125" t="s">
        <v>4151</v>
      </c>
      <c r="D304" s="29" t="e">
        <f>VLOOKUP($A304,DSPK3p1m,5,)</f>
        <v>#NAME?</v>
      </c>
      <c r="E304" s="29">
        <f>chitiet!D1940</f>
        <v>0</v>
      </c>
      <c r="F304" s="4"/>
      <c r="G304" s="7">
        <f>IF(E304&lt;&gt;0,1,0)</f>
        <v>0</v>
      </c>
      <c r="H304" s="4"/>
      <c r="I304" s="4"/>
      <c r="J304" s="4"/>
    </row>
    <row r="305" spans="1:10" s="1" customFormat="1" ht="17.25">
      <c r="A305" s="4"/>
      <c r="B305" s="4"/>
      <c r="C305" s="4"/>
      <c r="D305" s="4"/>
      <c r="E305" s="4"/>
      <c r="F305" s="4"/>
      <c r="G305" s="4"/>
      <c r="H305" s="4"/>
      <c r="I305" s="4"/>
      <c r="J305" s="4"/>
    </row>
    <row r="306" spans="1:10" s="1" customFormat="1" ht="17.25">
      <c r="A306" s="4"/>
      <c r="B306" s="4"/>
      <c r="C306" s="4"/>
      <c r="D306" s="4"/>
      <c r="E306" s="4"/>
      <c r="F306" s="4"/>
      <c r="G306" s="5"/>
      <c r="H306" s="4"/>
      <c r="I306" s="4"/>
      <c r="J306" s="4"/>
    </row>
    <row r="307" spans="1:10" s="1" customFormat="1" ht="17.25">
      <c r="A307" s="4"/>
      <c r="B307" s="4"/>
      <c r="C307" s="4"/>
      <c r="D307" s="4"/>
      <c r="E307" s="4"/>
      <c r="F307" s="4"/>
      <c r="G307" s="5"/>
      <c r="H307" s="4"/>
      <c r="I307" s="4"/>
      <c r="J307" s="4"/>
    </row>
    <row r="308" spans="1:10" s="1" customFormat="1" ht="17.25">
      <c r="A308" s="4"/>
      <c r="B308" s="4"/>
      <c r="C308" s="4"/>
      <c r="D308" s="4"/>
      <c r="E308" s="4"/>
      <c r="F308" s="4"/>
      <c r="G308" s="5"/>
      <c r="H308" s="4"/>
      <c r="I308" s="4"/>
      <c r="J308" s="4"/>
    </row>
    <row r="309" spans="1:10" s="1" customFormat="1" ht="17.25">
      <c r="A309" s="4"/>
      <c r="B309" s="4"/>
      <c r="C309" s="4"/>
      <c r="D309" s="4"/>
      <c r="E309" s="4"/>
      <c r="F309" s="4"/>
      <c r="G309" s="5"/>
      <c r="H309" s="4"/>
      <c r="I309" s="4"/>
      <c r="J309" s="4"/>
    </row>
    <row r="310" spans="1:10" s="1" customFormat="1" ht="17.25">
      <c r="A310" s="4"/>
      <c r="B310" s="4"/>
      <c r="C310" s="4"/>
      <c r="D310" s="4"/>
      <c r="E310" s="4"/>
      <c r="F310" s="4"/>
      <c r="G310" s="5"/>
      <c r="H310" s="4"/>
      <c r="I310" s="4"/>
      <c r="J310" s="4"/>
    </row>
    <row r="311" spans="1:10" s="1" customFormat="1" ht="17.25">
      <c r="A311" s="9"/>
      <c r="B311" s="49"/>
      <c r="C311" s="796" t="s">
        <v>4152</v>
      </c>
      <c r="D311" s="50"/>
      <c r="E311" s="50"/>
      <c r="F311" s="4"/>
      <c r="G311" s="7">
        <f>IF(E311&lt;&gt;0,1,0)</f>
        <v>0</v>
      </c>
      <c r="H311" s="4"/>
      <c r="I311" s="4"/>
      <c r="J311" s="4"/>
    </row>
    <row r="312" spans="1:10" s="1" customFormat="1" ht="17.25">
      <c r="A312" s="9"/>
      <c r="B312" s="44" t="str">
        <f>IF(E312=0,"",COUNTIF($B$116:$B311,"&gt;0")+1)</f>
        <v/>
      </c>
      <c r="C312" s="795" t="s">
        <v>4153</v>
      </c>
      <c r="D312" s="797" t="s">
        <v>2394</v>
      </c>
      <c r="E312" s="45"/>
      <c r="F312" s="4"/>
      <c r="G312" s="7">
        <f>IF(E312&lt;&gt;0,1,0)</f>
        <v>0</v>
      </c>
      <c r="H312" s="4"/>
      <c r="I312" s="4"/>
      <c r="J312" s="4"/>
    </row>
    <row r="313" spans="1:10" s="1" customFormat="1" ht="17.25">
      <c r="A313" s="4"/>
      <c r="B313" s="14"/>
      <c r="C313" s="148" t="s">
        <v>4154</v>
      </c>
      <c r="D313" s="79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4155</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7.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7.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7.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7.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7.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7.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7.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7.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7.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7.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7.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7.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7.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7.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7.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7.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7.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7.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7.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7.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7.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7.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7.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7.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7.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8.75" hidden="1">
      <c r="A39" s="6"/>
      <c r="B39" s="15" t="s">
        <v>941</v>
      </c>
      <c r="C39" s="97" t="s">
        <v>2297</v>
      </c>
      <c r="D39" s="19"/>
      <c r="E39" s="17"/>
      <c r="F39" s="4"/>
      <c r="G39" s="7"/>
      <c r="H39" s="4"/>
      <c r="I39" s="4"/>
      <c r="J39" s="4"/>
    </row>
    <row r="40" spans="1:10" s="1" customFormat="1" ht="17.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7.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7.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7.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7.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7.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7.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7.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7.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7.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7.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7.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7.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7.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5">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7.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7.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7.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7.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7.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7.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5">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7.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7.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7.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7.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7.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7.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7.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7.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7.25" hidden="1">
      <c r="A78" s="9" t="str">
        <f>chitiet!B1955</f>
        <v>AC70</v>
      </c>
      <c r="B78" s="18">
        <f>IF(E78=0,,1)</f>
        <v>0</v>
      </c>
      <c r="C78" s="16" t="str">
        <f>chitiet!F1955</f>
        <v>Cáp nhôm lõi thép AC-70/11</v>
      </c>
      <c r="D78" s="19" t="str">
        <f>chitiet!G1955</f>
        <v>kg</v>
      </c>
      <c r="E78" s="16">
        <f>chitiet!D1955</f>
        <v>0</v>
      </c>
      <c r="F78" s="10">
        <f>chitiet!E1955</f>
        <v>0</v>
      </c>
      <c r="G78" s="7">
        <f t="shared" si="2"/>
        <v>0</v>
      </c>
      <c r="H78" s="4"/>
      <c r="I78" s="4"/>
      <c r="J78" s="4"/>
    </row>
    <row r="79" spans="1:10" ht="15">
      <c r="A79" s="120" t="str">
        <f>chitiet!B1956</f>
        <v>AC50</v>
      </c>
      <c r="B79" s="114">
        <f>IF(E79=0,,COUNTIF($B$78:$B78,"&gt;0")+1)</f>
        <v>0</v>
      </c>
      <c r="C79" s="115" t="str">
        <f>chitiet!F1956</f>
        <v>Cáp nhôm lõi thép AC-50/8</v>
      </c>
      <c r="D79" s="98" t="str">
        <f>chitiet!G1956</f>
        <v>kg</v>
      </c>
      <c r="E79" s="115">
        <f>chitiet!D1956</f>
        <v>0</v>
      </c>
      <c r="F79" s="121">
        <f>chitiet!E1956</f>
        <v>0</v>
      </c>
      <c r="G79" s="113">
        <f t="shared" si="2"/>
        <v>0</v>
      </c>
      <c r="H79" s="105"/>
      <c r="I79" s="105"/>
      <c r="J79" s="105"/>
    </row>
    <row r="80" spans="1:10" ht="15">
      <c r="A80" s="120" t="str">
        <f>chitiet!B1957</f>
        <v>ACXV50</v>
      </c>
      <c r="B80" s="114">
        <f>IF(E80=0,,COUNTIF($B$78:$B79,"&gt;0")+1)</f>
        <v>0</v>
      </c>
      <c r="C80" s="115" t="str">
        <f>chitiet!F1957</f>
        <v>Cáp 24KV ACX 50mm2</v>
      </c>
      <c r="D80" s="98" t="str">
        <f>chitiet!G1957</f>
        <v>mét</v>
      </c>
      <c r="E80" s="115">
        <f>chitiet!D1957</f>
        <v>0</v>
      </c>
      <c r="F80" s="121">
        <f>chitiet!E1957</f>
        <v>0</v>
      </c>
      <c r="G80" s="113">
        <f t="shared" si="2"/>
        <v>0</v>
      </c>
      <c r="H80" s="105"/>
      <c r="I80" s="105"/>
      <c r="J80" s="105"/>
    </row>
    <row r="81" spans="1:10" s="145" customFormat="1" ht="15">
      <c r="A81" s="120" t="str">
        <f>chitiet!B1958</f>
        <v>Đth-U</v>
      </c>
      <c r="B81" s="806">
        <f>IF(E81=0,,COUNTIF($B$78:$B80,"&gt;0")+1)</f>
        <v>0</v>
      </c>
      <c r="C81" s="128" t="str">
        <f>chitiet!F1958</f>
        <v>Bộ Uclevis đỡ dây trung hòa: Đth-U</v>
      </c>
      <c r="D81" s="129" t="str">
        <f>chitiet!G1958</f>
        <v>bộ</v>
      </c>
      <c r="E81" s="128">
        <f>chitiet!D1958</f>
        <v>0</v>
      </c>
      <c r="F81" s="143"/>
      <c r="G81" s="113">
        <f t="shared" si="2"/>
        <v>0</v>
      </c>
      <c r="H81" s="143"/>
      <c r="I81" s="143"/>
      <c r="J81" s="143"/>
    </row>
    <row r="82" spans="1:10" ht="15">
      <c r="A82" s="120" t="str">
        <f>chitiet!B1959</f>
        <v>R1</v>
      </c>
      <c r="B82" s="114"/>
      <c r="C82" s="115" t="str">
        <f>chitiet!F1959</f>
        <v>Uclevis + sứ ống chỉ</v>
      </c>
      <c r="D82" s="98" t="str">
        <f>chitiet!G1959</f>
        <v>bộ</v>
      </c>
      <c r="E82" s="115">
        <f>chitiet!D1959</f>
        <v>0</v>
      </c>
      <c r="F82" s="105"/>
      <c r="G82" s="113">
        <f t="shared" si="2"/>
        <v>0</v>
      </c>
      <c r="H82" s="105"/>
      <c r="I82" s="105"/>
      <c r="J82" s="105"/>
    </row>
    <row r="83" spans="1:10" ht="15">
      <c r="A83" s="120" t="str">
        <f>chitiet!B1960</f>
        <v>B16300</v>
      </c>
      <c r="B83" s="114"/>
      <c r="C83" s="115" t="str">
        <f>chitiet!F1960</f>
        <v>Boulon 16x300+ 2 long đền vuông D18-50x50x3/Zn</v>
      </c>
      <c r="D83" s="98" t="str">
        <f>chitiet!G1960</f>
        <v>bộ</v>
      </c>
      <c r="E83" s="115">
        <f>chitiet!D1960</f>
        <v>0</v>
      </c>
      <c r="F83" s="105"/>
      <c r="G83" s="113">
        <f t="shared" si="2"/>
        <v>0</v>
      </c>
      <c r="H83" s="105"/>
      <c r="I83" s="105"/>
      <c r="J83" s="105"/>
    </row>
    <row r="84" spans="1:10" s="2" customFormat="1" ht="17.25" hidden="1">
      <c r="A84" s="9" t="str">
        <f>chitiet!B1961</f>
        <v>Nth-U</v>
      </c>
      <c r="B84" s="42">
        <f>IF(E84=0,,COUNTIF($B$78:$B83,"&gt;0")+1)</f>
        <v>0</v>
      </c>
      <c r="C84" s="33" t="str">
        <f>chitiet!F1961</f>
        <v>Bộ Uclevis néo dây trung hòa vào trụ: Nth-U</v>
      </c>
      <c r="D84" s="34" t="str">
        <f>chitiet!G1961</f>
        <v>bộ</v>
      </c>
      <c r="E84" s="33">
        <f>chitiet!D1961</f>
        <v>0</v>
      </c>
      <c r="F84" s="31"/>
      <c r="G84" s="7">
        <f t="shared" si="2"/>
        <v>0</v>
      </c>
      <c r="H84" s="31"/>
      <c r="I84" s="31"/>
      <c r="J84" s="31"/>
    </row>
    <row r="85" spans="1:10" s="1" customFormat="1" ht="17.25" hidden="1">
      <c r="A85" s="9" t="str">
        <f>chitiet!B1962</f>
        <v>R1</v>
      </c>
      <c r="B85" s="18"/>
      <c r="C85" s="16" t="str">
        <f>chitiet!F1962</f>
        <v>Uclevis + sứ ống chỉ</v>
      </c>
      <c r="D85" s="19" t="str">
        <f>chitiet!G1962</f>
        <v>bộ</v>
      </c>
      <c r="E85" s="16">
        <f>chitiet!D1962</f>
        <v>0</v>
      </c>
      <c r="F85" s="4"/>
      <c r="G85" s="7">
        <f t="shared" si="2"/>
        <v>0</v>
      </c>
      <c r="H85" s="4"/>
      <c r="I85" s="4"/>
      <c r="J85" s="4"/>
    </row>
    <row r="86" spans="1:10" s="1" customFormat="1" ht="17.25" hidden="1">
      <c r="A86" s="9" t="str">
        <f>chitiet!B1963</f>
        <v>B16300</v>
      </c>
      <c r="B86" s="18"/>
      <c r="C86" s="16" t="str">
        <f>chitiet!F1963</f>
        <v>Boulon 16x300+ 2 long đền vuông D18-50x50x3/Zn</v>
      </c>
      <c r="D86" s="19" t="str">
        <f>chitiet!G1963</f>
        <v>bộ</v>
      </c>
      <c r="E86" s="16">
        <f>chitiet!D1963</f>
        <v>0</v>
      </c>
      <c r="F86" s="4"/>
      <c r="G86" s="7">
        <f t="shared" si="2"/>
        <v>0</v>
      </c>
      <c r="H86" s="4"/>
      <c r="I86" s="4"/>
      <c r="J86" s="4"/>
    </row>
    <row r="87" spans="1:10" s="1" customFormat="1" ht="17.25" hidden="1">
      <c r="A87" s="9" t="str">
        <f>chitiet!B1964</f>
        <v>K50</v>
      </c>
      <c r="B87" s="18"/>
      <c r="C87" s="16" t="str">
        <f>chitiet!F1964</f>
        <v>Kẹp 2 rãnh (APC) cỡ dây 50mm2</v>
      </c>
      <c r="D87" s="19" t="str">
        <f>chitiet!G1964</f>
        <v>cái</v>
      </c>
      <c r="E87" s="16">
        <f>chitiet!D1964</f>
        <v>0</v>
      </c>
      <c r="F87" s="4"/>
      <c r="G87" s="7">
        <f t="shared" si="2"/>
        <v>0</v>
      </c>
      <c r="H87" s="4"/>
      <c r="I87" s="4"/>
      <c r="J87" s="4"/>
    </row>
    <row r="88" spans="1:10" ht="15">
      <c r="A88" s="120" t="str">
        <f>chitiet!B1965</f>
        <v>Nth-T</v>
      </c>
      <c r="B88" s="806">
        <f>IF(E88=0,,COUNTIF($B$78:$B87,"&gt;0")+1)</f>
        <v>0</v>
      </c>
      <c r="C88" s="128" t="str">
        <f>chitiet!F1965</f>
        <v>Bộ khóa néo dây trung hòa vào trụ: Nth-T</v>
      </c>
      <c r="D88" s="129" t="str">
        <f>chitiet!G1965</f>
        <v>bộ</v>
      </c>
      <c r="E88" s="128">
        <f>chitiet!D1965</f>
        <v>0</v>
      </c>
      <c r="F88" s="105"/>
      <c r="G88" s="113">
        <f t="shared" si="2"/>
        <v>0</v>
      </c>
      <c r="H88" s="105"/>
      <c r="I88" s="105"/>
      <c r="J88" s="105"/>
    </row>
    <row r="89" spans="1:10" ht="15">
      <c r="A89" s="120" t="str">
        <f>chitiet!B1966</f>
        <v>kn50</v>
      </c>
      <c r="B89" s="114"/>
      <c r="C89" s="115" t="str">
        <f>chitiet!F1966</f>
        <v>Khóa néo dây cỡ dây 50</v>
      </c>
      <c r="D89" s="98" t="str">
        <f>chitiet!G1966</f>
        <v>cái</v>
      </c>
      <c r="E89" s="115">
        <f>chitiet!D1966</f>
        <v>0</v>
      </c>
      <c r="F89" s="105"/>
      <c r="G89" s="113">
        <f t="shared" si="2"/>
        <v>0</v>
      </c>
      <c r="H89" s="105"/>
      <c r="I89" s="105"/>
      <c r="J89" s="105"/>
    </row>
    <row r="90" spans="1:10" ht="15">
      <c r="A90" s="120" t="str">
        <f>chitiet!B1967</f>
        <v>MT</v>
      </c>
      <c r="B90" s="114"/>
      <c r="C90" s="115" t="str">
        <f>chitiet!F1967</f>
        <v xml:space="preserve">Móc treo chữ U </v>
      </c>
      <c r="D90" s="98" t="str">
        <f>chitiet!G1967</f>
        <v>cái</v>
      </c>
      <c r="E90" s="115">
        <f>chitiet!D1967</f>
        <v>0</v>
      </c>
      <c r="F90" s="105"/>
      <c r="G90" s="113">
        <f t="shared" si="2"/>
        <v>0</v>
      </c>
      <c r="H90" s="105"/>
      <c r="I90" s="105"/>
      <c r="J90" s="105"/>
    </row>
    <row r="91" spans="1:10" ht="15">
      <c r="A91" s="120" t="str">
        <f>chitiet!B1968</f>
        <v>BM16300</v>
      </c>
      <c r="B91" s="114"/>
      <c r="C91" s="115" t="str">
        <f>chitiet!F1968</f>
        <v>Boulon mắt 16x300+ 2 long đền vuông D18-50x50x3/Zn</v>
      </c>
      <c r="D91" s="98" t="str">
        <f>chitiet!G1968</f>
        <v>bộ</v>
      </c>
      <c r="E91" s="115">
        <f>chitiet!D1968</f>
        <v>0</v>
      </c>
      <c r="F91" s="105"/>
      <c r="G91" s="113">
        <f t="shared" si="2"/>
        <v>0</v>
      </c>
      <c r="H91" s="105"/>
      <c r="I91" s="105"/>
      <c r="J91" s="105"/>
    </row>
    <row r="92" spans="1:10" ht="15">
      <c r="A92" s="120" t="str">
        <f>chitiet!B1969</f>
        <v>KE50</v>
      </c>
      <c r="B92" s="114"/>
      <c r="C92" s="115" t="str">
        <f>chitiet!F1969</f>
        <v>Kẹp ép WR cỡ dây 50mm2</v>
      </c>
      <c r="D92" s="98" t="str">
        <f>chitiet!G1969</f>
        <v>cái</v>
      </c>
      <c r="E92" s="115">
        <f>chitiet!D1969</f>
        <v>0</v>
      </c>
      <c r="F92" s="105"/>
      <c r="G92" s="113">
        <f t="shared" si="2"/>
        <v>0</v>
      </c>
      <c r="H92" s="105"/>
      <c r="I92" s="105"/>
      <c r="J92" s="105"/>
    </row>
    <row r="93" spans="1:10" s="1" customFormat="1" ht="17.25" hidden="1">
      <c r="A93" s="9" t="str">
        <f>chitiet!B1970</f>
        <v>SĐU</v>
      </c>
      <c r="B93" s="42">
        <f>IF(E93=0,,COUNTIF($B$78:$B92,"&gt;0")+1)</f>
        <v>0</v>
      </c>
      <c r="C93" s="33" t="str">
        <f>chitiet!F1970</f>
        <v>Bộ cách điện đứng+ty sứ : SĐU</v>
      </c>
      <c r="D93" s="34" t="str">
        <f>chitiet!G1970</f>
        <v>bộ</v>
      </c>
      <c r="E93" s="33">
        <f>chitiet!D1970</f>
        <v>0</v>
      </c>
      <c r="F93" s="4"/>
      <c r="G93" s="7">
        <f t="shared" si="2"/>
        <v>0</v>
      </c>
      <c r="H93" s="4"/>
      <c r="I93" s="4"/>
      <c r="J93" s="4"/>
    </row>
    <row r="94" spans="1:10" s="1" customFormat="1" ht="17.25" hidden="1">
      <c r="A94" s="9" t="str">
        <f>chitiet!B1971</f>
        <v>SD</v>
      </c>
      <c r="B94" s="18"/>
      <c r="C94" s="16" t="str">
        <f>chitiet!F1971</f>
        <v xml:space="preserve">Sứ đứng 24KV </v>
      </c>
      <c r="D94" s="19" t="str">
        <f>chitiet!G1971</f>
        <v>cái</v>
      </c>
      <c r="E94" s="16">
        <f>chitiet!D1971</f>
        <v>0</v>
      </c>
      <c r="F94" s="4"/>
      <c r="G94" s="7">
        <f t="shared" si="2"/>
        <v>0</v>
      </c>
      <c r="H94" s="4"/>
      <c r="I94" s="4"/>
      <c r="J94" s="4"/>
    </row>
    <row r="95" spans="1:10" s="2" customFormat="1" ht="17.25" hidden="1">
      <c r="A95" s="9" t="str">
        <f>chitiet!B1972</f>
        <v>CSD</v>
      </c>
      <c r="B95" s="18"/>
      <c r="C95" s="16" t="str">
        <f>chitiet!F1972</f>
        <v>Chân sứ đứng D20</v>
      </c>
      <c r="D95" s="19" t="str">
        <f>chitiet!G1972</f>
        <v>cái</v>
      </c>
      <c r="E95" s="16">
        <f>chitiet!D1972</f>
        <v>0</v>
      </c>
      <c r="F95" s="31"/>
      <c r="G95" s="7">
        <f t="shared" si="2"/>
        <v>0</v>
      </c>
      <c r="H95" s="31"/>
      <c r="I95" s="31"/>
      <c r="J95" s="31"/>
    </row>
    <row r="96" spans="1:10" ht="15">
      <c r="A96" s="120" t="str">
        <f>chitiet!B1973</f>
        <v>SĐI</v>
      </c>
      <c r="B96" s="806">
        <f>IF(E96=0,,COUNTIF($B$78:$B95,"&gt;0")+1)</f>
        <v>0</v>
      </c>
      <c r="C96" s="128" t="str">
        <f>chitiet!F1973</f>
        <v>Bộ cách điện đỉnh+ty sứ đơn : SĐI</v>
      </c>
      <c r="D96" s="129" t="str">
        <f>chitiet!G1973</f>
        <v>bộ</v>
      </c>
      <c r="E96" s="128">
        <f>chitiet!D1973</f>
        <v>0</v>
      </c>
      <c r="F96" s="105"/>
      <c r="G96" s="113">
        <f t="shared" si="2"/>
        <v>0</v>
      </c>
      <c r="H96" s="105"/>
      <c r="I96" s="105"/>
      <c r="J96" s="105"/>
    </row>
    <row r="97" spans="1:10" ht="15">
      <c r="A97" s="120" t="str">
        <f>chitiet!B1974</f>
        <v>SD</v>
      </c>
      <c r="B97" s="114"/>
      <c r="C97" s="115" t="str">
        <f>chitiet!F1974</f>
        <v xml:space="preserve">Sứ đứng 24KV </v>
      </c>
      <c r="D97" s="98" t="str">
        <f>chitiet!G1974</f>
        <v>cái</v>
      </c>
      <c r="E97" s="115">
        <f>chitiet!D1974</f>
        <v>0</v>
      </c>
      <c r="F97" s="105"/>
      <c r="G97" s="113">
        <f t="shared" si="2"/>
        <v>0</v>
      </c>
      <c r="H97" s="105"/>
      <c r="I97" s="105"/>
      <c r="J97" s="105"/>
    </row>
    <row r="98" spans="1:10" ht="15">
      <c r="A98" s="120" t="str">
        <f>chitiet!B1975</f>
        <v>CSDI</v>
      </c>
      <c r="B98" s="114"/>
      <c r="C98" s="115" t="str">
        <f>chitiet!F1975</f>
        <v>Chân sứ đỉnh thẳng dài 870mm</v>
      </c>
      <c r="D98" s="98" t="str">
        <f>chitiet!G1975</f>
        <v>cái</v>
      </c>
      <c r="E98" s="115">
        <f>chitiet!D1975</f>
        <v>0</v>
      </c>
      <c r="F98" s="105"/>
      <c r="G98" s="113">
        <f t="shared" si="2"/>
        <v>0</v>
      </c>
      <c r="H98" s="105"/>
      <c r="I98" s="105"/>
      <c r="J98" s="105"/>
    </row>
    <row r="99" spans="1:10" s="145" customFormat="1" ht="15">
      <c r="A99" s="120" t="str">
        <f>chitiet!B1976</f>
        <v>B16300</v>
      </c>
      <c r="B99" s="114"/>
      <c r="C99" s="115" t="str">
        <f>chitiet!F1976</f>
        <v>Boulon 16x300+ 2 long đền vuông D18-50x50x3/Zn</v>
      </c>
      <c r="D99" s="98" t="str">
        <f>chitiet!G1976</f>
        <v>bộ</v>
      </c>
      <c r="E99" s="115">
        <f>chitiet!D1976</f>
        <v>0</v>
      </c>
      <c r="F99" s="143"/>
      <c r="G99" s="113">
        <f t="shared" si="2"/>
        <v>0</v>
      </c>
      <c r="H99" s="143"/>
      <c r="I99" s="143"/>
      <c r="J99" s="143"/>
    </row>
    <row r="100" spans="1:10" ht="15">
      <c r="A100" s="120" t="str">
        <f>chitiet!B1977</f>
        <v>SĐG</v>
      </c>
      <c r="B100" s="806">
        <f>IF(E100=0,,COUNTIF($B$78:$B99,"&gt;0")+1)</f>
        <v>0</v>
      </c>
      <c r="C100" s="128" t="str">
        <f>chitiet!F1977</f>
        <v>Bộ cách điện đỉnh góc + ty sứ đơn : SĐG</v>
      </c>
      <c r="D100" s="129" t="str">
        <f>chitiet!G1977</f>
        <v>bộ</v>
      </c>
      <c r="E100" s="128">
        <f>chitiet!D1977</f>
        <v>0</v>
      </c>
      <c r="F100" s="105"/>
      <c r="G100" s="113">
        <f t="shared" ref="G100:G150" si="12">IF(E100&lt;&gt;0,1,0)</f>
        <v>0</v>
      </c>
      <c r="H100" s="105"/>
      <c r="I100" s="105"/>
      <c r="J100" s="105"/>
    </row>
    <row r="101" spans="1:10" ht="15">
      <c r="A101" s="120" t="str">
        <f>chitiet!B1978</f>
        <v>SD</v>
      </c>
      <c r="B101" s="114"/>
      <c r="C101" s="115" t="str">
        <f>chitiet!F1978</f>
        <v xml:space="preserve">Sứ đứng 24KV </v>
      </c>
      <c r="D101" s="98" t="str">
        <f>chitiet!G1978</f>
        <v>cái</v>
      </c>
      <c r="E101" s="115">
        <f>chitiet!D1978</f>
        <v>0</v>
      </c>
      <c r="F101" s="105"/>
      <c r="G101" s="113">
        <f t="shared" si="12"/>
        <v>0</v>
      </c>
      <c r="H101" s="105"/>
      <c r="I101" s="105"/>
      <c r="J101" s="105"/>
    </row>
    <row r="102" spans="1:10" ht="15">
      <c r="A102" s="120" t="str">
        <f>chitiet!B1979</f>
        <v>CSDG</v>
      </c>
      <c r="B102" s="114"/>
      <c r="C102" s="115" t="str">
        <f>chitiet!F1979</f>
        <v>Chân sứ đỉnh đỡ góc dài 870mm</v>
      </c>
      <c r="D102" s="98" t="str">
        <f>chitiet!G1979</f>
        <v>cái</v>
      </c>
      <c r="E102" s="115">
        <f>chitiet!D1979</f>
        <v>0</v>
      </c>
      <c r="F102" s="105"/>
      <c r="G102" s="113">
        <f t="shared" si="12"/>
        <v>0</v>
      </c>
      <c r="H102" s="105"/>
      <c r="I102" s="105"/>
      <c r="J102" s="105"/>
    </row>
    <row r="103" spans="1:10" s="145" customFormat="1" ht="15">
      <c r="A103" s="120" t="str">
        <f>chitiet!B1980</f>
        <v>B16300</v>
      </c>
      <c r="B103" s="114"/>
      <c r="C103" s="115" t="str">
        <f>chitiet!F1980</f>
        <v>Boulon 16x300+ 2 long đền vuông D18-50x50x3/Zn</v>
      </c>
      <c r="D103" s="98" t="str">
        <f>chitiet!G1980</f>
        <v>bộ</v>
      </c>
      <c r="E103" s="115">
        <f>chitiet!D1980</f>
        <v>0</v>
      </c>
      <c r="F103" s="143"/>
      <c r="G103" s="113">
        <f t="shared" si="12"/>
        <v>0</v>
      </c>
      <c r="H103" s="143"/>
      <c r="I103" s="143"/>
      <c r="J103" s="143"/>
    </row>
    <row r="104" spans="1:10" s="1" customFormat="1" ht="17.25" hidden="1">
      <c r="A104" s="9" t="str">
        <f>chitiet!B1981</f>
        <v>CĐT 2BAT-T</v>
      </c>
      <c r="B104" s="42">
        <f>IF(E104=0,,COUNTIF($B$78:$B103,"&gt;0")+1)</f>
        <v>0</v>
      </c>
      <c r="C104" s="33" t="str">
        <f>chitiet!F1981</f>
        <v>Chuỗi sứ treo 2bát 25kV lắp vào trụ : CĐT 2BAT-T</v>
      </c>
      <c r="D104" s="34" t="str">
        <f>chitiet!G1981</f>
        <v>chuỗi</v>
      </c>
      <c r="E104" s="33">
        <f>chitiet!D1981</f>
        <v>0</v>
      </c>
      <c r="F104" s="4"/>
      <c r="G104" s="7">
        <f t="shared" si="12"/>
        <v>0</v>
      </c>
      <c r="H104" s="4"/>
      <c r="I104" s="4"/>
      <c r="J104" s="4"/>
    </row>
    <row r="105" spans="1:10" s="1" customFormat="1" ht="17.25" hidden="1">
      <c r="A105" s="9" t="str">
        <f>chitiet!B1982</f>
        <v>St</v>
      </c>
      <c r="B105" s="18"/>
      <c r="C105" s="16" t="str">
        <f>chitiet!F1982</f>
        <v>Sứ treo loại 70kN</v>
      </c>
      <c r="D105" s="19" t="str">
        <f>chitiet!G1982</f>
        <v>bát</v>
      </c>
      <c r="E105" s="16">
        <f>chitiet!D1982</f>
        <v>0</v>
      </c>
      <c r="F105" s="4"/>
      <c r="G105" s="7">
        <f t="shared" si="12"/>
        <v>0</v>
      </c>
      <c r="H105" s="4"/>
      <c r="I105" s="4"/>
      <c r="J105" s="4"/>
    </row>
    <row r="106" spans="1:10" s="1" customFormat="1" ht="17.25" hidden="1">
      <c r="A106" s="9" t="str">
        <f>chitiet!B1983</f>
        <v>MT</v>
      </c>
      <c r="B106" s="18"/>
      <c r="C106" s="16" t="str">
        <f>chitiet!F1983</f>
        <v xml:space="preserve">Móc treo chữ U </v>
      </c>
      <c r="D106" s="19" t="str">
        <f>chitiet!G1983</f>
        <v>cái</v>
      </c>
      <c r="E106" s="16">
        <f>chitiet!D1983</f>
        <v>0</v>
      </c>
      <c r="F106" s="4"/>
      <c r="G106" s="7">
        <f t="shared" si="12"/>
        <v>0</v>
      </c>
      <c r="H106" s="4"/>
      <c r="I106" s="4"/>
      <c r="J106" s="4"/>
    </row>
    <row r="107" spans="1:10" s="1" customFormat="1" ht="17.25" hidden="1">
      <c r="A107" s="9" t="str">
        <f>chitiet!B1984</f>
        <v>VT</v>
      </c>
      <c r="B107" s="18"/>
      <c r="C107" s="16" t="str">
        <f>chitiet!F1984</f>
        <v>Vòng treo đầu tròn</v>
      </c>
      <c r="D107" s="19" t="str">
        <f>chitiet!G1984</f>
        <v>cái</v>
      </c>
      <c r="E107" s="16">
        <f>chitiet!D1984</f>
        <v>0</v>
      </c>
      <c r="F107" s="4"/>
      <c r="G107" s="7">
        <f t="shared" si="12"/>
        <v>0</v>
      </c>
      <c r="H107" s="4"/>
      <c r="I107" s="4"/>
      <c r="J107" s="4"/>
    </row>
    <row r="108" spans="1:10" s="1" customFormat="1" ht="17.25" hidden="1">
      <c r="A108" s="9" t="str">
        <f>chitiet!B1985</f>
        <v>MND</v>
      </c>
      <c r="B108" s="18"/>
      <c r="C108" s="16" t="str">
        <f>chitiet!F1985</f>
        <v>Mắt nối đơn</v>
      </c>
      <c r="D108" s="19" t="str">
        <f>chitiet!G1985</f>
        <v>cái</v>
      </c>
      <c r="E108" s="16">
        <f>chitiet!D1985</f>
        <v>0</v>
      </c>
      <c r="F108" s="4"/>
      <c r="G108" s="7">
        <f t="shared" si="12"/>
        <v>0</v>
      </c>
      <c r="H108" s="4"/>
      <c r="I108" s="4"/>
      <c r="J108" s="4"/>
    </row>
    <row r="109" spans="1:10" s="1" customFormat="1" ht="17.25" hidden="1">
      <c r="A109" s="9" t="str">
        <f>chitiet!B1986</f>
        <v>Bm16300</v>
      </c>
      <c r="B109" s="18"/>
      <c r="C109" s="16" t="str">
        <f>chitiet!F1986</f>
        <v>Boulon mắt 16x300+ 2 long đền vuông D18-50x50x3/Zn</v>
      </c>
      <c r="D109" s="19" t="str">
        <f>chitiet!G1986</f>
        <v>bộ</v>
      </c>
      <c r="E109" s="16">
        <f>chitiet!D1986</f>
        <v>0</v>
      </c>
      <c r="F109" s="4"/>
      <c r="G109" s="7">
        <f t="shared" si="12"/>
        <v>0</v>
      </c>
      <c r="H109" s="4"/>
      <c r="I109" s="4"/>
      <c r="J109" s="4"/>
    </row>
    <row r="110" spans="1:10" ht="15">
      <c r="A110" s="120" t="str">
        <f>chitiet!B1987</f>
        <v>CĐTply-X</v>
      </c>
      <c r="B110" s="806">
        <f>IF(E110=0,,COUNTIF($B$78:$B109,"&gt;0")+1)</f>
        <v>0</v>
      </c>
      <c r="C110" s="128" t="str">
        <f>chitiet!F1987</f>
        <v>Chuỗi sứ treo Polymer 25kV lắp vào xà : CĐT ply-X</v>
      </c>
      <c r="D110" s="129" t="str">
        <f>chitiet!G1987</f>
        <v>chuỗi</v>
      </c>
      <c r="E110" s="128">
        <f>chitiet!D1987</f>
        <v>0</v>
      </c>
      <c r="F110" s="105"/>
      <c r="G110" s="113">
        <f t="shared" si="12"/>
        <v>0</v>
      </c>
      <c r="H110" s="105"/>
      <c r="I110" s="105"/>
      <c r="J110" s="105"/>
    </row>
    <row r="111" spans="1:10" ht="15">
      <c r="A111" s="120" t="str">
        <f>chitiet!B1988</f>
        <v>Stply</v>
      </c>
      <c r="B111" s="114"/>
      <c r="C111" s="115" t="str">
        <f>chitiet!F1988</f>
        <v>Sứ treo polymer</v>
      </c>
      <c r="D111" s="98" t="str">
        <f>chitiet!G1988</f>
        <v>chuỗi</v>
      </c>
      <c r="E111" s="115">
        <f>chitiet!D1988</f>
        <v>0</v>
      </c>
      <c r="F111" s="105"/>
      <c r="G111" s="113">
        <f t="shared" si="12"/>
        <v>0</v>
      </c>
      <c r="H111" s="105"/>
      <c r="I111" s="105"/>
      <c r="J111" s="105"/>
    </row>
    <row r="112" spans="1:10" ht="15">
      <c r="A112" s="120" t="str">
        <f>chitiet!B1989</f>
        <v>MT</v>
      </c>
      <c r="B112" s="114"/>
      <c r="C112" s="115" t="str">
        <f>chitiet!F1989</f>
        <v xml:space="preserve">Móc treo chữ U </v>
      </c>
      <c r="D112" s="98" t="str">
        <f>chitiet!G1989</f>
        <v>cái</v>
      </c>
      <c r="E112" s="115">
        <f>chitiet!D1989</f>
        <v>0</v>
      </c>
      <c r="F112" s="105"/>
      <c r="G112" s="113">
        <f t="shared" si="12"/>
        <v>0</v>
      </c>
      <c r="H112" s="105"/>
      <c r="I112" s="105"/>
      <c r="J112" s="105"/>
    </row>
    <row r="113" spans="1:10" ht="15">
      <c r="A113" s="120" t="str">
        <f>chitiet!B1990</f>
        <v>kn185</v>
      </c>
      <c r="B113" s="114"/>
      <c r="C113" s="115" t="str">
        <f>chitiet!F1990</f>
        <v>Khóa néo dây cỡ dây 185</v>
      </c>
      <c r="D113" s="98" t="str">
        <f>chitiet!G1990</f>
        <v>cái</v>
      </c>
      <c r="E113" s="115">
        <f>chitiet!D1990</f>
        <v>0</v>
      </c>
      <c r="F113" s="105"/>
      <c r="G113" s="113">
        <f t="shared" si="12"/>
        <v>0</v>
      </c>
      <c r="H113" s="105"/>
      <c r="I113" s="105"/>
      <c r="J113" s="105"/>
    </row>
    <row r="114" spans="1:10" ht="15">
      <c r="A114" s="120" t="str">
        <f>chitiet!B1991</f>
        <v>CĐTply-T</v>
      </c>
      <c r="B114" s="806">
        <f>IF(E114=0,,COUNTIF($B$78:$B113,"&gt;0")+1)</f>
        <v>0</v>
      </c>
      <c r="C114" s="128" t="str">
        <f>chitiet!F1991</f>
        <v>Chuỗi sứ treo Polymer 25kV lắp vào trụ : CĐT ply-T</v>
      </c>
      <c r="D114" s="129" t="str">
        <f>chitiet!G1991</f>
        <v>chuỗi</v>
      </c>
      <c r="E114" s="128">
        <f>chitiet!D1991</f>
        <v>0</v>
      </c>
      <c r="F114" s="105"/>
      <c r="G114" s="113">
        <f t="shared" si="12"/>
        <v>0</v>
      </c>
      <c r="H114" s="105"/>
      <c r="I114" s="105"/>
      <c r="J114" s="105"/>
    </row>
    <row r="115" spans="1:10" ht="15">
      <c r="A115" s="120" t="str">
        <f>chitiet!B1992</f>
        <v>Stply</v>
      </c>
      <c r="B115" s="114"/>
      <c r="C115" s="115" t="str">
        <f>chitiet!F1992</f>
        <v>Sứ treo polymer</v>
      </c>
      <c r="D115" s="98" t="str">
        <f>chitiet!G1992</f>
        <v>chuỗi</v>
      </c>
      <c r="E115" s="115">
        <f>chitiet!D1992</f>
        <v>0</v>
      </c>
      <c r="F115" s="105"/>
      <c r="G115" s="113">
        <f t="shared" si="12"/>
        <v>0</v>
      </c>
      <c r="H115" s="105"/>
      <c r="I115" s="105"/>
      <c r="J115" s="105"/>
    </row>
    <row r="116" spans="1:10" ht="15">
      <c r="A116" s="120" t="str">
        <f>chitiet!B1993</f>
        <v>KN50</v>
      </c>
      <c r="B116" s="114"/>
      <c r="C116" s="115" t="str">
        <f>chitiet!F1993</f>
        <v>Khóa néo dây cỡ dây 50</v>
      </c>
      <c r="D116" s="98" t="str">
        <f>chitiet!G1993</f>
        <v>chuỗi</v>
      </c>
      <c r="E116" s="115">
        <f>chitiet!D1993</f>
        <v>0</v>
      </c>
      <c r="F116" s="105"/>
      <c r="G116" s="113">
        <f t="shared" si="12"/>
        <v>0</v>
      </c>
      <c r="H116" s="105"/>
      <c r="I116" s="105"/>
      <c r="J116" s="105"/>
    </row>
    <row r="117" spans="1:10" ht="15">
      <c r="A117" s="120" t="str">
        <f>chitiet!B1994</f>
        <v>MT</v>
      </c>
      <c r="B117" s="114"/>
      <c r="C117" s="115" t="str">
        <f>chitiet!F1994</f>
        <v xml:space="preserve">Móc treo chữ U </v>
      </c>
      <c r="D117" s="98" t="str">
        <f>chitiet!G1994</f>
        <v>cái</v>
      </c>
      <c r="E117" s="115">
        <f>chitiet!D1994</f>
        <v>0</v>
      </c>
      <c r="F117" s="105"/>
      <c r="G117" s="113">
        <f t="shared" si="12"/>
        <v>0</v>
      </c>
      <c r="H117" s="105"/>
      <c r="I117" s="105"/>
      <c r="J117" s="105"/>
    </row>
    <row r="118" spans="1:10" s="1" customFormat="1" ht="17.25" hidden="1">
      <c r="A118" s="9" t="str">
        <f>chitiet!B1995</f>
        <v>KDPLY</v>
      </c>
      <c r="B118" s="18"/>
      <c r="C118" s="16" t="str">
        <f>chitiet!F1995</f>
        <v>Khánh bắt sứ kép polymer</v>
      </c>
      <c r="D118" s="19" t="str">
        <f>chitiet!G1995</f>
        <v>cái</v>
      </c>
      <c r="E118" s="16">
        <f>chitiet!D1995</f>
        <v>0</v>
      </c>
      <c r="F118" s="4"/>
      <c r="G118" s="7">
        <f>IF(E118&lt;&gt;0,1,0)</f>
        <v>0</v>
      </c>
      <c r="H118" s="4"/>
      <c r="I118" s="4"/>
      <c r="J118" s="4"/>
    </row>
    <row r="119" spans="1:10" ht="15">
      <c r="A119" s="120" t="str">
        <f>chitiet!B1996</f>
        <v>Bm16300</v>
      </c>
      <c r="B119" s="114"/>
      <c r="C119" s="115" t="str">
        <f>chitiet!F1996</f>
        <v>Boulon mắt 16x300+ 2 long đền vuông D18-50x50x3/Zn</v>
      </c>
      <c r="D119" s="98" t="str">
        <f>chitiet!G1996</f>
        <v>bộ</v>
      </c>
      <c r="E119" s="115">
        <f>chitiet!D1996</f>
        <v>0</v>
      </c>
      <c r="F119" s="105"/>
      <c r="G119" s="113">
        <f t="shared" si="12"/>
        <v>0</v>
      </c>
      <c r="H119" s="105"/>
      <c r="I119" s="105"/>
      <c r="J119" s="105"/>
    </row>
    <row r="120" spans="1:10" s="1" customFormat="1" ht="17.25" hidden="1">
      <c r="A120" s="9" t="str">
        <f>chitiet!B1997</f>
        <v>CĐT 2BAT-X</v>
      </c>
      <c r="B120" s="42">
        <f>IF(E120=0,,COUNTIF($B$78:$B119,"&gt;0")+1)</f>
        <v>0</v>
      </c>
      <c r="C120" s="33" t="str">
        <f>chitiet!F1997</f>
        <v>Chuỗi sứ đỡ 2bát 25kV lắp vào xà : CĐT 2BAT-X</v>
      </c>
      <c r="D120" s="34" t="str">
        <f>chitiet!G1997</f>
        <v>chuỗi</v>
      </c>
      <c r="E120" s="33">
        <f>chitiet!D1997</f>
        <v>0</v>
      </c>
      <c r="F120" s="4"/>
      <c r="G120" s="7">
        <f t="shared" si="12"/>
        <v>0</v>
      </c>
      <c r="H120" s="4"/>
      <c r="I120" s="4"/>
      <c r="J120" s="4"/>
    </row>
    <row r="121" spans="1:10" s="1" customFormat="1" ht="17.25" hidden="1">
      <c r="A121" s="9" t="str">
        <f>chitiet!B1998</f>
        <v>ST</v>
      </c>
      <c r="B121" s="18"/>
      <c r="C121" s="16" t="str">
        <f>chitiet!F1998</f>
        <v>Sứ treo loại 70kN</v>
      </c>
      <c r="D121" s="19" t="str">
        <f>chitiet!G1998</f>
        <v>bát</v>
      </c>
      <c r="E121" s="16">
        <f>chitiet!D1998</f>
        <v>0</v>
      </c>
      <c r="F121" s="4"/>
      <c r="G121" s="7">
        <f t="shared" si="12"/>
        <v>0</v>
      </c>
      <c r="H121" s="4"/>
      <c r="I121" s="4"/>
      <c r="J121" s="4"/>
    </row>
    <row r="122" spans="1:10" s="1" customFormat="1" ht="17.25" hidden="1">
      <c r="A122" s="9" t="str">
        <f>chitiet!B1999</f>
        <v>MT</v>
      </c>
      <c r="B122" s="18"/>
      <c r="C122" s="16" t="str">
        <f>chitiet!F1999</f>
        <v xml:space="preserve">Móc treo chữ U </v>
      </c>
      <c r="D122" s="19" t="str">
        <f>chitiet!G1999</f>
        <v>cái</v>
      </c>
      <c r="E122" s="16">
        <f>chitiet!D1999</f>
        <v>0</v>
      </c>
      <c r="F122" s="4"/>
      <c r="G122" s="7">
        <f t="shared" si="12"/>
        <v>0</v>
      </c>
      <c r="H122" s="4"/>
      <c r="I122" s="4"/>
      <c r="J122" s="4"/>
    </row>
    <row r="123" spans="1:10" s="1" customFormat="1" ht="17.25" hidden="1">
      <c r="A123" s="9" t="str">
        <f>chitiet!B2000</f>
        <v>VT</v>
      </c>
      <c r="B123" s="18"/>
      <c r="C123" s="16" t="str">
        <f>chitiet!F2000</f>
        <v>Vòng treo đầu tròn</v>
      </c>
      <c r="D123" s="19" t="str">
        <f>chitiet!G2000</f>
        <v>cái</v>
      </c>
      <c r="E123" s="16">
        <f>chitiet!D2000</f>
        <v>0</v>
      </c>
      <c r="F123" s="4"/>
      <c r="G123" s="7">
        <f t="shared" si="12"/>
        <v>0</v>
      </c>
      <c r="H123" s="4"/>
      <c r="I123" s="4"/>
      <c r="J123" s="4"/>
    </row>
    <row r="124" spans="1:10" s="1" customFormat="1" ht="17.25" hidden="1">
      <c r="A124" s="9" t="str">
        <f>chitiet!B2001</f>
        <v>MND</v>
      </c>
      <c r="B124" s="18"/>
      <c r="C124" s="16" t="str">
        <f>chitiet!F2001</f>
        <v>Mắt nối đơn</v>
      </c>
      <c r="D124" s="19" t="str">
        <f>chitiet!G2001</f>
        <v>cái</v>
      </c>
      <c r="E124" s="16">
        <f>chitiet!D2001</f>
        <v>0</v>
      </c>
      <c r="F124" s="4"/>
      <c r="G124" s="7">
        <f t="shared" si="12"/>
        <v>0</v>
      </c>
      <c r="H124" s="4"/>
      <c r="I124" s="4"/>
      <c r="J124" s="4"/>
    </row>
    <row r="125" spans="1:10" ht="15">
      <c r="A125" s="120">
        <f>chitiet!B2002</f>
        <v>0</v>
      </c>
      <c r="B125" s="142">
        <f>IF(E125=0,,COUNTIF($B$78:$B124,"&gt;0")+1)</f>
        <v>1</v>
      </c>
      <c r="C125" s="128" t="str">
        <f>chitiet!F2002</f>
        <v>Phụ kiện đấu nối đầu đường dây</v>
      </c>
      <c r="D125" s="129">
        <f>chitiet!G2002</f>
        <v>0</v>
      </c>
      <c r="E125" s="115">
        <v>1</v>
      </c>
      <c r="F125" s="105"/>
      <c r="G125" s="113">
        <v>1</v>
      </c>
      <c r="H125" s="105"/>
      <c r="I125" s="105"/>
      <c r="J125" s="105"/>
    </row>
    <row r="126" spans="1:10" s="1" customFormat="1" ht="17.25" hidden="1">
      <c r="A126" s="9" t="str">
        <f>chitiet!B2003</f>
        <v>KD50</v>
      </c>
      <c r="B126" s="28">
        <f>IF(E126=0,,COUNTIF($B$78:$B125,"&gt;0")+1)</f>
        <v>0</v>
      </c>
      <c r="C126" s="16" t="str">
        <f>chitiet!F2003</f>
        <v>Khóa đỡ dây cỡ dây 50</v>
      </c>
      <c r="D126" s="19" t="str">
        <f>chitiet!G2003</f>
        <v>cái</v>
      </c>
      <c r="E126" s="16">
        <f>chitiet!D2003</f>
        <v>0</v>
      </c>
      <c r="F126" s="4"/>
      <c r="G126" s="7">
        <f t="shared" si="12"/>
        <v>0</v>
      </c>
      <c r="H126" s="4"/>
      <c r="I126" s="4"/>
      <c r="J126" s="4"/>
    </row>
    <row r="127" spans="1:10" s="1" customFormat="1" ht="17.25" hidden="1">
      <c r="A127" s="9" t="str">
        <f>chitiet!B2004</f>
        <v>KN50</v>
      </c>
      <c r="B127" s="28">
        <f>IF(E127=0,,COUNTIF($B$78:$B126,"&gt;0")+1)</f>
        <v>0</v>
      </c>
      <c r="C127" s="16" t="str">
        <f>chitiet!F2004</f>
        <v>Khóa néo dây cỡ dây 50</v>
      </c>
      <c r="D127" s="19" t="str">
        <f>chitiet!G2004</f>
        <v>cái</v>
      </c>
      <c r="E127" s="16">
        <f>chitiet!D2004</f>
        <v>0</v>
      </c>
      <c r="F127" s="4"/>
      <c r="G127" s="7">
        <f t="shared" si="12"/>
        <v>0</v>
      </c>
      <c r="H127" s="4"/>
      <c r="I127" s="4"/>
      <c r="J127" s="4"/>
    </row>
    <row r="128" spans="1:10" s="1" customFormat="1" ht="17.25" hidden="1">
      <c r="A128" s="9" t="str">
        <f>chitiet!B2005</f>
        <v>kn70</v>
      </c>
      <c r="B128" s="28">
        <f>IF(E128=0,,COUNTIF($B$78:$B127,"&gt;0")+1)</f>
        <v>0</v>
      </c>
      <c r="C128" s="16" t="str">
        <f>chitiet!F2005</f>
        <v>Khóa néo dây cỡ dây 70</v>
      </c>
      <c r="D128" s="19" t="str">
        <f>chitiet!G2005</f>
        <v>cái</v>
      </c>
      <c r="E128" s="16">
        <f>chitiet!D2005</f>
        <v>0</v>
      </c>
      <c r="F128" s="4"/>
      <c r="G128" s="7">
        <f t="shared" si="12"/>
        <v>0</v>
      </c>
      <c r="H128" s="4"/>
      <c r="I128" s="4"/>
      <c r="J128" s="4"/>
    </row>
    <row r="129" spans="1:10" ht="15">
      <c r="A129" s="120" t="str">
        <f>chitiet!B2006</f>
        <v>kE50</v>
      </c>
      <c r="B129" s="142"/>
      <c r="C129" s="115" t="str">
        <f>chitiet!F2006</f>
        <v>Kẹp ép WR cỡ dây 50mm2</v>
      </c>
      <c r="D129" s="98" t="str">
        <f>chitiet!G2006</f>
        <v>cái</v>
      </c>
      <c r="E129" s="115">
        <f>chitiet!D2006</f>
        <v>0</v>
      </c>
      <c r="F129" s="105"/>
      <c r="G129" s="113">
        <f t="shared" si="12"/>
        <v>0</v>
      </c>
      <c r="H129" s="105"/>
      <c r="I129" s="105"/>
      <c r="J129" s="105"/>
    </row>
    <row r="130" spans="1:10" s="1" customFormat="1" ht="17.25" hidden="1">
      <c r="A130" s="9" t="str">
        <f>chitiet!B2007</f>
        <v>ke70</v>
      </c>
      <c r="B130" s="28">
        <f>IF(E130=0,,COUNTIF($B$78:$B129,"&gt;0")+1)</f>
        <v>0</v>
      </c>
      <c r="C130" s="16" t="str">
        <f>chitiet!F2007</f>
        <v>Kẹp ép WR cỡ dây 70mm2</v>
      </c>
      <c r="D130" s="19" t="str">
        <f>chitiet!G2007</f>
        <v>cái</v>
      </c>
      <c r="E130" s="16">
        <f>chitiet!D2007</f>
        <v>0</v>
      </c>
      <c r="F130" s="4"/>
      <c r="G130" s="7">
        <f t="shared" si="12"/>
        <v>0</v>
      </c>
      <c r="H130" s="4"/>
      <c r="I130" s="4"/>
      <c r="J130" s="4"/>
    </row>
    <row r="131" spans="1:10" s="1" customFormat="1" ht="17.25" hidden="1">
      <c r="A131" s="9" t="str">
        <f>chitiet!B2008</f>
        <v>ke95</v>
      </c>
      <c r="B131" s="28">
        <f>IF(E131=0,,COUNTIF($B$78:$B130,"&gt;0")+1)</f>
        <v>0</v>
      </c>
      <c r="C131" s="16" t="str">
        <f>chitiet!F2008</f>
        <v>Kẹp ép WR cỡ dây 95mm2</v>
      </c>
      <c r="D131" s="19" t="str">
        <f>chitiet!G2008</f>
        <v>cái</v>
      </c>
      <c r="E131" s="16">
        <f>chitiet!D2008</f>
        <v>0</v>
      </c>
      <c r="F131" s="4"/>
      <c r="G131" s="7">
        <f t="shared" si="12"/>
        <v>0</v>
      </c>
      <c r="H131" s="4"/>
      <c r="I131" s="4"/>
      <c r="J131" s="4"/>
    </row>
    <row r="132" spans="1:10" s="1" customFormat="1" ht="17.25" hidden="1">
      <c r="A132" s="9" t="str">
        <f>chitiet!B2009</f>
        <v>ke120</v>
      </c>
      <c r="B132" s="28">
        <f>IF(E132=0,,COUNTIF($B$78:$B131,"&gt;0")+1)</f>
        <v>0</v>
      </c>
      <c r="C132" s="16" t="str">
        <f>chitiet!F2009</f>
        <v>Kẹp ép WR cỡ dây 120mm2</v>
      </c>
      <c r="D132" s="19" t="str">
        <f>chitiet!G2009</f>
        <v>cái</v>
      </c>
      <c r="E132" s="16">
        <f>chitiet!D2009</f>
        <v>0</v>
      </c>
      <c r="F132" s="4"/>
      <c r="G132" s="7">
        <f t="shared" si="12"/>
        <v>0</v>
      </c>
      <c r="H132" s="4"/>
      <c r="I132" s="4"/>
      <c r="J132" s="4"/>
    </row>
    <row r="133" spans="1:10" s="1" customFormat="1" ht="17.25" hidden="1">
      <c r="A133" s="9" t="str">
        <f>chitiet!B2010</f>
        <v>ke150</v>
      </c>
      <c r="B133" s="28">
        <f>IF(E133=0,,COUNTIF($B$78:$B132,"&gt;0")+1)</f>
        <v>0</v>
      </c>
      <c r="C133" s="16" t="str">
        <f>chitiet!F2010</f>
        <v>Kẹp ép WR cỡ dây 150mm2</v>
      </c>
      <c r="D133" s="19" t="str">
        <f>chitiet!G2010</f>
        <v>cái</v>
      </c>
      <c r="E133" s="16">
        <f>chitiet!D2010</f>
        <v>0</v>
      </c>
      <c r="F133" s="4"/>
      <c r="G133" s="7">
        <f t="shared" si="12"/>
        <v>0</v>
      </c>
      <c r="H133" s="4"/>
      <c r="I133" s="4"/>
      <c r="J133" s="4"/>
    </row>
    <row r="134" spans="1:10" s="1" customFormat="1" ht="17.25" hidden="1">
      <c r="A134" s="9" t="str">
        <f>chitiet!B2011</f>
        <v>ke185</v>
      </c>
      <c r="B134" s="28">
        <f>IF(E134=0,,COUNTIF($B$78:$B133,"&gt;0")+1)</f>
        <v>0</v>
      </c>
      <c r="C134" s="16" t="str">
        <f>chitiet!F2011</f>
        <v>Kẹp ép WR cỡ dây 185mm2</v>
      </c>
      <c r="D134" s="19" t="str">
        <f>chitiet!G2011</f>
        <v>cái</v>
      </c>
      <c r="E134" s="16">
        <f>chitiet!D2011</f>
        <v>0</v>
      </c>
      <c r="F134" s="4"/>
      <c r="G134" s="7">
        <f t="shared" si="12"/>
        <v>0</v>
      </c>
      <c r="H134" s="4"/>
      <c r="I134" s="4"/>
      <c r="J134" s="4"/>
    </row>
    <row r="135" spans="1:10" s="1" customFormat="1" ht="17.25" hidden="1">
      <c r="A135" s="9" t="str">
        <f>chitiet!B2012</f>
        <v>ke240</v>
      </c>
      <c r="B135" s="28">
        <f>IF(E135=0,,COUNTIF($B$78:$B134,"&gt;0")+1)</f>
        <v>0</v>
      </c>
      <c r="C135" s="16" t="str">
        <f>chitiet!F2012</f>
        <v>Kẹp ép WR cỡ dây 240mm2</v>
      </c>
      <c r="D135" s="19" t="str">
        <f>chitiet!G2012</f>
        <v>cái</v>
      </c>
      <c r="E135" s="16">
        <f>chitiet!D2012</f>
        <v>0</v>
      </c>
      <c r="F135" s="4"/>
      <c r="G135" s="7">
        <f t="shared" si="12"/>
        <v>0</v>
      </c>
      <c r="H135" s="4"/>
      <c r="I135" s="4"/>
      <c r="J135" s="4"/>
    </row>
    <row r="136" spans="1:10" s="1" customFormat="1" ht="17.25" hidden="1">
      <c r="A136" s="9" t="str">
        <f>chitiet!B2013</f>
        <v>cose70</v>
      </c>
      <c r="B136" s="28">
        <f>IF(E136=0,,COUNTIF($B$78:$B135,"&gt;0")+1)</f>
        <v>0</v>
      </c>
      <c r="C136" s="16" t="str">
        <f>chitiet!F2013</f>
        <v>Đầu cosse ép Cu-Al 70mm2</v>
      </c>
      <c r="D136" s="19" t="str">
        <f>chitiet!G2013</f>
        <v>cái</v>
      </c>
      <c r="E136" s="16">
        <f>chitiet!D2013</f>
        <v>0</v>
      </c>
      <c r="F136" s="4"/>
      <c r="G136" s="7">
        <f t="shared" si="12"/>
        <v>0</v>
      </c>
      <c r="H136" s="4"/>
      <c r="I136" s="4"/>
      <c r="J136" s="4"/>
    </row>
    <row r="137" spans="1:10" s="1" customFormat="1" ht="17.25" hidden="1">
      <c r="A137" s="9" t="str">
        <f>chitiet!B2014</f>
        <v>cose95</v>
      </c>
      <c r="B137" s="28">
        <f>IF(E137=0,,COUNTIF($B$78:$B136,"&gt;0")+1)</f>
        <v>0</v>
      </c>
      <c r="C137" s="16" t="str">
        <f>chitiet!F2014</f>
        <v>Đầu cosse ép Cu-Al 95mm2</v>
      </c>
      <c r="D137" s="19" t="str">
        <f>chitiet!G2014</f>
        <v>cái</v>
      </c>
      <c r="E137" s="16">
        <f>chitiet!D2014</f>
        <v>0</v>
      </c>
      <c r="F137" s="4"/>
      <c r="G137" s="7">
        <f t="shared" si="12"/>
        <v>0</v>
      </c>
      <c r="H137" s="4"/>
      <c r="I137" s="4"/>
      <c r="J137" s="4"/>
    </row>
    <row r="138" spans="1:10" s="1" customFormat="1" ht="17.25" hidden="1">
      <c r="A138" s="9" t="str">
        <f>chitiet!B2015</f>
        <v>cose120</v>
      </c>
      <c r="B138" s="28">
        <f>IF(E138=0,,COUNTIF($B$78:$B137,"&gt;0")+1)</f>
        <v>0</v>
      </c>
      <c r="C138" s="16" t="str">
        <f>chitiet!F2015</f>
        <v>Đầu cosse ép Cu-Al 120mm2</v>
      </c>
      <c r="D138" s="19" t="str">
        <f>chitiet!G2015</f>
        <v>cái</v>
      </c>
      <c r="E138" s="16">
        <f>chitiet!D2015</f>
        <v>0</v>
      </c>
      <c r="F138" s="4"/>
      <c r="G138" s="7">
        <f t="shared" si="12"/>
        <v>0</v>
      </c>
      <c r="H138" s="4"/>
      <c r="I138" s="4"/>
      <c r="J138" s="4"/>
    </row>
    <row r="139" spans="1:10" s="1" customFormat="1" ht="17.25" hidden="1">
      <c r="A139" s="9" t="str">
        <f>chitiet!B2016</f>
        <v>cose150</v>
      </c>
      <c r="B139" s="28">
        <f>IF(E139=0,,COUNTIF($B$78:$B138,"&gt;0")+1)</f>
        <v>0</v>
      </c>
      <c r="C139" s="16" t="str">
        <f>chitiet!F2016</f>
        <v>Đầu cosse ép Cu-Al 150mm2</v>
      </c>
      <c r="D139" s="19" t="str">
        <f>chitiet!G2016</f>
        <v>cái</v>
      </c>
      <c r="E139" s="16">
        <f>chitiet!D2016</f>
        <v>0</v>
      </c>
      <c r="F139" s="4"/>
      <c r="G139" s="7">
        <f t="shared" si="12"/>
        <v>0</v>
      </c>
      <c r="H139" s="4"/>
      <c r="I139" s="4"/>
      <c r="J139" s="4"/>
    </row>
    <row r="140" spans="1:10" s="1" customFormat="1" ht="17.25" hidden="1">
      <c r="A140" s="9" t="str">
        <f>chitiet!B2017</f>
        <v>cose185</v>
      </c>
      <c r="B140" s="28">
        <f>IF(E140=0,,COUNTIF($B$78:$B139,"&gt;0")+1)</f>
        <v>0</v>
      </c>
      <c r="C140" s="16" t="str">
        <f>chitiet!F2017</f>
        <v>Đầu cosse ép Cu-Al 185mm2</v>
      </c>
      <c r="D140" s="19" t="str">
        <f>chitiet!G2017</f>
        <v>cái</v>
      </c>
      <c r="E140" s="16">
        <f>chitiet!D2017</f>
        <v>0</v>
      </c>
      <c r="F140" s="4"/>
      <c r="G140" s="7">
        <f t="shared" si="12"/>
        <v>0</v>
      </c>
      <c r="H140" s="4"/>
      <c r="I140" s="4"/>
      <c r="J140" s="4"/>
    </row>
    <row r="141" spans="1:10" s="1" customFormat="1" ht="17.25" hidden="1">
      <c r="A141" s="9" t="str">
        <f>chitiet!B2018</f>
        <v>cose240</v>
      </c>
      <c r="B141" s="28">
        <f>IF(E141=0,,COUNTIF($B$78:$B140,"&gt;0")+1)</f>
        <v>0</v>
      </c>
      <c r="C141" s="16" t="str">
        <f>chitiet!F2018</f>
        <v>Đầu cosse ép Cu-Al 240mm2</v>
      </c>
      <c r="D141" s="19" t="str">
        <f>chitiet!G2018</f>
        <v>cái</v>
      </c>
      <c r="E141" s="16">
        <f>chitiet!D2018</f>
        <v>0</v>
      </c>
      <c r="F141" s="4"/>
      <c r="G141" s="7">
        <f t="shared" si="12"/>
        <v>0</v>
      </c>
      <c r="H141" s="4"/>
      <c r="I141" s="4"/>
      <c r="J141" s="4"/>
    </row>
    <row r="142" spans="1:10" s="1" customFormat="1" ht="17.25" hidden="1">
      <c r="A142" s="9" t="str">
        <f>chitiet!B2019</f>
        <v>B1230</v>
      </c>
      <c r="B142" s="28">
        <f>IF(E142=0,,COUNTIF($B$78:$B141,"&gt;0")+1)</f>
        <v>0</v>
      </c>
      <c r="C142" s="16" t="str">
        <f>chitiet!F2019</f>
        <v>Boulon 12x30+ 2 long đền vuông D14-50x50x3/Zn</v>
      </c>
      <c r="D142" s="19" t="str">
        <f>chitiet!G2019</f>
        <v>bộ</v>
      </c>
      <c r="E142" s="16">
        <f>chitiet!D2019</f>
        <v>0</v>
      </c>
      <c r="F142" s="4"/>
      <c r="G142" s="7">
        <f t="shared" si="12"/>
        <v>0</v>
      </c>
      <c r="H142" s="4"/>
      <c r="I142" s="4"/>
      <c r="J142" s="4"/>
    </row>
    <row r="143" spans="1:10" s="1" customFormat="1" ht="17.25" hidden="1">
      <c r="A143" s="9" t="str">
        <f>chitiet!B2020</f>
        <v>KQ2/0</v>
      </c>
      <c r="B143" s="28">
        <f>IF(E143=0,,COUNTIF($B$78:$B142,"&gt;0")+1)</f>
        <v>0</v>
      </c>
      <c r="C143" s="16" t="str">
        <f>chitiet!F2020</f>
        <v>Kẹp quai 2/0</v>
      </c>
      <c r="D143" s="19" t="str">
        <f>chitiet!G2020</f>
        <v>cái</v>
      </c>
      <c r="E143" s="16">
        <f>chitiet!D2020</f>
        <v>0</v>
      </c>
      <c r="F143" s="4"/>
      <c r="G143" s="7">
        <f t="shared" si="12"/>
        <v>0</v>
      </c>
      <c r="H143" s="4"/>
      <c r="I143" s="4"/>
      <c r="J143" s="4"/>
    </row>
    <row r="144" spans="1:10" s="1" customFormat="1" ht="17.25" hidden="1">
      <c r="A144" s="9" t="str">
        <f>chitiet!B2022</f>
        <v>ccdqu</v>
      </c>
      <c r="B144" s="28">
        <f>IF(E144=0,,COUNTIF($B$78:$B143,"&gt;0")+1)</f>
        <v>0</v>
      </c>
      <c r="C144" s="16" t="str">
        <f>chitiet!F2022</f>
        <v>Chụp cách điện kẹp quai</v>
      </c>
      <c r="D144" s="19" t="str">
        <f>chitiet!G2022</f>
        <v>cái</v>
      </c>
      <c r="E144" s="16">
        <f>chitiet!D2022</f>
        <v>0</v>
      </c>
      <c r="F144" s="4"/>
      <c r="G144" s="7">
        <f t="shared" si="12"/>
        <v>0</v>
      </c>
      <c r="H144" s="4"/>
      <c r="I144" s="4"/>
      <c r="J144" s="4"/>
    </row>
    <row r="145" spans="1:10" ht="15">
      <c r="A145" s="120" t="str">
        <f>chitiet!B2023</f>
        <v>XLPE25</v>
      </c>
      <c r="B145" s="142">
        <f>IF(E145=0,,COUNTIF($B$78:$B144,"&gt;0")+1)</f>
        <v>0</v>
      </c>
      <c r="C145" s="115" t="str">
        <f>chitiet!F2023</f>
        <v>Cáp 24KV CX-25mm2</v>
      </c>
      <c r="D145" s="98" t="str">
        <f>chitiet!G2023</f>
        <v>mét</v>
      </c>
      <c r="E145" s="115">
        <f>chitiet!D2023</f>
        <v>0</v>
      </c>
      <c r="F145" s="105"/>
      <c r="G145" s="113">
        <f t="shared" si="12"/>
        <v>0</v>
      </c>
      <c r="H145" s="105"/>
      <c r="I145" s="105"/>
      <c r="J145" s="105"/>
    </row>
    <row r="146" spans="1:10" s="1" customFormat="1" ht="17.25" hidden="1">
      <c r="A146" s="9" t="str">
        <f>chitiet!B2024</f>
        <v>c3/8</v>
      </c>
      <c r="B146" s="28">
        <f>IF(E146=0,,COUNTIF($B$78:$B145,"&gt;0")+1)</f>
        <v>0</v>
      </c>
      <c r="C146" s="16" t="str">
        <f>chitiet!F2024</f>
        <v>Cáp thép 3/8"</v>
      </c>
      <c r="D146" s="19" t="str">
        <f>chitiet!G2024</f>
        <v>kg</v>
      </c>
      <c r="E146" s="16">
        <f>chitiet!D2024</f>
        <v>0</v>
      </c>
      <c r="F146" s="4"/>
      <c r="G146" s="7">
        <f t="shared" si="12"/>
        <v>0</v>
      </c>
      <c r="H146" s="4"/>
      <c r="I146" s="4"/>
      <c r="J146" s="4"/>
    </row>
    <row r="147" spans="1:10" ht="15">
      <c r="A147" s="120" t="str">
        <f>chitiet!B2026</f>
        <v>ON50</v>
      </c>
      <c r="B147" s="142"/>
      <c r="C147" s="115" t="str">
        <f>chitiet!F2026</f>
        <v>Ống nối dây cỡ 50mm2</v>
      </c>
      <c r="D147" s="98" t="str">
        <f>chitiet!G2026</f>
        <v>cái</v>
      </c>
      <c r="E147" s="115">
        <f>chitiet!D2026</f>
        <v>0</v>
      </c>
      <c r="F147" s="105"/>
      <c r="G147" s="113">
        <f t="shared" si="12"/>
        <v>0</v>
      </c>
      <c r="H147" s="105"/>
      <c r="I147" s="105"/>
      <c r="J147" s="105"/>
    </row>
    <row r="148" spans="1:10" ht="15">
      <c r="A148" s="120" t="str">
        <f>chitiet!B2027</f>
        <v>ON70</v>
      </c>
      <c r="B148" s="142"/>
      <c r="C148" s="115" t="str">
        <f>chitiet!F2027</f>
        <v>Ống nối dây cỡ 70mm2</v>
      </c>
      <c r="D148" s="98" t="str">
        <f>chitiet!G2027</f>
        <v>cái</v>
      </c>
      <c r="E148" s="115">
        <f>chitiet!D2027</f>
        <v>0</v>
      </c>
      <c r="F148" s="105"/>
      <c r="G148" s="113">
        <f t="shared" si="12"/>
        <v>0</v>
      </c>
      <c r="H148" s="105"/>
      <c r="I148" s="105"/>
      <c r="J148" s="105"/>
    </row>
    <row r="149" spans="1:10" ht="15">
      <c r="A149" s="120" t="str">
        <f>chitiet!B2028</f>
        <v>DAYA</v>
      </c>
      <c r="B149" s="142"/>
      <c r="C149" s="115" t="str">
        <f>chitiet!F2028</f>
        <v xml:space="preserve">Dây nhôm buộc </v>
      </c>
      <c r="D149" s="98" t="str">
        <f>chitiet!G2028</f>
        <v>kg</v>
      </c>
      <c r="E149" s="807">
        <f>chitiet!D2028</f>
        <v>0</v>
      </c>
      <c r="F149" s="105"/>
      <c r="G149" s="113">
        <f t="shared" si="12"/>
        <v>0</v>
      </c>
      <c r="H149" s="105"/>
      <c r="I149" s="105"/>
      <c r="J149" s="105"/>
    </row>
    <row r="150" spans="1:10" s="1" customFormat="1" ht="17.25" hidden="1">
      <c r="A150" s="9" t="str">
        <f>chitiet!B2031</f>
        <v>bnh</v>
      </c>
      <c r="B150" s="28">
        <f>IF(E150=0,,COUNTIF($B$78:$B149,"&gt;0")+1)</f>
        <v>0</v>
      </c>
      <c r="C150" s="16" t="str">
        <f>chitiet!F2031</f>
        <v>Biển số - Bảng nguy hiểm</v>
      </c>
      <c r="D150" s="19" t="str">
        <f>chitiet!G2031</f>
        <v>cái</v>
      </c>
      <c r="E150" s="16">
        <f>chitiet!D2031</f>
        <v>0</v>
      </c>
      <c r="F150" s="4"/>
      <c r="G150" s="7">
        <f t="shared" si="12"/>
        <v>0</v>
      </c>
      <c r="H150" s="4"/>
      <c r="I150" s="4"/>
      <c r="J150" s="4"/>
    </row>
    <row r="151" spans="1:10" ht="15">
      <c r="A151" s="808" t="s">
        <v>1905</v>
      </c>
      <c r="B151" s="118" t="s">
        <v>1906</v>
      </c>
      <c r="C151" s="97" t="s">
        <v>2310</v>
      </c>
      <c r="D151" s="98" t="s">
        <v>2309</v>
      </c>
      <c r="E151" s="119"/>
      <c r="F151" s="105"/>
      <c r="G151" s="113">
        <v>1</v>
      </c>
      <c r="H151" s="105"/>
      <c r="I151" s="105"/>
      <c r="J151" s="105"/>
    </row>
    <row r="152" spans="1:10" ht="15">
      <c r="A152" s="809" t="str">
        <f>chitiet!B2310</f>
        <v>FCO100-22</v>
      </c>
      <c r="B152" s="114">
        <v>1</v>
      </c>
      <c r="C152" s="115" t="str">
        <f>chitiet!F2310</f>
        <v>FCO 27kV - 100A</v>
      </c>
      <c r="D152" s="98" t="str">
        <f>chitiet!G2310</f>
        <v>cái</v>
      </c>
      <c r="E152" s="810">
        <f>chitiet!D2310</f>
        <v>0</v>
      </c>
      <c r="F152" s="105"/>
      <c r="G152" s="113">
        <f>IF(E152&lt;&gt;0,1,0)</f>
        <v>0</v>
      </c>
      <c r="H152" s="105"/>
      <c r="I152" s="105"/>
      <c r="J152" s="105"/>
    </row>
    <row r="153" spans="1:10" ht="15">
      <c r="A153" s="809" t="str">
        <f>chitiet!B2312</f>
        <v>chi8K</v>
      </c>
      <c r="B153" s="114">
        <v>2</v>
      </c>
      <c r="C153" s="115" t="str">
        <f>chitiet!F2312</f>
        <v>Dây chảy 8K</v>
      </c>
      <c r="D153" s="98" t="str">
        <f>chitiet!G2312</f>
        <v>Sợi</v>
      </c>
      <c r="E153" s="810">
        <f>chitiet!D2312</f>
        <v>0</v>
      </c>
      <c r="F153" s="105"/>
      <c r="G153" s="113">
        <f>IF(E153&lt;&gt;0,1,0)</f>
        <v>0</v>
      </c>
      <c r="H153" s="105"/>
      <c r="I153" s="105"/>
      <c r="J153" s="105"/>
    </row>
    <row r="154" spans="1:10" ht="15">
      <c r="A154" s="809" t="str">
        <f>chitiet!B2314</f>
        <v>chi12K</v>
      </c>
      <c r="B154" s="114">
        <v>3</v>
      </c>
      <c r="C154" s="115" t="str">
        <f>chitiet!F2314</f>
        <v>Dây chảy 12K</v>
      </c>
      <c r="D154" s="98" t="str">
        <f>chitiet!G2314</f>
        <v>Sợi</v>
      </c>
      <c r="E154" s="810">
        <f>chitiet!D2314</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7.25" hidden="1">
      <c r="A156" s="6"/>
      <c r="B156" s="4"/>
      <c r="C156" s="4"/>
      <c r="D156" s="4"/>
      <c r="E156" s="4"/>
      <c r="F156" s="4"/>
      <c r="G156" s="5"/>
      <c r="H156" s="4"/>
      <c r="I156" s="4"/>
      <c r="J156" s="4"/>
    </row>
    <row r="157" spans="1:10" s="1" customFormat="1" ht="17.25" hidden="1">
      <c r="A157" s="4"/>
      <c r="B157" s="4"/>
      <c r="C157" s="4"/>
      <c r="D157" s="4"/>
      <c r="E157" s="4"/>
      <c r="F157" s="4"/>
      <c r="G157" s="5"/>
      <c r="H157" s="4"/>
      <c r="I157" s="4"/>
      <c r="J157" s="4"/>
    </row>
    <row r="158" spans="1:10" s="1" customFormat="1" ht="17.25" hidden="1">
      <c r="A158" s="4"/>
      <c r="B158" s="4"/>
      <c r="C158" s="4"/>
      <c r="D158" s="4"/>
      <c r="E158" s="4"/>
      <c r="F158" s="4"/>
      <c r="G158" s="5"/>
      <c r="H158" s="4"/>
      <c r="I158" s="4"/>
      <c r="J158" s="4"/>
    </row>
    <row r="159" spans="1:10" s="1" customFormat="1" ht="17.25" hidden="1">
      <c r="A159" s="4"/>
      <c r="B159" s="4"/>
      <c r="C159" s="4"/>
      <c r="D159" s="4"/>
      <c r="E159" s="4"/>
      <c r="F159" s="4"/>
      <c r="G159" s="5"/>
      <c r="H159" s="4"/>
      <c r="I159" s="4"/>
      <c r="J159" s="4"/>
    </row>
    <row r="160" spans="1:10" s="1" customFormat="1" ht="17.25" hidden="1">
      <c r="A160" s="4"/>
      <c r="B160" s="4"/>
      <c r="C160" s="4"/>
      <c r="D160" s="4"/>
      <c r="E160" s="4"/>
      <c r="F160" s="4"/>
      <c r="G160" s="5"/>
      <c r="H160" s="4"/>
      <c r="I160" s="4"/>
      <c r="J160" s="4"/>
    </row>
    <row r="161" spans="1:10" s="1" customFormat="1" ht="17.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736"/>
  <sheetViews>
    <sheetView showZeros="0" topLeftCell="A854" zoomScale="85" zoomScaleNormal="85" workbookViewId="0">
      <selection activeCell="F861" sqref="F861:I867"/>
    </sheetView>
  </sheetViews>
  <sheetFormatPr defaultColWidth="8.88671875" defaultRowHeight="15" outlineLevelRow="1"/>
  <cols>
    <col min="1" max="1" width="6.33203125" style="87" customWidth="1"/>
    <col min="2" max="2" width="11.109375" style="1078" bestFit="1" customWidth="1"/>
    <col min="3" max="3" width="6.44140625" style="1078" customWidth="1"/>
    <col min="4" max="4" width="5.33203125" style="87" customWidth="1"/>
    <col min="5" max="5" width="8.77734375" style="87" customWidth="1"/>
    <col min="6" max="6" width="44.88671875" style="88" customWidth="1"/>
    <col min="7" max="7" width="7.33203125" style="87" customWidth="1"/>
    <col min="8" max="8" width="9.5546875" style="1921" customWidth="1"/>
    <col min="9" max="9" width="10.21875" style="1920" customWidth="1"/>
    <col min="10" max="11" width="9" style="87" customWidth="1"/>
    <col min="12" max="12" width="11.109375" style="90" customWidth="1"/>
    <col min="13" max="13" width="11.44140625" style="969"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921"/>
      <c r="L1" s="87"/>
      <c r="M1" s="90"/>
    </row>
    <row r="2" spans="4:16" hidden="1" outlineLevel="1">
      <c r="F2" s="1290" t="s">
        <v>4448</v>
      </c>
      <c r="G2" s="1291" t="s">
        <v>4449</v>
      </c>
      <c r="H2" s="1922"/>
      <c r="I2" s="1856">
        <v>10</v>
      </c>
      <c r="J2" s="1292" t="s">
        <v>4442</v>
      </c>
      <c r="K2" s="1291" t="s">
        <v>4450</v>
      </c>
      <c r="L2" s="1291"/>
      <c r="M2" s="1292">
        <v>1</v>
      </c>
      <c r="N2" s="1292" t="s">
        <v>4451</v>
      </c>
      <c r="O2" s="1292">
        <v>1</v>
      </c>
      <c r="P2" s="1292" t="s">
        <v>4452</v>
      </c>
    </row>
    <row r="3" spans="4:16" ht="15.75" hidden="1" outlineLevel="1">
      <c r="F3" s="1293">
        <v>36</v>
      </c>
      <c r="G3" s="1294" t="s">
        <v>4453</v>
      </c>
      <c r="H3" s="1922"/>
      <c r="I3" s="1857">
        <v>46</v>
      </c>
      <c r="J3" s="1292" t="s">
        <v>1829</v>
      </c>
      <c r="K3" s="1291" t="s">
        <v>4454</v>
      </c>
      <c r="L3" s="1291"/>
      <c r="M3" s="1292">
        <v>0</v>
      </c>
      <c r="N3" s="1292" t="s">
        <v>4455</v>
      </c>
      <c r="O3" s="1295"/>
    </row>
    <row r="4" spans="4:16" hidden="1" outlineLevel="1">
      <c r="F4" s="1293"/>
      <c r="G4" s="1294" t="s">
        <v>4456</v>
      </c>
      <c r="H4" s="1922"/>
      <c r="I4" s="1856">
        <v>3</v>
      </c>
      <c r="J4" s="1292" t="s">
        <v>858</v>
      </c>
      <c r="K4" s="1296" t="s">
        <v>4457</v>
      </c>
      <c r="L4" s="1291"/>
      <c r="M4" s="1292">
        <v>0</v>
      </c>
      <c r="N4" s="1297"/>
      <c r="O4" s="1295"/>
    </row>
    <row r="5" spans="4:16" hidden="1" outlineLevel="1">
      <c r="F5" s="1293"/>
      <c r="G5" s="1298" t="s">
        <v>4458</v>
      </c>
      <c r="H5" s="1856" t="s">
        <v>4459</v>
      </c>
      <c r="I5" s="1856" t="s">
        <v>4460</v>
      </c>
      <c r="J5" s="1298" t="s">
        <v>4461</v>
      </c>
      <c r="K5" s="1298" t="s">
        <v>4462</v>
      </c>
      <c r="L5" s="1292" t="s">
        <v>4460</v>
      </c>
      <c r="M5" s="1298" t="s">
        <v>4463</v>
      </c>
      <c r="N5" s="1299" t="s">
        <v>4464</v>
      </c>
      <c r="O5" s="1295"/>
    </row>
    <row r="6" spans="4:16" ht="15.75" hidden="1" outlineLevel="1">
      <c r="F6" s="1300"/>
      <c r="G6" s="1301">
        <v>18</v>
      </c>
      <c r="H6" s="1922" t="s">
        <v>2059</v>
      </c>
      <c r="I6" s="1858">
        <v>0</v>
      </c>
      <c r="J6" s="1302">
        <f>I6*15</f>
        <v>0</v>
      </c>
      <c r="K6" s="1303" t="s">
        <v>4465</v>
      </c>
      <c r="L6" s="1301">
        <v>0</v>
      </c>
      <c r="M6" s="1304">
        <f>L6*3*15</f>
        <v>0</v>
      </c>
      <c r="N6" s="2674">
        <f>I17+L17</f>
        <v>0</v>
      </c>
      <c r="O6" s="1295"/>
    </row>
    <row r="7" spans="4:16" ht="15.75" hidden="1" outlineLevel="1">
      <c r="D7" s="1305"/>
      <c r="F7" s="1306"/>
      <c r="G7" s="1302" t="s">
        <v>4466</v>
      </c>
      <c r="H7" s="1923" t="s">
        <v>2060</v>
      </c>
      <c r="I7" s="1858"/>
      <c r="J7" s="1302">
        <f>I7*25</f>
        <v>0</v>
      </c>
      <c r="K7" s="1303" t="s">
        <v>4467</v>
      </c>
      <c r="L7" s="1301">
        <v>0</v>
      </c>
      <c r="M7" s="1304">
        <f>L7*3*25</f>
        <v>0</v>
      </c>
      <c r="N7" s="2675"/>
      <c r="O7" s="1295"/>
      <c r="P7" s="1307"/>
    </row>
    <row r="8" spans="4:16" ht="15.75" hidden="1" outlineLevel="1">
      <c r="E8" s="89"/>
      <c r="F8" s="1293"/>
      <c r="G8" s="1301">
        <v>22</v>
      </c>
      <c r="H8" s="1923" t="s">
        <v>4468</v>
      </c>
      <c r="I8" s="1858">
        <v>0</v>
      </c>
      <c r="J8" s="1302">
        <f>I8*37.5</f>
        <v>0</v>
      </c>
      <c r="K8" s="1303" t="s">
        <v>4469</v>
      </c>
      <c r="L8" s="1301">
        <v>0</v>
      </c>
      <c r="M8" s="1304">
        <f>L8*3*37.5</f>
        <v>0</v>
      </c>
      <c r="N8" s="1299" t="s">
        <v>4470</v>
      </c>
      <c r="O8" s="1295"/>
    </row>
    <row r="9" spans="4:16" ht="15.75" hidden="1" outlineLevel="1">
      <c r="E9" s="1305"/>
      <c r="F9" s="1293"/>
      <c r="G9" s="1308"/>
      <c r="H9" s="1923" t="s">
        <v>2061</v>
      </c>
      <c r="I9" s="1858"/>
      <c r="J9" s="1302">
        <f>I9*50</f>
        <v>0</v>
      </c>
      <c r="K9" s="1303" t="s">
        <v>4471</v>
      </c>
      <c r="L9" s="1301">
        <v>1</v>
      </c>
      <c r="M9" s="1304">
        <f>L9*3*50</f>
        <v>150</v>
      </c>
      <c r="N9" s="2674">
        <f>J18+M18</f>
        <v>150</v>
      </c>
      <c r="O9" s="1295"/>
    </row>
    <row r="10" spans="4:16" ht="15.75" hidden="1" outlineLevel="1">
      <c r="E10" s="1305"/>
      <c r="F10" s="1293"/>
      <c r="G10" s="1309"/>
      <c r="H10" s="1924" t="s">
        <v>2062</v>
      </c>
      <c r="I10" s="1858"/>
      <c r="J10" s="1302">
        <f>I10*75</f>
        <v>0</v>
      </c>
      <c r="K10" s="1310" t="s">
        <v>4472</v>
      </c>
      <c r="L10" s="1301"/>
      <c r="M10" s="1304">
        <f>L10*160</f>
        <v>0</v>
      </c>
      <c r="N10" s="2676"/>
      <c r="O10" s="1295"/>
    </row>
    <row r="11" spans="4:16" ht="15.75" hidden="1" outlineLevel="1">
      <c r="E11" s="1305"/>
      <c r="F11" s="1293"/>
      <c r="G11" s="1309"/>
      <c r="H11" s="1924" t="s">
        <v>2063</v>
      </c>
      <c r="I11" s="1858"/>
      <c r="J11" s="1302">
        <f>I11*100</f>
        <v>0</v>
      </c>
      <c r="K11" s="1310" t="s">
        <v>4473</v>
      </c>
      <c r="L11" s="1301"/>
      <c r="M11" s="1304">
        <f>L11*250</f>
        <v>0</v>
      </c>
      <c r="N11" s="2676"/>
      <c r="O11" s="1295"/>
    </row>
    <row r="12" spans="4:16" ht="15.75" hidden="1" outlineLevel="1">
      <c r="E12" s="1305"/>
      <c r="F12" s="1293"/>
      <c r="G12" s="1309"/>
      <c r="H12" s="1925"/>
      <c r="I12" s="1858"/>
      <c r="J12" s="1311"/>
      <c r="K12" s="1310" t="s">
        <v>4474</v>
      </c>
      <c r="L12" s="1301"/>
      <c r="M12" s="1304">
        <f>L12*320</f>
        <v>0</v>
      </c>
      <c r="N12" s="2676"/>
      <c r="O12" s="1295"/>
    </row>
    <row r="13" spans="4:16" ht="15.75" hidden="1" outlineLevel="1">
      <c r="E13" s="1305"/>
      <c r="F13" s="1293"/>
      <c r="G13" s="1309"/>
      <c r="H13" s="1925"/>
      <c r="I13" s="1858"/>
      <c r="J13" s="1311"/>
      <c r="K13" s="1310" t="s">
        <v>4475</v>
      </c>
      <c r="L13" s="1301">
        <v>0</v>
      </c>
      <c r="M13" s="1304">
        <f>L13*400</f>
        <v>0</v>
      </c>
      <c r="N13" s="2676"/>
      <c r="O13" s="1295"/>
    </row>
    <row r="14" spans="4:16" ht="15.75" hidden="1" outlineLevel="1">
      <c r="E14" s="1305"/>
      <c r="F14" s="1293"/>
      <c r="G14" s="1309"/>
      <c r="H14" s="1925"/>
      <c r="I14" s="1858"/>
      <c r="J14" s="1311"/>
      <c r="K14" s="1310" t="s">
        <v>4476</v>
      </c>
      <c r="L14" s="1301">
        <v>0</v>
      </c>
      <c r="M14" s="1304">
        <f>L14*560</f>
        <v>0</v>
      </c>
      <c r="N14" s="2676"/>
      <c r="O14" s="1295"/>
    </row>
    <row r="15" spans="4:16" ht="15.75" hidden="1" outlineLevel="1">
      <c r="E15" s="1305"/>
      <c r="F15" s="1293"/>
      <c r="G15" s="1309"/>
      <c r="H15" s="1925"/>
      <c r="I15" s="1858"/>
      <c r="J15" s="1311"/>
      <c r="K15" s="1310" t="s">
        <v>4477</v>
      </c>
      <c r="L15" s="1301">
        <v>0</v>
      </c>
      <c r="M15" s="1304">
        <f>L15*630</f>
        <v>0</v>
      </c>
      <c r="N15" s="2676"/>
      <c r="O15" s="1295"/>
    </row>
    <row r="16" spans="4:16" ht="15.75" hidden="1" outlineLevel="1">
      <c r="E16" s="1305"/>
      <c r="F16" s="1293"/>
      <c r="G16" s="1312"/>
      <c r="H16" s="1924"/>
      <c r="I16" s="1858"/>
      <c r="J16" s="1311"/>
      <c r="K16" s="1313">
        <v>1000</v>
      </c>
      <c r="L16" s="1301">
        <v>0</v>
      </c>
      <c r="M16" s="1304">
        <f>L16*1000</f>
        <v>0</v>
      </c>
      <c r="N16" s="2677"/>
      <c r="O16" s="1295"/>
    </row>
    <row r="17" spans="1:23" ht="15.75" hidden="1" outlineLevel="1">
      <c r="E17" s="87">
        <f>chitiet!G5</f>
        <v>3</v>
      </c>
      <c r="F17" s="1293"/>
      <c r="G17" s="1314"/>
      <c r="H17" s="1924"/>
      <c r="I17" s="1858"/>
      <c r="J17" s="1315"/>
      <c r="K17" s="1316">
        <v>2000</v>
      </c>
      <c r="L17" s="1301">
        <v>0</v>
      </c>
      <c r="M17" s="1304">
        <f>L17*2000</f>
        <v>0</v>
      </c>
      <c r="N17" s="2675"/>
      <c r="O17" s="1295"/>
    </row>
    <row r="18" spans="1:23" hidden="1" outlineLevel="1">
      <c r="G18" s="1317"/>
      <c r="H18" s="1926"/>
      <c r="I18" s="1859"/>
      <c r="J18" s="1318">
        <f>SUM(J6:J11)</f>
        <v>0</v>
      </c>
      <c r="K18" s="1319"/>
      <c r="L18" s="1320"/>
      <c r="M18" s="1318">
        <f>SUM(M6:M17)</f>
        <v>150</v>
      </c>
      <c r="N18" s="1321"/>
      <c r="O18" s="1295"/>
    </row>
    <row r="19" spans="1:23" s="1086" customFormat="1" ht="42.75" customHeight="1" collapsed="1">
      <c r="A19" s="1086" t="s">
        <v>1018</v>
      </c>
      <c r="B19" s="1322"/>
      <c r="C19" s="1322"/>
      <c r="D19" s="1323" t="s">
        <v>4859</v>
      </c>
      <c r="E19" s="984"/>
      <c r="F19" s="984"/>
      <c r="G19" s="976"/>
      <c r="H19" s="1860"/>
      <c r="I19" s="1860"/>
      <c r="J19" s="976"/>
      <c r="K19" s="976"/>
      <c r="L19" s="984"/>
      <c r="M19" s="977"/>
    </row>
    <row r="20" spans="1:23" s="974" customFormat="1" ht="24" customHeight="1">
      <c r="A20" s="974">
        <v>1</v>
      </c>
      <c r="B20" s="1077"/>
      <c r="C20" s="1077"/>
      <c r="D20" s="1283" t="str">
        <f>"Công trình: "&amp;WORD!AB2</f>
        <v>Công trình: Đường dây trung thế &amp; TBA Suối Lá, ấp Gia Ui, xã Xuân Tâm</v>
      </c>
      <c r="E20" s="975"/>
      <c r="F20" s="975"/>
      <c r="G20" s="975"/>
      <c r="H20" s="1861"/>
      <c r="I20" s="1861"/>
      <c r="J20" s="975"/>
      <c r="K20" s="975"/>
      <c r="L20" s="975"/>
      <c r="M20" s="977"/>
    </row>
    <row r="21" spans="1:23" s="974" customFormat="1" ht="21" customHeight="1">
      <c r="A21" s="978"/>
      <c r="B21" s="1077"/>
      <c r="C21" s="1077"/>
      <c r="D21" s="1284" t="str">
        <f>"Địa điểm: "&amp;WORD!AD2</f>
        <v>Địa điểm: Xã Xuân Tâm - Huyện Xuân Lộc - TỉnhĐồngNai</v>
      </c>
      <c r="E21" s="979"/>
      <c r="F21" s="979"/>
      <c r="G21" s="979"/>
      <c r="H21" s="1862"/>
      <c r="I21" s="1862"/>
      <c r="J21" s="979"/>
      <c r="K21" s="979"/>
      <c r="L21" s="979"/>
      <c r="M21" s="980"/>
      <c r="N21" s="981"/>
      <c r="O21" s="981"/>
      <c r="P21" s="981"/>
      <c r="Q21" s="981"/>
      <c r="R21" s="981"/>
      <c r="S21" s="981"/>
      <c r="T21" s="981"/>
      <c r="U21" s="981"/>
      <c r="V21" s="981"/>
    </row>
    <row r="22" spans="1:23" s="1086" customFormat="1" ht="27" customHeight="1">
      <c r="A22" s="1156"/>
      <c r="B22" s="1327" t="s">
        <v>2292</v>
      </c>
      <c r="C22" s="1327"/>
      <c r="D22" s="2678" t="s">
        <v>1714</v>
      </c>
      <c r="E22" s="2678" t="s">
        <v>2608</v>
      </c>
      <c r="F22" s="2678" t="s">
        <v>2609</v>
      </c>
      <c r="G22" s="2678" t="s">
        <v>2604</v>
      </c>
      <c r="H22" s="1863" t="s">
        <v>4315</v>
      </c>
      <c r="I22" s="1864"/>
      <c r="J22" s="1069"/>
      <c r="K22" s="1070"/>
      <c r="L22" s="2680" t="s">
        <v>2610</v>
      </c>
      <c r="M22" s="977"/>
    </row>
    <row r="23" spans="1:23" s="1086" customFormat="1" ht="27" customHeight="1">
      <c r="A23" s="1156"/>
      <c r="B23" s="1327"/>
      <c r="C23" s="1327"/>
      <c r="D23" s="2679"/>
      <c r="E23" s="2679"/>
      <c r="F23" s="2679"/>
      <c r="G23" s="2679"/>
      <c r="H23" s="1044" t="s">
        <v>4314</v>
      </c>
      <c r="I23" s="1044" t="s">
        <v>4311</v>
      </c>
      <c r="J23" s="1071" t="s">
        <v>4312</v>
      </c>
      <c r="K23" s="1071" t="s">
        <v>4313</v>
      </c>
      <c r="L23" s="2681"/>
      <c r="M23" s="977" t="s">
        <v>1267</v>
      </c>
      <c r="N23" s="1086" t="s">
        <v>512</v>
      </c>
    </row>
    <row r="24" spans="1:23" s="1086" customFormat="1" ht="25.15" customHeight="1">
      <c r="A24" s="1156" t="s">
        <v>512</v>
      </c>
      <c r="B24" s="1327"/>
      <c r="C24" s="1327"/>
      <c r="D24" s="1159"/>
      <c r="E24" s="1160"/>
      <c r="F24" s="1428" t="s">
        <v>3693</v>
      </c>
      <c r="G24" s="1162"/>
      <c r="H24" s="1865"/>
      <c r="I24" s="1865"/>
      <c r="J24" s="1162"/>
      <c r="K24" s="1162"/>
      <c r="L24" s="1163"/>
      <c r="M24" s="1071" t="s">
        <v>4382</v>
      </c>
      <c r="N24" s="1178"/>
      <c r="O24" s="1178"/>
      <c r="P24" s="1178"/>
      <c r="Q24" s="1178"/>
      <c r="R24" s="1178"/>
      <c r="S24" s="1178"/>
      <c r="T24" s="1178"/>
      <c r="U24" s="1178"/>
      <c r="V24" s="1178"/>
    </row>
    <row r="25" spans="1:23" s="1086" customFormat="1" ht="25.15" hidden="1" customHeight="1">
      <c r="A25" s="1156">
        <f>IF(I25&gt;0,1,0)</f>
        <v>0</v>
      </c>
      <c r="B25" s="1328" t="s">
        <v>824</v>
      </c>
      <c r="C25" s="1328"/>
      <c r="D25" s="1093">
        <f>IF(H25&gt;0,1,0)</f>
        <v>0</v>
      </c>
      <c r="E25" s="1082" t="str">
        <f>VLOOKUP($B25,DG!A:D,DG!$B$2,)</f>
        <v>01.1161</v>
      </c>
      <c r="F25" s="1083" t="str">
        <f>VLOOKUP($B25,DG!A:D,DG!$C$2,)</f>
        <v>Máy biến áp 12,7/0,22-0,44kV  15kVA</v>
      </c>
      <c r="G25" s="1082" t="str">
        <f>VLOOKUP($B25,DG!A:D,DG!$D$2,)</f>
        <v>máy</v>
      </c>
      <c r="H25" s="1866">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15" hidden="1" customHeight="1">
      <c r="A26" s="1156">
        <f t="shared" ref="A26:A89" si="0">IF(I26&gt;0,1,0)</f>
        <v>0</v>
      </c>
      <c r="B26" s="1328" t="s">
        <v>1657</v>
      </c>
      <c r="C26" s="1328"/>
      <c r="D26" s="1093">
        <f t="shared" ref="D26:D32" si="1">IF(H26&gt;0,D25+1,D25)</f>
        <v>0</v>
      </c>
      <c r="E26" s="1082" t="str">
        <f>VLOOKUP($B26,DG!A:D,DG!$B$2,)</f>
        <v>02.3155</v>
      </c>
      <c r="F26" s="1083" t="str">
        <f>VLOOKUP($B26,DG!A:D,DG!$C$2,)</f>
        <v>FCO 27kV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15" hidden="1" customHeight="1">
      <c r="A27" s="1156">
        <f t="shared" si="0"/>
        <v>0</v>
      </c>
      <c r="B27" s="1327" t="s">
        <v>890</v>
      </c>
      <c r="C27" s="1327"/>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15" hidden="1" customHeight="1">
      <c r="A28" s="1156">
        <f t="shared" si="0"/>
        <v>0</v>
      </c>
      <c r="B28" s="1327" t="s">
        <v>1378</v>
      </c>
      <c r="C28" s="1327"/>
      <c r="D28" s="1093">
        <f t="shared" si="1"/>
        <v>0</v>
      </c>
      <c r="E28" s="1082" t="str">
        <f>VLOOKUP($B28,DG!A:D,DG!$B$2,)</f>
        <v>02.5114</v>
      </c>
      <c r="F28" s="1083" t="str">
        <f>VLOOKUP($B28,DG!A:D,DG!$C$2,)</f>
        <v>Chống sét van LA-18KV-10KA</v>
      </c>
      <c r="G28" s="1082" t="str">
        <f>VLOOKUP($B28,DG!A:D,DG!$D$2,)</f>
        <v>cái</v>
      </c>
      <c r="H28" s="1170">
        <f>H26</f>
        <v>0</v>
      </c>
      <c r="I28" s="1262">
        <f t="shared" si="2"/>
        <v>0</v>
      </c>
      <c r="J28" s="1111"/>
      <c r="K28" s="1134"/>
      <c r="L28" s="1113"/>
      <c r="M28" s="980">
        <v>15</v>
      </c>
      <c r="N28" s="1102"/>
    </row>
    <row r="29" spans="1:23" s="1086" customFormat="1" ht="25.15" hidden="1" customHeight="1">
      <c r="A29" s="1156">
        <f t="shared" si="0"/>
        <v>0</v>
      </c>
      <c r="B29" s="1329" t="s">
        <v>81</v>
      </c>
      <c r="C29" s="1329"/>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15"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15" hidden="1" customHeight="1">
      <c r="A31" s="1156">
        <f t="shared" si="0"/>
        <v>0</v>
      </c>
      <c r="B31" s="1327" t="s">
        <v>199</v>
      </c>
      <c r="C31" s="1327"/>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15" hidden="1" customHeight="1">
      <c r="A32" s="1156">
        <f t="shared" si="0"/>
        <v>0</v>
      </c>
      <c r="B32" s="1327" t="s">
        <v>200</v>
      </c>
      <c r="C32" s="1327"/>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15" hidden="1" customHeight="1">
      <c r="A33" s="1156">
        <f t="shared" si="0"/>
        <v>0</v>
      </c>
      <c r="B33" s="1327"/>
      <c r="C33" s="1327"/>
      <c r="D33" s="1110"/>
      <c r="E33" s="1182"/>
      <c r="F33" s="1183"/>
      <c r="G33" s="1110"/>
      <c r="H33" s="1205"/>
      <c r="I33" s="1262">
        <f t="shared" si="2"/>
        <v>0</v>
      </c>
      <c r="J33" s="1163"/>
      <c r="K33" s="1110"/>
      <c r="L33" s="1110"/>
      <c r="M33" s="980">
        <v>15</v>
      </c>
      <c r="N33" s="1180"/>
    </row>
    <row r="34" spans="1:14" s="1086" customFormat="1" ht="25.15" hidden="1" customHeight="1">
      <c r="A34" s="1156">
        <f t="shared" si="0"/>
        <v>0</v>
      </c>
      <c r="B34" s="1327"/>
      <c r="C34" s="1327"/>
      <c r="D34" s="1184"/>
      <c r="E34" s="1185"/>
      <c r="F34" s="1161" t="s">
        <v>3694</v>
      </c>
      <c r="G34" s="1072"/>
      <c r="H34" s="1865"/>
      <c r="I34" s="1262">
        <f t="shared" si="2"/>
        <v>0</v>
      </c>
      <c r="J34" s="1072"/>
      <c r="K34" s="1072"/>
      <c r="L34" s="1110"/>
      <c r="M34" s="980">
        <v>15</v>
      </c>
      <c r="N34" s="1180"/>
    </row>
    <row r="35" spans="1:14" s="1086" customFormat="1" ht="25.15" hidden="1" customHeight="1">
      <c r="A35" s="1156">
        <f t="shared" si="0"/>
        <v>0</v>
      </c>
      <c r="B35" s="1327" t="s">
        <v>1615</v>
      </c>
      <c r="C35" s="1327"/>
      <c r="D35" s="1186">
        <f>IF(H36&gt;0,1,0)</f>
        <v>0</v>
      </c>
      <c r="E35" s="1187"/>
      <c r="F35" s="1083" t="str">
        <f>VLOOKUP($B35,DG!A:D,DG!$C$2,)</f>
        <v>Boulon 16x300+ 2 long đền vuông D18-50x50x3/Zn</v>
      </c>
      <c r="G35" s="1082" t="str">
        <f>VLOOKUP($B35,DG!A:D,DG!$D$2,)</f>
        <v>bộ</v>
      </c>
      <c r="H35" s="1867">
        <f>H25*2</f>
        <v>0</v>
      </c>
      <c r="I35" s="1262">
        <f t="shared" si="2"/>
        <v>0</v>
      </c>
      <c r="J35" s="1111"/>
      <c r="K35" s="1111"/>
      <c r="L35" s="1179"/>
      <c r="M35" s="980">
        <v>15</v>
      </c>
      <c r="N35" s="1180"/>
    </row>
    <row r="36" spans="1:14" s="1086" customFormat="1" ht="25.15" hidden="1" customHeight="1">
      <c r="A36" s="1156">
        <f t="shared" si="0"/>
        <v>0</v>
      </c>
      <c r="B36" s="1327"/>
      <c r="C36" s="1327"/>
      <c r="D36" s="1081">
        <f>IF(H36&gt;0,D35+1,D35)</f>
        <v>0</v>
      </c>
      <c r="E36" s="1188"/>
      <c r="F36" s="1189" t="s">
        <v>3695</v>
      </c>
      <c r="G36" s="1169" t="s">
        <v>2394</v>
      </c>
      <c r="H36" s="1867">
        <f>H25*0</f>
        <v>0</v>
      </c>
      <c r="I36" s="1262">
        <f t="shared" si="2"/>
        <v>0</v>
      </c>
      <c r="J36" s="1134"/>
      <c r="K36" s="1134"/>
      <c r="L36" s="1113"/>
      <c r="M36" s="980">
        <v>15</v>
      </c>
    </row>
    <row r="37" spans="1:14" s="1086" customFormat="1" ht="25.15" hidden="1" customHeight="1">
      <c r="A37" s="1156">
        <f>IF(A36&gt;0,1,0)</f>
        <v>0</v>
      </c>
      <c r="B37" s="1327"/>
      <c r="C37" s="1327"/>
      <c r="D37" s="1169"/>
      <c r="E37" s="1188"/>
      <c r="F37" s="1367" t="s">
        <v>2287</v>
      </c>
      <c r="G37" s="1113"/>
      <c r="H37" s="1170"/>
      <c r="I37" s="1262">
        <f t="shared" si="2"/>
        <v>0</v>
      </c>
      <c r="J37" s="1134"/>
      <c r="K37" s="1134"/>
      <c r="L37" s="1113"/>
      <c r="M37" s="980">
        <v>15</v>
      </c>
      <c r="N37" s="1190"/>
    </row>
    <row r="38" spans="1:14" s="1086" customFormat="1" ht="25.15"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15"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15"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15" hidden="1" customHeight="1">
      <c r="A41" s="1156">
        <f t="shared" si="0"/>
        <v>0</v>
      </c>
      <c r="B41" s="1327"/>
      <c r="C41" s="1327"/>
      <c r="D41" s="1081">
        <f>IF(H41&gt;0,D36+1,D36)</f>
        <v>0</v>
      </c>
      <c r="E41" s="1188"/>
      <c r="F41" s="1189" t="s">
        <v>2361</v>
      </c>
      <c r="G41" s="1169" t="s">
        <v>2394</v>
      </c>
      <c r="H41" s="1867">
        <f>H36</f>
        <v>0</v>
      </c>
      <c r="I41" s="1262">
        <f t="shared" si="2"/>
        <v>0</v>
      </c>
      <c r="J41" s="1134"/>
      <c r="K41" s="1134"/>
      <c r="L41" s="1113"/>
      <c r="M41" s="980">
        <v>15</v>
      </c>
    </row>
    <row r="42" spans="1:14" s="1086" customFormat="1" ht="25.15" hidden="1" customHeight="1">
      <c r="A42" s="1156">
        <f>IF(A41&gt;0,1,0)</f>
        <v>0</v>
      </c>
      <c r="B42" s="1327"/>
      <c r="C42" s="1327"/>
      <c r="D42" s="1169"/>
      <c r="E42" s="1188"/>
      <c r="F42" s="1367" t="s">
        <v>2287</v>
      </c>
      <c r="G42" s="1113"/>
      <c r="H42" s="1170"/>
      <c r="I42" s="1262">
        <f t="shared" si="2"/>
        <v>0</v>
      </c>
      <c r="J42" s="1134"/>
      <c r="K42" s="1134"/>
      <c r="L42" s="1113"/>
      <c r="M42" s="980">
        <v>15</v>
      </c>
      <c r="N42" s="1190"/>
    </row>
    <row r="43" spans="1:14" s="1086" customFormat="1" ht="25.15" hidden="1" customHeight="1">
      <c r="A43" s="1156">
        <f t="shared" si="0"/>
        <v>0</v>
      </c>
      <c r="B43" s="1334" t="s">
        <v>636</v>
      </c>
      <c r="C43" s="1334"/>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15" hidden="1" customHeight="1">
      <c r="A44" s="1156">
        <f t="shared" si="0"/>
        <v>0</v>
      </c>
      <c r="B44" s="1334" t="s">
        <v>566</v>
      </c>
      <c r="C44" s="1334"/>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15" hidden="1" customHeight="1">
      <c r="A45" s="1156">
        <f t="shared" si="0"/>
        <v>0</v>
      </c>
      <c r="B45" s="1334" t="s">
        <v>639</v>
      </c>
      <c r="C45" s="1334"/>
      <c r="D45" s="1113"/>
      <c r="E45" s="1082" t="str">
        <f>VLOOKUP($B45,DG!A:D,DG!$B$2,)</f>
        <v>03.1013</v>
      </c>
      <c r="F45" s="1083" t="str">
        <f>VLOOKUP($B45,DG!A:D,DG!$C$2,)</f>
        <v>Đào hố móng đất cấp 3 sâu &gt;1m</v>
      </c>
      <c r="G45" s="1082" t="str">
        <f>VLOOKUP($B45,DG!A:D,DG!$D$2,)</f>
        <v>m3</v>
      </c>
      <c r="H45" s="1170">
        <f>H41*1.45</f>
        <v>0</v>
      </c>
      <c r="I45" s="1262">
        <f t="shared" si="2"/>
        <v>0</v>
      </c>
      <c r="J45" s="1111"/>
      <c r="K45" s="1111"/>
      <c r="L45" s="1113"/>
      <c r="M45" s="980">
        <v>15</v>
      </c>
      <c r="N45" s="1190"/>
    </row>
    <row r="46" spans="1:14" s="1086" customFormat="1" ht="25.15" hidden="1" customHeight="1">
      <c r="A46" s="1156">
        <f t="shared" si="0"/>
        <v>0</v>
      </c>
      <c r="B46" s="1334" t="s">
        <v>21</v>
      </c>
      <c r="C46" s="1334"/>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15" hidden="1" customHeight="1">
      <c r="A47" s="1156">
        <f t="shared" si="0"/>
        <v>0</v>
      </c>
      <c r="B47" s="1327"/>
      <c r="C47" s="1327"/>
      <c r="D47" s="1081">
        <f>IF(H47&gt;0,D41+1,D41)</f>
        <v>0</v>
      </c>
      <c r="E47" s="1188"/>
      <c r="F47" s="1189" t="s">
        <v>3696</v>
      </c>
      <c r="G47" s="1169" t="s">
        <v>2394</v>
      </c>
      <c r="H47" s="1867">
        <f>SUM(H35:H35)</f>
        <v>0</v>
      </c>
      <c r="I47" s="1262">
        <f t="shared" si="2"/>
        <v>0</v>
      </c>
      <c r="J47" s="1134"/>
      <c r="K47" s="1134"/>
      <c r="L47" s="1113"/>
      <c r="M47" s="980">
        <v>15</v>
      </c>
    </row>
    <row r="48" spans="1:14" s="1086" customFormat="1" ht="25.15" hidden="1" customHeight="1">
      <c r="A48" s="1156">
        <f>IF(A47&gt;0,1,0)</f>
        <v>0</v>
      </c>
      <c r="B48" s="1327"/>
      <c r="C48" s="1327"/>
      <c r="D48" s="1169"/>
      <c r="E48" s="1188"/>
      <c r="F48" s="1367" t="s">
        <v>2287</v>
      </c>
      <c r="G48" s="1113"/>
      <c r="H48" s="1170"/>
      <c r="I48" s="1262">
        <f t="shared" si="2"/>
        <v>0</v>
      </c>
      <c r="J48" s="1134"/>
      <c r="K48" s="1134"/>
      <c r="L48" s="1113"/>
      <c r="M48" s="980">
        <v>15</v>
      </c>
      <c r="N48" s="1190"/>
    </row>
    <row r="49" spans="1:14" s="1086" customFormat="1" ht="25.15" hidden="1" customHeight="1">
      <c r="A49" s="1156">
        <f t="shared" si="0"/>
        <v>0</v>
      </c>
      <c r="B49" s="1327" t="s">
        <v>991</v>
      </c>
      <c r="C49" s="1327"/>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15" hidden="1" customHeight="1">
      <c r="A50" s="1156">
        <f t="shared" si="0"/>
        <v>0</v>
      </c>
      <c r="B50" s="1327" t="s">
        <v>1615</v>
      </c>
      <c r="C50" s="1327"/>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15" hidden="1" customHeight="1">
      <c r="A51" s="1156">
        <f t="shared" si="0"/>
        <v>0</v>
      </c>
      <c r="B51" s="1327" t="s">
        <v>703</v>
      </c>
      <c r="C51" s="1327"/>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15" hidden="1" customHeight="1">
      <c r="A52" s="1156">
        <f t="shared" si="0"/>
        <v>0</v>
      </c>
      <c r="B52" s="1327"/>
      <c r="C52" s="1327"/>
      <c r="D52" s="1081">
        <f>IF(H52&gt;0,D47+1,D47)</f>
        <v>0</v>
      </c>
      <c r="E52" s="1188"/>
      <c r="F52" s="1189" t="s">
        <v>3697</v>
      </c>
      <c r="G52" s="1169" t="s">
        <v>2394</v>
      </c>
      <c r="H52" s="1867">
        <f>H25</f>
        <v>0</v>
      </c>
      <c r="I52" s="1262">
        <f t="shared" si="2"/>
        <v>0</v>
      </c>
      <c r="J52" s="1134"/>
      <c r="K52" s="1134"/>
      <c r="L52" s="1113"/>
      <c r="M52" s="980">
        <v>15</v>
      </c>
    </row>
    <row r="53" spans="1:14" s="1086" customFormat="1" ht="25.15" hidden="1" customHeight="1">
      <c r="A53" s="1156">
        <f>IF(A52&gt;0,1,0)</f>
        <v>0</v>
      </c>
      <c r="B53" s="1327"/>
      <c r="C53" s="1327"/>
      <c r="D53" s="1113"/>
      <c r="E53" s="1191"/>
      <c r="F53" s="1367" t="s">
        <v>2287</v>
      </c>
      <c r="G53" s="1113"/>
      <c r="H53" s="1170"/>
      <c r="I53" s="1262">
        <f t="shared" si="2"/>
        <v>0</v>
      </c>
      <c r="J53" s="1134"/>
      <c r="K53" s="1134"/>
      <c r="L53" s="1113"/>
      <c r="M53" s="980">
        <v>15</v>
      </c>
    </row>
    <row r="54" spans="1:14" s="1086" customFormat="1" ht="25.15" hidden="1" customHeight="1">
      <c r="A54" s="1156">
        <f t="shared" si="0"/>
        <v>0</v>
      </c>
      <c r="B54" s="1327" t="s">
        <v>1035</v>
      </c>
      <c r="C54" s="1327"/>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15" hidden="1" customHeight="1">
      <c r="A55" s="1156">
        <f t="shared" si="0"/>
        <v>0</v>
      </c>
      <c r="B55" s="1157" t="s">
        <v>1513</v>
      </c>
      <c r="C55" s="1157"/>
      <c r="D55" s="1113"/>
      <c r="E55" s="1082">
        <f>VLOOKUP($B55,DG!A:D,DG!$B$2,)</f>
        <v>0</v>
      </c>
      <c r="F55" s="1083" t="str">
        <f>VLOOKUP($B55,DG!A:D,DG!$C$2,)</f>
        <v>Cọc tiếp đất Þ 16- 2,4m + kẹp cọc mạ đồng</v>
      </c>
      <c r="G55" s="1082" t="str">
        <f>VLOOKUP($B55,DG!A:D,DG!$D$2,)</f>
        <v>bộ</v>
      </c>
      <c r="H55" s="1170">
        <f>$I$2*H52</f>
        <v>0</v>
      </c>
      <c r="I55" s="1262">
        <f t="shared" si="2"/>
        <v>0</v>
      </c>
      <c r="J55" s="1111"/>
      <c r="K55" s="1111"/>
      <c r="L55" s="1113"/>
      <c r="M55" s="980">
        <v>15</v>
      </c>
    </row>
    <row r="56" spans="1:14" s="1086" customFormat="1" ht="25.15"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15" hidden="1" customHeight="1">
      <c r="A57" s="1156">
        <f t="shared" si="0"/>
        <v>0</v>
      </c>
      <c r="B57" s="1332" t="s">
        <v>907</v>
      </c>
      <c r="C57" s="1332"/>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15" hidden="1" customHeight="1">
      <c r="A58" s="1156">
        <f t="shared" si="0"/>
        <v>0</v>
      </c>
      <c r="B58" s="1332" t="s">
        <v>1116</v>
      </c>
      <c r="C58" s="1332"/>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15"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15"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15"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15"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15"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15"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15"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15" hidden="1" customHeight="1">
      <c r="A66" s="1156">
        <f t="shared" si="0"/>
        <v>0</v>
      </c>
      <c r="B66" s="1332" t="s">
        <v>1057</v>
      </c>
      <c r="C66" s="1332"/>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15" hidden="1" customHeight="1">
      <c r="A67" s="1156">
        <f t="shared" si="0"/>
        <v>0</v>
      </c>
      <c r="B67" s="1157" t="s">
        <v>1058</v>
      </c>
      <c r="C67" s="1157"/>
      <c r="D67" s="1113"/>
      <c r="E67" s="1082" t="str">
        <f>VLOOKUP($B67,DG!A:D,DG!$B$2,)</f>
        <v>03.4123</v>
      </c>
      <c r="F67" s="1083" t="str">
        <f>VLOOKUP($B67,DG!A:D,DG!$C$2,)</f>
        <v>Đắp đất rãnh tiếp độ chặt k=0,85</v>
      </c>
      <c r="G67" s="1082" t="str">
        <f>VLOOKUP($B67,DG!A:D,DG!$D$2,)</f>
        <v>m3</v>
      </c>
      <c r="H67" s="1170">
        <f>H66</f>
        <v>0</v>
      </c>
      <c r="I67" s="1262">
        <f t="shared" si="2"/>
        <v>0</v>
      </c>
      <c r="J67" s="1111"/>
      <c r="K67" s="1111"/>
      <c r="L67" s="1113"/>
      <c r="M67" s="980">
        <v>15</v>
      </c>
    </row>
    <row r="68" spans="1:13" s="1086" customFormat="1" ht="25.15" hidden="1" customHeight="1">
      <c r="A68" s="1156">
        <f t="shared" si="0"/>
        <v>0</v>
      </c>
      <c r="B68" s="1332"/>
      <c r="C68" s="1332"/>
      <c r="D68" s="1169">
        <f>IF(H68&gt;0,D52+1,D52)</f>
        <v>0</v>
      </c>
      <c r="E68" s="1188"/>
      <c r="F68" s="1189" t="s">
        <v>3698</v>
      </c>
      <c r="G68" s="1169" t="s">
        <v>2394</v>
      </c>
      <c r="H68" s="1867">
        <f>H25</f>
        <v>0</v>
      </c>
      <c r="I68" s="1262">
        <f t="shared" si="2"/>
        <v>0</v>
      </c>
      <c r="J68" s="1134"/>
      <c r="K68" s="1134"/>
      <c r="L68" s="1113"/>
      <c r="M68" s="980">
        <v>15</v>
      </c>
    </row>
    <row r="69" spans="1:13" s="1086" customFormat="1" ht="25.15" hidden="1" customHeight="1">
      <c r="A69" s="1156">
        <f>IF(A68&gt;0,1,0)</f>
        <v>0</v>
      </c>
      <c r="B69" s="1332"/>
      <c r="C69" s="1332"/>
      <c r="D69" s="1169"/>
      <c r="E69" s="1188"/>
      <c r="F69" s="1367" t="s">
        <v>2287</v>
      </c>
      <c r="G69" s="1113"/>
      <c r="H69" s="1170"/>
      <c r="I69" s="1262">
        <f t="shared" si="2"/>
        <v>0</v>
      </c>
      <c r="J69" s="1134"/>
      <c r="K69" s="1134"/>
      <c r="L69" s="1113"/>
      <c r="M69" s="980">
        <v>15</v>
      </c>
    </row>
    <row r="70" spans="1:13" s="1086" customFormat="1" ht="25.15" hidden="1" customHeight="1">
      <c r="A70" s="1156">
        <f t="shared" si="0"/>
        <v>0</v>
      </c>
      <c r="B70" s="1334" t="s">
        <v>616</v>
      </c>
      <c r="C70" s="1334"/>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15" hidden="1" customHeight="1">
      <c r="A71" s="1156">
        <f t="shared" si="0"/>
        <v>0</v>
      </c>
      <c r="B71" s="1332" t="s">
        <v>881</v>
      </c>
      <c r="C71" s="1332"/>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15" hidden="1" customHeight="1">
      <c r="A72" s="1156">
        <f t="shared" si="0"/>
        <v>0</v>
      </c>
      <c r="B72" s="1332" t="s">
        <v>882</v>
      </c>
      <c r="C72" s="1332"/>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15" hidden="1" customHeight="1">
      <c r="A73" s="1156">
        <f t="shared" si="0"/>
        <v>0</v>
      </c>
      <c r="B73" s="1332"/>
      <c r="C73" s="1332"/>
      <c r="D73" s="1169">
        <f>IF(H73&gt;0,D68+1,D68)</f>
        <v>0</v>
      </c>
      <c r="E73" s="1188"/>
      <c r="F73" s="1189" t="s">
        <v>3699</v>
      </c>
      <c r="G73" s="1169" t="s">
        <v>2394</v>
      </c>
      <c r="H73" s="1867">
        <f>H68</f>
        <v>0</v>
      </c>
      <c r="I73" s="1262">
        <f t="shared" si="2"/>
        <v>0</v>
      </c>
      <c r="J73" s="1134"/>
      <c r="K73" s="1134"/>
      <c r="L73" s="1113"/>
      <c r="M73" s="980">
        <v>15</v>
      </c>
    </row>
    <row r="74" spans="1:13" s="1086" customFormat="1" ht="25.15" hidden="1" customHeight="1">
      <c r="A74" s="1156">
        <f>IF(A73&gt;0,1,0)</f>
        <v>0</v>
      </c>
      <c r="B74" s="1332"/>
      <c r="C74" s="1332"/>
      <c r="D74" s="1169"/>
      <c r="E74" s="1188"/>
      <c r="F74" s="1367" t="s">
        <v>2287</v>
      </c>
      <c r="G74" s="1113"/>
      <c r="H74" s="1170"/>
      <c r="I74" s="1262">
        <f t="shared" si="2"/>
        <v>0</v>
      </c>
      <c r="J74" s="1134"/>
      <c r="K74" s="1134"/>
      <c r="L74" s="1113"/>
      <c r="M74" s="980">
        <v>15</v>
      </c>
    </row>
    <row r="75" spans="1:13" s="1086" customFormat="1" ht="25.15" hidden="1" customHeight="1">
      <c r="A75" s="1156">
        <f t="shared" si="0"/>
        <v>0</v>
      </c>
      <c r="B75" s="1330" t="s">
        <v>699</v>
      </c>
      <c r="C75" s="1330"/>
      <c r="D75" s="1113"/>
      <c r="E75" s="1082">
        <f>VLOOKUP($B75,DG!A:D,DG!$B$2,)</f>
        <v>0</v>
      </c>
      <c r="F75" s="1083" t="str">
        <f>VLOOKUP($B75,DG!A:D,DG!$C$2,)</f>
        <v>Cáp 24KV CX-25mm2</v>
      </c>
      <c r="G75" s="1082" t="str">
        <f>VLOOKUP($B75,DG!A:D,DG!$D$2,)</f>
        <v>mét</v>
      </c>
      <c r="H75" s="1170">
        <f>3*H73</f>
        <v>0</v>
      </c>
      <c r="I75" s="1262">
        <f t="shared" si="2"/>
        <v>0</v>
      </c>
      <c r="J75" s="1111"/>
      <c r="K75" s="1111"/>
      <c r="L75" s="1113"/>
      <c r="M75" s="980">
        <v>15</v>
      </c>
    </row>
    <row r="76" spans="1:13" s="1086" customFormat="1" ht="25.15"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15"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15"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15" hidden="1" customHeight="1">
      <c r="A79" s="1156">
        <f t="shared" si="0"/>
        <v>0</v>
      </c>
      <c r="B79" s="1332"/>
      <c r="C79" s="1332"/>
      <c r="D79" s="1169">
        <f>IF(H79&gt;0,D73+1,D73)</f>
        <v>0</v>
      </c>
      <c r="E79" s="1188"/>
      <c r="F79" s="1189" t="s">
        <v>3700</v>
      </c>
      <c r="G79" s="1169" t="s">
        <v>2394</v>
      </c>
      <c r="H79" s="1867">
        <f>H25</f>
        <v>0</v>
      </c>
      <c r="I79" s="1262">
        <f t="shared" si="2"/>
        <v>0</v>
      </c>
      <c r="J79" s="1134"/>
      <c r="K79" s="1134"/>
      <c r="L79" s="1113"/>
      <c r="M79" s="980">
        <v>15</v>
      </c>
    </row>
    <row r="80" spans="1:13" s="1086" customFormat="1" ht="25.15" hidden="1" customHeight="1">
      <c r="A80" s="1156">
        <f>IF(A79&gt;0,1,0)</f>
        <v>0</v>
      </c>
      <c r="B80" s="1332"/>
      <c r="C80" s="1332"/>
      <c r="D80" s="1169"/>
      <c r="E80" s="1188"/>
      <c r="F80" s="1367" t="s">
        <v>2287</v>
      </c>
      <c r="G80" s="1169"/>
      <c r="H80" s="1867"/>
      <c r="I80" s="1262">
        <f t="shared" si="2"/>
        <v>0</v>
      </c>
      <c r="J80" s="1134"/>
      <c r="K80" s="1134"/>
      <c r="L80" s="1113"/>
      <c r="M80" s="980">
        <v>15</v>
      </c>
    </row>
    <row r="81" spans="1:13" s="1086" customFormat="1" ht="25.15" hidden="1" customHeight="1">
      <c r="A81" s="1156">
        <f t="shared" si="0"/>
        <v>0</v>
      </c>
      <c r="B81" s="1332" t="s">
        <v>4478</v>
      </c>
      <c r="C81" s="1332"/>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15" hidden="1" customHeight="1">
      <c r="A82" s="1156">
        <f t="shared" si="0"/>
        <v>0</v>
      </c>
      <c r="B82" s="1332" t="s">
        <v>1411</v>
      </c>
      <c r="C82" s="1332"/>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15" hidden="1" customHeight="1">
      <c r="A83" s="1156">
        <f t="shared" si="0"/>
        <v>0</v>
      </c>
      <c r="B83" s="1332" t="s">
        <v>1071</v>
      </c>
      <c r="C83" s="1332"/>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15" hidden="1" customHeight="1">
      <c r="A84" s="1156">
        <f t="shared" si="0"/>
        <v>0</v>
      </c>
      <c r="B84" s="1332" t="s">
        <v>4479</v>
      </c>
      <c r="C84" s="1332"/>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15" hidden="1" customHeight="1">
      <c r="A85" s="1156">
        <f t="shared" si="0"/>
        <v>0</v>
      </c>
      <c r="B85" s="1332" t="s">
        <v>1075</v>
      </c>
      <c r="C85" s="1332"/>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15" hidden="1" customHeight="1">
      <c r="A86" s="1156">
        <f t="shared" si="0"/>
        <v>0</v>
      </c>
      <c r="B86" s="1332" t="s">
        <v>4480</v>
      </c>
      <c r="C86" s="1332"/>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15" hidden="1" customHeight="1">
      <c r="A87" s="1156">
        <f t="shared" si="0"/>
        <v>0</v>
      </c>
      <c r="B87" s="1332" t="s">
        <v>4481</v>
      </c>
      <c r="C87" s="1332"/>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15" hidden="1" customHeight="1">
      <c r="A88" s="1156">
        <f t="shared" si="0"/>
        <v>0</v>
      </c>
      <c r="B88" s="1332" t="s">
        <v>282</v>
      </c>
      <c r="C88" s="1332"/>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15"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15"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15"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15"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15"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15" hidden="1" customHeight="1">
      <c r="A94" s="1156">
        <f t="shared" si="3"/>
        <v>0</v>
      </c>
      <c r="B94" s="1332" t="s">
        <v>69</v>
      </c>
      <c r="C94" s="1332"/>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15" hidden="1" customHeight="1">
      <c r="A95" s="1156">
        <f t="shared" si="3"/>
        <v>0</v>
      </c>
      <c r="B95" s="1332" t="s">
        <v>727</v>
      </c>
      <c r="C95" s="1332"/>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15" hidden="1" customHeight="1">
      <c r="A96" s="1156">
        <f t="shared" si="3"/>
        <v>0</v>
      </c>
      <c r="B96" s="1332" t="s">
        <v>2082</v>
      </c>
      <c r="C96" s="1332"/>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15" hidden="1" customHeight="1">
      <c r="A97" s="1156">
        <f t="shared" si="3"/>
        <v>0</v>
      </c>
      <c r="B97" s="1332" t="s">
        <v>489</v>
      </c>
      <c r="C97" s="1332"/>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15" hidden="1" customHeight="1">
      <c r="A98" s="1156">
        <f t="shared" si="3"/>
        <v>0</v>
      </c>
      <c r="B98" s="1332" t="s">
        <v>2190</v>
      </c>
      <c r="C98" s="1332"/>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15" hidden="1" customHeight="1">
      <c r="A99" s="1156">
        <f t="shared" si="3"/>
        <v>0</v>
      </c>
      <c r="B99" s="1332" t="s">
        <v>1530</v>
      </c>
      <c r="C99" s="1332"/>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15" hidden="1" customHeight="1">
      <c r="A100" s="1156">
        <f t="shared" si="3"/>
        <v>0</v>
      </c>
      <c r="B100" s="1332" t="s">
        <v>289</v>
      </c>
      <c r="C100" s="1332"/>
      <c r="D100" s="1173">
        <f>IF(H100&gt;0,D79+1,D79)</f>
        <v>0</v>
      </c>
      <c r="E100" s="1192"/>
      <c r="F100" s="1083" t="str">
        <f>VLOOKUP($B100,DG!A:D,DG!$C$2,)</f>
        <v>Bảng tên trạm, bảng báo nguy hiểm + đinh vít</v>
      </c>
      <c r="G100" s="1082" t="str">
        <f>VLOOKUP($B100,DG!A:D,DG!$D$2,)</f>
        <v>bộ</v>
      </c>
      <c r="H100" s="1868">
        <f>H25</f>
        <v>0</v>
      </c>
      <c r="I100" s="1262">
        <f t="shared" si="4"/>
        <v>0</v>
      </c>
      <c r="J100" s="1111"/>
      <c r="K100" s="1111"/>
      <c r="L100" s="1175"/>
      <c r="M100" s="980">
        <v>15</v>
      </c>
    </row>
    <row r="101" spans="1:14" s="1086" customFormat="1" ht="25.15" hidden="1" customHeight="1">
      <c r="A101" s="1156">
        <f t="shared" si="3"/>
        <v>0</v>
      </c>
      <c r="B101" s="1332"/>
      <c r="C101" s="1332"/>
      <c r="D101" s="1193"/>
      <c r="E101" s="1194"/>
      <c r="F101" s="1161"/>
      <c r="G101" s="1195"/>
      <c r="H101" s="1869"/>
      <c r="I101" s="1262">
        <f t="shared" si="4"/>
        <v>0</v>
      </c>
      <c r="J101" s="1196"/>
      <c r="K101" s="1197"/>
      <c r="L101" s="1110"/>
      <c r="M101" s="980">
        <v>15</v>
      </c>
    </row>
    <row r="102" spans="1:14" s="1086" customFormat="1" ht="25.15" hidden="1" customHeight="1">
      <c r="A102" s="1156">
        <f t="shared" si="3"/>
        <v>0</v>
      </c>
      <c r="B102" s="1322"/>
      <c r="C102" s="1322"/>
      <c r="D102" s="1164"/>
      <c r="E102" s="977"/>
      <c r="H102" s="1902"/>
      <c r="I102" s="1262">
        <f t="shared" si="4"/>
        <v>0</v>
      </c>
      <c r="M102" s="977"/>
    </row>
    <row r="103" spans="1:14" s="1086" customFormat="1" ht="25.15" hidden="1" customHeight="1">
      <c r="A103" s="1156">
        <f t="shared" si="3"/>
        <v>0</v>
      </c>
      <c r="B103" s="1322"/>
      <c r="C103" s="1322"/>
      <c r="D103" s="1326" t="str">
        <f>"TOÅNG HÔÏP VAÄT LIEÄU, NHAÂN COÂNG, MAÙY THI COÂNG: 1 TRAÏM 25KVA"</f>
        <v>TOÅNG HÔÏP VAÄT LIEÄU, NHAÂN COÂNG, MAÙY THI COÂNG: 1 TRAÏM 25KVA</v>
      </c>
      <c r="E103" s="1198"/>
      <c r="F103" s="1103"/>
      <c r="G103" s="1103"/>
      <c r="H103" s="1870"/>
      <c r="I103" s="1262">
        <f t="shared" si="4"/>
        <v>0</v>
      </c>
      <c r="J103" s="1103"/>
      <c r="K103" s="1103"/>
      <c r="M103" s="977"/>
    </row>
    <row r="104" spans="1:14" s="1086" customFormat="1" ht="25.15" hidden="1" customHeight="1">
      <c r="A104" s="1156">
        <f t="shared" si="3"/>
        <v>0</v>
      </c>
      <c r="B104" s="1327"/>
      <c r="C104" s="1327"/>
      <c r="D104" s="1159"/>
      <c r="E104" s="1160"/>
      <c r="F104" s="1072" t="s">
        <v>3693</v>
      </c>
      <c r="G104" s="1162"/>
      <c r="H104" s="1865"/>
      <c r="I104" s="1262">
        <f t="shared" si="4"/>
        <v>0</v>
      </c>
      <c r="J104" s="1162"/>
      <c r="K104" s="1162"/>
      <c r="L104" s="1139"/>
      <c r="M104" s="977"/>
    </row>
    <row r="105" spans="1:14" s="1086" customFormat="1" ht="25.15" hidden="1" customHeight="1">
      <c r="A105" s="1156">
        <f t="shared" si="3"/>
        <v>0</v>
      </c>
      <c r="B105" s="1328" t="str">
        <f>IF($G$8=22,"TR251","TR25")</f>
        <v>TR251</v>
      </c>
      <c r="C105" s="1328"/>
      <c r="D105" s="1093">
        <f>IF(H105&gt;0,1,0)</f>
        <v>0</v>
      </c>
      <c r="E105" s="1082" t="str">
        <f>VLOOKUP($B105,DG!A:D,DG!$B$2,)</f>
        <v>01.1161</v>
      </c>
      <c r="F105" s="1083" t="str">
        <f>VLOOKUP($B105,DG!A:D,DG!$C$2,)</f>
        <v>Máy biến áp 12,7/0,22-0,44kV  25kVA</v>
      </c>
      <c r="G105" s="1082" t="str">
        <f>VLOOKUP($B105,DG!A:D,DG!$D$2,)</f>
        <v>máy</v>
      </c>
      <c r="H105" s="1871">
        <f>I7</f>
        <v>0</v>
      </c>
      <c r="I105" s="1262">
        <f t="shared" si="4"/>
        <v>0</v>
      </c>
      <c r="J105" s="1111"/>
      <c r="K105" s="1111"/>
      <c r="L105" s="1199"/>
      <c r="M105" s="977">
        <v>25</v>
      </c>
    </row>
    <row r="106" spans="1:14" s="1086" customFormat="1" ht="25.15" hidden="1" customHeight="1">
      <c r="A106" s="1156">
        <f t="shared" si="3"/>
        <v>0</v>
      </c>
      <c r="B106" s="1328" t="s">
        <v>1657</v>
      </c>
      <c r="C106" s="1328"/>
      <c r="D106" s="1093">
        <f t="shared" ref="D106:D113" si="5">IF(H106&gt;0,D105+1,D105)</f>
        <v>1</v>
      </c>
      <c r="E106" s="1082" t="str">
        <f>VLOOKUP($B106,DG!A:D,DG!$B$2,)</f>
        <v>02.3155</v>
      </c>
      <c r="F106" s="1083" t="str">
        <f>VLOOKUP($B106,DG!A:D,DG!$C$2,)</f>
        <v>FCO 27kV - 100A</v>
      </c>
      <c r="G106" s="1082" t="str">
        <f>VLOOKUP($B106,DG!A:D,DG!$D$2,)</f>
        <v>cái</v>
      </c>
      <c r="H106" s="1170">
        <v>1</v>
      </c>
      <c r="I106" s="1262">
        <f t="shared" si="4"/>
        <v>0</v>
      </c>
      <c r="J106" s="1111"/>
      <c r="K106" s="1111"/>
      <c r="L106" s="1085"/>
      <c r="M106" s="977">
        <v>25</v>
      </c>
    </row>
    <row r="107" spans="1:14" s="1086" customFormat="1" ht="25.15" hidden="1" customHeight="1">
      <c r="A107" s="1156">
        <f t="shared" si="3"/>
        <v>0</v>
      </c>
      <c r="B107" s="1328" t="str">
        <f>IF($G$8=22,"CHI3K","CHI6K")</f>
        <v>CHI3K</v>
      </c>
      <c r="C107" s="1328"/>
      <c r="D107" s="1093">
        <f t="shared" si="5"/>
        <v>2</v>
      </c>
      <c r="E107" s="1082">
        <f>VLOOKUP($B107,DG!A:D,DG!$B$2,)</f>
        <v>0</v>
      </c>
      <c r="F107" s="1083" t="str">
        <f>VLOOKUP($B107,DG!A:D,DG!$C$2,)</f>
        <v>Dây chảy 3K</v>
      </c>
      <c r="G107" s="1082" t="str">
        <f>VLOOKUP($B107,DG!A:D,DG!$D$2,)</f>
        <v>Sợi</v>
      </c>
      <c r="H107" s="1170">
        <v>1</v>
      </c>
      <c r="I107" s="1262">
        <f t="shared" si="4"/>
        <v>0</v>
      </c>
      <c r="J107" s="1111"/>
      <c r="K107" s="1111"/>
      <c r="L107" s="1085"/>
      <c r="M107" s="977">
        <v>25</v>
      </c>
    </row>
    <row r="108" spans="1:14" s="1086" customFormat="1" ht="25.15" hidden="1" customHeight="1">
      <c r="A108" s="1156">
        <f t="shared" si="3"/>
        <v>0</v>
      </c>
      <c r="B108" s="1327" t="s">
        <v>1378</v>
      </c>
      <c r="C108" s="1327"/>
      <c r="D108" s="1093">
        <f>IF(H108&gt;0,D107+1,D107)</f>
        <v>2</v>
      </c>
      <c r="E108" s="1082" t="str">
        <f>VLOOKUP($B108,DG!A:D,DG!$B$2,)</f>
        <v>02.5114</v>
      </c>
      <c r="F108" s="1083" t="str">
        <f>VLOOKUP($B108,DG!A:D,DG!$C$2,)</f>
        <v>Chống sét van LA-18KV-10KA</v>
      </c>
      <c r="G108" s="1082" t="str">
        <f>VLOOKUP($B108,DG!A:D,DG!$D$2,)</f>
        <v>cái</v>
      </c>
      <c r="H108" s="1170">
        <f>H105</f>
        <v>0</v>
      </c>
      <c r="I108" s="1262">
        <f t="shared" si="4"/>
        <v>0</v>
      </c>
      <c r="J108" s="1111"/>
      <c r="K108" s="1111"/>
      <c r="L108" s="1085"/>
      <c r="M108" s="977">
        <v>25</v>
      </c>
    </row>
    <row r="109" spans="1:14" s="1086" customFormat="1" ht="25.15" hidden="1" customHeight="1">
      <c r="A109" s="1156">
        <f t="shared" si="3"/>
        <v>0</v>
      </c>
      <c r="B109" s="1329" t="s">
        <v>1424</v>
      </c>
      <c r="C109" s="1329"/>
      <c r="D109" s="1093">
        <f t="shared" si="5"/>
        <v>2</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15" hidden="1" customHeight="1">
      <c r="A110" s="1156">
        <f t="shared" si="3"/>
        <v>0</v>
      </c>
      <c r="B110" s="1330" t="s">
        <v>2050</v>
      </c>
      <c r="C110" s="1330"/>
      <c r="D110" s="1093">
        <f t="shared" si="5"/>
        <v>2</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15" hidden="1" customHeight="1">
      <c r="A111" s="1156">
        <f t="shared" si="3"/>
        <v>0</v>
      </c>
      <c r="B111" s="1157" t="s">
        <v>2201</v>
      </c>
      <c r="C111" s="1157"/>
      <c r="D111" s="1093">
        <f t="shared" si="5"/>
        <v>2</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15" hidden="1" customHeight="1">
      <c r="A112" s="1156">
        <f t="shared" si="3"/>
        <v>0</v>
      </c>
      <c r="B112" s="1327" t="s">
        <v>199</v>
      </c>
      <c r="C112" s="1327"/>
      <c r="D112" s="1093">
        <f t="shared" si="5"/>
        <v>2</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15" hidden="1" customHeight="1">
      <c r="A113" s="1156">
        <f t="shared" si="3"/>
        <v>0</v>
      </c>
      <c r="B113" s="1327" t="s">
        <v>200</v>
      </c>
      <c r="C113" s="1327"/>
      <c r="D113" s="1093">
        <f t="shared" si="5"/>
        <v>2</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15" hidden="1" customHeight="1">
      <c r="A114" s="1156">
        <f>IF(M114=$M$23,1,0)</f>
        <v>0</v>
      </c>
      <c r="B114" s="1327"/>
      <c r="C114" s="1327"/>
      <c r="D114" s="1110"/>
      <c r="E114" s="1110"/>
      <c r="F114" s="1163"/>
      <c r="G114" s="1110"/>
      <c r="H114" s="1205"/>
      <c r="I114" s="1205">
        <f t="shared" si="4"/>
        <v>0</v>
      </c>
      <c r="J114" s="1163"/>
      <c r="K114" s="1110"/>
      <c r="L114" s="1139"/>
      <c r="M114" s="977">
        <v>25</v>
      </c>
    </row>
    <row r="115" spans="1:14" s="1086" customFormat="1" ht="25.15" hidden="1" customHeight="1">
      <c r="A115" s="1156">
        <f>IF(M115=$M$23,1,0)</f>
        <v>0</v>
      </c>
      <c r="B115" s="1327"/>
      <c r="C115" s="1327"/>
      <c r="D115" s="1184"/>
      <c r="E115" s="1110"/>
      <c r="F115" s="1072" t="s">
        <v>3694</v>
      </c>
      <c r="G115" s="1072"/>
      <c r="H115" s="1865"/>
      <c r="I115" s="1205">
        <f t="shared" si="4"/>
        <v>0</v>
      </c>
      <c r="J115" s="1072"/>
      <c r="K115" s="1072"/>
      <c r="L115" s="1139"/>
      <c r="M115" s="977">
        <v>25</v>
      </c>
    </row>
    <row r="116" spans="1:14" s="1086" customFormat="1" ht="25.15" hidden="1" customHeight="1">
      <c r="A116" s="1156">
        <f t="shared" si="3"/>
        <v>0</v>
      </c>
      <c r="B116" s="1327" t="s">
        <v>1615</v>
      </c>
      <c r="C116" s="1327"/>
      <c r="D116" s="1186">
        <f>IF(H128&gt;0,1,0)</f>
        <v>0</v>
      </c>
      <c r="E116" s="1082">
        <f>VLOOKUP($B116,DG!A:D,DG!$B$2,)</f>
        <v>0</v>
      </c>
      <c r="F116" s="1083" t="str">
        <f>VLOOKUP($B116,DG!A:D,DG!$C$2,)</f>
        <v>Boulon 16x300+ 2 long đền vuông D18-50x50x3/Zn</v>
      </c>
      <c r="G116" s="1082" t="str">
        <f>VLOOKUP($B116,DG!A:D,DG!$D$2,)</f>
        <v>bộ</v>
      </c>
      <c r="H116" s="1867">
        <f>2*SUM(H105:H105)</f>
        <v>0</v>
      </c>
      <c r="I116" s="1262">
        <f t="shared" si="4"/>
        <v>0</v>
      </c>
      <c r="J116" s="1111"/>
      <c r="K116" s="1111"/>
      <c r="L116" s="1199"/>
      <c r="M116" s="977">
        <v>25</v>
      </c>
    </row>
    <row r="117" spans="1:14" s="1086" customFormat="1" ht="25.15" hidden="1" customHeight="1">
      <c r="A117" s="1156">
        <f t="shared" si="3"/>
        <v>0</v>
      </c>
      <c r="B117" s="1327"/>
      <c r="C117" s="1327"/>
      <c r="D117" s="1081">
        <f>IF(H117&gt;0,D116+1,D116)</f>
        <v>0</v>
      </c>
      <c r="E117" s="1188"/>
      <c r="F117" s="1189" t="s">
        <v>3695</v>
      </c>
      <c r="G117" s="1169" t="s">
        <v>2394</v>
      </c>
      <c r="H117" s="1867">
        <f>H105*0</f>
        <v>0</v>
      </c>
      <c r="I117" s="1262">
        <f t="shared" si="4"/>
        <v>0</v>
      </c>
      <c r="J117" s="1134"/>
      <c r="K117" s="1134"/>
      <c r="L117" s="1113"/>
      <c r="M117" s="977">
        <v>25</v>
      </c>
    </row>
    <row r="118" spans="1:14" s="1086" customFormat="1" ht="25.15" hidden="1" customHeight="1">
      <c r="A118" s="1156">
        <f>IF(H119&gt;0,1,0)</f>
        <v>0</v>
      </c>
      <c r="B118" s="1327"/>
      <c r="C118" s="1327"/>
      <c r="D118" s="1169"/>
      <c r="E118" s="1188"/>
      <c r="F118" s="1367" t="s">
        <v>2287</v>
      </c>
      <c r="G118" s="1113"/>
      <c r="H118" s="1170"/>
      <c r="I118" s="1262">
        <f t="shared" si="4"/>
        <v>0</v>
      </c>
      <c r="J118" s="1134"/>
      <c r="K118" s="1134"/>
      <c r="L118" s="1113"/>
      <c r="M118" s="977">
        <v>25</v>
      </c>
      <c r="N118" s="1190"/>
    </row>
    <row r="119" spans="1:14" s="1086" customFormat="1" ht="25.15"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15"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15"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15" hidden="1" customHeight="1">
      <c r="A122" s="1156">
        <f t="shared" si="3"/>
        <v>0</v>
      </c>
      <c r="B122" s="1327"/>
      <c r="C122" s="1327"/>
      <c r="D122" s="1081">
        <f>IF(H122&gt;0,D117+1,D117)</f>
        <v>0</v>
      </c>
      <c r="E122" s="1188"/>
      <c r="F122" s="1189" t="s">
        <v>2361</v>
      </c>
      <c r="G122" s="1169" t="s">
        <v>2394</v>
      </c>
      <c r="H122" s="1867">
        <f>H117</f>
        <v>0</v>
      </c>
      <c r="I122" s="1262">
        <f t="shared" si="4"/>
        <v>0</v>
      </c>
      <c r="J122" s="1134"/>
      <c r="K122" s="1134"/>
      <c r="L122" s="1113"/>
      <c r="M122" s="977">
        <v>25</v>
      </c>
    </row>
    <row r="123" spans="1:14" s="1086" customFormat="1" ht="25.15" hidden="1" customHeight="1">
      <c r="A123" s="1156">
        <f>IF(H124&gt;0,1,0)</f>
        <v>0</v>
      </c>
      <c r="B123" s="1327"/>
      <c r="C123" s="1327"/>
      <c r="D123" s="1169"/>
      <c r="E123" s="1188"/>
      <c r="F123" s="1367" t="s">
        <v>2287</v>
      </c>
      <c r="G123" s="1113"/>
      <c r="H123" s="1170"/>
      <c r="I123" s="1262">
        <f t="shared" si="4"/>
        <v>0</v>
      </c>
      <c r="J123" s="1134"/>
      <c r="K123" s="1134"/>
      <c r="L123" s="1113"/>
      <c r="M123" s="977">
        <v>25</v>
      </c>
      <c r="N123" s="1190"/>
    </row>
    <row r="124" spans="1:14" s="1086" customFormat="1" ht="25.15" hidden="1" customHeight="1">
      <c r="A124" s="1156">
        <f t="shared" si="3"/>
        <v>0</v>
      </c>
      <c r="B124" s="1334" t="s">
        <v>636</v>
      </c>
      <c r="C124" s="1334"/>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15" hidden="1" customHeight="1">
      <c r="A125" s="1156">
        <f t="shared" si="3"/>
        <v>0</v>
      </c>
      <c r="B125" s="1334" t="s">
        <v>566</v>
      </c>
      <c r="C125" s="1334"/>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15" hidden="1" customHeight="1">
      <c r="A126" s="1156">
        <f t="shared" si="3"/>
        <v>0</v>
      </c>
      <c r="B126" s="1334" t="str">
        <f>IF(chitiet!G5=1,"MDD1",IF(chitiet!G5=2,"MDD2",IF(chitiet!G5=3,"MDD3",IF(chitiet!G5=4,"MDD4"))))</f>
        <v>MDD3</v>
      </c>
      <c r="C126" s="1334"/>
      <c r="D126" s="1113"/>
      <c r="E126" s="1082" t="str">
        <f>VLOOKUP($B126,DG!A:D,DG!$B$2,)</f>
        <v>03.1013</v>
      </c>
      <c r="F126" s="1083" t="str">
        <f>VLOOKUP($B126,DG!A:D,DG!$C$2,)</f>
        <v>Đào hố móng đất cấp 3 sâu &gt;1m</v>
      </c>
      <c r="G126" s="1082" t="str">
        <f>VLOOKUP($B126,DG!A:D,DG!$D$2,)</f>
        <v>m3</v>
      </c>
      <c r="H126" s="1170">
        <f>H122*1.45</f>
        <v>0</v>
      </c>
      <c r="I126" s="1262">
        <f t="shared" si="4"/>
        <v>0</v>
      </c>
      <c r="J126" s="1111"/>
      <c r="K126" s="1111"/>
      <c r="L126" s="1113"/>
      <c r="M126" s="977">
        <v>25</v>
      </c>
      <c r="N126" s="1190"/>
    </row>
    <row r="127" spans="1:14" s="1086" customFormat="1" ht="25.15" hidden="1" customHeight="1">
      <c r="A127" s="1156">
        <f t="shared" si="3"/>
        <v>0</v>
      </c>
      <c r="B127" s="1334" t="str">
        <f>IF(chitiet!G5=1,"MDAP1",IF(chitiet!G5=2,"MDAP2",IF(chitiet!G5=3,"MDAP3",IF(chitiet!G5=4,"MDAP4"))))</f>
        <v>MDAP3</v>
      </c>
      <c r="C127" s="1334"/>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15" hidden="1" customHeight="1">
      <c r="A128" s="1156">
        <f t="shared" si="3"/>
        <v>0</v>
      </c>
      <c r="B128" s="1327"/>
      <c r="C128" s="1327"/>
      <c r="D128" s="1081">
        <f>IF(H128&gt;0,D122+1,D122)</f>
        <v>0</v>
      </c>
      <c r="E128" s="1188"/>
      <c r="F128" s="1200" t="s">
        <v>4826</v>
      </c>
      <c r="G128" s="1169" t="s">
        <v>2394</v>
      </c>
      <c r="H128" s="1867">
        <f>SUM(H105:H105)</f>
        <v>0</v>
      </c>
      <c r="I128" s="1262">
        <f t="shared" si="4"/>
        <v>0</v>
      </c>
      <c r="J128" s="1134"/>
      <c r="K128" s="1134"/>
      <c r="L128" s="1085"/>
      <c r="M128" s="977">
        <v>25</v>
      </c>
    </row>
    <row r="129" spans="1:13" s="1086" customFormat="1" ht="25.15" hidden="1" customHeight="1">
      <c r="A129" s="1156">
        <f>IF(M129=$M$23,1,0)</f>
        <v>0</v>
      </c>
      <c r="B129" s="1327"/>
      <c r="C129" s="1327"/>
      <c r="D129" s="1169"/>
      <c r="E129" s="1188"/>
      <c r="F129" s="1368" t="s">
        <v>2287</v>
      </c>
      <c r="G129" s="1113"/>
      <c r="H129" s="1170"/>
      <c r="I129" s="1262">
        <f t="shared" si="4"/>
        <v>0</v>
      </c>
      <c r="J129" s="1134"/>
      <c r="K129" s="1134"/>
      <c r="L129" s="1085"/>
      <c r="M129" s="977">
        <v>25</v>
      </c>
    </row>
    <row r="130" spans="1:13" s="1086" customFormat="1" ht="25.15" hidden="1" customHeight="1">
      <c r="A130" s="1156">
        <f t="shared" si="3"/>
        <v>0</v>
      </c>
      <c r="B130" s="1327" t="s">
        <v>4577</v>
      </c>
      <c r="C130" s="1327"/>
      <c r="D130" s="1113"/>
      <c r="E130" s="1082">
        <f>VLOOKUP($B130,DG!A:D,DG!$B$2,)</f>
        <v>0</v>
      </c>
      <c r="F130" s="1083" t="str">
        <f>VLOOKUP($B130,DG!A:D,DG!$C$2,)</f>
        <v>Đà Composite 110x80x5x800</v>
      </c>
      <c r="G130" s="1082" t="str">
        <f>VLOOKUP($B130,DG!A:D,DG!$D$2,)</f>
        <v>cái</v>
      </c>
      <c r="H130" s="1170">
        <f>H128</f>
        <v>0</v>
      </c>
      <c r="I130" s="1262">
        <f t="shared" si="4"/>
        <v>0</v>
      </c>
      <c r="J130" s="1111"/>
      <c r="K130" s="1111"/>
      <c r="L130" s="1085"/>
      <c r="M130" s="977">
        <v>25</v>
      </c>
    </row>
    <row r="131" spans="1:13" s="1086" customFormat="1" ht="25.15" hidden="1" customHeight="1">
      <c r="A131" s="1156">
        <f t="shared" ref="A131" si="6">IF(I131&gt;0,1,0)</f>
        <v>0</v>
      </c>
      <c r="B131" s="1327" t="s">
        <v>4775</v>
      </c>
      <c r="C131" s="1327"/>
      <c r="D131" s="1113"/>
      <c r="E131" s="1082">
        <f>VLOOKUP($B131,DG!A:D,DG!$B$2,)</f>
        <v>0</v>
      </c>
      <c r="F131" s="1083" t="str">
        <f>VLOOKUP($B131,DG!A:D,DG!$C$2,)</f>
        <v>Thanh chống Composite 10x40x720</v>
      </c>
      <c r="G131" s="1082" t="str">
        <f>VLOOKUP($B131,DG!A:D,DG!$D$2,)</f>
        <v>cái</v>
      </c>
      <c r="H131" s="1170">
        <f>H130</f>
        <v>0</v>
      </c>
      <c r="I131" s="1262">
        <f t="shared" ref="I131" si="7">IF(M131=$M$23,H131+J131-K131,0)</f>
        <v>0</v>
      </c>
      <c r="J131" s="1111"/>
      <c r="K131" s="1111"/>
      <c r="L131" s="1085"/>
      <c r="M131" s="977">
        <v>25</v>
      </c>
    </row>
    <row r="132" spans="1:13" s="1086" customFormat="1" ht="25.15" hidden="1" customHeight="1">
      <c r="A132" s="1156">
        <f t="shared" si="3"/>
        <v>0</v>
      </c>
      <c r="B132" s="1327" t="s">
        <v>1081</v>
      </c>
      <c r="C132" s="1327"/>
      <c r="D132" s="1113"/>
      <c r="E132" s="1082">
        <f>VLOOKUP($B132,DG!A:D,DG!$B$2,)</f>
        <v>0</v>
      </c>
      <c r="F132" s="1083" t="str">
        <f>VLOOKUP($B132,DG!A:D,DG!$C$2,)</f>
        <v>Boulon 16x350+ 2 long đền vuông D18-50x50x3/Zn</v>
      </c>
      <c r="G132" s="1082" t="str">
        <f>VLOOKUP($B132,DG!A:D,DG!$D$2,)</f>
        <v>bộ</v>
      </c>
      <c r="H132" s="1170">
        <f>2*H128</f>
        <v>0</v>
      </c>
      <c r="I132" s="1262">
        <f t="shared" si="4"/>
        <v>0</v>
      </c>
      <c r="J132" s="1111"/>
      <c r="K132" s="1111"/>
      <c r="L132" s="1085"/>
      <c r="M132" s="977">
        <v>25</v>
      </c>
    </row>
    <row r="133" spans="1:13" s="1086" customFormat="1" ht="25.15" hidden="1" customHeight="1">
      <c r="A133" s="1156">
        <f t="shared" si="3"/>
        <v>0</v>
      </c>
      <c r="B133" s="1327" t="s">
        <v>4363</v>
      </c>
      <c r="C133" s="1327"/>
      <c r="D133" s="1113"/>
      <c r="E133" s="1082">
        <f>VLOOKUP($B133,DG!A:D,DG!$B$2,)</f>
        <v>0</v>
      </c>
      <c r="F133" s="1083" t="str">
        <f>VLOOKUP($B133,DG!A:D,DG!$C$2,)</f>
        <v>Boulon 14x150+ 2 long đền vuông D16-50x50x3/Zn</v>
      </c>
      <c r="G133" s="1082" t="str">
        <f>VLOOKUP($B133,DG!A:D,DG!$D$2,)</f>
        <v>bộ</v>
      </c>
      <c r="H133" s="1170">
        <f>H130</f>
        <v>0</v>
      </c>
      <c r="I133" s="1262">
        <f t="shared" si="4"/>
        <v>0</v>
      </c>
      <c r="J133" s="1111"/>
      <c r="K133" s="1111"/>
      <c r="L133" s="1085"/>
      <c r="M133" s="977">
        <v>25</v>
      </c>
    </row>
    <row r="134" spans="1:13" s="1086" customFormat="1" ht="25.15" hidden="1" customHeight="1">
      <c r="A134" s="1156">
        <f t="shared" ref="A134:A135" si="8">IF(I134&gt;0,1,0)</f>
        <v>0</v>
      </c>
      <c r="B134" s="1327" t="s">
        <v>2279</v>
      </c>
      <c r="C134" s="1327"/>
      <c r="D134" s="1113"/>
      <c r="E134" s="1082">
        <f>VLOOKUP($B134,DG!A:D,DG!$B$2,)</f>
        <v>0</v>
      </c>
      <c r="F134" s="1083" t="str">
        <f>VLOOKUP($B134,DG!A:D,DG!$C$2,)</f>
        <v>Bass LL bắt FCO, LA</v>
      </c>
      <c r="G134" s="1082" t="str">
        <f>VLOOKUP($B134,DG!A:D,DG!$D$2,)</f>
        <v>bộ</v>
      </c>
      <c r="H134" s="1170"/>
      <c r="I134" s="1262">
        <f t="shared" ref="I134:I135" si="9">IF(M134=$M$23,H134+J134-K134,0)</f>
        <v>0</v>
      </c>
      <c r="J134" s="1111"/>
      <c r="K134" s="1111"/>
      <c r="L134" s="1085"/>
      <c r="M134" s="977">
        <v>25</v>
      </c>
    </row>
    <row r="135" spans="1:13" s="1086" customFormat="1" ht="25.15" hidden="1" customHeight="1">
      <c r="A135" s="1156">
        <f t="shared" si="8"/>
        <v>0</v>
      </c>
      <c r="B135" s="1327" t="s">
        <v>2001</v>
      </c>
      <c r="C135" s="1327"/>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15" hidden="1" customHeight="1">
      <c r="A136" s="1156">
        <f t="shared" si="3"/>
        <v>0</v>
      </c>
      <c r="B136" s="1327"/>
      <c r="C136" s="1327"/>
      <c r="D136" s="1169">
        <f>IF(H136&gt;0,D128+1,D128)</f>
        <v>0</v>
      </c>
      <c r="E136" s="1188"/>
      <c r="F136" s="1200" t="s">
        <v>3697</v>
      </c>
      <c r="G136" s="1169" t="s">
        <v>2394</v>
      </c>
      <c r="H136" s="1867">
        <f>H128</f>
        <v>0</v>
      </c>
      <c r="I136" s="1262">
        <f t="shared" si="4"/>
        <v>0</v>
      </c>
      <c r="J136" s="1134"/>
      <c r="K136" s="1134"/>
      <c r="L136" s="1085"/>
      <c r="M136" s="977">
        <v>25</v>
      </c>
    </row>
    <row r="137" spans="1:13" s="1086" customFormat="1" ht="25.15" hidden="1" customHeight="1">
      <c r="A137" s="1156">
        <f>IF(M137=$M$23,1,0)</f>
        <v>0</v>
      </c>
      <c r="B137" s="1327"/>
      <c r="C137" s="1327"/>
      <c r="D137" s="1113"/>
      <c r="E137" s="1191"/>
      <c r="F137" s="1368" t="s">
        <v>2287</v>
      </c>
      <c r="G137" s="1113"/>
      <c r="H137" s="1170"/>
      <c r="I137" s="1262">
        <f t="shared" si="4"/>
        <v>0</v>
      </c>
      <c r="J137" s="1134"/>
      <c r="K137" s="1134"/>
      <c r="L137" s="1085"/>
      <c r="M137" s="977">
        <v>25</v>
      </c>
    </row>
    <row r="138" spans="1:13" s="1086" customFormat="1" ht="25.15" hidden="1" customHeight="1">
      <c r="A138" s="1156">
        <f t="shared" si="3"/>
        <v>0</v>
      </c>
      <c r="B138" s="1327" t="s">
        <v>103</v>
      </c>
      <c r="C138" s="1327"/>
      <c r="D138" s="1113"/>
      <c r="E138" s="1082">
        <f>VLOOKUP($B138,DG!A:D,DG!$B$2,)</f>
        <v>0</v>
      </c>
      <c r="F138" s="1083" t="str">
        <f>VLOOKUP($B138,DG!A:D,DG!$C$2,)&amp;" : "&amp;I3&amp;"m"</f>
        <v>Cáp đồng trần M25mm2 : 46m</v>
      </c>
      <c r="G138" s="1082" t="str">
        <f>VLOOKUP($B138,DG!A:D,DG!$D$2,)</f>
        <v>kg</v>
      </c>
      <c r="H138" s="1170">
        <v>13</v>
      </c>
      <c r="I138" s="1262">
        <f t="shared" si="4"/>
        <v>0</v>
      </c>
      <c r="J138" s="1111"/>
      <c r="K138" s="1111"/>
      <c r="L138" s="1085"/>
      <c r="M138" s="977">
        <v>25</v>
      </c>
    </row>
    <row r="139" spans="1:13" s="1086" customFormat="1" ht="25.15" hidden="1" customHeight="1">
      <c r="A139" s="1156">
        <f t="shared" si="3"/>
        <v>0</v>
      </c>
      <c r="B139" s="1157" t="s">
        <v>1513</v>
      </c>
      <c r="C139" s="1157"/>
      <c r="D139" s="1113"/>
      <c r="E139" s="1082">
        <f>VLOOKUP($B139,DG!A:D,DG!$B$2,)</f>
        <v>0</v>
      </c>
      <c r="F139" s="1083" t="str">
        <f>VLOOKUP($B139,DG!A:D,DG!$C$2,)</f>
        <v>Cọc tiếp đất Þ 16- 2,4m + kẹp cọc mạ đồng</v>
      </c>
      <c r="G139" s="1082" t="str">
        <f>VLOOKUP($B139,DG!A:D,DG!$D$2,)</f>
        <v>bộ</v>
      </c>
      <c r="H139" s="1170">
        <f>I2*H136</f>
        <v>0</v>
      </c>
      <c r="I139" s="1262">
        <f t="shared" si="4"/>
        <v>0</v>
      </c>
      <c r="J139" s="1111"/>
      <c r="K139" s="1111"/>
      <c r="L139" s="1085"/>
      <c r="M139" s="977">
        <v>25</v>
      </c>
    </row>
    <row r="140" spans="1:13" s="1086" customFormat="1" ht="25.15"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v>6</v>
      </c>
      <c r="I140" s="1262">
        <f t="shared" si="4"/>
        <v>0</v>
      </c>
      <c r="J140" s="1111"/>
      <c r="K140" s="1111"/>
      <c r="L140" s="1085"/>
      <c r="M140" s="977">
        <v>25</v>
      </c>
    </row>
    <row r="141" spans="1:13" s="1086" customFormat="1" ht="25.15" hidden="1" customHeight="1">
      <c r="A141" s="1156">
        <f t="shared" si="3"/>
        <v>0</v>
      </c>
      <c r="B141" s="1332" t="s">
        <v>13</v>
      </c>
      <c r="C141" s="1332"/>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15" hidden="1" customHeight="1">
      <c r="A142" s="1156">
        <f t="shared" si="3"/>
        <v>0</v>
      </c>
      <c r="B142" s="1332" t="s">
        <v>1075</v>
      </c>
      <c r="C142" s="1332"/>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15" hidden="1" customHeight="1">
      <c r="A143" s="1156">
        <f t="shared" si="3"/>
        <v>0</v>
      </c>
      <c r="B143" s="1332" t="s">
        <v>2025</v>
      </c>
      <c r="C143" s="1332"/>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15" hidden="1" customHeight="1">
      <c r="A144" s="1156">
        <f t="shared" si="3"/>
        <v>0</v>
      </c>
      <c r="B144" s="1332" t="s">
        <v>1116</v>
      </c>
      <c r="C144" s="1332"/>
      <c r="D144" s="1113"/>
      <c r="E144" s="1082">
        <f>VLOOKUP($B144,DG!A:D,DG!$B$2,)</f>
        <v>0</v>
      </c>
      <c r="F144" s="1083" t="str">
        <f>VLOOKUP($B144,DG!A:D,DG!$C$2,)</f>
        <v>Kẹp ép cỡ dây 25mm2</v>
      </c>
      <c r="G144" s="1082" t="str">
        <f>VLOOKUP($B144,DG!A:D,DG!$D$2,)</f>
        <v>cái</v>
      </c>
      <c r="H144" s="1170">
        <v>11</v>
      </c>
      <c r="I144" s="1262">
        <f t="shared" si="4"/>
        <v>0</v>
      </c>
      <c r="J144" s="1111"/>
      <c r="K144" s="1111"/>
      <c r="L144" s="1085"/>
      <c r="M144" s="977">
        <v>25</v>
      </c>
    </row>
    <row r="145" spans="1:13" s="1086" customFormat="1" ht="25.15"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v>4</v>
      </c>
      <c r="I145" s="1262">
        <f t="shared" si="4"/>
        <v>0</v>
      </c>
      <c r="J145" s="1111"/>
      <c r="K145" s="1111"/>
      <c r="L145" s="1085"/>
      <c r="M145" s="977">
        <v>25</v>
      </c>
    </row>
    <row r="146" spans="1:13" s="1086" customFormat="1" ht="25.15"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15"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15"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15"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15"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15"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v>58</v>
      </c>
      <c r="I151" s="1262">
        <f t="shared" si="4"/>
        <v>0</v>
      </c>
      <c r="J151" s="1111"/>
      <c r="K151" s="1111"/>
      <c r="L151" s="1085"/>
      <c r="M151" s="977">
        <v>25</v>
      </c>
    </row>
    <row r="152" spans="1:13" s="1086" customFormat="1" ht="25.15" hidden="1" customHeight="1">
      <c r="A152" s="1156">
        <f t="shared" si="3"/>
        <v>0</v>
      </c>
      <c r="B152" s="1332" t="str">
        <f>"dtd"&amp;chitiet!G5</f>
        <v>dtd3</v>
      </c>
      <c r="C152" s="1332"/>
      <c r="D152" s="1113"/>
      <c r="E152" s="1082" t="str">
        <f>VLOOKUP($B152,DG!A:D,DG!$B$2,)</f>
        <v>03.3123</v>
      </c>
      <c r="F152" s="1083" t="str">
        <f>VLOOKUP($B152,DG!A:D,DG!$C$2,)</f>
        <v>Đào rãnh tiếp địa đất cấp 3</v>
      </c>
      <c r="G152" s="1082" t="str">
        <f>VLOOKUP($B152,DG!A:D,DG!$D$2,)</f>
        <v>m3</v>
      </c>
      <c r="H152" s="1170">
        <v>8.64</v>
      </c>
      <c r="I152" s="1262">
        <f t="shared" si="4"/>
        <v>0</v>
      </c>
      <c r="J152" s="1111"/>
      <c r="K152" s="1111"/>
      <c r="L152" s="1085"/>
      <c r="M152" s="977">
        <v>25</v>
      </c>
    </row>
    <row r="153" spans="1:13" s="1086" customFormat="1" ht="25.15" hidden="1" customHeight="1">
      <c r="A153" s="1156">
        <f t="shared" si="3"/>
        <v>0</v>
      </c>
      <c r="B153" s="1157" t="str">
        <f>"datd"&amp;chitiet!G5</f>
        <v>datd3</v>
      </c>
      <c r="C153" s="1157"/>
      <c r="D153" s="1113"/>
      <c r="E153" s="1082" t="str">
        <f>VLOOKUP($B153,DG!A:D,DG!$B$2,)</f>
        <v>03.4123</v>
      </c>
      <c r="F153" s="1083" t="str">
        <f>VLOOKUP($B153,DG!A:D,DG!$C$2,)</f>
        <v>Đắp đất rãnh tiếp độ chặt k=0,85</v>
      </c>
      <c r="G153" s="1082" t="str">
        <f>VLOOKUP($B153,DG!A:D,DG!$D$2,)</f>
        <v>m3</v>
      </c>
      <c r="H153" s="1170">
        <f>H152</f>
        <v>8.64</v>
      </c>
      <c r="I153" s="1262">
        <f t="shared" si="4"/>
        <v>0</v>
      </c>
      <c r="J153" s="1111"/>
      <c r="K153" s="1111"/>
      <c r="L153" s="1085"/>
      <c r="M153" s="977">
        <v>25</v>
      </c>
    </row>
    <row r="154" spans="1:13" s="1086" customFormat="1" ht="25.15" hidden="1" customHeight="1">
      <c r="A154" s="1156">
        <f>IF(I154&gt;0,1,0)</f>
        <v>0</v>
      </c>
      <c r="B154" s="1332"/>
      <c r="C154" s="1332"/>
      <c r="D154" s="1169">
        <f>IF(H154&gt;0,D136+1,D136)</f>
        <v>0</v>
      </c>
      <c r="E154" s="1188"/>
      <c r="F154" s="1189" t="s">
        <v>3701</v>
      </c>
      <c r="G154" s="1169" t="s">
        <v>2394</v>
      </c>
      <c r="H154" s="1867">
        <f>H128</f>
        <v>0</v>
      </c>
      <c r="I154" s="1262">
        <f t="shared" si="4"/>
        <v>0</v>
      </c>
      <c r="J154" s="1134"/>
      <c r="K154" s="1134"/>
      <c r="L154" s="1085"/>
      <c r="M154" s="977">
        <v>25</v>
      </c>
    </row>
    <row r="155" spans="1:13" s="1086" customFormat="1" ht="25.15" hidden="1" customHeight="1">
      <c r="A155" s="1156">
        <f>IF(M155=$M$23,1,0)</f>
        <v>0</v>
      </c>
      <c r="B155" s="1332"/>
      <c r="C155" s="1332"/>
      <c r="D155" s="1169"/>
      <c r="E155" s="1188"/>
      <c r="F155" s="1368" t="s">
        <v>2287</v>
      </c>
      <c r="G155" s="1113"/>
      <c r="H155" s="1170"/>
      <c r="I155" s="1262">
        <f t="shared" si="4"/>
        <v>0</v>
      </c>
      <c r="J155" s="1134"/>
      <c r="K155" s="1134"/>
      <c r="L155" s="1085"/>
      <c r="M155" s="977">
        <v>25</v>
      </c>
    </row>
    <row r="156" spans="1:13" s="1086" customFormat="1" ht="25.15" hidden="1" customHeight="1">
      <c r="A156" s="1156">
        <f t="shared" ref="A156:A220" si="10">IF(I156&gt;0,1,0)</f>
        <v>0</v>
      </c>
      <c r="B156" s="1334" t="s">
        <v>616</v>
      </c>
      <c r="C156" s="1334"/>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15" hidden="1" customHeight="1">
      <c r="A157" s="1156">
        <f t="shared" si="10"/>
        <v>0</v>
      </c>
      <c r="B157" s="1332" t="s">
        <v>881</v>
      </c>
      <c r="C157" s="1332"/>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15" hidden="1" customHeight="1">
      <c r="A158" s="1156">
        <f t="shared" si="10"/>
        <v>0</v>
      </c>
      <c r="B158" s="1332" t="s">
        <v>882</v>
      </c>
      <c r="C158" s="1332"/>
      <c r="D158" s="1113"/>
      <c r="E158" s="1082">
        <f>VLOOKUP($B158,DG!A:D,DG!$B$2,)</f>
        <v>0</v>
      </c>
      <c r="F158" s="1083" t="str">
        <f>VLOOKUP($B158,DG!A:D,DG!$C$2,)</f>
        <v xml:space="preserve">Bakelit 550x450 dầy 10mm </v>
      </c>
      <c r="G158" s="1082" t="str">
        <f>VLOOKUP($B158,DG!A:D,DG!$D$2,)</f>
        <v>cái</v>
      </c>
      <c r="H158" s="1170">
        <v>2</v>
      </c>
      <c r="I158" s="1262">
        <f t="shared" si="11"/>
        <v>0</v>
      </c>
      <c r="J158" s="1111"/>
      <c r="K158" s="1111">
        <v>1</v>
      </c>
      <c r="L158" s="1085"/>
      <c r="M158" s="977">
        <v>25</v>
      </c>
    </row>
    <row r="159" spans="1:13" s="1086" customFormat="1" ht="25.15" hidden="1" customHeight="1">
      <c r="A159" s="1156">
        <f t="shared" si="10"/>
        <v>0</v>
      </c>
      <c r="B159" s="1332" t="s">
        <v>138</v>
      </c>
      <c r="C159" s="1332"/>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15" hidden="1" customHeight="1">
      <c r="A160" s="1156">
        <f t="shared" si="10"/>
        <v>0</v>
      </c>
      <c r="B160" s="1332"/>
      <c r="C160" s="1332"/>
      <c r="D160" s="1169">
        <f>IF(H160&gt;0,D154+1,D154)</f>
        <v>0</v>
      </c>
      <c r="E160" s="1188"/>
      <c r="F160" s="1200" t="s">
        <v>3702</v>
      </c>
      <c r="G160" s="1169" t="s">
        <v>2394</v>
      </c>
      <c r="H160" s="1867">
        <f>I7</f>
        <v>0</v>
      </c>
      <c r="I160" s="1262">
        <f t="shared" si="11"/>
        <v>0</v>
      </c>
      <c r="J160" s="1134"/>
      <c r="K160" s="1134"/>
      <c r="L160" s="1085"/>
      <c r="M160" s="977">
        <v>25</v>
      </c>
    </row>
    <row r="161" spans="1:13" s="1086" customFormat="1" ht="25.15" hidden="1" customHeight="1">
      <c r="A161" s="1156">
        <f>IF(M161=$M$23,1,0)</f>
        <v>0</v>
      </c>
      <c r="B161" s="1332"/>
      <c r="C161" s="1332"/>
      <c r="D161" s="1169"/>
      <c r="E161" s="1188"/>
      <c r="F161" s="1368" t="s">
        <v>2287</v>
      </c>
      <c r="G161" s="1113"/>
      <c r="H161" s="1170"/>
      <c r="I161" s="1262">
        <f t="shared" si="11"/>
        <v>0</v>
      </c>
      <c r="J161" s="1134"/>
      <c r="K161" s="1134"/>
      <c r="L161" s="1085"/>
      <c r="M161" s="977">
        <v>25</v>
      </c>
    </row>
    <row r="162" spans="1:13" s="1086" customFormat="1" ht="25.15" hidden="1" customHeight="1">
      <c r="A162" s="1156">
        <f t="shared" si="10"/>
        <v>0</v>
      </c>
      <c r="B162" s="1330" t="s">
        <v>4482</v>
      </c>
      <c r="C162" s="1330"/>
      <c r="D162" s="1113"/>
      <c r="E162" s="1082">
        <f>VLOOKUP($B162,DG!A:D,DG!$B$2,)</f>
        <v>0</v>
      </c>
      <c r="F162" s="1083" t="str">
        <f>VLOOKUP($B162,DG!A:D,DG!$C$2,)</f>
        <v>Cáp 24KV CX-25mm2</v>
      </c>
      <c r="G162" s="1082" t="str">
        <f>VLOOKUP($B162,DG!A:D,DG!$D$2,)</f>
        <v>mét</v>
      </c>
      <c r="H162" s="1170">
        <v>4</v>
      </c>
      <c r="I162" s="1262">
        <f t="shared" si="11"/>
        <v>0</v>
      </c>
      <c r="J162" s="1111"/>
      <c r="K162" s="1111"/>
      <c r="L162" s="1085"/>
      <c r="M162" s="977">
        <v>25</v>
      </c>
    </row>
    <row r="163" spans="1:13" s="1086" customFormat="1" ht="25.15"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15"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 si="13">H156</f>
        <v>0</v>
      </c>
      <c r="I164" s="1262">
        <f t="shared" ref="I164:I167" si="14">IF(M164=$M$23,H164+J164-K164,0)</f>
        <v>0</v>
      </c>
      <c r="J164" s="1111"/>
      <c r="K164" s="1111"/>
      <c r="L164" s="1085"/>
      <c r="M164" s="977">
        <v>25</v>
      </c>
    </row>
    <row r="165" spans="1:13" s="1086" customFormat="1" ht="25.15" hidden="1" customHeight="1">
      <c r="A165" s="1156">
        <f t="shared" si="12"/>
        <v>0</v>
      </c>
      <c r="B165" s="1157" t="s">
        <v>4572</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15"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15"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v>1</v>
      </c>
      <c r="I167" s="1262">
        <f t="shared" si="14"/>
        <v>0</v>
      </c>
      <c r="J167" s="1111"/>
      <c r="K167" s="1111"/>
      <c r="L167" s="1085"/>
      <c r="M167" s="977">
        <v>25</v>
      </c>
    </row>
    <row r="168" spans="1:13" s="1086" customFormat="1" ht="25.15"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15"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c r="I169" s="1262">
        <f t="shared" si="11"/>
        <v>0</v>
      </c>
      <c r="J169" s="1111"/>
      <c r="K169" s="1111"/>
      <c r="L169" s="1085"/>
      <c r="M169" s="977">
        <v>25</v>
      </c>
    </row>
    <row r="170" spans="1:13" s="1086" customFormat="1" ht="25.15"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15"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15"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4</v>
      </c>
      <c r="I172" s="1262">
        <f t="shared" si="11"/>
        <v>0</v>
      </c>
      <c r="J172" s="1111"/>
      <c r="K172" s="1111"/>
      <c r="L172" s="1085"/>
      <c r="M172" s="977">
        <v>25</v>
      </c>
    </row>
    <row r="173" spans="1:13" s="1086" customFormat="1" ht="25.15" hidden="1" customHeight="1">
      <c r="A173" s="1156">
        <f>IF(M173=$M$23,1,0)</f>
        <v>0</v>
      </c>
      <c r="B173" s="1332"/>
      <c r="C173" s="1332"/>
      <c r="D173" s="1169">
        <f>IF(H173&gt;0,D160+1,D160)</f>
        <v>0</v>
      </c>
      <c r="E173" s="1188"/>
      <c r="F173" s="1200" t="s">
        <v>3703</v>
      </c>
      <c r="G173" s="1169" t="s">
        <v>2394</v>
      </c>
      <c r="H173" s="1867">
        <f>H105</f>
        <v>0</v>
      </c>
      <c r="I173" s="1262">
        <f t="shared" si="11"/>
        <v>0</v>
      </c>
      <c r="J173" s="1134"/>
      <c r="K173" s="1134"/>
      <c r="L173" s="1085"/>
      <c r="M173" s="977">
        <v>25</v>
      </c>
    </row>
    <row r="174" spans="1:13" s="1086" customFormat="1" ht="25.15" hidden="1" customHeight="1">
      <c r="A174" s="1156">
        <f>IF(M174=$M$23,1,0)</f>
        <v>0</v>
      </c>
      <c r="B174" s="1332"/>
      <c r="C174" s="1332"/>
      <c r="D174" s="1169"/>
      <c r="E174" s="1188"/>
      <c r="F174" s="1368" t="s">
        <v>2287</v>
      </c>
      <c r="G174" s="1169"/>
      <c r="H174" s="1867"/>
      <c r="I174" s="1262">
        <f t="shared" si="11"/>
        <v>0</v>
      </c>
      <c r="J174" s="1134"/>
      <c r="K174" s="1134"/>
      <c r="L174" s="1085"/>
      <c r="M174" s="977">
        <v>25</v>
      </c>
    </row>
    <row r="175" spans="1:13" s="1086" customFormat="1" ht="25.15" hidden="1" customHeight="1">
      <c r="A175" s="1156">
        <f t="shared" si="10"/>
        <v>0</v>
      </c>
      <c r="B175" s="1332" t="s">
        <v>237</v>
      </c>
      <c r="C175" s="1332"/>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15" hidden="1" customHeight="1">
      <c r="A176" s="1156">
        <f t="shared" si="10"/>
        <v>0</v>
      </c>
      <c r="B176" s="1332" t="s">
        <v>4553</v>
      </c>
      <c r="C176" s="1332"/>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15" hidden="1" customHeight="1">
      <c r="A177" s="1156">
        <f t="shared" si="10"/>
        <v>0</v>
      </c>
      <c r="B177" s="1332" t="str">
        <f>"Cos"&amp;RIGHT(B175,2)</f>
        <v>Cos70</v>
      </c>
      <c r="C177" s="1332"/>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15" hidden="1" customHeight="1">
      <c r="A178" s="1156">
        <f t="shared" si="10"/>
        <v>0</v>
      </c>
      <c r="B178" s="1332" t="str">
        <f>"chCos"&amp;RIGHT(B175,2)</f>
        <v>chCos70</v>
      </c>
      <c r="C178" s="1332"/>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15" hidden="1" customHeight="1">
      <c r="A179" s="1156">
        <f t="shared" si="10"/>
        <v>0</v>
      </c>
      <c r="B179" s="1332" t="s">
        <v>1044</v>
      </c>
      <c r="C179" s="1332"/>
      <c r="D179" s="1113"/>
      <c r="E179" s="1082">
        <f>VLOOKUP($B179,DG!A:D,DG!$B$2,)</f>
        <v>0</v>
      </c>
      <c r="F179" s="1083" t="str">
        <f>VLOOKUP($B179,DG!A:D,DG!$C$2,)</f>
        <v xml:space="preserve">Ống PVC D114x4,9mm </v>
      </c>
      <c r="G179" s="1082" t="str">
        <f>VLOOKUP($B179,DG!A:D,DG!$D$2,)</f>
        <v>m</v>
      </c>
      <c r="H179" s="1170">
        <v>7</v>
      </c>
      <c r="I179" s="1262">
        <f t="shared" si="11"/>
        <v>0</v>
      </c>
      <c r="J179" s="1111"/>
      <c r="K179" s="1111"/>
      <c r="L179" s="1085"/>
      <c r="M179" s="977">
        <v>25</v>
      </c>
    </row>
    <row r="180" spans="1:13" s="1086" customFormat="1" ht="25.15" hidden="1" customHeight="1">
      <c r="A180" s="1156">
        <f t="shared" si="10"/>
        <v>0</v>
      </c>
      <c r="B180" s="1157" t="s">
        <v>1868</v>
      </c>
      <c r="C180" s="1157"/>
      <c r="D180" s="1113"/>
      <c r="E180" s="1082" t="str">
        <f>VLOOKUP($B180,DG!A:D,DG!$B$2,)</f>
        <v>06.3231</v>
      </c>
      <c r="F180" s="1083" t="str">
        <f>VLOOKUP($B180,DG!A:D,DG!$C$2,)&amp;": 2 bộ: CD 90-250"</f>
        <v>Cổ dê kẹp ống PVC Ø 114: 2 bộ: CD 90-250</v>
      </c>
      <c r="G180" s="1082" t="str">
        <f>VLOOKUP($B180,DG!A:D,DG!$D$2,)</f>
        <v>bộ</v>
      </c>
      <c r="H180" s="1170">
        <v>2</v>
      </c>
      <c r="I180" s="1262">
        <f t="shared" si="11"/>
        <v>0</v>
      </c>
      <c r="J180" s="1111"/>
      <c r="K180" s="1111"/>
      <c r="L180" s="1085"/>
      <c r="M180" s="977">
        <v>25</v>
      </c>
    </row>
    <row r="181" spans="1:13" s="1086" customFormat="1" ht="25.15" hidden="1" customHeight="1">
      <c r="A181" s="1156">
        <f t="shared" si="10"/>
        <v>0</v>
      </c>
      <c r="B181" s="1157" t="s">
        <v>1868</v>
      </c>
      <c r="C181" s="1157"/>
      <c r="D181" s="1113"/>
      <c r="E181" s="1082" t="str">
        <f>VLOOKUP($B181,DG!A:D,DG!$B$2,)</f>
        <v>06.3231</v>
      </c>
      <c r="F181" s="1083" t="str">
        <f>VLOOKUP($B181,DG!A:D,DG!$C$2,)&amp;": 2 bộ: CD 90-280"</f>
        <v>Cổ dê kẹp ống PVC Ø 114: 2 bộ: CD 90-280</v>
      </c>
      <c r="G181" s="1082" t="str">
        <f>VLOOKUP($B181,DG!A:D,DG!$D$2,)</f>
        <v>bộ</v>
      </c>
      <c r="H181" s="1170">
        <f>H173*0*2</f>
        <v>0</v>
      </c>
      <c r="I181" s="1262">
        <f t="shared" si="11"/>
        <v>0</v>
      </c>
      <c r="J181" s="1111"/>
      <c r="K181" s="1111"/>
      <c r="L181" s="1085"/>
      <c r="M181" s="977">
        <v>25</v>
      </c>
    </row>
    <row r="182" spans="1:13" s="1086" customFormat="1" ht="25.15" hidden="1" customHeight="1">
      <c r="A182" s="1156">
        <f t="shared" si="10"/>
        <v>0</v>
      </c>
      <c r="B182" s="1157" t="s">
        <v>1868</v>
      </c>
      <c r="C182" s="1157"/>
      <c r="D182" s="1113"/>
      <c r="E182" s="1082" t="str">
        <f>VLOOKUP($B182,DG!A:D,DG!$B$2,)</f>
        <v>06.3231</v>
      </c>
      <c r="F182" s="1083" t="str">
        <f>VLOOKUP($B182,DG!A:D,DG!$C$2,)&amp;": 2 bộ: CD 90-320"</f>
        <v>Cổ dê kẹp ống PVC Ø 114: 2 bộ: CD 90-320</v>
      </c>
      <c r="G182" s="1082" t="str">
        <f>VLOOKUP($B182,DG!A:D,DG!$D$2,)</f>
        <v>bộ</v>
      </c>
      <c r="H182" s="1170">
        <f>H173*0*2</f>
        <v>0</v>
      </c>
      <c r="I182" s="1262">
        <f t="shared" si="11"/>
        <v>0</v>
      </c>
      <c r="J182" s="1111"/>
      <c r="K182" s="1111"/>
      <c r="L182" s="1085"/>
      <c r="M182" s="977">
        <v>25</v>
      </c>
    </row>
    <row r="183" spans="1:13" s="1086" customFormat="1" ht="25.15"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15"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v>8</v>
      </c>
      <c r="I184" s="1262">
        <f t="shared" si="11"/>
        <v>0</v>
      </c>
      <c r="J184" s="1111"/>
      <c r="K184" s="1111"/>
      <c r="L184" s="1085"/>
      <c r="M184" s="977">
        <v>25</v>
      </c>
    </row>
    <row r="185" spans="1:13" s="1086" customFormat="1" ht="25.15" hidden="1" customHeight="1">
      <c r="A185" s="1156">
        <f t="shared" si="10"/>
        <v>0</v>
      </c>
      <c r="B185" s="1332" t="s">
        <v>1870</v>
      </c>
      <c r="C185" s="1332"/>
      <c r="D185" s="1113"/>
      <c r="E185" s="1082">
        <f>VLOOKUP($B185,DG!A:D,DG!$B$2,)</f>
        <v>0</v>
      </c>
      <c r="F185" s="1083" t="str">
        <f>VLOOKUP($B185,DG!A:D,DG!$C$2,)</f>
        <v>Co  90 độ PVC 114</v>
      </c>
      <c r="G185" s="1082" t="str">
        <f>VLOOKUP($B185,DG!A:D,DG!$D$2,)</f>
        <v>cái</v>
      </c>
      <c r="H185" s="1170">
        <f>2*H173</f>
        <v>0</v>
      </c>
      <c r="I185" s="1262">
        <f t="shared" si="11"/>
        <v>0</v>
      </c>
      <c r="J185" s="1111"/>
      <c r="K185" s="1111"/>
      <c r="L185" s="1085"/>
      <c r="M185" s="977">
        <v>25</v>
      </c>
    </row>
    <row r="186" spans="1:13" s="1086" customFormat="1" ht="25.15" hidden="1" customHeight="1">
      <c r="A186" s="1156">
        <f t="shared" si="10"/>
        <v>0</v>
      </c>
      <c r="B186" s="1332" t="s">
        <v>690</v>
      </c>
      <c r="C186" s="1332"/>
      <c r="D186" s="1113"/>
      <c r="E186" s="1082">
        <f>VLOOKUP($B186,DG!A:D,DG!$B$2,)</f>
        <v>0</v>
      </c>
      <c r="F186" s="1083" t="str">
        <f>VLOOKUP($B186,DG!A:D,DG!$C$2,)</f>
        <v>Nối ống PVC 114</v>
      </c>
      <c r="G186" s="1082" t="str">
        <f>VLOOKUP($B186,DG!A:D,DG!$D$2,)</f>
        <v>cái</v>
      </c>
      <c r="H186" s="1170">
        <f>H173*1</f>
        <v>0</v>
      </c>
      <c r="I186" s="1262">
        <f t="shared" si="11"/>
        <v>0</v>
      </c>
      <c r="J186" s="1111"/>
      <c r="K186" s="1111"/>
      <c r="L186" s="1085"/>
      <c r="M186" s="977">
        <v>25</v>
      </c>
    </row>
    <row r="187" spans="1:13" s="1086" customFormat="1" ht="25.15" hidden="1" customHeight="1">
      <c r="A187" s="1156">
        <f t="shared" si="10"/>
        <v>0</v>
      </c>
      <c r="B187" s="1332" t="s">
        <v>2082</v>
      </c>
      <c r="C187" s="1332"/>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15" hidden="1" customHeight="1">
      <c r="A188" s="1156">
        <f t="shared" si="10"/>
        <v>0</v>
      </c>
      <c r="B188" s="1332" t="s">
        <v>489</v>
      </c>
      <c r="C188" s="1332"/>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15"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v>1</v>
      </c>
      <c r="I189" s="1262">
        <f t="shared" si="11"/>
        <v>0</v>
      </c>
      <c r="J189" s="1111"/>
      <c r="K189" s="1111"/>
      <c r="L189" s="1085"/>
      <c r="M189" s="977">
        <v>25</v>
      </c>
    </row>
    <row r="190" spans="1:13" s="1086" customFormat="1" ht="25.15" hidden="1" customHeight="1">
      <c r="A190" s="1156">
        <f t="shared" si="10"/>
        <v>0</v>
      </c>
      <c r="B190" s="1332" t="s">
        <v>2190</v>
      </c>
      <c r="C190" s="1332"/>
      <c r="D190" s="1113"/>
      <c r="E190" s="1082" t="str">
        <f>VLOOKUP($B190,DG!A:D,DG!$B$2,)</f>
        <v>07.2415</v>
      </c>
      <c r="F190" s="1083" t="str">
        <f>VLOOKUP($B190,DG!A:D,DG!$C$2,)</f>
        <v>Lắp ống nhựa PVC D90</v>
      </c>
      <c r="G190" s="1082" t="str">
        <f>VLOOKUP($B190,DG!A:D,DG!$D$2,)</f>
        <v>mét</v>
      </c>
      <c r="H190" s="1170">
        <f>H179</f>
        <v>7</v>
      </c>
      <c r="I190" s="1262">
        <f t="shared" si="11"/>
        <v>0</v>
      </c>
      <c r="J190" s="1111"/>
      <c r="K190" s="1111"/>
      <c r="L190" s="1085"/>
      <c r="M190" s="977">
        <v>25</v>
      </c>
    </row>
    <row r="191" spans="1:13" s="1086" customFormat="1" ht="25.15"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15" hidden="1" customHeight="1">
      <c r="A192" s="1156">
        <f t="shared" si="10"/>
        <v>0</v>
      </c>
      <c r="B192" s="1332" t="s">
        <v>289</v>
      </c>
      <c r="C192" s="1332"/>
      <c r="D192" s="1201">
        <f>IF(H192&gt;0,D173+1,D173)</f>
        <v>0</v>
      </c>
      <c r="E192" s="1202"/>
      <c r="F192" s="1083" t="str">
        <f>VLOOKUP($B192,DG!A:D,DG!$C$2,)</f>
        <v>Bảng tên trạm, bảng báo nguy hiểm + đinh vít</v>
      </c>
      <c r="G192" s="1082" t="str">
        <f>VLOOKUP($B192,DG!A:D,DG!$D$2,)</f>
        <v>bộ</v>
      </c>
      <c r="H192" s="1872">
        <f>H128</f>
        <v>0</v>
      </c>
      <c r="I192" s="1262">
        <f t="shared" si="11"/>
        <v>0</v>
      </c>
      <c r="J192" s="1111"/>
      <c r="K192" s="1111"/>
      <c r="L192" s="1101"/>
      <c r="M192" s="977">
        <v>25</v>
      </c>
    </row>
    <row r="193" spans="1:14" s="1086" customFormat="1" ht="25.15" hidden="1" customHeight="1">
      <c r="A193" s="1156">
        <f t="shared" si="10"/>
        <v>0</v>
      </c>
      <c r="B193" s="1322"/>
      <c r="C193" s="1322"/>
      <c r="D193" s="1139"/>
      <c r="E193" s="1193"/>
      <c r="F193" s="1072"/>
      <c r="G193" s="1195"/>
      <c r="H193" s="1869"/>
      <c r="I193" s="1072"/>
      <c r="J193" s="1196"/>
      <c r="K193" s="1197"/>
      <c r="L193" s="1139"/>
      <c r="M193" s="977">
        <v>25</v>
      </c>
    </row>
    <row r="194" spans="1:14" s="1086" customFormat="1" ht="25.15" hidden="1" customHeight="1">
      <c r="A194" s="1156">
        <f t="shared" si="10"/>
        <v>0</v>
      </c>
      <c r="B194" s="1322"/>
      <c r="C194" s="1322"/>
      <c r="D194" s="1164"/>
      <c r="E194" s="977"/>
      <c r="H194" s="1902"/>
      <c r="I194" s="1262">
        <f t="shared" si="11"/>
        <v>0</v>
      </c>
      <c r="M194" s="977"/>
    </row>
    <row r="195" spans="1:14" s="1086" customFormat="1" ht="25.15" hidden="1" customHeight="1">
      <c r="A195" s="1156">
        <f t="shared" si="10"/>
        <v>0</v>
      </c>
      <c r="B195" s="1322"/>
      <c r="C195" s="1322"/>
      <c r="D195" s="1326" t="str">
        <f>"BAÛNG TOÅNG HÔÏP VAÄT LIEÄU, NHAÂN COÂNG, MAÙY THI COÂNG : "&amp;I8&amp;" TRAÏM 1P37,5KVA"</f>
        <v>BAÛNG TOÅNG HÔÏP VAÄT LIEÄU, NHAÂN COÂNG, MAÙY THI COÂNG : 0 TRAÏM 1P37,5KVA</v>
      </c>
      <c r="E195" s="1325"/>
      <c r="F195" s="1324"/>
      <c r="G195" s="1324"/>
      <c r="H195" s="1870"/>
      <c r="I195" s="1262">
        <f t="shared" si="11"/>
        <v>0</v>
      </c>
      <c r="J195" s="1324"/>
      <c r="K195" s="1324"/>
      <c r="L195" s="984"/>
      <c r="M195" s="977"/>
    </row>
    <row r="196" spans="1:14" s="1086" customFormat="1" ht="25.15" hidden="1" customHeight="1">
      <c r="A196" s="1156">
        <f t="shared" si="10"/>
        <v>0</v>
      </c>
      <c r="B196" s="1327"/>
      <c r="C196" s="1327"/>
      <c r="D196" s="1159"/>
      <c r="E196" s="1160"/>
      <c r="F196" s="1072" t="s">
        <v>3693</v>
      </c>
      <c r="G196" s="1162"/>
      <c r="H196" s="1865"/>
      <c r="I196" s="1262">
        <f t="shared" si="11"/>
        <v>0</v>
      </c>
      <c r="J196" s="1162"/>
      <c r="K196" s="1162"/>
      <c r="L196" s="1139"/>
      <c r="M196" s="977" t="s">
        <v>4383</v>
      </c>
    </row>
    <row r="197" spans="1:14" s="1086" customFormat="1" ht="25.15" hidden="1" customHeight="1">
      <c r="A197" s="1156">
        <f t="shared" si="10"/>
        <v>0</v>
      </c>
      <c r="B197" s="1328" t="s">
        <v>1213</v>
      </c>
      <c r="C197" s="1328"/>
      <c r="D197" s="1093">
        <f>IF(H197&gt;0,1,0)</f>
        <v>0</v>
      </c>
      <c r="E197" s="1082" t="str">
        <f>VLOOKUP($B197,DG!A:D,DG!$B$2,)</f>
        <v>01.1412</v>
      </c>
      <c r="F197" s="1083" t="str">
        <f>VLOOKUP($B197,DG!A:D,DG!$C$2,)</f>
        <v>Máy biến áp 12,7/0,22-0,44kV  37,5kVA</v>
      </c>
      <c r="G197" s="1082" t="str">
        <f>VLOOKUP($B197,DG!A:D,DG!$D$2,)</f>
        <v>máy</v>
      </c>
      <c r="H197" s="1871">
        <f>I8</f>
        <v>0</v>
      </c>
      <c r="I197" s="1262">
        <f t="shared" si="11"/>
        <v>0</v>
      </c>
      <c r="J197" s="1111"/>
      <c r="K197" s="1111"/>
      <c r="L197" s="1199"/>
      <c r="M197" s="977" t="s">
        <v>4383</v>
      </c>
    </row>
    <row r="198" spans="1:14" s="1086" customFormat="1" ht="25.15" hidden="1" customHeight="1">
      <c r="A198" s="1156">
        <f t="shared" si="10"/>
        <v>0</v>
      </c>
      <c r="B198" s="1328" t="s">
        <v>1657</v>
      </c>
      <c r="C198" s="1328"/>
      <c r="D198" s="1093">
        <f t="shared" ref="D198:D203" si="15">IF(H198&gt;0,D197+1,D197)</f>
        <v>0</v>
      </c>
      <c r="E198" s="1082" t="str">
        <f>VLOOKUP($B198,DG!A:D,DG!$B$2,)</f>
        <v>02.3155</v>
      </c>
      <c r="F198" s="1083" t="str">
        <f>VLOOKUP($B198,DG!A:D,DG!$C$2,)</f>
        <v>FCO 27kV - 100A</v>
      </c>
      <c r="G198" s="1082" t="str">
        <f>VLOOKUP($B198,DG!A:D,DG!$D$2,)</f>
        <v>cái</v>
      </c>
      <c r="H198" s="1170">
        <f>+H197</f>
        <v>0</v>
      </c>
      <c r="I198" s="1262">
        <f t="shared" si="11"/>
        <v>0</v>
      </c>
      <c r="J198" s="1111"/>
      <c r="K198" s="1111"/>
      <c r="L198" s="1085"/>
      <c r="M198" s="977" t="s">
        <v>4383</v>
      </c>
    </row>
    <row r="199" spans="1:14" s="1086" customFormat="1" ht="25.15" hidden="1" customHeight="1">
      <c r="A199" s="1156">
        <f t="shared" si="10"/>
        <v>0</v>
      </c>
      <c r="B199" s="1328" t="s">
        <v>890</v>
      </c>
      <c r="C199" s="1328"/>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4383</v>
      </c>
    </row>
    <row r="200" spans="1:14" s="1086" customFormat="1" ht="25.15" hidden="1" customHeight="1">
      <c r="A200" s="1156">
        <f t="shared" si="10"/>
        <v>0</v>
      </c>
      <c r="B200" s="1322" t="s">
        <v>1378</v>
      </c>
      <c r="C200" s="1322"/>
      <c r="D200" s="1093">
        <f t="shared" si="15"/>
        <v>0</v>
      </c>
      <c r="E200" s="1082" t="str">
        <f>VLOOKUP($B200,DG!A:D,DG!$B$2,)</f>
        <v>02.5114</v>
      </c>
      <c r="F200" s="1083" t="str">
        <f>VLOOKUP($B200,DG!A:D,DG!$C$2,)</f>
        <v>Chống sét van LA-18KV-10KA</v>
      </c>
      <c r="G200" s="1082" t="str">
        <f>VLOOKUP($B200,DG!A:D,DG!$D$2,)</f>
        <v>cái</v>
      </c>
      <c r="H200" s="1170">
        <f>H198</f>
        <v>0</v>
      </c>
      <c r="I200" s="1262">
        <f t="shared" si="11"/>
        <v>0</v>
      </c>
      <c r="J200" s="1111"/>
      <c r="K200" s="1111"/>
      <c r="L200" s="1085"/>
      <c r="M200" s="977" t="s">
        <v>4383</v>
      </c>
    </row>
    <row r="201" spans="1:14" s="1086" customFormat="1" ht="25.15" hidden="1" customHeight="1">
      <c r="A201" s="1156">
        <f t="shared" si="10"/>
        <v>0</v>
      </c>
      <c r="B201" s="1329" t="s">
        <v>795</v>
      </c>
      <c r="C201" s="1329"/>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4383</v>
      </c>
    </row>
    <row r="202" spans="1:14" s="1086" customFormat="1" ht="25.15" hidden="1" customHeight="1">
      <c r="A202" s="1156">
        <f t="shared" si="10"/>
        <v>0</v>
      </c>
      <c r="B202" s="1330" t="s">
        <v>2050</v>
      </c>
      <c r="C202" s="1330"/>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4383</v>
      </c>
    </row>
    <row r="203" spans="1:14" s="1086" customFormat="1" ht="25.15" hidden="1" customHeight="1">
      <c r="A203" s="1156">
        <f t="shared" si="10"/>
        <v>0</v>
      </c>
      <c r="B203" s="1334" t="s">
        <v>287</v>
      </c>
      <c r="C203" s="1334"/>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4383</v>
      </c>
    </row>
    <row r="204" spans="1:14" s="1086" customFormat="1" ht="25.15" hidden="1" customHeight="1">
      <c r="A204" s="1156">
        <f t="shared" si="10"/>
        <v>0</v>
      </c>
      <c r="B204" s="1327"/>
      <c r="C204" s="1327"/>
      <c r="D204" s="1110"/>
      <c r="E204" s="1182"/>
      <c r="F204" s="1163"/>
      <c r="G204" s="1110"/>
      <c r="H204" s="1205"/>
      <c r="I204" s="1262">
        <f t="shared" si="11"/>
        <v>0</v>
      </c>
      <c r="J204" s="1163"/>
      <c r="K204" s="1110"/>
      <c r="L204" s="1139"/>
      <c r="M204" s="977" t="s">
        <v>4383</v>
      </c>
    </row>
    <row r="205" spans="1:14" s="1086" customFormat="1" ht="25.15" hidden="1" customHeight="1">
      <c r="A205" s="1156">
        <f t="shared" si="10"/>
        <v>0</v>
      </c>
      <c r="B205" s="1327"/>
      <c r="C205" s="1327"/>
      <c r="D205" s="1184"/>
      <c r="E205" s="1185"/>
      <c r="F205" s="1072" t="s">
        <v>3694</v>
      </c>
      <c r="G205" s="1072"/>
      <c r="H205" s="1865"/>
      <c r="I205" s="1262">
        <f t="shared" si="11"/>
        <v>0</v>
      </c>
      <c r="J205" s="1072"/>
      <c r="K205" s="1072"/>
      <c r="L205" s="1139"/>
      <c r="M205" s="977" t="s">
        <v>4383</v>
      </c>
    </row>
    <row r="206" spans="1:14" s="1086" customFormat="1" ht="25.15" hidden="1" customHeight="1">
      <c r="A206" s="1156">
        <f t="shared" si="10"/>
        <v>0</v>
      </c>
      <c r="B206" s="1327" t="s">
        <v>1615</v>
      </c>
      <c r="C206" s="1327"/>
      <c r="D206" s="1186">
        <f>IF(H218&gt;0,1,0)</f>
        <v>0</v>
      </c>
      <c r="E206" s="1188"/>
      <c r="F206" s="1083" t="str">
        <f>VLOOKUP($B206,DG!A:D,DG!$C$2,)</f>
        <v>Boulon 16x300+ 2 long đền vuông D18-50x50x3/Zn</v>
      </c>
      <c r="G206" s="1082" t="str">
        <f>VLOOKUP($B206,DG!A:D,DG!$D$2,)</f>
        <v>bộ</v>
      </c>
      <c r="H206" s="1867">
        <f>2*SUM(H197:H197)</f>
        <v>0</v>
      </c>
      <c r="I206" s="1262">
        <f t="shared" si="11"/>
        <v>0</v>
      </c>
      <c r="J206" s="1111"/>
      <c r="K206" s="1111"/>
      <c r="L206" s="1199"/>
      <c r="M206" s="977" t="s">
        <v>4383</v>
      </c>
    </row>
    <row r="207" spans="1:14" s="1086" customFormat="1" ht="25.15" hidden="1" customHeight="1">
      <c r="A207" s="1156">
        <f t="shared" si="10"/>
        <v>0</v>
      </c>
      <c r="B207" s="1327"/>
      <c r="C207" s="1327"/>
      <c r="D207" s="1081">
        <f>IF(H207&gt;0,D206+1,D206)</f>
        <v>0</v>
      </c>
      <c r="E207" s="1188"/>
      <c r="F207" s="1189" t="s">
        <v>3695</v>
      </c>
      <c r="G207" s="1169" t="s">
        <v>2394</v>
      </c>
      <c r="H207" s="1867">
        <f>H197</f>
        <v>0</v>
      </c>
      <c r="I207" s="1262">
        <f t="shared" si="11"/>
        <v>0</v>
      </c>
      <c r="J207" s="1134"/>
      <c r="K207" s="1134"/>
      <c r="L207" s="1113"/>
      <c r="M207" s="977" t="s">
        <v>4383</v>
      </c>
    </row>
    <row r="208" spans="1:14" s="1086" customFormat="1" ht="25.15" hidden="1" customHeight="1">
      <c r="A208" s="1156">
        <f>IF(A207&gt;0,1,0)</f>
        <v>0</v>
      </c>
      <c r="B208" s="1327"/>
      <c r="C208" s="1327"/>
      <c r="D208" s="1169"/>
      <c r="E208" s="1188"/>
      <c r="F208" s="1367" t="s">
        <v>2287</v>
      </c>
      <c r="G208" s="1113"/>
      <c r="H208" s="1170"/>
      <c r="I208" s="1262">
        <f t="shared" si="11"/>
        <v>0</v>
      </c>
      <c r="J208" s="1134"/>
      <c r="K208" s="1134"/>
      <c r="L208" s="1113"/>
      <c r="M208" s="977" t="s">
        <v>4383</v>
      </c>
      <c r="N208" s="1190"/>
    </row>
    <row r="209" spans="1:14" s="1086" customFormat="1" ht="25.15"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4383</v>
      </c>
      <c r="N209" s="1190"/>
    </row>
    <row r="210" spans="1:14" s="1086" customFormat="1" ht="25.15"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4383</v>
      </c>
      <c r="N210" s="1190"/>
    </row>
    <row r="211" spans="1:14" s="1086" customFormat="1" ht="25.15"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4383</v>
      </c>
      <c r="N211" s="1190"/>
    </row>
    <row r="212" spans="1:14" s="1086" customFormat="1" ht="25.15" hidden="1" customHeight="1">
      <c r="A212" s="1156">
        <f t="shared" si="10"/>
        <v>0</v>
      </c>
      <c r="B212" s="1327"/>
      <c r="C212" s="1327"/>
      <c r="D212" s="1081">
        <f>IF(H212&gt;0,D207+1,D207)</f>
        <v>0</v>
      </c>
      <c r="E212" s="1188"/>
      <c r="F212" s="1189" t="s">
        <v>2361</v>
      </c>
      <c r="G212" s="1169" t="s">
        <v>2394</v>
      </c>
      <c r="H212" s="1867">
        <f>H207</f>
        <v>0</v>
      </c>
      <c r="I212" s="1262">
        <f t="shared" si="11"/>
        <v>0</v>
      </c>
      <c r="J212" s="1134"/>
      <c r="K212" s="1134"/>
      <c r="L212" s="1113"/>
      <c r="M212" s="977" t="s">
        <v>4383</v>
      </c>
    </row>
    <row r="213" spans="1:14" s="1086" customFormat="1" ht="25.15" hidden="1" customHeight="1">
      <c r="A213" s="1156">
        <f>IF(A212&gt;0,1,0)</f>
        <v>0</v>
      </c>
      <c r="B213" s="1327"/>
      <c r="C213" s="1327"/>
      <c r="D213" s="1169"/>
      <c r="E213" s="1188"/>
      <c r="F213" s="1367" t="s">
        <v>2287</v>
      </c>
      <c r="G213" s="1113"/>
      <c r="H213" s="1170"/>
      <c r="I213" s="1262">
        <f t="shared" si="11"/>
        <v>0</v>
      </c>
      <c r="J213" s="1134"/>
      <c r="K213" s="1134"/>
      <c r="L213" s="1113"/>
      <c r="M213" s="977" t="s">
        <v>4383</v>
      </c>
      <c r="N213" s="1190"/>
    </row>
    <row r="214" spans="1:14" s="1086" customFormat="1" ht="25.15" hidden="1" customHeight="1">
      <c r="A214" s="1156">
        <f t="shared" si="10"/>
        <v>0</v>
      </c>
      <c r="B214" s="1334" t="s">
        <v>636</v>
      </c>
      <c r="C214" s="1334"/>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4383</v>
      </c>
      <c r="N214" s="1190"/>
    </row>
    <row r="215" spans="1:14" s="1086" customFormat="1" ht="25.15" hidden="1" customHeight="1">
      <c r="A215" s="1156">
        <f t="shared" si="10"/>
        <v>0</v>
      </c>
      <c r="B215" s="1334" t="s">
        <v>566</v>
      </c>
      <c r="C215" s="1334"/>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4383</v>
      </c>
      <c r="N215" s="1190"/>
    </row>
    <row r="216" spans="1:14" s="1086" customFormat="1" ht="25.15" hidden="1" customHeight="1">
      <c r="A216" s="1156">
        <f t="shared" si="10"/>
        <v>0</v>
      </c>
      <c r="B216" s="1334" t="str">
        <f>IF(chitiet!G5=1,"MDD1",IF(chitiet!G5=2,"MDD2",IF(chitiet!G5=3,"MDD3",IF(chitiet!G5=4,"MDD4"))))</f>
        <v>MDD3</v>
      </c>
      <c r="C216" s="1334"/>
      <c r="D216" s="1113"/>
      <c r="E216" s="1082" t="str">
        <f>VLOOKUP($B216,DG!A:D,DG!$B$2,)</f>
        <v>03.1013</v>
      </c>
      <c r="F216" s="1083" t="str">
        <f>VLOOKUP($B216,DG!A:D,DG!$C$2,)</f>
        <v>Đào hố móng đất cấp 3 sâu &gt;1m</v>
      </c>
      <c r="G216" s="1082" t="str">
        <f>VLOOKUP($B216,DG!A:D,DG!$D$2,)</f>
        <v>m3</v>
      </c>
      <c r="H216" s="1170">
        <f>H212*1.45</f>
        <v>0</v>
      </c>
      <c r="I216" s="1262">
        <f t="shared" si="11"/>
        <v>0</v>
      </c>
      <c r="J216" s="1111"/>
      <c r="K216" s="1111"/>
      <c r="L216" s="1113"/>
      <c r="M216" s="977" t="s">
        <v>4383</v>
      </c>
      <c r="N216" s="1190"/>
    </row>
    <row r="217" spans="1:14" s="1086" customFormat="1" ht="25.15" hidden="1" customHeight="1">
      <c r="A217" s="1156">
        <f t="shared" si="10"/>
        <v>0</v>
      </c>
      <c r="B217" s="1334" t="str">
        <f>IF(chitiet!G5=1,"MDAP1",IF(chitiet!G5=2,"MDAP2",IF(chitiet!G5=3,"MDAP3",IF(chitiet!G5=4,"MDAP4"))))</f>
        <v>MDAP3</v>
      </c>
      <c r="C217" s="1334"/>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4383</v>
      </c>
      <c r="N217" s="1190"/>
    </row>
    <row r="218" spans="1:14" s="1086" customFormat="1" ht="25.15" hidden="1" customHeight="1">
      <c r="A218" s="1156">
        <f t="shared" si="10"/>
        <v>0</v>
      </c>
      <c r="B218" s="1327"/>
      <c r="C218" s="1327"/>
      <c r="D218" s="1081">
        <f>IF(H218&gt;0,D212+1,D212)</f>
        <v>0</v>
      </c>
      <c r="E218" s="1188"/>
      <c r="F218" s="1200" t="s">
        <v>3696</v>
      </c>
      <c r="G218" s="1169" t="s">
        <v>2394</v>
      </c>
      <c r="H218" s="1867">
        <f>SUM(H197:H197)</f>
        <v>0</v>
      </c>
      <c r="I218" s="1262">
        <f t="shared" si="11"/>
        <v>0</v>
      </c>
      <c r="J218" s="1111"/>
      <c r="K218" s="1111"/>
      <c r="L218" s="1085"/>
      <c r="M218" s="977" t="s">
        <v>4383</v>
      </c>
    </row>
    <row r="219" spans="1:14" s="1086" customFormat="1" ht="25.15" hidden="1" customHeight="1">
      <c r="A219" s="1156">
        <f>IF(A218&gt;0,1,0)</f>
        <v>0</v>
      </c>
      <c r="B219" s="1327"/>
      <c r="C219" s="1327"/>
      <c r="D219" s="1169"/>
      <c r="E219" s="1188"/>
      <c r="F219" s="1368" t="s">
        <v>2287</v>
      </c>
      <c r="G219" s="1113"/>
      <c r="H219" s="1170"/>
      <c r="I219" s="1262">
        <f t="shared" si="11"/>
        <v>0</v>
      </c>
      <c r="J219" s="1111"/>
      <c r="K219" s="1111"/>
      <c r="L219" s="1085"/>
      <c r="M219" s="977" t="s">
        <v>4383</v>
      </c>
    </row>
    <row r="220" spans="1:14" s="1086" customFormat="1" ht="25.15" hidden="1" customHeight="1">
      <c r="A220" s="1156">
        <f t="shared" si="10"/>
        <v>0</v>
      </c>
      <c r="B220" s="1327" t="s">
        <v>991</v>
      </c>
      <c r="C220" s="1327"/>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4383</v>
      </c>
    </row>
    <row r="221" spans="1:14" s="1086" customFormat="1" ht="25.15" hidden="1" customHeight="1">
      <c r="A221" s="1156">
        <f t="shared" ref="A221:A282" si="16">IF(I221&gt;0,1,0)</f>
        <v>0</v>
      </c>
      <c r="B221" s="1327" t="s">
        <v>1615</v>
      </c>
      <c r="C221" s="1327"/>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4383</v>
      </c>
    </row>
    <row r="222" spans="1:14" s="1086" customFormat="1" ht="25.15" hidden="1" customHeight="1">
      <c r="A222" s="1156">
        <f t="shared" si="16"/>
        <v>0</v>
      </c>
      <c r="B222" s="1327" t="s">
        <v>703</v>
      </c>
      <c r="C222" s="1327"/>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4383</v>
      </c>
    </row>
    <row r="223" spans="1:14" s="1086" customFormat="1" ht="25.15" hidden="1" customHeight="1">
      <c r="A223" s="1156">
        <f t="shared" si="16"/>
        <v>0</v>
      </c>
      <c r="B223" s="1327"/>
      <c r="C223" s="1327"/>
      <c r="D223" s="1169">
        <f>IF(H223&gt;0,D218+1,D218)</f>
        <v>0</v>
      </c>
      <c r="E223" s="1188"/>
      <c r="F223" s="1200" t="s">
        <v>3697</v>
      </c>
      <c r="G223" s="1169" t="s">
        <v>2394</v>
      </c>
      <c r="H223" s="1867">
        <f>H218</f>
        <v>0</v>
      </c>
      <c r="I223" s="1262">
        <f t="shared" si="11"/>
        <v>0</v>
      </c>
      <c r="J223" s="1111"/>
      <c r="K223" s="1111"/>
      <c r="L223" s="1085"/>
      <c r="M223" s="977" t="s">
        <v>4383</v>
      </c>
    </row>
    <row r="224" spans="1:14" s="1086" customFormat="1" ht="25.15" hidden="1" customHeight="1">
      <c r="A224" s="1156">
        <f>IF(A223&gt;0,1,0)</f>
        <v>0</v>
      </c>
      <c r="B224" s="1327"/>
      <c r="C224" s="1327"/>
      <c r="D224" s="1113"/>
      <c r="E224" s="1191"/>
      <c r="F224" s="1368" t="s">
        <v>2287</v>
      </c>
      <c r="G224" s="1113"/>
      <c r="H224" s="1170"/>
      <c r="I224" s="1262">
        <f t="shared" si="11"/>
        <v>0</v>
      </c>
      <c r="J224" s="1111"/>
      <c r="K224" s="1111"/>
      <c r="L224" s="1085"/>
      <c r="M224" s="977" t="s">
        <v>4383</v>
      </c>
    </row>
    <row r="225" spans="1:13" s="1086" customFormat="1" ht="25.15" hidden="1" customHeight="1">
      <c r="A225" s="1156">
        <f t="shared" si="16"/>
        <v>0</v>
      </c>
      <c r="B225" s="1327" t="s">
        <v>1035</v>
      </c>
      <c r="C225" s="1327"/>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4383</v>
      </c>
    </row>
    <row r="226" spans="1:13" s="1086" customFormat="1" ht="25.15" hidden="1" customHeight="1">
      <c r="A226" s="1156">
        <f t="shared" si="16"/>
        <v>0</v>
      </c>
      <c r="B226" s="1157" t="s">
        <v>1513</v>
      </c>
      <c r="C226" s="1157"/>
      <c r="D226" s="1113"/>
      <c r="E226" s="1082">
        <f>VLOOKUP($B226,DG!A:D,DG!$B$2,)</f>
        <v>0</v>
      </c>
      <c r="F226" s="1083" t="str">
        <f>VLOOKUP($B226,DG!A:D,DG!$C$2,)</f>
        <v>Cọc tiếp đất Þ 16- 2,4m + kẹp cọc mạ đồng</v>
      </c>
      <c r="G226" s="1082" t="str">
        <f>VLOOKUP($B226,DG!A:D,DG!$D$2,)</f>
        <v>bộ</v>
      </c>
      <c r="H226" s="1170">
        <f>12*H223</f>
        <v>0</v>
      </c>
      <c r="I226" s="1262">
        <f t="shared" si="17"/>
        <v>0</v>
      </c>
      <c r="J226" s="1111"/>
      <c r="K226" s="1111"/>
      <c r="L226" s="1085"/>
      <c r="M226" s="977" t="s">
        <v>4383</v>
      </c>
    </row>
    <row r="227" spans="1:13" s="1086" customFormat="1" ht="25.15" hidden="1" customHeight="1">
      <c r="A227" s="1156">
        <f t="shared" si="16"/>
        <v>0</v>
      </c>
      <c r="B227" s="1347" t="s">
        <v>2014</v>
      </c>
      <c r="C227" s="1347"/>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4383</v>
      </c>
    </row>
    <row r="228" spans="1:13" s="1086" customFormat="1" ht="25.15" hidden="1" customHeight="1">
      <c r="A228" s="1156">
        <f t="shared" si="16"/>
        <v>0</v>
      </c>
      <c r="B228" s="1332" t="s">
        <v>907</v>
      </c>
      <c r="C228" s="1332"/>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4383</v>
      </c>
    </row>
    <row r="229" spans="1:13" s="1086" customFormat="1" ht="25.15" hidden="1" customHeight="1">
      <c r="A229" s="1156">
        <f t="shared" si="16"/>
        <v>0</v>
      </c>
      <c r="B229" s="1332" t="s">
        <v>818</v>
      </c>
      <c r="C229" s="1332"/>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4383</v>
      </c>
    </row>
    <row r="230" spans="1:13" s="1086" customFormat="1" ht="25.15" hidden="1" customHeight="1">
      <c r="A230" s="1156">
        <f t="shared" si="16"/>
        <v>0</v>
      </c>
      <c r="B230" s="1332" t="s">
        <v>1308</v>
      </c>
      <c r="C230" s="1332"/>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4383</v>
      </c>
    </row>
    <row r="231" spans="1:13" s="1086" customFormat="1" ht="25.15" hidden="1" customHeight="1">
      <c r="A231" s="1156">
        <f t="shared" si="16"/>
        <v>0</v>
      </c>
      <c r="B231" s="1332" t="s">
        <v>1307</v>
      </c>
      <c r="C231" s="1332"/>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4383</v>
      </c>
    </row>
    <row r="232" spans="1:13" s="1086" customFormat="1" ht="25.15"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4383</v>
      </c>
    </row>
    <row r="233" spans="1:13" s="1086" customFormat="1" ht="25.15" hidden="1" customHeight="1">
      <c r="A233" s="1156">
        <f t="shared" si="16"/>
        <v>0</v>
      </c>
      <c r="B233" s="1157" t="s">
        <v>1355</v>
      </c>
      <c r="C233" s="1157"/>
      <c r="D233" s="1081"/>
      <c r="E233" s="1082">
        <f>VLOOKUP($B233,DG!A:D,DG!$B$2,)</f>
        <v>0</v>
      </c>
      <c r="F233" s="1083" t="s">
        <v>823</v>
      </c>
      <c r="G233" s="1082" t="str">
        <f>VLOOKUP($B233,DG!A:D,DG!$D$2,)</f>
        <v>bộ</v>
      </c>
      <c r="H233" s="1873">
        <f>+H223*10</f>
        <v>0</v>
      </c>
      <c r="I233" s="1262">
        <f t="shared" si="17"/>
        <v>0</v>
      </c>
      <c r="J233" s="1084"/>
      <c r="K233" s="1084"/>
      <c r="L233" s="1085"/>
      <c r="M233" s="977" t="s">
        <v>4383</v>
      </c>
    </row>
    <row r="234" spans="1:13" s="1086" customFormat="1" ht="25.15" hidden="1" customHeight="1">
      <c r="A234" s="1156">
        <f t="shared" si="16"/>
        <v>0</v>
      </c>
      <c r="B234" s="1332" t="s">
        <v>2191</v>
      </c>
      <c r="C234" s="1332"/>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4383</v>
      </c>
    </row>
    <row r="235" spans="1:13" s="1086" customFormat="1" ht="25.15"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4383</v>
      </c>
    </row>
    <row r="236" spans="1:13" s="1086" customFormat="1" ht="25.15" hidden="1" customHeight="1">
      <c r="A236" s="1156">
        <f t="shared" si="16"/>
        <v>0</v>
      </c>
      <c r="B236" s="1332" t="str">
        <f>"dtd"&amp;chitiet!G5</f>
        <v>dtd3</v>
      </c>
      <c r="C236" s="1332"/>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4383</v>
      </c>
    </row>
    <row r="237" spans="1:13" s="1086" customFormat="1" ht="25.15" hidden="1" customHeight="1">
      <c r="A237" s="1156">
        <f t="shared" si="16"/>
        <v>0</v>
      </c>
      <c r="B237" s="1157" t="str">
        <f>"datd"&amp;chitiet!G5</f>
        <v>datd3</v>
      </c>
      <c r="C237" s="1157"/>
      <c r="D237" s="1113"/>
      <c r="E237" s="1082" t="str">
        <f>VLOOKUP($B237,DG!A:D,DG!$B$2,)</f>
        <v>03.4123</v>
      </c>
      <c r="F237" s="1083" t="str">
        <f>VLOOKUP($B237,DG!A:D,DG!$C$2,)</f>
        <v>Đắp đất rãnh tiếp độ chặt k=0,85</v>
      </c>
      <c r="G237" s="1082" t="str">
        <f>VLOOKUP($B237,DG!A:D,DG!$D$2,)</f>
        <v>m3</v>
      </c>
      <c r="H237" s="1170">
        <f>+H236</f>
        <v>0</v>
      </c>
      <c r="I237" s="1262">
        <f t="shared" si="17"/>
        <v>0</v>
      </c>
      <c r="J237" s="1111"/>
      <c r="K237" s="1111"/>
      <c r="L237" s="1085"/>
      <c r="M237" s="977" t="s">
        <v>4383</v>
      </c>
    </row>
    <row r="238" spans="1:13" s="1086" customFormat="1" ht="25.15" hidden="1" customHeight="1">
      <c r="A238" s="1156">
        <f t="shared" si="16"/>
        <v>0</v>
      </c>
      <c r="B238" s="1332"/>
      <c r="C238" s="1332"/>
      <c r="D238" s="1169">
        <f>IF(H238&gt;0,D223+1,D223)</f>
        <v>0</v>
      </c>
      <c r="E238" s="1082"/>
      <c r="F238" s="1189" t="s">
        <v>3704</v>
      </c>
      <c r="G238" s="1169" t="s">
        <v>2394</v>
      </c>
      <c r="H238" s="1867">
        <f>H218</f>
        <v>0</v>
      </c>
      <c r="I238" s="1262">
        <f t="shared" si="17"/>
        <v>0</v>
      </c>
      <c r="J238" s="1111"/>
      <c r="K238" s="1111"/>
      <c r="L238" s="1085"/>
      <c r="M238" s="977" t="s">
        <v>4383</v>
      </c>
    </row>
    <row r="239" spans="1:13" s="1086" customFormat="1" ht="25.15" hidden="1" customHeight="1">
      <c r="A239" s="1156">
        <f>IF(A238&gt;0,1,0)</f>
        <v>0</v>
      </c>
      <c r="B239" s="1332"/>
      <c r="C239" s="1332"/>
      <c r="D239" s="1169"/>
      <c r="E239" s="1082"/>
      <c r="F239" s="1368" t="s">
        <v>2287</v>
      </c>
      <c r="G239" s="1113"/>
      <c r="H239" s="1170"/>
      <c r="I239" s="1262">
        <f t="shared" si="17"/>
        <v>0</v>
      </c>
      <c r="J239" s="1111"/>
      <c r="K239" s="1111"/>
      <c r="L239" s="1085"/>
      <c r="M239" s="977" t="s">
        <v>4383</v>
      </c>
    </row>
    <row r="240" spans="1:13" s="1086" customFormat="1" ht="25.15" hidden="1" customHeight="1">
      <c r="A240" s="1156">
        <f t="shared" si="16"/>
        <v>0</v>
      </c>
      <c r="B240" s="1334" t="s">
        <v>616</v>
      </c>
      <c r="C240" s="1334"/>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4383</v>
      </c>
    </row>
    <row r="241" spans="1:13" s="1086" customFormat="1" ht="25.15" hidden="1" customHeight="1">
      <c r="A241" s="1156">
        <f t="shared" si="16"/>
        <v>0</v>
      </c>
      <c r="B241" s="1332" t="s">
        <v>881</v>
      </c>
      <c r="C241" s="1332"/>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4383</v>
      </c>
    </row>
    <row r="242" spans="1:13" s="1086" customFormat="1" ht="25.15" hidden="1" customHeight="1">
      <c r="A242" s="1156">
        <f t="shared" si="16"/>
        <v>0</v>
      </c>
      <c r="B242" s="1332" t="s">
        <v>882</v>
      </c>
      <c r="C242" s="1332"/>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4383</v>
      </c>
    </row>
    <row r="243" spans="1:13" s="1086" customFormat="1" ht="25.15" hidden="1" customHeight="1">
      <c r="A243" s="1156">
        <f t="shared" si="16"/>
        <v>0</v>
      </c>
      <c r="B243" s="1332"/>
      <c r="C243" s="1332"/>
      <c r="D243" s="1169">
        <f>IF(H243&gt;0,D238+1,D238)</f>
        <v>0</v>
      </c>
      <c r="E243" s="1082"/>
      <c r="F243" s="1200" t="s">
        <v>3699</v>
      </c>
      <c r="G243" s="1169" t="s">
        <v>2394</v>
      </c>
      <c r="H243" s="1867">
        <f>H238</f>
        <v>0</v>
      </c>
      <c r="I243" s="1262">
        <f t="shared" si="17"/>
        <v>0</v>
      </c>
      <c r="J243" s="1111"/>
      <c r="K243" s="1111"/>
      <c r="L243" s="1085"/>
      <c r="M243" s="977" t="s">
        <v>4383</v>
      </c>
    </row>
    <row r="244" spans="1:13" s="1086" customFormat="1" ht="25.15" hidden="1" customHeight="1">
      <c r="A244" s="1156">
        <f>IF(A243&gt;0,1,0)</f>
        <v>0</v>
      </c>
      <c r="B244" s="1332"/>
      <c r="C244" s="1332"/>
      <c r="D244" s="1169"/>
      <c r="E244" s="1082"/>
      <c r="F244" s="1368" t="s">
        <v>2287</v>
      </c>
      <c r="G244" s="1113"/>
      <c r="H244" s="1170"/>
      <c r="I244" s="1262">
        <f t="shared" si="17"/>
        <v>0</v>
      </c>
      <c r="J244" s="1111"/>
      <c r="K244" s="1111"/>
      <c r="L244" s="1085"/>
      <c r="M244" s="977" t="s">
        <v>4383</v>
      </c>
    </row>
    <row r="245" spans="1:13" s="1086" customFormat="1" ht="25.15" hidden="1" customHeight="1">
      <c r="A245" s="1156">
        <f t="shared" si="16"/>
        <v>0</v>
      </c>
      <c r="B245" s="1330" t="s">
        <v>4482</v>
      </c>
      <c r="C245" s="1330"/>
      <c r="D245" s="1113"/>
      <c r="E245" s="1082">
        <f>VLOOKUP($B245,DG!A:D,DG!$B$2,)</f>
        <v>0</v>
      </c>
      <c r="F245" s="1083" t="str">
        <f>VLOOKUP($B245,DG!A:D,DG!$C$2,)</f>
        <v>Cáp 24KV CX-25mm2</v>
      </c>
      <c r="G245" s="1082" t="str">
        <f>VLOOKUP($B245,DG!A:D,DG!$D$2,)</f>
        <v>mét</v>
      </c>
      <c r="H245" s="1170">
        <f>3*H243</f>
        <v>0</v>
      </c>
      <c r="I245" s="1262">
        <f t="shared" si="17"/>
        <v>0</v>
      </c>
      <c r="J245" s="1111"/>
      <c r="K245" s="1111"/>
      <c r="L245" s="1085"/>
      <c r="M245" s="977" t="s">
        <v>4383</v>
      </c>
    </row>
    <row r="246" spans="1:13" s="1086" customFormat="1" ht="25.15"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4383</v>
      </c>
    </row>
    <row r="247" spans="1:13" s="1086" customFormat="1" ht="25.15"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4383</v>
      </c>
    </row>
    <row r="248" spans="1:13" s="1086" customFormat="1" ht="25.15"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4383</v>
      </c>
    </row>
    <row r="249" spans="1:13" s="1086" customFormat="1" ht="25.15" hidden="1" customHeight="1">
      <c r="A249" s="1156">
        <f t="shared" si="16"/>
        <v>0</v>
      </c>
      <c r="B249" s="1327"/>
      <c r="C249" s="1327"/>
      <c r="D249" s="1169">
        <f>IF(H249&gt;0,D243+1,D243)</f>
        <v>0</v>
      </c>
      <c r="E249" s="1082"/>
      <c r="F249" s="1189" t="s">
        <v>3705</v>
      </c>
      <c r="G249" s="1169" t="s">
        <v>2394</v>
      </c>
      <c r="H249" s="1867">
        <f>H197</f>
        <v>0</v>
      </c>
      <c r="I249" s="1262">
        <f t="shared" si="17"/>
        <v>0</v>
      </c>
      <c r="J249" s="1111"/>
      <c r="K249" s="1111"/>
      <c r="L249" s="1085"/>
      <c r="M249" s="977" t="s">
        <v>4383</v>
      </c>
    </row>
    <row r="250" spans="1:13" s="1086" customFormat="1" ht="25.15" hidden="1" customHeight="1">
      <c r="A250" s="1156">
        <f>IF(A249&gt;0,1,0)</f>
        <v>0</v>
      </c>
      <c r="B250" s="1327"/>
      <c r="C250" s="1327"/>
      <c r="D250" s="1169"/>
      <c r="E250" s="1082"/>
      <c r="F250" s="1367" t="s">
        <v>2287</v>
      </c>
      <c r="G250" s="1169"/>
      <c r="H250" s="1867"/>
      <c r="I250" s="1262">
        <f t="shared" si="17"/>
        <v>0</v>
      </c>
      <c r="J250" s="1111"/>
      <c r="K250" s="1111"/>
      <c r="L250" s="1085"/>
      <c r="M250" s="977" t="s">
        <v>4383</v>
      </c>
    </row>
    <row r="251" spans="1:13" s="1086" customFormat="1" ht="25.15" hidden="1" customHeight="1">
      <c r="A251" s="1156">
        <f t="shared" si="16"/>
        <v>0</v>
      </c>
      <c r="B251" s="1327" t="s">
        <v>237</v>
      </c>
      <c r="C251" s="1327"/>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4383</v>
      </c>
    </row>
    <row r="252" spans="1:13" s="1086" customFormat="1" ht="25.15" hidden="1" customHeight="1">
      <c r="A252" s="1156">
        <f t="shared" si="16"/>
        <v>0</v>
      </c>
      <c r="B252" s="1327" t="s">
        <v>82</v>
      </c>
      <c r="C252" s="1327"/>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4383</v>
      </c>
    </row>
    <row r="253" spans="1:13" s="1086" customFormat="1" ht="25.15" hidden="1" customHeight="1">
      <c r="A253" s="1156">
        <f t="shared" si="16"/>
        <v>0</v>
      </c>
      <c r="B253" s="1327" t="s">
        <v>1071</v>
      </c>
      <c r="C253" s="1327"/>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4383</v>
      </c>
    </row>
    <row r="254" spans="1:13" s="1086" customFormat="1" ht="25.15" hidden="1" customHeight="1">
      <c r="A254" s="1156">
        <f t="shared" si="16"/>
        <v>0</v>
      </c>
      <c r="B254" s="1332" t="s">
        <v>1308</v>
      </c>
      <c r="C254" s="1332"/>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4383</v>
      </c>
    </row>
    <row r="255" spans="1:13" s="1086" customFormat="1" ht="25.15" hidden="1" customHeight="1">
      <c r="A255" s="1156">
        <f t="shared" si="16"/>
        <v>0</v>
      </c>
      <c r="B255" s="1332" t="s">
        <v>1307</v>
      </c>
      <c r="C255" s="1332"/>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4383</v>
      </c>
    </row>
    <row r="256" spans="1:13" s="1086" customFormat="1" ht="25.15" hidden="1" customHeight="1">
      <c r="A256" s="1156">
        <f t="shared" si="16"/>
        <v>0</v>
      </c>
      <c r="B256" s="1348" t="s">
        <v>611</v>
      </c>
      <c r="C256" s="1348"/>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4383</v>
      </c>
    </row>
    <row r="257" spans="1:13" s="1086" customFormat="1" ht="25.15" hidden="1" customHeight="1">
      <c r="A257" s="1156">
        <f t="shared" si="16"/>
        <v>0</v>
      </c>
      <c r="B257" s="1348" t="s">
        <v>2159</v>
      </c>
      <c r="C257" s="1348"/>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4383</v>
      </c>
    </row>
    <row r="258" spans="1:13" s="1086" customFormat="1" ht="25.15" hidden="1" customHeight="1">
      <c r="A258" s="1156">
        <f t="shared" si="16"/>
        <v>0</v>
      </c>
      <c r="B258" s="1332" t="s">
        <v>282</v>
      </c>
      <c r="C258" s="1332"/>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4383</v>
      </c>
    </row>
    <row r="259" spans="1:13" s="1086" customFormat="1" ht="25.15"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4383</v>
      </c>
    </row>
    <row r="260" spans="1:13" s="1086" customFormat="1" ht="25.15" hidden="1" customHeight="1">
      <c r="A260" s="1156">
        <f t="shared" si="16"/>
        <v>0</v>
      </c>
      <c r="B260" s="1332" t="s">
        <v>283</v>
      </c>
      <c r="C260" s="1332"/>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4383</v>
      </c>
    </row>
    <row r="261" spans="1:13" s="1086" customFormat="1" ht="25.15" hidden="1" customHeight="1">
      <c r="A261" s="1156">
        <f t="shared" si="16"/>
        <v>0</v>
      </c>
      <c r="B261" s="1332" t="s">
        <v>727</v>
      </c>
      <c r="C261" s="1332"/>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4383</v>
      </c>
    </row>
    <row r="262" spans="1:13" s="1086" customFormat="1" ht="25.15" hidden="1" customHeight="1">
      <c r="A262" s="1156">
        <f t="shared" si="16"/>
        <v>0</v>
      </c>
      <c r="B262" s="1332" t="s">
        <v>2082</v>
      </c>
      <c r="C262" s="1332"/>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4383</v>
      </c>
    </row>
    <row r="263" spans="1:13" s="1086" customFormat="1" ht="25.15" hidden="1" customHeight="1">
      <c r="A263" s="1156">
        <f t="shared" si="16"/>
        <v>0</v>
      </c>
      <c r="B263" s="1332" t="s">
        <v>489</v>
      </c>
      <c r="C263" s="1332"/>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4383</v>
      </c>
    </row>
    <row r="264" spans="1:13" s="1086" customFormat="1" ht="25.15"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4383</v>
      </c>
    </row>
    <row r="265" spans="1:13" s="1086" customFormat="1" ht="25.15" hidden="1" customHeight="1">
      <c r="A265" s="1156">
        <f t="shared" si="16"/>
        <v>0</v>
      </c>
      <c r="B265" s="1332" t="s">
        <v>2190</v>
      </c>
      <c r="C265" s="1332"/>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4383</v>
      </c>
    </row>
    <row r="266" spans="1:13" s="1086" customFormat="1" ht="25.15"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4383</v>
      </c>
    </row>
    <row r="267" spans="1:13" s="1086" customFormat="1" ht="25.15" hidden="1" customHeight="1">
      <c r="A267" s="1156">
        <f t="shared" si="16"/>
        <v>0</v>
      </c>
      <c r="B267" s="1332" t="s">
        <v>289</v>
      </c>
      <c r="C267" s="1332"/>
      <c r="D267" s="1173">
        <f>IF(H267&gt;0,D249+1,D249)</f>
        <v>0</v>
      </c>
      <c r="E267" s="1082" t="str">
        <f>VLOOKUP($B267,DG!A:D,DG!$B$2,)</f>
        <v>06.3191</v>
      </c>
      <c r="F267" s="1083" t="str">
        <f>VLOOKUP($B267,DG!A:D,DG!$C$2,)</f>
        <v>Bảng tên trạm, bảng báo nguy hiểm + đinh vít</v>
      </c>
      <c r="G267" s="1082" t="str">
        <f>VLOOKUP($B267,DG!A:D,DG!$D$2,)</f>
        <v>bộ</v>
      </c>
      <c r="H267" s="1868">
        <f>H218</f>
        <v>0</v>
      </c>
      <c r="I267" s="1262">
        <f t="shared" si="17"/>
        <v>0</v>
      </c>
      <c r="J267" s="1111"/>
      <c r="K267" s="1111"/>
      <c r="L267" s="1101"/>
      <c r="M267" s="977" t="s">
        <v>4383</v>
      </c>
    </row>
    <row r="268" spans="1:13" s="1086" customFormat="1" ht="25.15" hidden="1" customHeight="1">
      <c r="A268" s="1156">
        <f t="shared" si="16"/>
        <v>0</v>
      </c>
      <c r="B268" s="1327"/>
      <c r="C268" s="1327"/>
      <c r="D268" s="1193"/>
      <c r="E268" s="1194"/>
      <c r="F268" s="1072"/>
      <c r="G268" s="1195"/>
      <c r="H268" s="1869"/>
      <c r="I268" s="1262">
        <f t="shared" si="17"/>
        <v>0</v>
      </c>
      <c r="J268" s="1196"/>
      <c r="K268" s="1197"/>
      <c r="L268" s="1139"/>
      <c r="M268" s="977"/>
    </row>
    <row r="269" spans="1:13" s="1086" customFormat="1" ht="25.15" hidden="1" customHeight="1">
      <c r="A269" s="1156">
        <f t="shared" si="16"/>
        <v>0</v>
      </c>
      <c r="B269" s="1322"/>
      <c r="C269" s="1322"/>
      <c r="D269" s="1164"/>
      <c r="E269" s="977"/>
      <c r="H269" s="1902"/>
      <c r="I269" s="1262">
        <f t="shared" si="17"/>
        <v>0</v>
      </c>
      <c r="M269" s="977"/>
    </row>
    <row r="270" spans="1:13" s="1086" customFormat="1" ht="25.15" hidden="1" customHeight="1">
      <c r="A270" s="1156">
        <f t="shared" si="16"/>
        <v>0</v>
      </c>
      <c r="B270" s="1322"/>
      <c r="C270" s="1322"/>
      <c r="D270" s="1137" t="str">
        <f>"BAÛNG TOÅNG HÔÏP VAÄT LIEÄU, NHAÂN COÂNG, MAÙY THI COÂNG : "&amp;I9&amp;" TRAÏM 1P50KVA"</f>
        <v>BAÛNG TOÅNG HÔÏP VAÄT LIEÄU, NHAÂN COÂNG, MAÙY THI COÂNG :  TRAÏM 1P50KVA</v>
      </c>
      <c r="E270" s="1198"/>
      <c r="F270" s="1103"/>
      <c r="G270" s="1103"/>
      <c r="H270" s="1870"/>
      <c r="I270" s="1262">
        <f t="shared" si="17"/>
        <v>0</v>
      </c>
      <c r="J270" s="1103"/>
      <c r="K270" s="1103"/>
      <c r="L270" s="977"/>
      <c r="M270" s="977"/>
    </row>
    <row r="271" spans="1:13" s="1086" customFormat="1" ht="25.15" hidden="1" customHeight="1">
      <c r="A271" s="1156">
        <f t="shared" si="16"/>
        <v>0</v>
      </c>
      <c r="B271" s="1327"/>
      <c r="C271" s="1327"/>
      <c r="D271" s="1159"/>
      <c r="E271" s="1160"/>
      <c r="F271" s="1072" t="s">
        <v>3706</v>
      </c>
      <c r="G271" s="1162"/>
      <c r="H271" s="1865"/>
      <c r="I271" s="1262">
        <f t="shared" si="17"/>
        <v>0</v>
      </c>
      <c r="J271" s="1162"/>
      <c r="K271" s="1162"/>
      <c r="L271" s="1139"/>
      <c r="M271" s="977">
        <v>50</v>
      </c>
    </row>
    <row r="272" spans="1:13" s="1086" customFormat="1" ht="25.15" hidden="1" customHeight="1">
      <c r="A272" s="1156">
        <f t="shared" si="16"/>
        <v>0</v>
      </c>
      <c r="B272" s="1328" t="s">
        <v>1214</v>
      </c>
      <c r="C272" s="1328"/>
      <c r="D272" s="1093">
        <f>IF(H272&gt;0,1,0)</f>
        <v>0</v>
      </c>
      <c r="E272" s="1082" t="str">
        <f>VLOOKUP($B272,DG!A:D,DG!$B$2,)</f>
        <v>01.1162</v>
      </c>
      <c r="F272" s="1083" t="str">
        <f>VLOOKUP($B272,DG!A:D,DG!$C$2,)</f>
        <v>Máy biến áp 12,7/0,23-0,46kV 50kVA</v>
      </c>
      <c r="G272" s="1082" t="str">
        <f>VLOOKUP($B272,DG!A:D,DG!$D$2,)</f>
        <v>máy</v>
      </c>
      <c r="H272" s="1871">
        <f>I9</f>
        <v>0</v>
      </c>
      <c r="I272" s="1262">
        <f t="shared" si="17"/>
        <v>0</v>
      </c>
      <c r="J272" s="1111"/>
      <c r="K272" s="1111"/>
      <c r="L272" s="1085"/>
      <c r="M272" s="977">
        <v>50</v>
      </c>
    </row>
    <row r="273" spans="1:13" s="1086" customFormat="1" ht="25.15" hidden="1" customHeight="1">
      <c r="A273" s="1156">
        <f t="shared" si="16"/>
        <v>0</v>
      </c>
      <c r="B273" s="1328" t="s">
        <v>1657</v>
      </c>
      <c r="C273" s="1328"/>
      <c r="D273" s="1093">
        <f t="shared" ref="D273:D279" si="18">IF(H273&gt;0,D272+1,D272)</f>
        <v>0</v>
      </c>
      <c r="E273" s="1082" t="str">
        <f>VLOOKUP($B273,DG!A:D,DG!$B$2,)</f>
        <v>02.3155</v>
      </c>
      <c r="F273" s="1083" t="str">
        <f>VLOOKUP($B273,DG!A:D,DG!$C$2,)</f>
        <v>FCO 27kV - 100A</v>
      </c>
      <c r="G273" s="1082" t="str">
        <f>VLOOKUP($B273,DG!A:D,DG!$D$2,)</f>
        <v>cái</v>
      </c>
      <c r="H273" s="1170">
        <f>+H272</f>
        <v>0</v>
      </c>
      <c r="I273" s="1262">
        <f t="shared" si="17"/>
        <v>0</v>
      </c>
      <c r="J273" s="1111"/>
      <c r="K273" s="1111"/>
      <c r="L273" s="1085"/>
      <c r="M273" s="977">
        <v>50</v>
      </c>
    </row>
    <row r="274" spans="1:13" s="1086" customFormat="1" ht="25.15" hidden="1" customHeight="1">
      <c r="A274" s="1156">
        <f t="shared" si="16"/>
        <v>0</v>
      </c>
      <c r="B274" s="1328" t="s">
        <v>26</v>
      </c>
      <c r="C274" s="1328"/>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15" hidden="1" customHeight="1">
      <c r="A275" s="1156">
        <f t="shared" si="16"/>
        <v>0</v>
      </c>
      <c r="B275" s="1322" t="s">
        <v>1378</v>
      </c>
      <c r="C275" s="1322"/>
      <c r="D275" s="1093">
        <f t="shared" si="18"/>
        <v>0</v>
      </c>
      <c r="E275" s="1082" t="str">
        <f>VLOOKUP($B275,DG!A:D,DG!$B$2,)</f>
        <v>02.5114</v>
      </c>
      <c r="F275" s="1083" t="str">
        <f>VLOOKUP($B275,DG!A:D,DG!$C$2,)</f>
        <v>Chống sét van LA-18KV-10KA</v>
      </c>
      <c r="G275" s="1082" t="str">
        <f>VLOOKUP($B275,DG!A:D,DG!$D$2,)</f>
        <v>cái</v>
      </c>
      <c r="H275" s="1170">
        <f>H273</f>
        <v>0</v>
      </c>
      <c r="I275" s="1262">
        <f t="shared" si="17"/>
        <v>0</v>
      </c>
      <c r="J275" s="1111"/>
      <c r="K275" s="1111"/>
      <c r="L275" s="1085"/>
      <c r="M275" s="977">
        <v>50</v>
      </c>
    </row>
    <row r="276" spans="1:13" s="1086" customFormat="1" ht="25.15" hidden="1" customHeight="1">
      <c r="A276" s="1156">
        <f t="shared" si="16"/>
        <v>0</v>
      </c>
      <c r="B276" s="1329" t="s">
        <v>1565</v>
      </c>
      <c r="C276" s="1329"/>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15" hidden="1" customHeight="1">
      <c r="A277" s="1156">
        <f t="shared" si="16"/>
        <v>0</v>
      </c>
      <c r="B277" s="1330" t="s">
        <v>1118</v>
      </c>
      <c r="C277" s="1330"/>
      <c r="D277" s="1093">
        <f t="shared" si="18"/>
        <v>1</v>
      </c>
      <c r="E277" s="1082">
        <f>VLOOKUP($B277,DG!A:D,DG!$B$2,)</f>
        <v>0</v>
      </c>
      <c r="F277" s="1083" t="str">
        <f>VLOOKUP($B277,DG!A:D,DG!$C$2,)</f>
        <v xml:space="preserve">Biến dòng 600V - 200/5A </v>
      </c>
      <c r="G277" s="1082" t="str">
        <f>VLOOKUP($B277,DG!A:D,DG!$D$2,)</f>
        <v>cái</v>
      </c>
      <c r="H277" s="1170">
        <v>1</v>
      </c>
      <c r="I277" s="1262">
        <f t="shared" si="17"/>
        <v>0</v>
      </c>
      <c r="J277" s="1111"/>
      <c r="K277" s="1111"/>
      <c r="L277" s="1113" t="s">
        <v>2612</v>
      </c>
      <c r="M277" s="977">
        <v>50</v>
      </c>
    </row>
    <row r="278" spans="1:13" s="1086" customFormat="1" ht="25.15" hidden="1" customHeight="1">
      <c r="A278" s="1156">
        <f t="shared" si="16"/>
        <v>0</v>
      </c>
      <c r="B278" s="1334" t="s">
        <v>287</v>
      </c>
      <c r="C278" s="1334"/>
      <c r="D278" s="1093">
        <f t="shared" si="18"/>
        <v>2</v>
      </c>
      <c r="E278" s="1082">
        <f>VLOOKUP($B278,DG!A:D,DG!$B$2,)</f>
        <v>0</v>
      </c>
      <c r="F278" s="1083" t="str">
        <f>VLOOKUP($B278,DG!A:D,DG!$C$2,)</f>
        <v>Điện kế 1 pha 2 dây 220V-5A</v>
      </c>
      <c r="G278" s="1082" t="str">
        <f>VLOOKUP($B278,DG!A:D,DG!$D$2,)</f>
        <v>cái</v>
      </c>
      <c r="H278" s="2062">
        <f>H277</f>
        <v>1</v>
      </c>
      <c r="I278" s="1262">
        <f t="shared" si="17"/>
        <v>0</v>
      </c>
      <c r="J278" s="1111"/>
      <c r="K278" s="1111"/>
      <c r="L278" s="1113" t="s">
        <v>2612</v>
      </c>
      <c r="M278" s="977">
        <v>50</v>
      </c>
    </row>
    <row r="279" spans="1:13" s="1086" customFormat="1" ht="25.15" hidden="1" customHeight="1">
      <c r="A279" s="1156">
        <f t="shared" si="16"/>
        <v>0</v>
      </c>
      <c r="B279" s="1327" t="s">
        <v>199</v>
      </c>
      <c r="C279" s="1327"/>
      <c r="D279" s="1093">
        <f t="shared" si="18"/>
        <v>2</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15" hidden="1" customHeight="1">
      <c r="A280" s="1156">
        <f t="shared" si="16"/>
        <v>0</v>
      </c>
      <c r="B280" s="1327"/>
      <c r="C280" s="1327"/>
      <c r="D280" s="1110"/>
      <c r="E280" s="1182"/>
      <c r="F280" s="1163" t="s">
        <v>3707</v>
      </c>
      <c r="G280" s="1110"/>
      <c r="H280" s="1205"/>
      <c r="I280" s="1262">
        <f t="shared" si="17"/>
        <v>0</v>
      </c>
      <c r="J280" s="1163"/>
      <c r="K280" s="1110"/>
      <c r="L280" s="1139"/>
      <c r="M280" s="977">
        <v>50</v>
      </c>
    </row>
    <row r="281" spans="1:13" s="1086" customFormat="1" ht="25.15" hidden="1" customHeight="1">
      <c r="A281" s="1156">
        <f t="shared" si="16"/>
        <v>0</v>
      </c>
      <c r="B281" s="1327"/>
      <c r="C281" s="1327"/>
      <c r="D281" s="1159"/>
      <c r="E281" s="1160"/>
      <c r="F281" s="1196" t="s">
        <v>4483</v>
      </c>
      <c r="G281" s="1162"/>
      <c r="H281" s="1865"/>
      <c r="I281" s="1262">
        <f t="shared" si="17"/>
        <v>0</v>
      </c>
      <c r="J281" s="1162"/>
      <c r="K281" s="1162"/>
      <c r="L281" s="1139"/>
      <c r="M281" s="977">
        <v>50</v>
      </c>
    </row>
    <row r="282" spans="1:13" s="1086" customFormat="1" ht="25.15" hidden="1" customHeight="1">
      <c r="A282" s="1156">
        <f t="shared" si="16"/>
        <v>0</v>
      </c>
      <c r="B282" s="1328" t="s">
        <v>1212</v>
      </c>
      <c r="C282" s="1328"/>
      <c r="D282" s="1093">
        <f>IF(H282&gt;0,1,0)</f>
        <v>0</v>
      </c>
      <c r="E282" s="1082" t="str">
        <f>VLOOKUP($B282,DG!A:D,DG!$B$2,)</f>
        <v>01.1161</v>
      </c>
      <c r="F282" s="1083" t="str">
        <f>VLOOKUP($B282,DG!A:D,DG!$C$2,)</f>
        <v>Máy biến áp 12,7/0,22-0,44kV  25kVA</v>
      </c>
      <c r="G282" s="1082" t="str">
        <f>VLOOKUP($B282,DG!A:D,DG!$D$2,)</f>
        <v>máy</v>
      </c>
      <c r="H282" s="1871"/>
      <c r="I282" s="1262">
        <f t="shared" si="17"/>
        <v>0</v>
      </c>
      <c r="J282" s="1111"/>
      <c r="K282" s="1111"/>
      <c r="L282" s="1085"/>
      <c r="M282" s="977">
        <v>50</v>
      </c>
    </row>
    <row r="283" spans="1:13" s="1086" customFormat="1" ht="25.15" hidden="1" customHeight="1">
      <c r="A283" s="1156">
        <f t="shared" ref="A283:A350" si="19">IF(I283&gt;0,1,0)</f>
        <v>0</v>
      </c>
      <c r="B283" s="1328" t="s">
        <v>1213</v>
      </c>
      <c r="C283" s="1328"/>
      <c r="D283" s="1093">
        <f>IF(H283&gt;0,D282+1,D282)</f>
        <v>0</v>
      </c>
      <c r="E283" s="1082" t="str">
        <f>VLOOKUP($B283,DG!A:D,DG!$B$2,)</f>
        <v>01.1412</v>
      </c>
      <c r="F283" s="1083" t="str">
        <f>VLOOKUP($B283,DG!A:D,DG!$C$2,)</f>
        <v>Máy biến áp 12,7/0,22-0,44kV  37,5kVA</v>
      </c>
      <c r="G283" s="1082" t="str">
        <f>VLOOKUP($B283,DG!A:D,DG!$D$2,)</f>
        <v>máy</v>
      </c>
      <c r="H283" s="1871"/>
      <c r="I283" s="1262">
        <f t="shared" si="17"/>
        <v>0</v>
      </c>
      <c r="J283" s="1111"/>
      <c r="K283" s="1111"/>
      <c r="L283" s="1085"/>
      <c r="M283" s="977">
        <v>50</v>
      </c>
    </row>
    <row r="284" spans="1:13" s="1086" customFormat="1" ht="25.15" hidden="1" customHeight="1">
      <c r="A284" s="1156">
        <f t="shared" si="19"/>
        <v>0</v>
      </c>
      <c r="B284" s="1328" t="s">
        <v>1214</v>
      </c>
      <c r="C284" s="1328"/>
      <c r="D284" s="1093">
        <f>IF(H284&gt;0,D283+1,D283)</f>
        <v>0</v>
      </c>
      <c r="E284" s="1082" t="str">
        <f>VLOOKUP($B284,DG!A:D,DG!$B$2,)</f>
        <v>01.1162</v>
      </c>
      <c r="F284" s="1083" t="str">
        <f>VLOOKUP($B284,DG!A:D,DG!$C$2,)</f>
        <v>Máy biến áp 12,7/0,23-0,46kV 50kVA</v>
      </c>
      <c r="G284" s="1082" t="str">
        <f>VLOOKUP($B284,DG!A:D,DG!$D$2,)</f>
        <v>máy</v>
      </c>
      <c r="H284" s="1871"/>
      <c r="I284" s="1262">
        <f t="shared" si="17"/>
        <v>0</v>
      </c>
      <c r="J284" s="1111"/>
      <c r="K284" s="1111"/>
      <c r="L284" s="1085"/>
      <c r="M284" s="977">
        <v>50</v>
      </c>
    </row>
    <row r="285" spans="1:13" s="1086" customFormat="1" ht="25.15" hidden="1" customHeight="1">
      <c r="A285" s="1156">
        <f t="shared" si="19"/>
        <v>0</v>
      </c>
      <c r="B285" s="1328" t="s">
        <v>1215</v>
      </c>
      <c r="C285" s="1328"/>
      <c r="D285" s="1093">
        <f>IF(H285&gt;0,D284+1,D284)</f>
        <v>0</v>
      </c>
      <c r="E285" s="1082" t="str">
        <f>VLOOKUP($B285,DG!A:D,DG!$B$2,)</f>
        <v>01.1163</v>
      </c>
      <c r="F285" s="1083" t="str">
        <f>VLOOKUP($B285,DG!A:D,DG!$C$2,)</f>
        <v>Máy biến áp 12,7/0,23-0,46kV  75kVA</v>
      </c>
      <c r="G285" s="1082" t="str">
        <f>VLOOKUP($B285,DG!A:D,DG!$D$2,)</f>
        <v>máy</v>
      </c>
      <c r="H285" s="1871"/>
      <c r="I285" s="1262">
        <f t="shared" si="17"/>
        <v>0</v>
      </c>
      <c r="J285" s="1111"/>
      <c r="K285" s="1111"/>
      <c r="L285" s="1085"/>
      <c r="M285" s="977">
        <v>50</v>
      </c>
    </row>
    <row r="286" spans="1:13" s="1086" customFormat="1" ht="25.15" hidden="1" customHeight="1">
      <c r="A286" s="1156">
        <f t="shared" si="19"/>
        <v>0</v>
      </c>
      <c r="B286" s="1328" t="s">
        <v>1508</v>
      </c>
      <c r="C286" s="1328"/>
      <c r="D286" s="1093">
        <f>IF(H286&gt;0,D285+1,D285)</f>
        <v>0</v>
      </c>
      <c r="E286" s="1082" t="str">
        <f>VLOOKUP($B286,DG!A:D,DG!$B$2,)</f>
        <v>01.1144</v>
      </c>
      <c r="F286" s="1083" t="str">
        <f>VLOOKUP($B286,DG!A:D,DG!$C$2,)</f>
        <v>Máy biến áp 22/0,4kV  160kVA</v>
      </c>
      <c r="G286" s="1082" t="str">
        <f>VLOOKUP($B286,DG!A:D,DG!$D$2,)</f>
        <v>máy</v>
      </c>
      <c r="H286" s="1871"/>
      <c r="I286" s="1262">
        <f t="shared" si="17"/>
        <v>0</v>
      </c>
      <c r="J286" s="1111"/>
      <c r="K286" s="1111"/>
      <c r="L286" s="1085"/>
      <c r="M286" s="977">
        <v>50</v>
      </c>
    </row>
    <row r="287" spans="1:13" s="1086" customFormat="1" ht="25.15" hidden="1" customHeight="1">
      <c r="A287" s="1156">
        <f t="shared" si="19"/>
        <v>0</v>
      </c>
      <c r="B287" s="1327" t="s">
        <v>1246</v>
      </c>
      <c r="C287" s="1327"/>
      <c r="D287" s="1093">
        <f>IF(H287&gt;0,D286+1,D286)</f>
        <v>0</v>
      </c>
      <c r="E287" s="1082" t="str">
        <f>VLOOKUP($B287,DG!A:D,DG!$B$2,)</f>
        <v>01.1144</v>
      </c>
      <c r="F287" s="1083" t="str">
        <f>VLOOKUP($B287,DG!A:D,DG!$C$2,)</f>
        <v>Máy biến áp 22/0,4kV  180kVA</v>
      </c>
      <c r="G287" s="1082" t="str">
        <f>VLOOKUP($B287,DG!A:D,DG!$D$2,)</f>
        <v>máy</v>
      </c>
      <c r="H287" s="1871"/>
      <c r="I287" s="1262">
        <f t="shared" si="17"/>
        <v>0</v>
      </c>
      <c r="J287" s="1111"/>
      <c r="K287" s="1111"/>
      <c r="L287" s="1085"/>
      <c r="M287" s="977">
        <v>50</v>
      </c>
    </row>
    <row r="288" spans="1:13" s="1086" customFormat="1" ht="25.15" hidden="1" customHeight="1">
      <c r="A288" s="1156">
        <f t="shared" si="19"/>
        <v>0</v>
      </c>
      <c r="B288" s="1327" t="s">
        <v>1378</v>
      </c>
      <c r="C288" s="1327"/>
      <c r="D288" s="1093">
        <f>IF(H288&gt;0,D286+1,D286)</f>
        <v>0</v>
      </c>
      <c r="E288" s="1082" t="str">
        <f>VLOOKUP($B288,DG!A:D,DG!$B$2,)</f>
        <v>02.5114</v>
      </c>
      <c r="F288" s="1083" t="str">
        <f>VLOOKUP($B288,DG!A:D,DG!$C$2,)&amp;" : thuoäc ñieän löïc"</f>
        <v>Chống sét van LA-18KV-10KA : thuoäc ñieän löïc</v>
      </c>
      <c r="G288" s="1082" t="str">
        <f>VLOOKUP($B288,DG!A:D,DG!$D$2,)</f>
        <v>cái</v>
      </c>
      <c r="H288" s="1871"/>
      <c r="I288" s="1262">
        <f t="shared" si="17"/>
        <v>0</v>
      </c>
      <c r="J288" s="1111"/>
      <c r="K288" s="1111"/>
      <c r="L288" s="1101"/>
      <c r="M288" s="977">
        <v>50</v>
      </c>
    </row>
    <row r="289" spans="1:14" s="1086" customFormat="1" ht="25.15" hidden="1" customHeight="1">
      <c r="A289" s="1156">
        <f t="shared" si="19"/>
        <v>0</v>
      </c>
      <c r="B289" s="1327" t="s">
        <v>1378</v>
      </c>
      <c r="C289" s="1327"/>
      <c r="D289" s="1093">
        <f>IF(H289&gt;0,D287+1,D287)</f>
        <v>0</v>
      </c>
      <c r="E289" s="1082" t="str">
        <f>VLOOKUP($B289,DG!A:D,DG!$B$2,)</f>
        <v>02.5114</v>
      </c>
      <c r="F289" s="1083" t="str">
        <f>VLOOKUP($B289,DG!A:D,DG!$C$2,)&amp;" : thuoäc khaùch haøng"</f>
        <v>Chống sét van LA-18KV-10KA : thuoäc khaùch haøng</v>
      </c>
      <c r="G289" s="1082" t="str">
        <f>VLOOKUP($B289,DG!A:D,DG!$D$2,)</f>
        <v>cái</v>
      </c>
      <c r="H289" s="1871"/>
      <c r="I289" s="1262">
        <f t="shared" ref="I289:I349" si="20">IF(M289=$M$23,H289+J289-K289,0)</f>
        <v>0</v>
      </c>
      <c r="J289" s="1111"/>
      <c r="K289" s="1111"/>
      <c r="L289" s="1101"/>
      <c r="M289" s="977">
        <v>50</v>
      </c>
    </row>
    <row r="290" spans="1:14" s="1086" customFormat="1" ht="25.15" hidden="1" customHeight="1">
      <c r="A290" s="1156">
        <f t="shared" si="19"/>
        <v>0</v>
      </c>
      <c r="B290" s="1327" t="s">
        <v>890</v>
      </c>
      <c r="C290" s="1327"/>
      <c r="D290" s="1093">
        <f>IF(H290&gt;0,D286+1,D286)</f>
        <v>0</v>
      </c>
      <c r="E290" s="1082">
        <f>VLOOKUP($B290,DG!A:D,DG!$B$2,)</f>
        <v>0</v>
      </c>
      <c r="F290" s="1083" t="str">
        <f>VLOOKUP($B290,DG!A:D,DG!$C$2,)</f>
        <v>Dây chảy 3K</v>
      </c>
      <c r="G290" s="1082" t="str">
        <f>VLOOKUP($B290,DG!A:D,DG!$D$2,)</f>
        <v>Sợi</v>
      </c>
      <c r="H290" s="1871"/>
      <c r="I290" s="1262">
        <f t="shared" si="20"/>
        <v>0</v>
      </c>
      <c r="J290" s="1111"/>
      <c r="K290" s="1111"/>
      <c r="L290" s="1101"/>
      <c r="M290" s="977">
        <v>50</v>
      </c>
    </row>
    <row r="291" spans="1:14" s="1086" customFormat="1" ht="25.15" hidden="1" customHeight="1">
      <c r="A291" s="1156">
        <f t="shared" si="19"/>
        <v>0</v>
      </c>
      <c r="B291" s="1327" t="s">
        <v>26</v>
      </c>
      <c r="C291" s="1327"/>
      <c r="D291" s="1093">
        <f>IF(H291&gt;0,D287+1,D287)</f>
        <v>0</v>
      </c>
      <c r="E291" s="1082">
        <f>VLOOKUP($B291,DG!A:D,DG!$B$2,)</f>
        <v>0</v>
      </c>
      <c r="F291" s="1083" t="str">
        <f>VLOOKUP($B291,DG!A:D,DG!$C$2,)</f>
        <v>Dây chảy 6K</v>
      </c>
      <c r="G291" s="1082" t="str">
        <f>VLOOKUP($B291,DG!A:D,DG!$D$2,)</f>
        <v>Sợi</v>
      </c>
      <c r="H291" s="1871"/>
      <c r="I291" s="1262">
        <f t="shared" si="20"/>
        <v>0</v>
      </c>
      <c r="J291" s="1111"/>
      <c r="K291" s="1111"/>
      <c r="L291" s="1101"/>
      <c r="M291" s="977">
        <v>50</v>
      </c>
    </row>
    <row r="292" spans="1:14" s="1086" customFormat="1" ht="25.15" hidden="1" customHeight="1">
      <c r="A292" s="1156">
        <f t="shared" si="19"/>
        <v>0</v>
      </c>
      <c r="B292" s="1327" t="s">
        <v>1029</v>
      </c>
      <c r="C292" s="1327"/>
      <c r="D292" s="1093">
        <f>IF(H292&gt;0,D288+1,D288)</f>
        <v>0</v>
      </c>
      <c r="E292" s="1082">
        <f>VLOOKUP($B292,DG!A:D,DG!$B$2,)</f>
        <v>0</v>
      </c>
      <c r="F292" s="1083" t="str">
        <f>VLOOKUP($B292,DG!A:D,DG!$C$2,)</f>
        <v>Dây chảy 8K</v>
      </c>
      <c r="G292" s="1082" t="str">
        <f>VLOOKUP($B292,DG!A:D,DG!$D$2,)</f>
        <v>Sợi</v>
      </c>
      <c r="H292" s="1871"/>
      <c r="I292" s="1262">
        <f t="shared" si="20"/>
        <v>0</v>
      </c>
      <c r="J292" s="1111"/>
      <c r="K292" s="1111"/>
      <c r="L292" s="1101"/>
      <c r="M292" s="977">
        <v>50</v>
      </c>
    </row>
    <row r="293" spans="1:14" s="1086" customFormat="1" ht="25.15" hidden="1" customHeight="1">
      <c r="A293" s="1156">
        <f t="shared" si="19"/>
        <v>0</v>
      </c>
      <c r="B293" s="1327" t="s">
        <v>1148</v>
      </c>
      <c r="C293" s="1327"/>
      <c r="D293" s="1093">
        <f>IF(H293&gt;0,D290+1,D290)</f>
        <v>0</v>
      </c>
      <c r="E293" s="1082">
        <f>VLOOKUP($B293,DG!A:D,DG!$B$2,)</f>
        <v>0</v>
      </c>
      <c r="F293" s="1083" t="str">
        <f>VLOOKUP($B293,DG!A:D,DG!$C$2,)</f>
        <v>Dây chảy 10K</v>
      </c>
      <c r="G293" s="1082" t="str">
        <f>VLOOKUP($B293,DG!A:D,DG!$D$2,)</f>
        <v>Sợi</v>
      </c>
      <c r="H293" s="1871"/>
      <c r="I293" s="1262">
        <f t="shared" si="20"/>
        <v>0</v>
      </c>
      <c r="J293" s="1111"/>
      <c r="K293" s="1111"/>
      <c r="L293" s="1101"/>
      <c r="M293" s="977">
        <v>50</v>
      </c>
    </row>
    <row r="294" spans="1:14" s="1086" customFormat="1" ht="25.15" hidden="1" customHeight="1">
      <c r="A294" s="1156">
        <f t="shared" si="19"/>
        <v>0</v>
      </c>
      <c r="B294" s="1327" t="s">
        <v>1378</v>
      </c>
      <c r="C294" s="1327"/>
      <c r="D294" s="1093">
        <f>IF(H294&gt;0,D287+1,D287)</f>
        <v>0</v>
      </c>
      <c r="E294" s="1082" t="str">
        <f>VLOOKUP($B294,DG!A:D,DG!$B$2,)</f>
        <v>02.5114</v>
      </c>
      <c r="F294" s="1083" t="str">
        <f>VLOOKUP($B294,DG!A:D,DG!$C$2,)</f>
        <v>Chống sét van LA-18KV-10KA</v>
      </c>
      <c r="G294" s="1082" t="str">
        <f>VLOOKUP($B294,DG!A:D,DG!$D$2,)</f>
        <v>cái</v>
      </c>
      <c r="H294" s="1871"/>
      <c r="I294" s="1262">
        <f t="shared" si="20"/>
        <v>0</v>
      </c>
      <c r="J294" s="1111"/>
      <c r="K294" s="1111"/>
      <c r="L294" s="1101"/>
      <c r="M294" s="977">
        <v>50</v>
      </c>
    </row>
    <row r="295" spans="1:14" s="1086" customFormat="1" ht="25.15" hidden="1" customHeight="1">
      <c r="A295" s="1156">
        <f t="shared" si="19"/>
        <v>0</v>
      </c>
      <c r="B295" s="1327"/>
      <c r="C295" s="1327"/>
      <c r="D295" s="2068"/>
      <c r="E295" s="2069"/>
      <c r="F295" s="1228" t="s">
        <v>3708</v>
      </c>
      <c r="G295" s="2068"/>
      <c r="H295" s="1229"/>
      <c r="I295" s="1928">
        <f t="shared" si="20"/>
        <v>0</v>
      </c>
      <c r="J295" s="1228"/>
      <c r="K295" s="2068"/>
      <c r="L295" s="1206"/>
      <c r="M295" s="977">
        <v>50</v>
      </c>
    </row>
    <row r="296" spans="1:14" s="1086" customFormat="1" ht="25.15" hidden="1" customHeight="1">
      <c r="A296" s="1156">
        <f>A297</f>
        <v>0</v>
      </c>
      <c r="B296" s="1327"/>
      <c r="C296" s="1327"/>
      <c r="D296" s="1184"/>
      <c r="E296" s="1072"/>
      <c r="F296" s="1072" t="s">
        <v>3694</v>
      </c>
      <c r="G296" s="1072"/>
      <c r="H296" s="1865"/>
      <c r="I296" s="2074">
        <f t="shared" si="20"/>
        <v>0</v>
      </c>
      <c r="J296" s="1072"/>
      <c r="K296" s="1072"/>
      <c r="L296" s="1158"/>
      <c r="M296" s="977">
        <v>50</v>
      </c>
    </row>
    <row r="297" spans="1:14" s="1086" customFormat="1" ht="25.15" hidden="1" customHeight="1">
      <c r="A297" s="1156">
        <f t="shared" si="19"/>
        <v>0</v>
      </c>
      <c r="B297" s="1327" t="s">
        <v>1615</v>
      </c>
      <c r="C297" s="1327"/>
      <c r="D297" s="2070">
        <f>IF(H309&gt;0,1,0)</f>
        <v>0</v>
      </c>
      <c r="E297" s="2071"/>
      <c r="F297" s="2072" t="str">
        <f>VLOOKUP($B297,DG!A:D,DG!$C$2,)</f>
        <v>Boulon 16x300+ 2 long đền vuông D18-50x50x3/Zn</v>
      </c>
      <c r="G297" s="2073" t="str">
        <f>VLOOKUP($B297,DG!A:D,DG!$D$2,)</f>
        <v>bộ</v>
      </c>
      <c r="H297" s="1232">
        <f>2*SUM(H272:H272)</f>
        <v>0</v>
      </c>
      <c r="I297" s="2067">
        <f t="shared" si="20"/>
        <v>0</v>
      </c>
      <c r="J297" s="1234"/>
      <c r="K297" s="1234"/>
      <c r="L297" s="1199"/>
      <c r="M297" s="977">
        <v>50</v>
      </c>
    </row>
    <row r="298" spans="1:14" s="1086" customFormat="1" ht="25.15" hidden="1" customHeight="1">
      <c r="A298" s="1156">
        <f t="shared" si="19"/>
        <v>0</v>
      </c>
      <c r="B298" s="1327"/>
      <c r="C298" s="1327"/>
      <c r="D298" s="1081">
        <f>IF(H298&gt;0,D297+1,D297)</f>
        <v>0</v>
      </c>
      <c r="E298" s="1188"/>
      <c r="F298" s="1189" t="s">
        <v>3695</v>
      </c>
      <c r="G298" s="1169" t="s">
        <v>2394</v>
      </c>
      <c r="H298" s="1867">
        <f>H272*0</f>
        <v>0</v>
      </c>
      <c r="I298" s="1262">
        <f t="shared" si="20"/>
        <v>0</v>
      </c>
      <c r="J298" s="1134"/>
      <c r="K298" s="1134"/>
      <c r="L298" s="1113"/>
      <c r="M298" s="977">
        <v>50</v>
      </c>
    </row>
    <row r="299" spans="1:14" s="1086" customFormat="1" ht="25.15" hidden="1" customHeight="1">
      <c r="A299" s="1156">
        <f>IF(A298&gt;0,1,0)</f>
        <v>0</v>
      </c>
      <c r="B299" s="1327"/>
      <c r="C299" s="1327"/>
      <c r="D299" s="1169"/>
      <c r="E299" s="1188"/>
      <c r="F299" s="1367" t="s">
        <v>2287</v>
      </c>
      <c r="G299" s="1113"/>
      <c r="H299" s="1170"/>
      <c r="I299" s="1262">
        <f t="shared" si="20"/>
        <v>0</v>
      </c>
      <c r="J299" s="1134"/>
      <c r="K299" s="1134"/>
      <c r="L299" s="1113"/>
      <c r="M299" s="977">
        <v>50</v>
      </c>
      <c r="N299" s="1190"/>
    </row>
    <row r="300" spans="1:14" s="1086" customFormat="1" ht="25.15"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15"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15"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15" hidden="1" customHeight="1">
      <c r="A303" s="1156">
        <f t="shared" si="19"/>
        <v>0</v>
      </c>
      <c r="B303" s="1327"/>
      <c r="C303" s="1327"/>
      <c r="D303" s="1081">
        <f>IF(H303&gt;0,D298+1,D298)</f>
        <v>0</v>
      </c>
      <c r="E303" s="1188"/>
      <c r="F303" s="1189" t="s">
        <v>2361</v>
      </c>
      <c r="G303" s="1169" t="s">
        <v>2394</v>
      </c>
      <c r="H303" s="1867">
        <f>H298</f>
        <v>0</v>
      </c>
      <c r="I303" s="1262">
        <f t="shared" si="20"/>
        <v>0</v>
      </c>
      <c r="J303" s="1134"/>
      <c r="K303" s="1134"/>
      <c r="L303" s="1113"/>
      <c r="M303" s="977">
        <v>50</v>
      </c>
    </row>
    <row r="304" spans="1:14" s="1086" customFormat="1" ht="25.15" hidden="1" customHeight="1">
      <c r="A304" s="1156">
        <f>IF(A303&gt;0,1,0)</f>
        <v>0</v>
      </c>
      <c r="B304" s="1327"/>
      <c r="C304" s="1327"/>
      <c r="D304" s="1169"/>
      <c r="E304" s="1188"/>
      <c r="F304" s="1367" t="s">
        <v>2287</v>
      </c>
      <c r="G304" s="1113"/>
      <c r="H304" s="1170"/>
      <c r="I304" s="1262">
        <f t="shared" si="20"/>
        <v>0</v>
      </c>
      <c r="J304" s="1134"/>
      <c r="K304" s="1134"/>
      <c r="L304" s="1113"/>
      <c r="M304" s="977">
        <v>50</v>
      </c>
      <c r="N304" s="1190"/>
    </row>
    <row r="305" spans="1:14" s="1086" customFormat="1" ht="25.15" hidden="1" customHeight="1">
      <c r="A305" s="1156">
        <f t="shared" si="19"/>
        <v>0</v>
      </c>
      <c r="B305" s="1334" t="s">
        <v>636</v>
      </c>
      <c r="C305" s="1334"/>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15" hidden="1" customHeight="1">
      <c r="A306" s="1156">
        <f t="shared" si="19"/>
        <v>0</v>
      </c>
      <c r="B306" s="1334" t="s">
        <v>566</v>
      </c>
      <c r="C306" s="1334"/>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15" hidden="1" customHeight="1">
      <c r="A307" s="1156">
        <f t="shared" si="19"/>
        <v>0</v>
      </c>
      <c r="B307" s="1334" t="str">
        <f>IF(chitiet!G5=1,"MDD1",IF(chitiet!G5=2,"MDD2",IF(chitiet!G5=3,"MDD3",IF(chitiet!G5=4,"MDD4"))))</f>
        <v>MDD3</v>
      </c>
      <c r="C307" s="1334"/>
      <c r="D307" s="1113"/>
      <c r="E307" s="1082" t="str">
        <f>VLOOKUP($B307,DG!A:D,DG!$B$2,)</f>
        <v>03.1013</v>
      </c>
      <c r="F307" s="1083" t="str">
        <f>VLOOKUP($B307,DG!A:D,DG!$C$2,)</f>
        <v>Đào hố móng đất cấp 3 sâu &gt;1m</v>
      </c>
      <c r="G307" s="1082" t="str">
        <f>VLOOKUP($B307,DG!A:D,DG!$D$2,)</f>
        <v>m3</v>
      </c>
      <c r="H307" s="1170">
        <f>H303*1.45</f>
        <v>0</v>
      </c>
      <c r="I307" s="1262">
        <f t="shared" si="20"/>
        <v>0</v>
      </c>
      <c r="J307" s="1111"/>
      <c r="K307" s="1111"/>
      <c r="L307" s="1113"/>
      <c r="M307" s="977">
        <v>50</v>
      </c>
      <c r="N307" s="1190"/>
    </row>
    <row r="308" spans="1:14" s="1086" customFormat="1" ht="25.15" hidden="1" customHeight="1">
      <c r="A308" s="1156">
        <f t="shared" si="19"/>
        <v>0</v>
      </c>
      <c r="B308" s="1334" t="str">
        <f>IF(chitiet!G5=1,"MDAP1",IF(chitiet!G5=2,"MDAP2",IF(chitiet!G5=3,"MDAP3",IF(chitiet!G5=4,"MDAP4"))))</f>
        <v>MDAP3</v>
      </c>
      <c r="C308" s="1334"/>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15" hidden="1" customHeight="1">
      <c r="A309" s="1156">
        <f t="shared" si="19"/>
        <v>0</v>
      </c>
      <c r="B309" s="1327"/>
      <c r="C309" s="1327"/>
      <c r="D309" s="1081">
        <f>IF(H309&gt;0,D303+1,D303)</f>
        <v>0</v>
      </c>
      <c r="E309" s="1188"/>
      <c r="F309" s="1200" t="s">
        <v>4779</v>
      </c>
      <c r="G309" s="1169" t="s">
        <v>2394</v>
      </c>
      <c r="H309" s="1867">
        <f>SUM(H272:H272)</f>
        <v>0</v>
      </c>
      <c r="I309" s="1262">
        <f t="shared" si="20"/>
        <v>0</v>
      </c>
      <c r="J309" s="1111"/>
      <c r="K309" s="1111"/>
      <c r="L309" s="1085"/>
      <c r="M309" s="977">
        <v>50</v>
      </c>
    </row>
    <row r="310" spans="1:14" s="1086" customFormat="1" ht="25.15" hidden="1" customHeight="1">
      <c r="A310" s="1156">
        <f>IF(A309&gt;0,1,0)</f>
        <v>0</v>
      </c>
      <c r="B310" s="1327"/>
      <c r="C310" s="1327"/>
      <c r="D310" s="1169"/>
      <c r="E310" s="1188"/>
      <c r="F310" s="1368" t="s">
        <v>2287</v>
      </c>
      <c r="G310" s="1113"/>
      <c r="H310" s="1170"/>
      <c r="I310" s="1262">
        <f t="shared" si="20"/>
        <v>0</v>
      </c>
      <c r="J310" s="1111"/>
      <c r="K310" s="1111"/>
      <c r="L310" s="1085"/>
      <c r="M310" s="977">
        <v>50</v>
      </c>
    </row>
    <row r="311" spans="1:14" s="1086" customFormat="1" ht="25.15" hidden="1" customHeight="1">
      <c r="A311" s="1156">
        <f t="shared" ref="A311:A314" si="21">IF(A310&gt;0,1,0)</f>
        <v>0</v>
      </c>
      <c r="B311" s="1327" t="s">
        <v>4577</v>
      </c>
      <c r="C311" s="1327">
        <v>1</v>
      </c>
      <c r="D311" s="1113"/>
      <c r="E311" s="1082">
        <f>VLOOKUP($B311,DG!A:D,DG!$B$2,)</f>
        <v>0</v>
      </c>
      <c r="F311" s="1083" t="str">
        <f>VLOOKUP($B311,DG!A:D,DG!$C$2,)</f>
        <v>Đà Composite 110x80x5x800</v>
      </c>
      <c r="G311" s="1082" t="str">
        <f>VLOOKUP($B311,DG!A:D,DG!$D$2,)</f>
        <v>cái</v>
      </c>
      <c r="H311" s="2062">
        <f>H$309*$C311</f>
        <v>0</v>
      </c>
      <c r="I311" s="2062">
        <f t="shared" ref="I311:K311" si="22">I$309*$C311</f>
        <v>0</v>
      </c>
      <c r="J311" s="2062">
        <f t="shared" si="22"/>
        <v>0</v>
      </c>
      <c r="K311" s="1170">
        <f t="shared" si="22"/>
        <v>0</v>
      </c>
      <c r="L311" s="1085"/>
      <c r="M311" s="977">
        <v>50</v>
      </c>
    </row>
    <row r="312" spans="1:14" s="1086" customFormat="1" ht="25.15" hidden="1" customHeight="1">
      <c r="A312" s="1156">
        <f t="shared" si="21"/>
        <v>0</v>
      </c>
      <c r="B312" s="1327" t="s">
        <v>4775</v>
      </c>
      <c r="C312" s="1327">
        <v>1</v>
      </c>
      <c r="D312" s="1113"/>
      <c r="E312" s="1082">
        <f>VLOOKUP($B312,DG!A:D,DG!$B$2,)</f>
        <v>0</v>
      </c>
      <c r="F312" s="1083" t="str">
        <f>VLOOKUP($B312,DG!A:D,DG!$C$2,)</f>
        <v>Thanh chống Composite 10x40x720</v>
      </c>
      <c r="G312" s="1082" t="str">
        <f>VLOOKUP($B312,DG!A:D,DG!$D$2,)</f>
        <v>cái</v>
      </c>
      <c r="H312" s="2062">
        <f t="shared" ref="H312:K314" si="23">H$309*$C312</f>
        <v>0</v>
      </c>
      <c r="I312" s="2062">
        <f t="shared" si="23"/>
        <v>0</v>
      </c>
      <c r="J312" s="2062">
        <f t="shared" si="23"/>
        <v>0</v>
      </c>
      <c r="K312" s="1170">
        <f t="shared" si="23"/>
        <v>0</v>
      </c>
      <c r="L312" s="1085"/>
      <c r="M312" s="977">
        <v>50</v>
      </c>
    </row>
    <row r="313" spans="1:14" s="1086" customFormat="1" ht="25.15" hidden="1" customHeight="1">
      <c r="A313" s="1156">
        <f t="shared" si="21"/>
        <v>0</v>
      </c>
      <c r="B313" s="1327" t="s">
        <v>1615</v>
      </c>
      <c r="C313" s="1327">
        <v>1</v>
      </c>
      <c r="D313" s="1113"/>
      <c r="E313" s="1191"/>
      <c r="F313" s="1083" t="str">
        <f>VLOOKUP($B313,DG!A:D,DG!$C$2,)</f>
        <v>Boulon 16x300+ 2 long đền vuông D18-50x50x3/Zn</v>
      </c>
      <c r="G313" s="1082" t="str">
        <f>VLOOKUP($B313,DG!A:D,DG!$D$2,)</f>
        <v>bộ</v>
      </c>
      <c r="H313" s="2062">
        <f t="shared" si="23"/>
        <v>0</v>
      </c>
      <c r="I313" s="2062">
        <f t="shared" si="23"/>
        <v>0</v>
      </c>
      <c r="J313" s="2062">
        <f t="shared" si="23"/>
        <v>0</v>
      </c>
      <c r="K313" s="1170">
        <f t="shared" si="23"/>
        <v>0</v>
      </c>
      <c r="L313" s="1085"/>
      <c r="M313" s="977">
        <v>50</v>
      </c>
    </row>
    <row r="314" spans="1:14" s="1086" customFormat="1" ht="25.15" hidden="1" customHeight="1">
      <c r="A314" s="1156">
        <f t="shared" si="21"/>
        <v>0</v>
      </c>
      <c r="B314" s="1327" t="s">
        <v>4363</v>
      </c>
      <c r="C314" s="1327">
        <v>1</v>
      </c>
      <c r="D314" s="1113"/>
      <c r="E314" s="1191"/>
      <c r="F314" s="1083" t="str">
        <f>VLOOKUP($B314,DG!A:D,DG!$C$2,)</f>
        <v>Boulon 14x150+ 2 long đền vuông D16-50x50x3/Zn</v>
      </c>
      <c r="G314" s="1082" t="str">
        <f>VLOOKUP($B314,DG!A:D,DG!$D$2,)</f>
        <v>bộ</v>
      </c>
      <c r="H314" s="2062">
        <f t="shared" si="23"/>
        <v>0</v>
      </c>
      <c r="I314" s="2062">
        <f t="shared" si="23"/>
        <v>0</v>
      </c>
      <c r="J314" s="2062">
        <f t="shared" si="23"/>
        <v>0</v>
      </c>
      <c r="K314" s="1170">
        <f t="shared" si="23"/>
        <v>0</v>
      </c>
      <c r="L314" s="1085"/>
      <c r="M314" s="977">
        <v>50</v>
      </c>
    </row>
    <row r="315" spans="1:14" s="1086" customFormat="1" ht="25.15" hidden="1" customHeight="1">
      <c r="A315" s="1156">
        <f t="shared" si="19"/>
        <v>0</v>
      </c>
      <c r="B315" s="1327"/>
      <c r="C315" s="1327"/>
      <c r="D315" s="1169">
        <f>IF(H315&gt;0,D309+1,D309)</f>
        <v>0</v>
      </c>
      <c r="E315" s="1188"/>
      <c r="F315" s="1200" t="s">
        <v>4858</v>
      </c>
      <c r="G315" s="1169" t="s">
        <v>2394</v>
      </c>
      <c r="H315" s="1867">
        <f>H309</f>
        <v>0</v>
      </c>
      <c r="I315" s="1262">
        <f t="shared" si="20"/>
        <v>0</v>
      </c>
      <c r="J315" s="1111"/>
      <c r="K315" s="1111"/>
      <c r="L315" s="1085"/>
      <c r="M315" s="977">
        <v>50</v>
      </c>
    </row>
    <row r="316" spans="1:14" s="1086" customFormat="1" ht="25.15" hidden="1" customHeight="1">
      <c r="A316" s="1156">
        <f>IF(A315&gt;0,1,0)</f>
        <v>0</v>
      </c>
      <c r="B316" s="1327"/>
      <c r="C316" s="1327"/>
      <c r="D316" s="1113"/>
      <c r="E316" s="1191"/>
      <c r="F316" s="1368" t="s">
        <v>2287</v>
      </c>
      <c r="G316" s="1113"/>
      <c r="H316" s="1170"/>
      <c r="I316" s="1262">
        <f t="shared" si="20"/>
        <v>0</v>
      </c>
      <c r="J316" s="1111"/>
      <c r="K316" s="1111"/>
      <c r="L316" s="1085"/>
      <c r="M316" s="977">
        <v>50</v>
      </c>
    </row>
    <row r="317" spans="1:14" s="1086" customFormat="1" ht="25.15" hidden="1" customHeight="1">
      <c r="A317" s="1156">
        <f t="shared" si="19"/>
        <v>0</v>
      </c>
      <c r="B317" s="1327" t="s">
        <v>103</v>
      </c>
      <c r="C317" s="2063">
        <v>0.224</v>
      </c>
      <c r="D317" s="1113"/>
      <c r="E317" s="1082">
        <f>VLOOKUP($B317,DG!A:D,DG!$B$2,)</f>
        <v>0</v>
      </c>
      <c r="F317" s="1083" t="str">
        <f>VLOOKUP($B317,DG!A:D,DG!$C$2,)</f>
        <v>Cáp đồng trần M25mm2</v>
      </c>
      <c r="G317" s="1082" t="str">
        <f>VLOOKUP($B317,DG!A:D,DG!$D$2,)</f>
        <v>kg</v>
      </c>
      <c r="H317" s="2065">
        <v>13</v>
      </c>
      <c r="I317" s="2066">
        <f t="shared" si="20"/>
        <v>0</v>
      </c>
      <c r="J317" s="1111"/>
      <c r="K317" s="1111"/>
      <c r="L317" s="1085"/>
      <c r="M317" s="977">
        <v>50</v>
      </c>
    </row>
    <row r="318" spans="1:14" s="1086" customFormat="1" ht="25.15" hidden="1" customHeight="1">
      <c r="A318" s="1156">
        <f t="shared" si="19"/>
        <v>0</v>
      </c>
      <c r="B318" s="1157" t="s">
        <v>1513</v>
      </c>
      <c r="C318" s="1157"/>
      <c r="D318" s="1113"/>
      <c r="E318" s="1082">
        <f>VLOOKUP($B318,DG!A:D,DG!$B$2,)</f>
        <v>0</v>
      </c>
      <c r="F318" s="1083" t="str">
        <f>VLOOKUP($B318,DG!A:D,DG!$C$2,)</f>
        <v>Cọc tiếp đất Þ 16- 2,4m + kẹp cọc mạ đồng</v>
      </c>
      <c r="G318" s="1082" t="str">
        <f>VLOOKUP($B318,DG!A:D,DG!$D$2,)</f>
        <v>bộ</v>
      </c>
      <c r="H318" s="1170">
        <f>I2</f>
        <v>10</v>
      </c>
      <c r="I318" s="1262">
        <f t="shared" si="20"/>
        <v>0</v>
      </c>
      <c r="J318" s="1111"/>
      <c r="K318" s="1111"/>
      <c r="L318" s="1085"/>
      <c r="M318" s="977">
        <v>50</v>
      </c>
    </row>
    <row r="319" spans="1:14" s="1086" customFormat="1" ht="25.15"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15" hidden="1" customHeight="1">
      <c r="A320" s="1156">
        <f t="shared" ref="A320" si="24">IF(I320&gt;0,1,0)</f>
        <v>0</v>
      </c>
      <c r="B320" s="1157" t="s">
        <v>576</v>
      </c>
      <c r="C320" s="1157"/>
      <c r="D320" s="1113"/>
      <c r="E320" s="1082" t="str">
        <f>VLOOKUP($B320,DG!A:D,DG!$B$2,)</f>
        <v>07.2403</v>
      </c>
      <c r="F320" s="1083" t="str">
        <f>VLOOKUP($B320,DG!A:D,DG!$C$2,)</f>
        <v xml:space="preserve">Ống PVC D21x1,6mm </v>
      </c>
      <c r="G320" s="1082" t="str">
        <f>VLOOKUP($B320,DG!A:D,DG!$D$2,)</f>
        <v>m</v>
      </c>
      <c r="H320" s="1170">
        <v>6</v>
      </c>
      <c r="I320" s="1262">
        <f t="shared" ref="I320" si="25">IF(M320=$M$23,H320+J320-K320,0)</f>
        <v>0</v>
      </c>
      <c r="J320" s="1111"/>
      <c r="K320" s="1111"/>
      <c r="L320" s="1085"/>
      <c r="M320" s="977">
        <v>50</v>
      </c>
    </row>
    <row r="321" spans="1:13" s="1086" customFormat="1" ht="25.15" hidden="1" customHeight="1">
      <c r="A321" s="1156">
        <f t="shared" si="19"/>
        <v>0</v>
      </c>
      <c r="B321" s="1157" t="s">
        <v>1597</v>
      </c>
      <c r="C321" s="1157"/>
      <c r="D321" s="1113"/>
      <c r="E321" s="1082" t="str">
        <f>VLOOKUP($B321,DG!A:D,DG!$B$2,)</f>
        <v>06.3231</v>
      </c>
      <c r="F321" s="1083" t="str">
        <f>VLOOKUP($B321,DG!A:D,DG!$C$2,)</f>
        <v>Cổ dê kẹp ống PVC  21</v>
      </c>
      <c r="G321" s="1082" t="str">
        <f>VLOOKUP($B321,DG!A:D,DG!$D$2,)</f>
        <v>bộ</v>
      </c>
      <c r="H321" s="1170">
        <v>4</v>
      </c>
      <c r="I321" s="1262">
        <f t="shared" si="20"/>
        <v>0</v>
      </c>
      <c r="J321" s="1111"/>
      <c r="K321" s="1111"/>
      <c r="L321" s="1085"/>
      <c r="M321" s="977">
        <v>50</v>
      </c>
    </row>
    <row r="322" spans="1:13" s="1086" customFormat="1" ht="25.15" hidden="1" customHeight="1">
      <c r="A322" s="1156">
        <f t="shared" ref="A322" si="26">IF(I322&gt;0,1,0)</f>
        <v>0</v>
      </c>
      <c r="B322" s="1332" t="s">
        <v>1584</v>
      </c>
      <c r="C322" s="1332"/>
      <c r="D322" s="1113"/>
      <c r="E322" s="1082">
        <f>VLOOKUP($B322,DG!A:D,DG!$B$2,)</f>
        <v>0</v>
      </c>
      <c r="F322" s="1083" t="str">
        <f>VLOOKUP($B322,DG!A:D,DG!$C$2,)</f>
        <v>Kẹp ép WR cỡ dây 50mm2</v>
      </c>
      <c r="G322" s="1082" t="str">
        <f>VLOOKUP($B322,DG!A:D,DG!$D$2,)</f>
        <v>cái</v>
      </c>
      <c r="H322" s="1170">
        <f>2*H314</f>
        <v>0</v>
      </c>
      <c r="I322" s="1262">
        <f t="shared" ref="I322" si="27">IF(M322=$M$23,H322+J322-K322,0)</f>
        <v>0</v>
      </c>
      <c r="J322" s="1111"/>
      <c r="K322" s="1111"/>
      <c r="L322" s="1085"/>
      <c r="M322" s="977">
        <v>50</v>
      </c>
    </row>
    <row r="323" spans="1:13" s="1086" customFormat="1" ht="25.15" hidden="1" customHeight="1">
      <c r="A323" s="1156">
        <f t="shared" si="19"/>
        <v>0</v>
      </c>
      <c r="B323" s="1332" t="s">
        <v>1117</v>
      </c>
      <c r="C323" s="1332"/>
      <c r="D323" s="1113"/>
      <c r="E323" s="1082">
        <f>VLOOKUP($B323,DG!A:D,DG!$B$2,)</f>
        <v>0</v>
      </c>
      <c r="F323" s="1083" t="str">
        <f>VLOOKUP($B323,DG!A:D,DG!$C$2,)</f>
        <v>Kẹp ép cỡ dây 25mm2</v>
      </c>
      <c r="G323" s="1082" t="str">
        <f>VLOOKUP($B323,DG!A:D,DG!$D$2,)</f>
        <v>cái</v>
      </c>
      <c r="H323" s="1170">
        <v>11</v>
      </c>
      <c r="I323" s="1262">
        <f t="shared" si="20"/>
        <v>0</v>
      </c>
      <c r="J323" s="1111"/>
      <c r="K323" s="1111"/>
      <c r="L323" s="1085"/>
      <c r="M323" s="977">
        <v>50</v>
      </c>
    </row>
    <row r="324" spans="1:13" s="1086" customFormat="1" ht="25.15" hidden="1" customHeight="1">
      <c r="A324" s="1156">
        <f t="shared" si="19"/>
        <v>0</v>
      </c>
      <c r="B324" s="1332" t="s">
        <v>1474</v>
      </c>
      <c r="C324" s="1332"/>
      <c r="D324" s="1113"/>
      <c r="E324" s="1082" t="str">
        <f>VLOOKUP($B324,DG!A:D,DG!$B$2,)</f>
        <v>04.3107</v>
      </c>
      <c r="F324" s="1083" t="str">
        <f>VLOOKUP($B324,DG!A:D,DG!$C$2,)</f>
        <v xml:space="preserve">Ốc siết cáp cỡ 50mm2 </v>
      </c>
      <c r="G324" s="1082" t="str">
        <f>VLOOKUP($B324,DG!A:D,DG!$D$2,)</f>
        <v>cái</v>
      </c>
      <c r="H324" s="1170"/>
      <c r="I324" s="1262">
        <f t="shared" si="20"/>
        <v>0</v>
      </c>
      <c r="J324" s="1111"/>
      <c r="K324" s="1111"/>
      <c r="L324" s="1085"/>
      <c r="M324" s="977">
        <v>50</v>
      </c>
    </row>
    <row r="325" spans="1:13" s="1086" customFormat="1" ht="25.15" hidden="1" customHeight="1">
      <c r="A325" s="1156">
        <f t="shared" si="19"/>
        <v>0</v>
      </c>
      <c r="B325" s="1332" t="s">
        <v>377</v>
      </c>
      <c r="C325" s="1332"/>
      <c r="D325" s="1113"/>
      <c r="E325" s="1082" t="str">
        <f>VLOOKUP($B325,DG!A:D,DG!$B$2,)</f>
        <v>03.4002</v>
      </c>
      <c r="F325" s="1083" t="str">
        <f>VLOOKUP($B325,DG!A:D,DG!$C$2,)</f>
        <v>Đầu cosse ép Cu 35mm2</v>
      </c>
      <c r="G325" s="1082" t="str">
        <f>VLOOKUP($B325,DG!A:D,DG!$D$2,)</f>
        <v>cái</v>
      </c>
      <c r="H325" s="1170"/>
      <c r="I325" s="1262">
        <f t="shared" si="20"/>
        <v>0</v>
      </c>
      <c r="J325" s="1111"/>
      <c r="K325" s="1111"/>
      <c r="L325" s="1085"/>
      <c r="M325" s="977">
        <v>50</v>
      </c>
    </row>
    <row r="326" spans="1:13" s="1086" customFormat="1" ht="25.15" hidden="1" customHeight="1">
      <c r="A326" s="1156">
        <f t="shared" si="19"/>
        <v>0</v>
      </c>
      <c r="B326" s="1332" t="s">
        <v>371</v>
      </c>
      <c r="C326" s="1332"/>
      <c r="D326" s="1113"/>
      <c r="E326" s="1082" t="str">
        <f>VLOOKUP($B326,DG!A:D,DG!$B$2,)</f>
        <v>03.4003</v>
      </c>
      <c r="F326" s="1083" t="str">
        <f>VLOOKUP($B326,DG!A:D,DG!$C$2,)</f>
        <v>Đầu cosse ép Cu 70mm2</v>
      </c>
      <c r="G326" s="1082" t="str">
        <f>VLOOKUP($B326,DG!A:D,DG!$D$2,)</f>
        <v>cái</v>
      </c>
      <c r="H326" s="1170"/>
      <c r="I326" s="1262">
        <f t="shared" si="20"/>
        <v>0</v>
      </c>
      <c r="J326" s="1111"/>
      <c r="K326" s="1111"/>
      <c r="L326" s="1085"/>
      <c r="M326" s="977">
        <v>50</v>
      </c>
    </row>
    <row r="327" spans="1:13" s="1086" customFormat="1" ht="25.15" hidden="1" customHeight="1">
      <c r="A327" s="1156">
        <f t="shared" si="19"/>
        <v>0</v>
      </c>
      <c r="B327" s="1157" t="s">
        <v>375</v>
      </c>
      <c r="C327" s="1157"/>
      <c r="D327" s="1113"/>
      <c r="E327" s="1082" t="str">
        <f>VLOOKUP($B327,DG!A:D,DG!$B$2,)</f>
        <v>06.3231</v>
      </c>
      <c r="F327" s="1083" t="str">
        <f>VLOOKUP($B327,DG!A:D,DG!$C$2,)</f>
        <v>Cổ dê kẹp sắt Ø 10</v>
      </c>
      <c r="G327" s="1082" t="str">
        <f>VLOOKUP($B327,DG!A:D,DG!$D$2,)</f>
        <v>bộ</v>
      </c>
      <c r="H327" s="1170"/>
      <c r="I327" s="1262">
        <f t="shared" si="20"/>
        <v>0</v>
      </c>
      <c r="J327" s="1111"/>
      <c r="K327" s="1111"/>
      <c r="L327" s="1085"/>
      <c r="M327" s="977">
        <v>50</v>
      </c>
    </row>
    <row r="328" spans="1:13" s="1086" customFormat="1" ht="25.15" hidden="1" customHeight="1">
      <c r="A328" s="1156">
        <f t="shared" si="19"/>
        <v>0</v>
      </c>
      <c r="B328" s="1157" t="s">
        <v>1355</v>
      </c>
      <c r="C328" s="1157"/>
      <c r="D328" s="1113"/>
      <c r="E328" s="1082">
        <f>VLOOKUP($B328,DG!A:D,DG!$B$2,)</f>
        <v>0</v>
      </c>
      <c r="F328" s="1083" t="s">
        <v>823</v>
      </c>
      <c r="G328" s="1082" t="str">
        <f>VLOOKUP($B328,DG!A:D,DG!$D$2,)</f>
        <v>bộ</v>
      </c>
      <c r="H328" s="1170"/>
      <c r="I328" s="1262">
        <f t="shared" si="20"/>
        <v>0</v>
      </c>
      <c r="J328" s="1111"/>
      <c r="K328" s="1111"/>
      <c r="L328" s="1085"/>
      <c r="M328" s="977">
        <v>50</v>
      </c>
    </row>
    <row r="329" spans="1:13" s="1086" customFormat="1" ht="25.15" hidden="1" customHeight="1">
      <c r="A329" s="1156">
        <f t="shared" si="19"/>
        <v>0</v>
      </c>
      <c r="B329" s="1332" t="s">
        <v>2191</v>
      </c>
      <c r="C329" s="1332"/>
      <c r="D329" s="1113"/>
      <c r="E329" s="1082" t="str">
        <f>VLOOKUP($B329,DG!A:D,DG!$B$2,)</f>
        <v>04.7002</v>
      </c>
      <c r="F329" s="1083" t="str">
        <f>VLOOKUP($B329,DG!A:D,DG!$C$2,)</f>
        <v>Kéo dây tiếp địa trong TBA</v>
      </c>
      <c r="G329" s="1082" t="str">
        <f>VLOOKUP($B329,DG!A:D,DG!$D$2,)</f>
        <v>mét</v>
      </c>
      <c r="H329" s="2062">
        <f>+H318*3+12*2+4</f>
        <v>58</v>
      </c>
      <c r="I329" s="1262">
        <f t="shared" si="20"/>
        <v>0</v>
      </c>
      <c r="J329" s="1111"/>
      <c r="K329" s="1111"/>
      <c r="L329" s="1085"/>
      <c r="M329" s="977">
        <v>50</v>
      </c>
    </row>
    <row r="330" spans="1:13" s="1086" customFormat="1" ht="25.15" hidden="1" customHeight="1">
      <c r="A330" s="1156">
        <f t="shared" si="19"/>
        <v>0</v>
      </c>
      <c r="B330" s="1157" t="s">
        <v>904</v>
      </c>
      <c r="C330" s="1157"/>
      <c r="D330" s="1113"/>
      <c r="E330" s="1082" t="str">
        <f>VLOOKUP($B330,DG!A:D,DG!$B$2,)</f>
        <v>04.7001</v>
      </c>
      <c r="F330" s="1083" t="str">
        <f>VLOOKUP($B330,DG!A:D,DG!$C$2,)</f>
        <v>Đóng cọc tiếp địa trong TBA</v>
      </c>
      <c r="G330" s="1082" t="str">
        <f>VLOOKUP($B330,DG!A:D,DG!$D$2,)</f>
        <v>cọc</v>
      </c>
      <c r="H330" s="2062">
        <f>H318</f>
        <v>10</v>
      </c>
      <c r="I330" s="1262">
        <f t="shared" si="20"/>
        <v>0</v>
      </c>
      <c r="J330" s="1111"/>
      <c r="K330" s="1111"/>
      <c r="L330" s="1085"/>
      <c r="M330" s="977">
        <v>50</v>
      </c>
    </row>
    <row r="331" spans="1:13" s="1086" customFormat="1" ht="25.15" hidden="1" customHeight="1">
      <c r="A331" s="1156">
        <f t="shared" si="19"/>
        <v>0</v>
      </c>
      <c r="B331" s="1332" t="str">
        <f>"dtd"&amp;chitiet!G5</f>
        <v>dtd3</v>
      </c>
      <c r="C331" s="1332"/>
      <c r="D331" s="1113"/>
      <c r="E331" s="1082" t="str">
        <f>VLOOKUP($B331,DG!A:D,DG!$B$2,)</f>
        <v>03.3123</v>
      </c>
      <c r="F331" s="1083" t="str">
        <f>VLOOKUP($B331,DG!A:D,DG!$C$2,)</f>
        <v>Đào rãnh tiếp địa đất cấp 3</v>
      </c>
      <c r="G331" s="1082" t="str">
        <f>VLOOKUP($B331,DG!A:D,DG!$D$2,)</f>
        <v>m3</v>
      </c>
      <c r="H331" s="2064">
        <v>8.64</v>
      </c>
      <c r="I331" s="1262">
        <f t="shared" si="20"/>
        <v>0</v>
      </c>
      <c r="J331" s="1111"/>
      <c r="K331" s="1111"/>
      <c r="L331" s="1085"/>
      <c r="M331" s="977">
        <v>50</v>
      </c>
    </row>
    <row r="332" spans="1:13" s="1086" customFormat="1" ht="25.15" hidden="1" customHeight="1">
      <c r="A332" s="1156">
        <f t="shared" si="19"/>
        <v>0</v>
      </c>
      <c r="B332" s="1157" t="str">
        <f>"datd"&amp;chitiet!G5</f>
        <v>datd3</v>
      </c>
      <c r="C332" s="1157"/>
      <c r="D332" s="1113"/>
      <c r="E332" s="1082" t="str">
        <f>VLOOKUP($B332,DG!A:D,DG!$B$2,)</f>
        <v>03.4123</v>
      </c>
      <c r="F332" s="1083" t="str">
        <f>VLOOKUP($B332,DG!A:D,DG!$C$2,)</f>
        <v>Đắp đất rãnh tiếp độ chặt k=0,85</v>
      </c>
      <c r="G332" s="1082" t="str">
        <f>VLOOKUP($B332,DG!A:D,DG!$D$2,)</f>
        <v>m3</v>
      </c>
      <c r="H332" s="2062">
        <f>H331</f>
        <v>8.64</v>
      </c>
      <c r="I332" s="1262">
        <f t="shared" si="20"/>
        <v>0</v>
      </c>
      <c r="J332" s="1111"/>
      <c r="K332" s="1111"/>
      <c r="L332" s="1085"/>
      <c r="M332" s="977">
        <v>50</v>
      </c>
    </row>
    <row r="333" spans="1:13" s="1086" customFormat="1" ht="25.15" hidden="1" customHeight="1">
      <c r="A333" s="1156">
        <f t="shared" si="19"/>
        <v>0</v>
      </c>
      <c r="B333" s="1332"/>
      <c r="C333" s="1332"/>
      <c r="D333" s="1169">
        <f>IF(H333&gt;0,D315+1,D315)</f>
        <v>0</v>
      </c>
      <c r="E333" s="1188"/>
      <c r="F333" s="1189" t="s">
        <v>3704</v>
      </c>
      <c r="G333" s="1169" t="s">
        <v>2394</v>
      </c>
      <c r="H333" s="1867">
        <f>H309</f>
        <v>0</v>
      </c>
      <c r="I333" s="1262">
        <f t="shared" si="20"/>
        <v>0</v>
      </c>
      <c r="J333" s="1111"/>
      <c r="K333" s="1111"/>
      <c r="L333" s="1085"/>
      <c r="M333" s="977">
        <v>50</v>
      </c>
    </row>
    <row r="334" spans="1:13" s="1086" customFormat="1" ht="25.15" hidden="1" customHeight="1">
      <c r="A334" s="1156">
        <f>IF(A333&gt;0,1,0)</f>
        <v>0</v>
      </c>
      <c r="B334" s="1332"/>
      <c r="C334" s="1332"/>
      <c r="D334" s="1169"/>
      <c r="E334" s="1188"/>
      <c r="F334" s="1368" t="s">
        <v>2287</v>
      </c>
      <c r="G334" s="1113"/>
      <c r="H334" s="1170"/>
      <c r="I334" s="1262">
        <f t="shared" si="20"/>
        <v>0</v>
      </c>
      <c r="J334" s="1111"/>
      <c r="K334" s="1111"/>
      <c r="L334" s="1085"/>
      <c r="M334" s="977">
        <v>50</v>
      </c>
    </row>
    <row r="335" spans="1:13" s="1086" customFormat="1" ht="25.15" hidden="1" customHeight="1">
      <c r="A335" s="1156">
        <f t="shared" si="19"/>
        <v>0</v>
      </c>
      <c r="B335" s="1334" t="s">
        <v>616</v>
      </c>
      <c r="C335" s="1334"/>
      <c r="D335" s="1113"/>
      <c r="E335" s="1082" t="str">
        <f>VLOOKUP($B335,DG!A:D,DG!$B$2,)</f>
        <v>05.1001</v>
      </c>
      <c r="F335" s="1083" t="str">
        <f>VLOOKUP($B335,DG!A:D,DG!$C$2,)</f>
        <v>Tủ CB trạm 1 pha + khóa + boulon</v>
      </c>
      <c r="G335" s="1082" t="str">
        <f>VLOOKUP($B335,DG!A:D,DG!$D$2,)</f>
        <v>cái</v>
      </c>
      <c r="H335" s="1170">
        <f>H333</f>
        <v>0</v>
      </c>
      <c r="I335" s="1262">
        <f t="shared" si="20"/>
        <v>0</v>
      </c>
      <c r="J335" s="1111"/>
      <c r="K335" s="1111"/>
      <c r="L335" s="1085"/>
      <c r="M335" s="977">
        <v>50</v>
      </c>
    </row>
    <row r="336" spans="1:13" s="1086" customFormat="1" ht="25.15" hidden="1" customHeight="1">
      <c r="A336" s="1156">
        <f t="shared" si="19"/>
        <v>0</v>
      </c>
      <c r="B336" s="1332" t="s">
        <v>881</v>
      </c>
      <c r="C336" s="1332"/>
      <c r="D336" s="1113"/>
      <c r="E336" s="1082" t="str">
        <f>VLOOKUP($B336,DG!A:D,DG!$B$2,)</f>
        <v>06.3231</v>
      </c>
      <c r="F336" s="1083" t="str">
        <f>VLOOKUP($B336,DG!A:D,DG!$C$2,)</f>
        <v>Cổ dê bắt tủ</v>
      </c>
      <c r="G336" s="1082" t="str">
        <f>VLOOKUP($B336,DG!A:D,DG!$D$2,)</f>
        <v>bộ</v>
      </c>
      <c r="H336" s="1170">
        <f>2*H333</f>
        <v>0</v>
      </c>
      <c r="I336" s="1262">
        <f t="shared" si="20"/>
        <v>0</v>
      </c>
      <c r="J336" s="1111"/>
      <c r="K336" s="1111"/>
      <c r="L336" s="1085"/>
      <c r="M336" s="977">
        <v>50</v>
      </c>
    </row>
    <row r="337" spans="1:13" s="1086" customFormat="1" ht="25.15" hidden="1" customHeight="1">
      <c r="A337" s="1156">
        <f t="shared" ref="A337" si="28">IF(I337&gt;0,1,0)</f>
        <v>0</v>
      </c>
      <c r="B337" s="1332" t="s">
        <v>882</v>
      </c>
      <c r="C337" s="1332"/>
      <c r="D337" s="1113"/>
      <c r="E337" s="1082">
        <f>VLOOKUP($B337,DG!A:D,DG!$B$2,)</f>
        <v>0</v>
      </c>
      <c r="F337" s="1083" t="str">
        <f>VLOOKUP($B337,DG!A:D,DG!$C$2,)</f>
        <v xml:space="preserve">Bakelit 550x450 dầy 10mm </v>
      </c>
      <c r="G337" s="1082" t="str">
        <f>VLOOKUP($B337,DG!A:D,DG!$D$2,)</f>
        <v>cái</v>
      </c>
      <c r="H337" s="1170">
        <f>H335</f>
        <v>0</v>
      </c>
      <c r="I337" s="1262">
        <f t="shared" ref="I337" si="29">IF(M337=$M$23,H337+J337-K337,0)</f>
        <v>0</v>
      </c>
      <c r="J337" s="1111"/>
      <c r="K337" s="1111"/>
      <c r="L337" s="1085"/>
      <c r="M337" s="977">
        <v>50</v>
      </c>
    </row>
    <row r="338" spans="1:13" s="1086" customFormat="1" ht="25.15" hidden="1" customHeight="1">
      <c r="A338" s="1156">
        <f t="shared" si="19"/>
        <v>0</v>
      </c>
      <c r="B338" s="1332" t="s">
        <v>1920</v>
      </c>
      <c r="C338" s="1332"/>
      <c r="D338" s="1113"/>
      <c r="E338" s="1082">
        <f>VLOOKUP($B338,DG!A:D,DG!$B$2,)</f>
        <v>0</v>
      </c>
      <c r="F338" s="1083" t="str">
        <f>VLOOKUP($B338,DG!A:D,DG!$C$2,)</f>
        <v>Bakelit 350x510 dầy 5mm</v>
      </c>
      <c r="G338" s="1082" t="str">
        <f>VLOOKUP($B338,DG!A:D,DG!$D$2,)</f>
        <v>cái</v>
      </c>
      <c r="H338" s="1170">
        <f>H333</f>
        <v>0</v>
      </c>
      <c r="I338" s="1262">
        <f t="shared" si="20"/>
        <v>0</v>
      </c>
      <c r="J338" s="1111"/>
      <c r="K338" s="1111"/>
      <c r="L338" s="1085"/>
      <c r="M338" s="977">
        <v>50</v>
      </c>
    </row>
    <row r="339" spans="1:13" s="1086" customFormat="1" ht="25.15" hidden="1" customHeight="1">
      <c r="A339" s="1156">
        <f t="shared" si="19"/>
        <v>0</v>
      </c>
      <c r="B339" s="1332"/>
      <c r="C339" s="1332"/>
      <c r="D339" s="1169">
        <f>IF(H339&gt;0,D333+1,D333)</f>
        <v>0</v>
      </c>
      <c r="E339" s="1188"/>
      <c r="F339" s="1200" t="s">
        <v>3699</v>
      </c>
      <c r="G339" s="1169" t="s">
        <v>2394</v>
      </c>
      <c r="H339" s="1867">
        <f>H333</f>
        <v>0</v>
      </c>
      <c r="I339" s="1262">
        <f t="shared" si="20"/>
        <v>0</v>
      </c>
      <c r="J339" s="1111"/>
      <c r="K339" s="1111"/>
      <c r="L339" s="1085"/>
      <c r="M339" s="977">
        <v>50</v>
      </c>
    </row>
    <row r="340" spans="1:13" s="1086" customFormat="1" ht="25.15" hidden="1" customHeight="1">
      <c r="A340" s="1156">
        <f>IF(A339&gt;0,1,0)</f>
        <v>0</v>
      </c>
      <c r="B340" s="1332"/>
      <c r="C340" s="1332"/>
      <c r="D340" s="1169"/>
      <c r="E340" s="1188"/>
      <c r="F340" s="1368" t="s">
        <v>2287</v>
      </c>
      <c r="G340" s="1113"/>
      <c r="H340" s="1170"/>
      <c r="I340" s="1262">
        <f t="shared" si="20"/>
        <v>0</v>
      </c>
      <c r="J340" s="1111"/>
      <c r="K340" s="1111"/>
      <c r="L340" s="1085"/>
      <c r="M340" s="977">
        <v>50</v>
      </c>
    </row>
    <row r="341" spans="1:13" s="1086" customFormat="1" ht="25.15" hidden="1" customHeight="1">
      <c r="A341" s="1156">
        <f t="shared" si="19"/>
        <v>0</v>
      </c>
      <c r="B341" s="1157" t="s">
        <v>699</v>
      </c>
      <c r="C341" s="1157"/>
      <c r="D341" s="1113"/>
      <c r="E341" s="1082">
        <f>VLOOKUP($B341,DG!A:D,DG!$B$2,)</f>
        <v>0</v>
      </c>
      <c r="F341" s="1083" t="str">
        <f>VLOOKUP($B341,DG!A:D,DG!$C$2,)</f>
        <v>Cáp 24KV CX-25mm2</v>
      </c>
      <c r="G341" s="1082" t="str">
        <f>VLOOKUP($B341,DG!A:D,DG!$D$2,)</f>
        <v>mét</v>
      </c>
      <c r="H341" s="1170">
        <v>4</v>
      </c>
      <c r="I341" s="1262">
        <f t="shared" si="20"/>
        <v>0</v>
      </c>
      <c r="J341" s="1111"/>
      <c r="K341" s="1111"/>
      <c r="L341" s="1085"/>
      <c r="M341" s="977">
        <v>50</v>
      </c>
    </row>
    <row r="342" spans="1:13" s="1086" customFormat="1" ht="25.15" hidden="1" customHeight="1">
      <c r="A342" s="1156">
        <f t="shared" si="19"/>
        <v>0</v>
      </c>
      <c r="B342" s="1157" t="s">
        <v>1484</v>
      </c>
      <c r="C342" s="1157"/>
      <c r="D342" s="1113"/>
      <c r="E342" s="1082" t="str">
        <f>VLOOKUP($B342,DG!A:D,DG!$B$2,)</f>
        <v>04.3007</v>
      </c>
      <c r="F342" s="1083" t="str">
        <f>VLOOKUP($B342,DG!A:D,DG!$C$2,)</f>
        <v>Kẹp quai 2/0</v>
      </c>
      <c r="G342" s="1082" t="str">
        <f>VLOOKUP($B342,DG!A:D,DG!$D$2,)</f>
        <v>cái</v>
      </c>
      <c r="H342" s="1170">
        <f>H339</f>
        <v>0</v>
      </c>
      <c r="I342" s="1262">
        <f t="shared" si="20"/>
        <v>0</v>
      </c>
      <c r="J342" s="1111"/>
      <c r="K342" s="1111"/>
      <c r="L342" s="1085"/>
      <c r="M342" s="977">
        <v>50</v>
      </c>
    </row>
    <row r="343" spans="1:13" s="1086" customFormat="1" ht="25.15" hidden="1" customHeight="1">
      <c r="A343" s="1156">
        <f t="shared" si="19"/>
        <v>0</v>
      </c>
      <c r="B343" s="1157" t="s">
        <v>1482</v>
      </c>
      <c r="C343" s="1157"/>
      <c r="D343" s="1113"/>
      <c r="E343" s="1082" t="str">
        <f>VLOOKUP($B343,DG!A:D,DG!$B$2,)</f>
        <v>04.3007</v>
      </c>
      <c r="F343" s="1083" t="str">
        <f>VLOOKUP($B343,DG!A:D,DG!$C$2,)</f>
        <v>Kẹp hotline 2/0</v>
      </c>
      <c r="G343" s="1082" t="str">
        <f>VLOOKUP($B343,DG!A:D,DG!$D$2,)</f>
        <v>cái</v>
      </c>
      <c r="H343" s="1170">
        <f>H339</f>
        <v>0</v>
      </c>
      <c r="I343" s="1262">
        <f t="shared" si="20"/>
        <v>0</v>
      </c>
      <c r="J343" s="1111"/>
      <c r="K343" s="1111"/>
      <c r="L343" s="1085"/>
      <c r="M343" s="977">
        <v>50</v>
      </c>
    </row>
    <row r="344" spans="1:13" s="1086" customFormat="1" ht="25.15" hidden="1" customHeight="1">
      <c r="A344" s="1156">
        <f t="shared" si="19"/>
        <v>0</v>
      </c>
      <c r="B344" s="1157" t="s">
        <v>382</v>
      </c>
      <c r="C344" s="1157"/>
      <c r="D344" s="1113"/>
      <c r="E344" s="1082">
        <f>VLOOKUP($B344,DG!A:D,DG!$B$2,)</f>
        <v>0</v>
      </c>
      <c r="F344" s="1083" t="str">
        <f>VLOOKUP($B344,DG!A:D,DG!$C$2,)</f>
        <v>Chụp đầu cực FCO (bộ 2 cái)</v>
      </c>
      <c r="G344" s="1082" t="str">
        <f>VLOOKUP($B344,DG!A:D,DG!$D$2,)</f>
        <v>bộ</v>
      </c>
      <c r="H344" s="1170">
        <f>H273</f>
        <v>0</v>
      </c>
      <c r="I344" s="1262">
        <f t="shared" si="20"/>
        <v>0</v>
      </c>
      <c r="J344" s="1111"/>
      <c r="K344" s="1111"/>
      <c r="L344" s="1085"/>
      <c r="M344" s="977">
        <v>50</v>
      </c>
    </row>
    <row r="345" spans="1:13" s="1086" customFormat="1" ht="25.15" hidden="1" customHeight="1">
      <c r="A345" s="1156">
        <f t="shared" si="19"/>
        <v>0</v>
      </c>
      <c r="B345" s="1157" t="s">
        <v>383</v>
      </c>
      <c r="C345" s="1157"/>
      <c r="D345" s="1113"/>
      <c r="E345" s="1082">
        <f>VLOOKUP($B345,DG!A:D,DG!$B$2,)</f>
        <v>0</v>
      </c>
      <c r="F345" s="1083" t="str">
        <f>VLOOKUP($B345,DG!A:D,DG!$C$2,)</f>
        <v>Chụp đầu cực LA</v>
      </c>
      <c r="G345" s="1082" t="str">
        <f>VLOOKUP($B345,DG!A:D,DG!$D$2,)</f>
        <v>cái</v>
      </c>
      <c r="H345" s="1170">
        <f>H275</f>
        <v>0</v>
      </c>
      <c r="I345" s="1262">
        <f t="shared" si="20"/>
        <v>0</v>
      </c>
      <c r="J345" s="1111"/>
      <c r="K345" s="1111"/>
      <c r="L345" s="1085"/>
      <c r="M345" s="977">
        <v>50</v>
      </c>
    </row>
    <row r="346" spans="1:13" s="1086" customFormat="1" ht="25.15" hidden="1" customHeight="1">
      <c r="A346" s="1156">
        <f t="shared" si="19"/>
        <v>0</v>
      </c>
      <c r="B346" s="1157" t="s">
        <v>384</v>
      </c>
      <c r="C346" s="1157"/>
      <c r="D346" s="1113"/>
      <c r="E346" s="1082">
        <f>VLOOKUP($B346,DG!A:D,DG!$B$2,)</f>
        <v>0</v>
      </c>
      <c r="F346" s="1083" t="str">
        <f>VLOOKUP($B346,DG!A:D,DG!$C$2,)</f>
        <v>Chụp đầu MBA</v>
      </c>
      <c r="G346" s="1082" t="str">
        <f>VLOOKUP($B346,DG!A:D,DG!$D$2,)</f>
        <v>cái</v>
      </c>
      <c r="H346" s="1170">
        <f>H272</f>
        <v>0</v>
      </c>
      <c r="I346" s="1262">
        <f t="shared" si="20"/>
        <v>0</v>
      </c>
      <c r="J346" s="1111"/>
      <c r="K346" s="1111"/>
      <c r="L346" s="1085"/>
      <c r="M346" s="977">
        <v>50</v>
      </c>
    </row>
    <row r="347" spans="1:13" s="1086" customFormat="1" ht="25.15" hidden="1" customHeight="1">
      <c r="A347" s="1156">
        <f t="shared" si="19"/>
        <v>0</v>
      </c>
      <c r="B347" s="1157" t="s">
        <v>1530</v>
      </c>
      <c r="C347" s="1157"/>
      <c r="D347" s="1113"/>
      <c r="E347" s="1082" t="str">
        <f>VLOOKUP($B347,DG!A:D,DG!$B$2,)</f>
        <v>04.4201</v>
      </c>
      <c r="F347" s="1083" t="str">
        <f>VLOOKUP($B347,DG!A:D,DG!$C$2,)</f>
        <v>Lắp cáp đồng xuống thiết bị D ≤ 95mm2</v>
      </c>
      <c r="G347" s="1082" t="str">
        <f>VLOOKUP($B347,DG!A:D,DG!$D$2,)</f>
        <v>m</v>
      </c>
      <c r="H347" s="1170">
        <f>H341</f>
        <v>4</v>
      </c>
      <c r="I347" s="1262">
        <f t="shared" si="20"/>
        <v>0</v>
      </c>
      <c r="J347" s="1111"/>
      <c r="K347" s="1111"/>
      <c r="L347" s="1085"/>
      <c r="M347" s="977">
        <v>50</v>
      </c>
    </row>
    <row r="348" spans="1:13" s="1086" customFormat="1" ht="25.15" hidden="1" customHeight="1">
      <c r="A348" s="1156">
        <f t="shared" si="19"/>
        <v>0</v>
      </c>
      <c r="B348" s="1327"/>
      <c r="C348" s="1327"/>
      <c r="D348" s="1169">
        <f>IF(H348&gt;0,D339+1,D339)</f>
        <v>0</v>
      </c>
      <c r="E348" s="1188"/>
      <c r="F348" s="1189" t="s">
        <v>3709</v>
      </c>
      <c r="G348" s="1169" t="s">
        <v>2394</v>
      </c>
      <c r="H348" s="1867">
        <f>H272</f>
        <v>0</v>
      </c>
      <c r="I348" s="1262">
        <f t="shared" si="20"/>
        <v>0</v>
      </c>
      <c r="J348" s="1111"/>
      <c r="K348" s="1111"/>
      <c r="L348" s="1085"/>
      <c r="M348" s="977">
        <v>50</v>
      </c>
    </row>
    <row r="349" spans="1:13" s="1086" customFormat="1" ht="25.15" hidden="1" customHeight="1">
      <c r="A349" s="1156">
        <f>IF(A348&gt;0,1,0)</f>
        <v>0</v>
      </c>
      <c r="B349" s="1327"/>
      <c r="C349" s="1327"/>
      <c r="D349" s="1169"/>
      <c r="E349" s="1188"/>
      <c r="F349" s="1367" t="s">
        <v>2287</v>
      </c>
      <c r="G349" s="1169"/>
      <c r="H349" s="1867"/>
      <c r="I349" s="1262">
        <f t="shared" si="20"/>
        <v>0</v>
      </c>
      <c r="J349" s="1111"/>
      <c r="K349" s="1111"/>
      <c r="L349" s="1085"/>
      <c r="M349" s="977">
        <v>50</v>
      </c>
    </row>
    <row r="350" spans="1:13" s="1086" customFormat="1" ht="25.15" hidden="1" customHeight="1">
      <c r="A350" s="1156">
        <f t="shared" si="19"/>
        <v>0</v>
      </c>
      <c r="B350" s="1327" t="s">
        <v>49</v>
      </c>
      <c r="C350" s="1327">
        <v>18</v>
      </c>
      <c r="D350" s="1169"/>
      <c r="E350" s="1082">
        <f>VLOOKUP($B350,DG!A:D,DG!$B$2,)</f>
        <v>0</v>
      </c>
      <c r="F350" s="1083" t="str">
        <f>VLOOKUP($B350,DG!A:D,DG!$C$2,)</f>
        <v>Cáp đồng bọc CV120</v>
      </c>
      <c r="G350" s="1082" t="str">
        <f>VLOOKUP($B350,DG!A:D,DG!$D$2,)</f>
        <v>mét</v>
      </c>
      <c r="H350" s="2062">
        <v>20</v>
      </c>
      <c r="I350" s="2062">
        <f t="shared" ref="I350:K350" si="30">I$348*$C350</f>
        <v>0</v>
      </c>
      <c r="J350" s="2062">
        <f t="shared" si="30"/>
        <v>0</v>
      </c>
      <c r="K350" s="2062">
        <f t="shared" si="30"/>
        <v>0</v>
      </c>
      <c r="L350" s="1085"/>
      <c r="M350" s="977">
        <v>50</v>
      </c>
    </row>
    <row r="351" spans="1:13" s="1086" customFormat="1" ht="25.15" hidden="1" customHeight="1">
      <c r="A351" s="1156">
        <f t="shared" ref="A351:A412" si="31">IF(I351&gt;0,1,0)</f>
        <v>0</v>
      </c>
      <c r="B351" s="1327" t="s">
        <v>1411</v>
      </c>
      <c r="C351" s="1327">
        <v>11</v>
      </c>
      <c r="D351" s="1169"/>
      <c r="E351" s="1082">
        <f>VLOOKUP($B351,DG!A:D,DG!$B$2,)</f>
        <v>0</v>
      </c>
      <c r="F351" s="1083" t="str">
        <f>VLOOKUP($B351,DG!A:D,DG!$C$2,)</f>
        <v>Cáp đồng bọc CV25</v>
      </c>
      <c r="G351" s="1082" t="str">
        <f>VLOOKUP($B351,DG!A:D,DG!$D$2,)</f>
        <v>mét</v>
      </c>
      <c r="H351" s="2062"/>
      <c r="I351" s="2062"/>
      <c r="J351" s="2062">
        <f t="shared" ref="H351:K366" si="32">J$348*$C351</f>
        <v>0</v>
      </c>
      <c r="K351" s="2062">
        <f t="shared" si="32"/>
        <v>0</v>
      </c>
      <c r="L351" s="1085"/>
      <c r="M351" s="977">
        <v>50</v>
      </c>
    </row>
    <row r="352" spans="1:13" s="1086" customFormat="1" ht="25.15" hidden="1" customHeight="1">
      <c r="A352" s="1156">
        <f t="shared" si="31"/>
        <v>0</v>
      </c>
      <c r="B352" s="1327" t="s">
        <v>4553</v>
      </c>
      <c r="C352" s="1327">
        <v>2</v>
      </c>
      <c r="D352" s="1113"/>
      <c r="E352" s="1082" t="str">
        <f>VLOOKUP($B352,DG!A:D,DG!$B$2,)</f>
        <v>03.1401</v>
      </c>
      <c r="F352" s="1083" t="str">
        <f>VLOOKUP($B352,DG!A:D,DG!$C$2,)</f>
        <v xml:space="preserve">Cáp CVV 4x4mm2  </v>
      </c>
      <c r="G352" s="1082" t="str">
        <f>VLOOKUP($B352,DG!A:D,DG!$D$2,)</f>
        <v>mét</v>
      </c>
      <c r="H352" s="2062">
        <f t="shared" si="32"/>
        <v>0</v>
      </c>
      <c r="I352" s="2062">
        <f t="shared" si="32"/>
        <v>0</v>
      </c>
      <c r="J352" s="2062">
        <f t="shared" si="32"/>
        <v>0</v>
      </c>
      <c r="K352" s="2062">
        <f t="shared" si="32"/>
        <v>0</v>
      </c>
      <c r="L352" s="1085"/>
      <c r="M352" s="977">
        <v>50</v>
      </c>
    </row>
    <row r="353" spans="1:13" s="1086" customFormat="1" ht="25.15" hidden="1" customHeight="1">
      <c r="A353" s="1156">
        <f t="shared" si="31"/>
        <v>0</v>
      </c>
      <c r="B353" s="1332" t="s">
        <v>1310</v>
      </c>
      <c r="C353" s="1332">
        <v>4</v>
      </c>
      <c r="D353" s="1113"/>
      <c r="E353" s="1082" t="str">
        <f>VLOOKUP($B353,DG!A:D,DG!$B$2,)</f>
        <v>03.4005</v>
      </c>
      <c r="F353" s="1083" t="str">
        <f>VLOOKUP($B353,DG!A:D,DG!$C$2,)</f>
        <v>Đầu cosse ép Cu 120mm2</v>
      </c>
      <c r="G353" s="1082" t="str">
        <f>VLOOKUP($B353,DG!A:D,DG!$D$2,)</f>
        <v>cái</v>
      </c>
      <c r="H353" s="2062">
        <f t="shared" si="32"/>
        <v>0</v>
      </c>
      <c r="I353" s="2062">
        <f t="shared" si="32"/>
        <v>0</v>
      </c>
      <c r="J353" s="2062">
        <f t="shared" si="32"/>
        <v>0</v>
      </c>
      <c r="K353" s="2062">
        <f t="shared" si="32"/>
        <v>0</v>
      </c>
      <c r="L353" s="1085"/>
      <c r="M353" s="977">
        <v>50</v>
      </c>
    </row>
    <row r="354" spans="1:13" s="1086" customFormat="1" ht="25.15" hidden="1" customHeight="1">
      <c r="A354" s="1156">
        <f t="shared" si="31"/>
        <v>0</v>
      </c>
      <c r="B354" s="1332" t="s">
        <v>93</v>
      </c>
      <c r="C354" s="1332">
        <v>4</v>
      </c>
      <c r="D354" s="1113"/>
      <c r="E354" s="1082">
        <f>VLOOKUP($B354,DG!A:D,DG!$B$2,)</f>
        <v>0</v>
      </c>
      <c r="F354" s="1083" t="str">
        <f>VLOOKUP($B354,DG!A:D,DG!$C$2,)</f>
        <v>Chụp đầu cosse  120mm2</v>
      </c>
      <c r="G354" s="1082" t="str">
        <f>VLOOKUP($B354,DG!A:D,DG!$D$2,)</f>
        <v>cái</v>
      </c>
      <c r="H354" s="2062">
        <f t="shared" si="32"/>
        <v>0</v>
      </c>
      <c r="I354" s="2062">
        <f t="shared" si="32"/>
        <v>0</v>
      </c>
      <c r="J354" s="2062">
        <f t="shared" si="32"/>
        <v>0</v>
      </c>
      <c r="K354" s="2062">
        <f t="shared" si="32"/>
        <v>0</v>
      </c>
      <c r="L354" s="1085"/>
      <c r="M354" s="977">
        <v>50</v>
      </c>
    </row>
    <row r="355" spans="1:13" s="1086" customFormat="1" ht="25.15" hidden="1" customHeight="1">
      <c r="A355" s="1156">
        <f t="shared" si="31"/>
        <v>0</v>
      </c>
      <c r="B355" s="1332" t="s">
        <v>104</v>
      </c>
      <c r="C355" s="1332">
        <v>0</v>
      </c>
      <c r="D355" s="1113"/>
      <c r="E355" s="1082" t="str">
        <f>VLOOKUP($B355,DG!A:D,DG!$B$2,)</f>
        <v>03.4001</v>
      </c>
      <c r="F355" s="1083" t="str">
        <f>VLOOKUP($B355,DG!A:D,DG!$C$2,)</f>
        <v>Đầu cosse ép Cu 25mm2</v>
      </c>
      <c r="G355" s="1082" t="str">
        <f>VLOOKUP($B355,DG!A:D,DG!$D$2,)</f>
        <v>cái</v>
      </c>
      <c r="H355" s="2062">
        <f t="shared" si="32"/>
        <v>0</v>
      </c>
      <c r="I355" s="2062">
        <f t="shared" si="32"/>
        <v>0</v>
      </c>
      <c r="J355" s="2062">
        <f t="shared" si="32"/>
        <v>0</v>
      </c>
      <c r="K355" s="2062">
        <f t="shared" si="32"/>
        <v>0</v>
      </c>
      <c r="L355" s="1085"/>
      <c r="M355" s="977">
        <v>50</v>
      </c>
    </row>
    <row r="356" spans="1:13" s="1086" customFormat="1" ht="25.15" hidden="1" customHeight="1">
      <c r="A356" s="1156">
        <f t="shared" si="31"/>
        <v>0</v>
      </c>
      <c r="B356" s="1332" t="s">
        <v>1922</v>
      </c>
      <c r="C356" s="1332">
        <v>0</v>
      </c>
      <c r="D356" s="1113"/>
      <c r="E356" s="1082">
        <f>VLOOKUP($B356,DG!A:D,DG!$B$2,)</f>
        <v>0</v>
      </c>
      <c r="F356" s="1083" t="str">
        <f>VLOOKUP($B356,DG!A:D,DG!$C$2,)</f>
        <v>Chụp đầu cosse  25mm2</v>
      </c>
      <c r="G356" s="1082" t="str">
        <f>VLOOKUP($B356,DG!A:D,DG!$D$2,)</f>
        <v>cái</v>
      </c>
      <c r="H356" s="2062">
        <f t="shared" si="32"/>
        <v>0</v>
      </c>
      <c r="I356" s="2062">
        <f t="shared" si="32"/>
        <v>0</v>
      </c>
      <c r="J356" s="2062">
        <f t="shared" si="32"/>
        <v>0</v>
      </c>
      <c r="K356" s="2062">
        <f t="shared" si="32"/>
        <v>0</v>
      </c>
      <c r="L356" s="1085"/>
      <c r="M356" s="977">
        <v>50</v>
      </c>
    </row>
    <row r="357" spans="1:13" s="1086" customFormat="1" ht="25.15" hidden="1" customHeight="1">
      <c r="A357" s="1156">
        <f t="shared" si="31"/>
        <v>1</v>
      </c>
      <c r="B357" s="1332" t="s">
        <v>1044</v>
      </c>
      <c r="C357" s="1332">
        <v>8</v>
      </c>
      <c r="D357" s="1113"/>
      <c r="E357" s="1082">
        <f>VLOOKUP($B357,DG!A:D,DG!$B$2,)</f>
        <v>0</v>
      </c>
      <c r="F357" s="1083" t="str">
        <f>VLOOKUP($B357,DG!A:D,DG!$C$2,)</f>
        <v xml:space="preserve">Ống PVC D114x4,9mm </v>
      </c>
      <c r="G357" s="1082" t="str">
        <f>VLOOKUP($B357,DG!A:D,DG!$D$2,)</f>
        <v>m</v>
      </c>
      <c r="H357" s="2062">
        <v>7</v>
      </c>
      <c r="I357" s="2062">
        <f>H357</f>
        <v>7</v>
      </c>
      <c r="J357" s="2062">
        <f t="shared" si="32"/>
        <v>0</v>
      </c>
      <c r="K357" s="2062">
        <f t="shared" si="32"/>
        <v>0</v>
      </c>
      <c r="L357" s="1085"/>
      <c r="M357" s="977">
        <v>50</v>
      </c>
    </row>
    <row r="358" spans="1:13" s="1086" customFormat="1" ht="25.15" hidden="1" customHeight="1">
      <c r="A358" s="1156">
        <f t="shared" si="31"/>
        <v>0</v>
      </c>
      <c r="B358" s="1157" t="s">
        <v>1868</v>
      </c>
      <c r="C358" s="1157">
        <v>3</v>
      </c>
      <c r="D358" s="1113"/>
      <c r="E358" s="1082" t="str">
        <f>VLOOKUP($B358,DG!A:D,DG!$B$2,)</f>
        <v>06.3231</v>
      </c>
      <c r="F358" s="1083" t="str">
        <f>VLOOKUP($B358,DG!A:D,DG!$C$2,)</f>
        <v>Cổ dê kẹp ống PVC Ø 114</v>
      </c>
      <c r="G358" s="1082" t="str">
        <f>VLOOKUP($B358,DG!A:D,DG!$D$2,)</f>
        <v>bộ</v>
      </c>
      <c r="H358" s="2062">
        <v>2</v>
      </c>
      <c r="I358" s="2062">
        <f t="shared" si="32"/>
        <v>0</v>
      </c>
      <c r="J358" s="2062">
        <f t="shared" si="32"/>
        <v>0</v>
      </c>
      <c r="K358" s="2062">
        <f t="shared" si="32"/>
        <v>0</v>
      </c>
      <c r="L358" s="1085"/>
      <c r="M358" s="977">
        <v>50</v>
      </c>
    </row>
    <row r="359" spans="1:13" s="1086" customFormat="1" ht="25.15" hidden="1" customHeight="1">
      <c r="A359" s="1156">
        <f t="shared" si="31"/>
        <v>0</v>
      </c>
      <c r="B359" s="1332" t="s">
        <v>1870</v>
      </c>
      <c r="C359" s="1332">
        <v>2</v>
      </c>
      <c r="D359" s="1113"/>
      <c r="E359" s="1082">
        <f>VLOOKUP($B359,DG!A:D,DG!$B$2,)</f>
        <v>0</v>
      </c>
      <c r="F359" s="1083" t="str">
        <f>VLOOKUP($B359,DG!A:D,DG!$C$2,)</f>
        <v>Co  90 độ PVC 114</v>
      </c>
      <c r="G359" s="1082" t="str">
        <f>VLOOKUP($B359,DG!A:D,DG!$D$2,)</f>
        <v>cái</v>
      </c>
      <c r="H359" s="2062">
        <f t="shared" si="32"/>
        <v>0</v>
      </c>
      <c r="I359" s="2062">
        <f t="shared" si="32"/>
        <v>0</v>
      </c>
      <c r="J359" s="2062">
        <f t="shared" si="32"/>
        <v>0</v>
      </c>
      <c r="K359" s="2062">
        <f t="shared" si="32"/>
        <v>0</v>
      </c>
      <c r="L359" s="1085"/>
      <c r="M359" s="977">
        <v>50</v>
      </c>
    </row>
    <row r="360" spans="1:13" s="1086" customFormat="1" ht="25.15" hidden="1" customHeight="1">
      <c r="A360" s="1156">
        <f t="shared" si="31"/>
        <v>0</v>
      </c>
      <c r="B360" s="1332" t="s">
        <v>690</v>
      </c>
      <c r="C360" s="1332">
        <v>1</v>
      </c>
      <c r="D360" s="1113"/>
      <c r="E360" s="1082">
        <f>VLOOKUP($B360,DG!A:D,DG!$B$2,)</f>
        <v>0</v>
      </c>
      <c r="F360" s="1083" t="str">
        <f>VLOOKUP($B360,DG!A:D,DG!$C$2,)</f>
        <v>Nối ống PVC 114</v>
      </c>
      <c r="G360" s="1082" t="str">
        <f>VLOOKUP($B360,DG!A:D,DG!$D$2,)</f>
        <v>cái</v>
      </c>
      <c r="H360" s="2062">
        <f t="shared" si="32"/>
        <v>0</v>
      </c>
      <c r="I360" s="2062">
        <f t="shared" si="32"/>
        <v>0</v>
      </c>
      <c r="J360" s="2062">
        <f t="shared" si="32"/>
        <v>0</v>
      </c>
      <c r="K360" s="2062">
        <f t="shared" si="32"/>
        <v>0</v>
      </c>
      <c r="L360" s="1085"/>
      <c r="M360" s="977">
        <v>50</v>
      </c>
    </row>
    <row r="361" spans="1:13" s="1086" customFormat="1" ht="25.15" hidden="1" customHeight="1">
      <c r="A361" s="1156">
        <f t="shared" si="31"/>
        <v>0</v>
      </c>
      <c r="B361" s="1332" t="s">
        <v>2082</v>
      </c>
      <c r="C361" s="1332">
        <v>1</v>
      </c>
      <c r="D361" s="1113"/>
      <c r="E361" s="1082">
        <f>VLOOKUP($B361,DG!A:D,DG!$B$2,)</f>
        <v>0</v>
      </c>
      <c r="F361" s="1083" t="str">
        <f>VLOOKUP($B361,DG!A:D,DG!$C$2,)</f>
        <v>Keo dán ống PVC (100gr)</v>
      </c>
      <c r="G361" s="1082" t="str">
        <f>VLOOKUP($B361,DG!A:D,DG!$D$2,)</f>
        <v>tuýp</v>
      </c>
      <c r="H361" s="2062">
        <f t="shared" si="32"/>
        <v>0</v>
      </c>
      <c r="I361" s="2062">
        <f t="shared" si="32"/>
        <v>0</v>
      </c>
      <c r="J361" s="2062">
        <f t="shared" si="32"/>
        <v>0</v>
      </c>
      <c r="K361" s="2062">
        <f t="shared" si="32"/>
        <v>0</v>
      </c>
      <c r="L361" s="1085"/>
      <c r="M361" s="977">
        <v>50</v>
      </c>
    </row>
    <row r="362" spans="1:13" s="1086" customFormat="1" ht="25.15" hidden="1" customHeight="1">
      <c r="A362" s="1156">
        <f t="shared" si="31"/>
        <v>0</v>
      </c>
      <c r="B362" s="1332" t="s">
        <v>489</v>
      </c>
      <c r="C362" s="1332">
        <v>1</v>
      </c>
      <c r="D362" s="1113"/>
      <c r="E362" s="1082">
        <f>VLOOKUP($B362,DG!A:D,DG!$B$2,)</f>
        <v>0</v>
      </c>
      <c r="F362" s="1083" t="str">
        <f>VLOOKUP($B362,DG!A:D,DG!$C$2,)</f>
        <v>Keo silicon bít miệng ống</v>
      </c>
      <c r="G362" s="1082" t="str">
        <f>VLOOKUP($B362,DG!A:D,DG!$D$2,)</f>
        <v>ống</v>
      </c>
      <c r="H362" s="2062">
        <f t="shared" si="32"/>
        <v>0</v>
      </c>
      <c r="I362" s="2062">
        <f t="shared" si="32"/>
        <v>0</v>
      </c>
      <c r="J362" s="2062">
        <f t="shared" si="32"/>
        <v>0</v>
      </c>
      <c r="K362" s="2062">
        <f t="shared" si="32"/>
        <v>0</v>
      </c>
      <c r="L362" s="1085"/>
      <c r="M362" s="977">
        <v>50</v>
      </c>
    </row>
    <row r="363" spans="1:13" s="1086" customFormat="1" ht="25.15" hidden="1" customHeight="1">
      <c r="A363" s="1156">
        <f t="shared" si="31"/>
        <v>0</v>
      </c>
      <c r="B363" s="1157" t="s">
        <v>672</v>
      </c>
      <c r="C363" s="1157">
        <v>1</v>
      </c>
      <c r="D363" s="1113"/>
      <c r="E363" s="1191"/>
      <c r="F363" s="1083" t="str">
        <f>VLOOKUP($B363,DG!A:D,DG!$C$2,)</f>
        <v>Băng keo cách điện</v>
      </c>
      <c r="G363" s="1082" t="str">
        <f>VLOOKUP($B363,DG!A:D,DG!$D$2,)</f>
        <v>cuộn</v>
      </c>
      <c r="H363" s="2062">
        <f t="shared" si="32"/>
        <v>0</v>
      </c>
      <c r="I363" s="2062">
        <f t="shared" si="32"/>
        <v>0</v>
      </c>
      <c r="J363" s="2062">
        <f t="shared" si="32"/>
        <v>0</v>
      </c>
      <c r="K363" s="2062">
        <f t="shared" si="32"/>
        <v>0</v>
      </c>
      <c r="L363" s="1085"/>
      <c r="M363" s="977">
        <v>50</v>
      </c>
    </row>
    <row r="364" spans="1:13" s="1086" customFormat="1" ht="25.15" hidden="1" customHeight="1">
      <c r="A364" s="1156">
        <f t="shared" si="31"/>
        <v>1</v>
      </c>
      <c r="B364" s="1332" t="s">
        <v>1869</v>
      </c>
      <c r="C364" s="1332">
        <v>8</v>
      </c>
      <c r="D364" s="1113"/>
      <c r="E364" s="1082" t="str">
        <f>VLOOKUP($B364,DG!A:D,DG!$B$2,)</f>
        <v>07,2407</v>
      </c>
      <c r="F364" s="1083" t="str">
        <f>VLOOKUP($B364,DG!A:D,DG!$C$2,)</f>
        <v>Lắp ống nhựa PVC D114</v>
      </c>
      <c r="G364" s="1082" t="str">
        <f>VLOOKUP($B364,DG!A:D,DG!$D$2,)</f>
        <v>mét</v>
      </c>
      <c r="H364" s="2062">
        <f>H357</f>
        <v>7</v>
      </c>
      <c r="I364" s="2062">
        <f>H364</f>
        <v>7</v>
      </c>
      <c r="J364" s="2062">
        <f t="shared" si="32"/>
        <v>0</v>
      </c>
      <c r="K364" s="2062">
        <f t="shared" si="32"/>
        <v>0</v>
      </c>
      <c r="L364" s="1085"/>
      <c r="M364" s="977">
        <v>50</v>
      </c>
    </row>
    <row r="365" spans="1:13" s="1086" customFormat="1" ht="25.15" hidden="1" customHeight="1">
      <c r="A365" s="1156">
        <f t="shared" si="31"/>
        <v>1</v>
      </c>
      <c r="B365" s="1157" t="s">
        <v>1530</v>
      </c>
      <c r="C365" s="1157"/>
      <c r="D365" s="1113"/>
      <c r="E365" s="1082" t="str">
        <f>VLOOKUP($B365,DG!A:D,DG!$B$2,)</f>
        <v>04.4201</v>
      </c>
      <c r="F365" s="1083" t="str">
        <f>VLOOKUP($B365,DG!A:D,DG!$C$2,)</f>
        <v>Lắp cáp đồng xuống thiết bị D ≤ 95mm2</v>
      </c>
      <c r="G365" s="1082" t="str">
        <f>VLOOKUP($B365,DG!A:D,DG!$D$2,)</f>
        <v>m</v>
      </c>
      <c r="H365" s="2062">
        <f>H350+H351</f>
        <v>20</v>
      </c>
      <c r="I365" s="2062">
        <f>H365</f>
        <v>20</v>
      </c>
      <c r="J365" s="2062">
        <f t="shared" si="32"/>
        <v>0</v>
      </c>
      <c r="K365" s="2062">
        <f t="shared" si="32"/>
        <v>0</v>
      </c>
      <c r="L365" s="1085"/>
      <c r="M365" s="977">
        <v>50</v>
      </c>
    </row>
    <row r="366" spans="1:13" s="1086" customFormat="1" ht="25.15" hidden="1" customHeight="1">
      <c r="A366" s="1156">
        <f t="shared" si="31"/>
        <v>1</v>
      </c>
      <c r="B366" s="1332" t="s">
        <v>289</v>
      </c>
      <c r="C366" s="1332"/>
      <c r="D366" s="1173">
        <f>IF(H366&gt;0,D348+1,D348)</f>
        <v>1</v>
      </c>
      <c r="E366" s="1192"/>
      <c r="F366" s="1083" t="str">
        <f>VLOOKUP($B366,DG!A:D,DG!$C$2,)</f>
        <v>Bảng tên trạm, bảng báo nguy hiểm + đinh vít</v>
      </c>
      <c r="G366" s="1082" t="str">
        <f>VLOOKUP($B366,DG!A:D,DG!$D$2,)</f>
        <v>bộ</v>
      </c>
      <c r="H366" s="2062">
        <v>1</v>
      </c>
      <c r="I366" s="2062">
        <f>H366</f>
        <v>1</v>
      </c>
      <c r="J366" s="2062">
        <f t="shared" si="32"/>
        <v>0</v>
      </c>
      <c r="K366" s="2062">
        <f t="shared" si="32"/>
        <v>0</v>
      </c>
      <c r="L366" s="1101"/>
      <c r="M366" s="977">
        <v>50</v>
      </c>
    </row>
    <row r="367" spans="1:13" s="1086" customFormat="1" ht="25.15" hidden="1" customHeight="1">
      <c r="A367" s="1156">
        <f t="shared" si="31"/>
        <v>0</v>
      </c>
      <c r="B367" s="1327"/>
      <c r="C367" s="1327"/>
      <c r="D367" s="1193"/>
      <c r="E367" s="1194"/>
      <c r="F367" s="1072"/>
      <c r="G367" s="1195"/>
      <c r="H367" s="1869"/>
      <c r="I367" s="1262">
        <f t="shared" ref="I367:I420" si="33">IF(M367=$M$23,H367+J367-K367,0)</f>
        <v>0</v>
      </c>
      <c r="J367" s="1196"/>
      <c r="K367" s="1197"/>
      <c r="L367" s="1139"/>
      <c r="M367" s="977"/>
    </row>
    <row r="368" spans="1:13" s="1086" customFormat="1" ht="25.15" hidden="1" customHeight="1">
      <c r="A368" s="1156">
        <f t="shared" si="31"/>
        <v>0</v>
      </c>
      <c r="B368" s="1322"/>
      <c r="C368" s="1322"/>
      <c r="D368" s="1164"/>
      <c r="E368" s="977"/>
      <c r="H368" s="1902"/>
      <c r="I368" s="1262">
        <f t="shared" si="33"/>
        <v>0</v>
      </c>
      <c r="M368" s="977"/>
    </row>
    <row r="369" spans="1:14" s="1086" customFormat="1" ht="25.15" hidden="1" customHeight="1">
      <c r="A369" s="1156">
        <f t="shared" si="31"/>
        <v>0</v>
      </c>
      <c r="B369" s="1322"/>
      <c r="C369" s="1322"/>
      <c r="D369" s="1137" t="str">
        <f>"BAÛNG TOÅNG HÔÏP VAÄT LIEÄU, NHAÂN COÂNG, MAÙY THI COÂNG : "&amp;I10&amp;" TRAÏM 1P_75KVA"</f>
        <v>BAÛNG TOÅNG HÔÏP VAÄT LIEÄU, NHAÂN COÂNG, MAÙY THI COÂNG :  TRAÏM 1P_75KVA</v>
      </c>
      <c r="E369" s="1198"/>
      <c r="F369" s="1103"/>
      <c r="G369" s="1103"/>
      <c r="H369" s="1870"/>
      <c r="I369" s="1262">
        <f t="shared" si="33"/>
        <v>0</v>
      </c>
      <c r="J369" s="1103"/>
      <c r="K369" s="1103"/>
      <c r="L369" s="977"/>
      <c r="M369" s="977"/>
    </row>
    <row r="370" spans="1:14" s="1086" customFormat="1" ht="25.15" hidden="1" customHeight="1">
      <c r="A370" s="1156">
        <f t="shared" si="31"/>
        <v>0</v>
      </c>
      <c r="B370" s="1327"/>
      <c r="C370" s="1327"/>
      <c r="D370" s="1159"/>
      <c r="E370" s="1160"/>
      <c r="F370" s="1072" t="s">
        <v>3693</v>
      </c>
      <c r="G370" s="1162"/>
      <c r="H370" s="1865"/>
      <c r="I370" s="1865">
        <f t="shared" si="33"/>
        <v>0</v>
      </c>
      <c r="J370" s="1162"/>
      <c r="K370" s="1162"/>
      <c r="L370" s="1139"/>
      <c r="M370" s="977">
        <v>75</v>
      </c>
    </row>
    <row r="371" spans="1:14" s="1086" customFormat="1" ht="25.15" hidden="1" customHeight="1">
      <c r="A371" s="1156">
        <f t="shared" si="31"/>
        <v>0</v>
      </c>
      <c r="B371" s="1328" t="s">
        <v>1215</v>
      </c>
      <c r="C371" s="1328"/>
      <c r="D371" s="1093">
        <f>IF(H371&gt;0,1,0)</f>
        <v>0</v>
      </c>
      <c r="E371" s="1082" t="str">
        <f>VLOOKUP($B371,DG!A:D,DG!$B$2,)</f>
        <v>01.1163</v>
      </c>
      <c r="F371" s="1095" t="str">
        <f>VLOOKUP($B371,DG!A:D,DG!$C$2,)</f>
        <v>Máy biến áp 12,7/0,23-0,46kV  75kVA</v>
      </c>
      <c r="G371" s="1082" t="str">
        <f>VLOOKUP($B371,DG!A:D,DG!$D$2,)</f>
        <v>máy</v>
      </c>
      <c r="H371" s="1871">
        <f>I10</f>
        <v>0</v>
      </c>
      <c r="I371" s="1262">
        <f t="shared" si="33"/>
        <v>0</v>
      </c>
      <c r="J371" s="1111"/>
      <c r="K371" s="1111"/>
      <c r="L371" s="1085"/>
      <c r="M371" s="977">
        <v>75</v>
      </c>
    </row>
    <row r="372" spans="1:14" s="1086" customFormat="1" ht="25.15" hidden="1" customHeight="1">
      <c r="A372" s="1156">
        <f t="shared" si="31"/>
        <v>0</v>
      </c>
      <c r="B372" s="1328" t="s">
        <v>1657</v>
      </c>
      <c r="C372" s="1328"/>
      <c r="D372" s="1093">
        <f t="shared" ref="D372:D379" si="34">IF(H372&gt;0,D371+1,D371)</f>
        <v>0</v>
      </c>
      <c r="E372" s="1082" t="str">
        <f>VLOOKUP($B372,DG!A:D,DG!$B$2,)</f>
        <v>02.3155</v>
      </c>
      <c r="F372" s="1095" t="str">
        <f>VLOOKUP($B372,DG!A:D,DG!$C$2,)</f>
        <v>FCO 27kV - 100A</v>
      </c>
      <c r="G372" s="1082" t="str">
        <f>VLOOKUP($B372,DG!A:D,DG!$D$2,)</f>
        <v>cái</v>
      </c>
      <c r="H372" s="1170">
        <f>+H371</f>
        <v>0</v>
      </c>
      <c r="I372" s="1262">
        <f t="shared" si="33"/>
        <v>0</v>
      </c>
      <c r="J372" s="1111"/>
      <c r="K372" s="1111"/>
      <c r="L372" s="1085"/>
      <c r="M372" s="977">
        <v>75</v>
      </c>
    </row>
    <row r="373" spans="1:14" s="1086" customFormat="1" ht="25.15" hidden="1" customHeight="1">
      <c r="A373" s="1156">
        <f t="shared" si="31"/>
        <v>0</v>
      </c>
      <c r="B373" s="1328" t="s">
        <v>1029</v>
      </c>
      <c r="C373" s="1328"/>
      <c r="D373" s="1093">
        <f t="shared" si="34"/>
        <v>0</v>
      </c>
      <c r="E373" s="1082">
        <f>VLOOKUP($B373,DG!A:D,DG!$B$2,)</f>
        <v>0</v>
      </c>
      <c r="F373" s="1095" t="str">
        <f>VLOOKUP($B373,DG!A:D,DG!$C$2,)</f>
        <v>Dây chảy 8K</v>
      </c>
      <c r="G373" s="1082" t="str">
        <f>VLOOKUP($B373,DG!A:D,DG!$D$2,)</f>
        <v>Sợi</v>
      </c>
      <c r="H373" s="1170">
        <f>H372</f>
        <v>0</v>
      </c>
      <c r="I373" s="1262">
        <f t="shared" si="33"/>
        <v>0</v>
      </c>
      <c r="J373" s="1111"/>
      <c r="K373" s="1111"/>
      <c r="L373" s="1085"/>
      <c r="M373" s="977">
        <v>75</v>
      </c>
    </row>
    <row r="374" spans="1:14" s="1086" customFormat="1" ht="25.15" hidden="1" customHeight="1">
      <c r="A374" s="1156">
        <f t="shared" si="31"/>
        <v>0</v>
      </c>
      <c r="B374" s="1322" t="s">
        <v>1378</v>
      </c>
      <c r="C374" s="1322"/>
      <c r="D374" s="1093">
        <f t="shared" si="34"/>
        <v>0</v>
      </c>
      <c r="E374" s="1082" t="str">
        <f>VLOOKUP($B374,DG!A:D,DG!$B$2,)</f>
        <v>02.5114</v>
      </c>
      <c r="F374" s="1095" t="str">
        <f>VLOOKUP($B374,DG!A:D,DG!$C$2,)</f>
        <v>Chống sét van LA-18KV-10KA</v>
      </c>
      <c r="G374" s="1082" t="str">
        <f>VLOOKUP($B374,DG!A:D,DG!$D$2,)</f>
        <v>cái</v>
      </c>
      <c r="H374" s="1170">
        <f>H372</f>
        <v>0</v>
      </c>
      <c r="I374" s="1262">
        <f t="shared" si="33"/>
        <v>0</v>
      </c>
      <c r="J374" s="1111"/>
      <c r="K374" s="1111"/>
      <c r="L374" s="1085"/>
      <c r="M374" s="977">
        <v>75</v>
      </c>
    </row>
    <row r="375" spans="1:14" s="1086" customFormat="1" ht="25.15" hidden="1" customHeight="1">
      <c r="A375" s="1156">
        <f t="shared" si="31"/>
        <v>0</v>
      </c>
      <c r="B375" s="1330" t="s">
        <v>988</v>
      </c>
      <c r="C375" s="1330"/>
      <c r="D375" s="1093">
        <f t="shared" si="34"/>
        <v>0</v>
      </c>
      <c r="E375" s="1082" t="str">
        <f>VLOOKUP($B375,DG!A:D,DG!$B$2,)</f>
        <v>02.8402</v>
      </c>
      <c r="F375" s="1095" t="str">
        <f>VLOOKUP($B375,DG!A:D,DG!$C$2,)</f>
        <v>MCCB 3 cực 690V - 400A - 50KA</v>
      </c>
      <c r="G375" s="1082" t="str">
        <f>VLOOKUP($B375,DG!A:D,DG!$D$2,)</f>
        <v>cái</v>
      </c>
      <c r="H375" s="1170">
        <f>H371</f>
        <v>0</v>
      </c>
      <c r="I375" s="1262">
        <f t="shared" si="33"/>
        <v>0</v>
      </c>
      <c r="J375" s="1111"/>
      <c r="K375" s="1111"/>
      <c r="L375" s="1085"/>
      <c r="M375" s="977">
        <v>75</v>
      </c>
    </row>
    <row r="376" spans="1:14" s="1086" customFormat="1" ht="25.15" hidden="1" customHeight="1">
      <c r="A376" s="1156">
        <f t="shared" si="31"/>
        <v>0</v>
      </c>
      <c r="B376" s="1330" t="s">
        <v>4544</v>
      </c>
      <c r="C376" s="1330"/>
      <c r="D376" s="1093">
        <f t="shared" si="34"/>
        <v>0</v>
      </c>
      <c r="E376" s="1082">
        <f>VLOOKUP($B376,DG!A:D,DG!$B$2,)</f>
        <v>0</v>
      </c>
      <c r="F376" s="1083" t="str">
        <f>VLOOKUP($B376,DG!A:D,DG!$C$2,)</f>
        <v xml:space="preserve">Biến dòng 600V - 300/5A </v>
      </c>
      <c r="G376" s="1082" t="str">
        <f>VLOOKUP($B376,DG!A:D,DG!$D$2,)</f>
        <v>cái</v>
      </c>
      <c r="H376" s="1170">
        <f>H371</f>
        <v>0</v>
      </c>
      <c r="I376" s="1262">
        <f t="shared" si="33"/>
        <v>0</v>
      </c>
      <c r="J376" s="1111"/>
      <c r="K376" s="1111"/>
      <c r="L376" s="1113" t="s">
        <v>2612</v>
      </c>
      <c r="M376" s="977">
        <v>75</v>
      </c>
    </row>
    <row r="377" spans="1:14" s="1086" customFormat="1" ht="25.15" hidden="1" customHeight="1">
      <c r="A377" s="1156">
        <f t="shared" si="31"/>
        <v>0</v>
      </c>
      <c r="B377" s="1334" t="s">
        <v>4545</v>
      </c>
      <c r="C377" s="1334"/>
      <c r="D377" s="1093">
        <f>IF(H377&gt;0,D376+1,D376)</f>
        <v>0</v>
      </c>
      <c r="E377" s="1082" t="str">
        <f>VLOOKUP($B377,DG!A:D,DG!$B$2,)</f>
        <v>05.5104</v>
      </c>
      <c r="F377" s="1083" t="str">
        <f>VLOOKUP($B377,DG!A:D,DG!$C$2,)</f>
        <v>Điện kế 3 pha điện tử 220/380V-5A</v>
      </c>
      <c r="G377" s="1082" t="str">
        <f>VLOOKUP($B377,DG!A:D,DG!$D$2,)</f>
        <v>cái</v>
      </c>
      <c r="H377" s="1170">
        <f>H376</f>
        <v>0</v>
      </c>
      <c r="I377" s="1262">
        <f t="shared" si="33"/>
        <v>0</v>
      </c>
      <c r="J377" s="1111"/>
      <c r="K377" s="1111"/>
      <c r="L377" s="1113" t="s">
        <v>2612</v>
      </c>
      <c r="M377" s="977">
        <v>75</v>
      </c>
    </row>
    <row r="378" spans="1:14" s="1086" customFormat="1" ht="25.15" hidden="1" customHeight="1">
      <c r="A378" s="1156">
        <f t="shared" si="31"/>
        <v>0</v>
      </c>
      <c r="B378" s="1327" t="s">
        <v>199</v>
      </c>
      <c r="C378" s="1327"/>
      <c r="D378" s="1093">
        <f t="shared" si="34"/>
        <v>0</v>
      </c>
      <c r="E378" s="1082">
        <f>VLOOKUP($B378,DG!A:D,DG!$B$2,)</f>
        <v>0</v>
      </c>
      <c r="F378" s="1083" t="str">
        <f>VLOOKUP($B378,DG!A:D,DG!$C$2,)</f>
        <v xml:space="preserve">Ampe kế 100/5A-600v +AS </v>
      </c>
      <c r="G378" s="1082" t="str">
        <f>VLOOKUP($B378,DG!A:D,DG!$D$2,)</f>
        <v>Bộ</v>
      </c>
      <c r="H378" s="1170">
        <f>H377*0</f>
        <v>0</v>
      </c>
      <c r="I378" s="1262">
        <f t="shared" si="33"/>
        <v>0</v>
      </c>
      <c r="J378" s="1111"/>
      <c r="K378" s="1111"/>
      <c r="L378" s="1113" t="s">
        <v>2612</v>
      </c>
      <c r="M378" s="977">
        <v>75</v>
      </c>
    </row>
    <row r="379" spans="1:14" s="1086" customFormat="1" ht="25.15" hidden="1" customHeight="1">
      <c r="A379" s="1156">
        <f t="shared" si="31"/>
        <v>0</v>
      </c>
      <c r="B379" s="1327" t="s">
        <v>200</v>
      </c>
      <c r="C379" s="1327"/>
      <c r="D379" s="1093">
        <f t="shared" si="34"/>
        <v>0</v>
      </c>
      <c r="E379" s="1082">
        <f>VLOOKUP($B379,DG!A:D,DG!$B$2,)</f>
        <v>0</v>
      </c>
      <c r="F379" s="1083" t="str">
        <f>VLOOKUP($B379,DG!A:D,DG!$C$2,)</f>
        <v>Volt kế 500V + VS + 2xChì ống 1A-230V</v>
      </c>
      <c r="G379" s="1082" t="str">
        <f>VLOOKUP($B379,DG!A:D,DG!$D$2,)</f>
        <v>Bộ</v>
      </c>
      <c r="H379" s="1170">
        <f>H378</f>
        <v>0</v>
      </c>
      <c r="I379" s="1262">
        <f t="shared" si="33"/>
        <v>0</v>
      </c>
      <c r="J379" s="1111"/>
      <c r="K379" s="1111"/>
      <c r="L379" s="1101"/>
      <c r="M379" s="977">
        <v>75</v>
      </c>
    </row>
    <row r="380" spans="1:14" s="1086" customFormat="1" ht="25.15" hidden="1" customHeight="1">
      <c r="A380" s="1156">
        <f>A382</f>
        <v>0</v>
      </c>
      <c r="B380" s="1327"/>
      <c r="C380" s="1327"/>
      <c r="D380" s="1110"/>
      <c r="E380" s="1182"/>
      <c r="F380" s="1163"/>
      <c r="G380" s="1110"/>
      <c r="H380" s="1205"/>
      <c r="I380" s="1205">
        <f t="shared" si="33"/>
        <v>0</v>
      </c>
      <c r="J380" s="1163"/>
      <c r="K380" s="1110"/>
      <c r="L380" s="1139"/>
      <c r="M380" s="977">
        <v>75</v>
      </c>
    </row>
    <row r="381" spans="1:14" s="1086" customFormat="1" ht="25.15" hidden="1" customHeight="1">
      <c r="A381" s="1156">
        <f>A382</f>
        <v>0</v>
      </c>
      <c r="B381" s="1327"/>
      <c r="C381" s="1327"/>
      <c r="D381" s="1184"/>
      <c r="E381" s="1185"/>
      <c r="F381" s="1072" t="s">
        <v>3694</v>
      </c>
      <c r="G381" s="1072"/>
      <c r="H381" s="1865"/>
      <c r="I381" s="1865">
        <f t="shared" si="33"/>
        <v>0</v>
      </c>
      <c r="J381" s="1072"/>
      <c r="K381" s="1072"/>
      <c r="L381" s="1139"/>
      <c r="M381" s="977">
        <v>75</v>
      </c>
    </row>
    <row r="382" spans="1:14" s="1086" customFormat="1" ht="25.15" hidden="1" customHeight="1">
      <c r="A382" s="1156">
        <f t="shared" si="31"/>
        <v>0</v>
      </c>
      <c r="B382" s="1327" t="s">
        <v>1615</v>
      </c>
      <c r="C382" s="1327"/>
      <c r="D382" s="1186">
        <f>IF(H394&gt;0,1,0)</f>
        <v>0</v>
      </c>
      <c r="E382" s="1188"/>
      <c r="F382" s="1083" t="str">
        <f>VLOOKUP($B382,DG!A:D,DG!$C$2,)</f>
        <v>Boulon 16x300+ 2 long đền vuông D18-50x50x3/Zn</v>
      </c>
      <c r="G382" s="1082" t="str">
        <f>VLOOKUP($B382,DG!A:D,DG!$D$2,)</f>
        <v>bộ</v>
      </c>
      <c r="H382" s="1867">
        <f>2*SUM(H371:H371)</f>
        <v>0</v>
      </c>
      <c r="I382" s="1262">
        <f t="shared" si="33"/>
        <v>0</v>
      </c>
      <c r="J382" s="1111"/>
      <c r="K382" s="1111"/>
      <c r="L382" s="1199"/>
      <c r="M382" s="977">
        <v>75</v>
      </c>
    </row>
    <row r="383" spans="1:14" s="1086" customFormat="1" ht="25.15" hidden="1" customHeight="1">
      <c r="A383" s="1156">
        <f t="shared" si="31"/>
        <v>0</v>
      </c>
      <c r="B383" s="1327"/>
      <c r="C383" s="1327"/>
      <c r="D383" s="1081">
        <f>IF(H383&gt;0,D382+1,D382)</f>
        <v>0</v>
      </c>
      <c r="E383" s="1188"/>
      <c r="F383" s="1189" t="s">
        <v>3695</v>
      </c>
      <c r="G383" s="1169" t="s">
        <v>2394</v>
      </c>
      <c r="H383" s="1867">
        <f>H371*0</f>
        <v>0</v>
      </c>
      <c r="I383" s="1262">
        <f t="shared" si="33"/>
        <v>0</v>
      </c>
      <c r="J383" s="1134"/>
      <c r="K383" s="1134"/>
      <c r="L383" s="1113"/>
      <c r="M383" s="977">
        <v>75</v>
      </c>
    </row>
    <row r="384" spans="1:14" s="1086" customFormat="1" ht="25.15" hidden="1" customHeight="1">
      <c r="A384" s="1156">
        <f>IF(A383&gt;0,1,0)</f>
        <v>0</v>
      </c>
      <c r="B384" s="1327"/>
      <c r="C384" s="1327"/>
      <c r="D384" s="1169"/>
      <c r="E384" s="1188"/>
      <c r="F384" s="1367" t="s">
        <v>2287</v>
      </c>
      <c r="G384" s="1113"/>
      <c r="H384" s="1170"/>
      <c r="I384" s="1262">
        <f t="shared" si="33"/>
        <v>0</v>
      </c>
      <c r="J384" s="1134"/>
      <c r="K384" s="1134"/>
      <c r="L384" s="1113"/>
      <c r="M384" s="977">
        <v>75</v>
      </c>
      <c r="N384" s="1190"/>
    </row>
    <row r="385" spans="1:14" s="1086" customFormat="1" ht="25.15" hidden="1" customHeight="1">
      <c r="A385" s="1156">
        <f t="shared" si="31"/>
        <v>0</v>
      </c>
      <c r="B385" s="1157" t="s">
        <v>115</v>
      </c>
      <c r="C385" s="1157"/>
      <c r="D385" s="1113"/>
      <c r="E385" s="1082">
        <f>VLOOKUP($B385,DG!A:D,DG!$B$2,)</f>
        <v>0</v>
      </c>
      <c r="F385" s="1083" t="str">
        <f>VLOOKUP($B385,DG!A:D,DG!$C$2,)</f>
        <v>Trụ BTLT 12m F350 dự ứng lực</v>
      </c>
      <c r="G385" s="1082" t="str">
        <f>VLOOKUP($B385,DG!A:D,DG!$D$2,)</f>
        <v>trụ</v>
      </c>
      <c r="H385" s="1170">
        <f>1*H383</f>
        <v>0</v>
      </c>
      <c r="I385" s="1262">
        <f t="shared" si="33"/>
        <v>0</v>
      </c>
      <c r="J385" s="1111"/>
      <c r="K385" s="1111"/>
      <c r="L385" s="1113"/>
      <c r="M385" s="977">
        <v>75</v>
      </c>
      <c r="N385" s="1190"/>
    </row>
    <row r="386" spans="1:14" s="1086" customFormat="1" ht="25.15" hidden="1" customHeight="1">
      <c r="A386" s="1156">
        <f t="shared" si="31"/>
        <v>0</v>
      </c>
      <c r="B386" s="1157" t="s">
        <v>1820</v>
      </c>
      <c r="C386" s="1157"/>
      <c r="D386" s="1113"/>
      <c r="E386" s="1191"/>
      <c r="F386" s="1083" t="str">
        <f>VLOOKUP($B386,DG!A:D,DG!$C$2,)</f>
        <v>Vật liệu dựng trụ</v>
      </c>
      <c r="G386" s="1082" t="str">
        <f>VLOOKUP($B386,DG!A:D,DG!$D$2,)</f>
        <v>trụ</v>
      </c>
      <c r="H386" s="1170">
        <f>H385</f>
        <v>0</v>
      </c>
      <c r="I386" s="1262">
        <f t="shared" si="33"/>
        <v>0</v>
      </c>
      <c r="J386" s="1111"/>
      <c r="K386" s="1111"/>
      <c r="L386" s="1113"/>
      <c r="M386" s="977">
        <v>75</v>
      </c>
      <c r="N386" s="1190"/>
    </row>
    <row r="387" spans="1:14" s="1086" customFormat="1" ht="25.15" hidden="1" customHeight="1">
      <c r="A387" s="1156">
        <f t="shared" si="31"/>
        <v>0</v>
      </c>
      <c r="B387" s="1157" t="s">
        <v>2134</v>
      </c>
      <c r="C387" s="1157"/>
      <c r="D387" s="1113"/>
      <c r="E387" s="1191"/>
      <c r="F387" s="1083" t="str">
        <f>VLOOKUP($B387,DG!A:D,DG!$C$2,)</f>
        <v>Dựng trụ BTLT 12m trong TBA bằng thủ công + cơ giới</v>
      </c>
      <c r="G387" s="1082" t="str">
        <f>VLOOKUP($B387,DG!A:D,DG!$D$2,)</f>
        <v>trụ</v>
      </c>
      <c r="H387" s="1170">
        <f>H385</f>
        <v>0</v>
      </c>
      <c r="I387" s="1262">
        <f t="shared" si="33"/>
        <v>0</v>
      </c>
      <c r="J387" s="1111"/>
      <c r="K387" s="1111"/>
      <c r="L387" s="1113"/>
      <c r="M387" s="977">
        <v>75</v>
      </c>
      <c r="N387" s="1190"/>
    </row>
    <row r="388" spans="1:14" s="1086" customFormat="1" ht="25.15" hidden="1" customHeight="1">
      <c r="A388" s="1156">
        <f t="shared" si="31"/>
        <v>0</v>
      </c>
      <c r="B388" s="1327"/>
      <c r="C388" s="1327"/>
      <c r="D388" s="1081">
        <f>IF(H388&gt;0,D383+1,D383)</f>
        <v>0</v>
      </c>
      <c r="E388" s="1188"/>
      <c r="F388" s="1189" t="s">
        <v>2361</v>
      </c>
      <c r="G388" s="1169" t="s">
        <v>2394</v>
      </c>
      <c r="H388" s="1867">
        <f>H383</f>
        <v>0</v>
      </c>
      <c r="I388" s="1262">
        <f t="shared" si="33"/>
        <v>0</v>
      </c>
      <c r="J388" s="1134"/>
      <c r="K388" s="1134"/>
      <c r="L388" s="1113"/>
      <c r="M388" s="977">
        <v>75</v>
      </c>
    </row>
    <row r="389" spans="1:14" s="1086" customFormat="1" ht="25.15" hidden="1" customHeight="1">
      <c r="A389" s="1156">
        <f>IF(A388&gt;0,1,0)</f>
        <v>0</v>
      </c>
      <c r="B389" s="1327"/>
      <c r="C389" s="1327"/>
      <c r="D389" s="1169"/>
      <c r="E389" s="1188"/>
      <c r="F389" s="1367" t="s">
        <v>2287</v>
      </c>
      <c r="G389" s="1113"/>
      <c r="H389" s="1170"/>
      <c r="I389" s="1262">
        <f t="shared" si="33"/>
        <v>0</v>
      </c>
      <c r="J389" s="1134"/>
      <c r="K389" s="1134"/>
      <c r="L389" s="1113"/>
      <c r="M389" s="977">
        <v>75</v>
      </c>
      <c r="N389" s="1190"/>
    </row>
    <row r="390" spans="1:14" s="1086" customFormat="1" ht="25.15" hidden="1" customHeight="1">
      <c r="A390" s="1156">
        <f t="shared" si="31"/>
        <v>0</v>
      </c>
      <c r="B390" s="1334" t="s">
        <v>636</v>
      </c>
      <c r="C390" s="1334"/>
      <c r="D390" s="1113"/>
      <c r="E390" s="1082" t="str">
        <f>VLOOKUP($B390,DG!A:D,DG!$B$2,)</f>
        <v>04.4001</v>
      </c>
      <c r="F390" s="1083" t="str">
        <f>VLOOKUP($B390,DG!A:D,DG!$C$2,)</f>
        <v>Đà cản BTCT 1,2m</v>
      </c>
      <c r="G390" s="1082" t="str">
        <f>VLOOKUP($B390,DG!A:D,DG!$D$2,)</f>
        <v>cái</v>
      </c>
      <c r="H390" s="1170">
        <f>1*H388</f>
        <v>0</v>
      </c>
      <c r="I390" s="1262">
        <f t="shared" si="33"/>
        <v>0</v>
      </c>
      <c r="J390" s="1111"/>
      <c r="K390" s="1111"/>
      <c r="L390" s="1113"/>
      <c r="M390" s="977">
        <v>75</v>
      </c>
      <c r="N390" s="1190"/>
    </row>
    <row r="391" spans="1:14" s="1086" customFormat="1" ht="25.15" hidden="1" customHeight="1">
      <c r="A391" s="1156">
        <f t="shared" si="31"/>
        <v>0</v>
      </c>
      <c r="B391" s="1334" t="s">
        <v>566</v>
      </c>
      <c r="C391" s="1334"/>
      <c r="D391" s="1113"/>
      <c r="E391" s="1082">
        <f>VLOOKUP($B391,DG!A:D,DG!$B$2,)</f>
        <v>0</v>
      </c>
      <c r="F391" s="1083" t="str">
        <f>VLOOKUP($B391,DG!A:D,DG!$C$2,)</f>
        <v>Boulon 22x650+ 2 long đền vuông D24-50x50x3/Zn</v>
      </c>
      <c r="G391" s="1082" t="str">
        <f>VLOOKUP($B391,DG!A:D,DG!$D$2,)</f>
        <v>bộ</v>
      </c>
      <c r="H391" s="1170">
        <f>H388</f>
        <v>0</v>
      </c>
      <c r="I391" s="1262">
        <f t="shared" si="33"/>
        <v>0</v>
      </c>
      <c r="J391" s="1111"/>
      <c r="K391" s="1111"/>
      <c r="L391" s="1113"/>
      <c r="M391" s="977">
        <v>75</v>
      </c>
      <c r="N391" s="1190"/>
    </row>
    <row r="392" spans="1:14" s="1086" customFormat="1" ht="25.15" hidden="1" customHeight="1">
      <c r="A392" s="1156">
        <f t="shared" si="31"/>
        <v>0</v>
      </c>
      <c r="B392" s="1334" t="str">
        <f>IF(chitiet!G5=1,"MDD1",IF(chitiet!G5=2,"MDD2",IF(chitiet!G5=3,"MDD3",IF(chitiet!G5=4,"MDD4"))))</f>
        <v>MDD3</v>
      </c>
      <c r="C392" s="1334"/>
      <c r="D392" s="1113"/>
      <c r="E392" s="1082" t="str">
        <f>VLOOKUP($B392,DG!A:D,DG!$B$2,)</f>
        <v>03.1013</v>
      </c>
      <c r="F392" s="1083" t="str">
        <f>VLOOKUP($B392,DG!A:D,DG!$C$2,)</f>
        <v>Đào hố móng đất cấp 3 sâu &gt;1m</v>
      </c>
      <c r="G392" s="1082" t="str">
        <f>VLOOKUP($B392,DG!A:D,DG!$D$2,)</f>
        <v>m3</v>
      </c>
      <c r="H392" s="1170">
        <f>H388*1.45</f>
        <v>0</v>
      </c>
      <c r="I392" s="1262">
        <f t="shared" si="33"/>
        <v>0</v>
      </c>
      <c r="J392" s="1111"/>
      <c r="K392" s="1111"/>
      <c r="L392" s="1113"/>
      <c r="M392" s="977">
        <v>75</v>
      </c>
      <c r="N392" s="1190"/>
    </row>
    <row r="393" spans="1:14" s="1086" customFormat="1" ht="25.15" hidden="1" customHeight="1">
      <c r="A393" s="1156">
        <f t="shared" si="31"/>
        <v>0</v>
      </c>
      <c r="B393" s="1334" t="str">
        <f>IF(chitiet!G5=1,"MDAP1",IF(chitiet!G5=2,"MDAP2",IF(chitiet!G5=3,"MDAP3",IF(chitiet!G5=4,"MDAP4"))))</f>
        <v>MDAP3</v>
      </c>
      <c r="C393" s="1334"/>
      <c r="D393" s="1113"/>
      <c r="E393" s="1082" t="str">
        <f>VLOOKUP($B393,DG!A:D,DG!$B$2,)</f>
        <v>03.4113</v>
      </c>
      <c r="F393" s="1083" t="str">
        <f>VLOOKUP($B393,DG!A:D,DG!$C$2,)</f>
        <v>Đắp đất hố móng, độ chặt k=0,95</v>
      </c>
      <c r="G393" s="1082" t="str">
        <f>VLOOKUP($B393,DG!A:D,DG!$D$2,)</f>
        <v>m3</v>
      </c>
      <c r="H393" s="1170">
        <f>H388*1.37</f>
        <v>0</v>
      </c>
      <c r="I393" s="1262">
        <f t="shared" si="33"/>
        <v>0</v>
      </c>
      <c r="J393" s="1111"/>
      <c r="K393" s="1111"/>
      <c r="L393" s="1113"/>
      <c r="M393" s="977">
        <v>75</v>
      </c>
      <c r="N393" s="1190"/>
    </row>
    <row r="394" spans="1:14" s="1086" customFormat="1" ht="25.15" hidden="1" customHeight="1">
      <c r="A394" s="1156">
        <f t="shared" si="31"/>
        <v>0</v>
      </c>
      <c r="B394" s="1327"/>
      <c r="C394" s="1327"/>
      <c r="D394" s="1081">
        <f>IF(H394&gt;0,D388+1,D388)</f>
        <v>0</v>
      </c>
      <c r="E394" s="1188"/>
      <c r="F394" s="1200" t="s">
        <v>3696</v>
      </c>
      <c r="G394" s="1169" t="s">
        <v>2394</v>
      </c>
      <c r="H394" s="1867">
        <f>SUM(H371:H371)</f>
        <v>0</v>
      </c>
      <c r="I394" s="1262">
        <f t="shared" si="33"/>
        <v>0</v>
      </c>
      <c r="J394" s="1111"/>
      <c r="K394" s="1111"/>
      <c r="L394" s="1085"/>
      <c r="M394" s="977">
        <v>75</v>
      </c>
    </row>
    <row r="395" spans="1:14" s="1086" customFormat="1" ht="25.15" hidden="1" customHeight="1">
      <c r="A395" s="1156">
        <f>IF(A394&gt;0,1,0)</f>
        <v>0</v>
      </c>
      <c r="B395" s="1327"/>
      <c r="C395" s="1327"/>
      <c r="D395" s="1169"/>
      <c r="E395" s="1188"/>
      <c r="F395" s="1368" t="s">
        <v>2287</v>
      </c>
      <c r="G395" s="1113"/>
      <c r="H395" s="1170"/>
      <c r="I395" s="1262">
        <f t="shared" si="33"/>
        <v>0</v>
      </c>
      <c r="J395" s="1111"/>
      <c r="K395" s="1111"/>
      <c r="L395" s="1085"/>
      <c r="M395" s="977">
        <v>75</v>
      </c>
    </row>
    <row r="396" spans="1:14" s="1086" customFormat="1" ht="25.15" hidden="1" customHeight="1">
      <c r="A396" s="1156">
        <f t="shared" si="31"/>
        <v>0</v>
      </c>
      <c r="B396" s="1503" t="s">
        <v>4547</v>
      </c>
      <c r="C396" s="1503"/>
      <c r="D396" s="1113"/>
      <c r="E396" s="1082">
        <f>VLOOKUP($B396,DG!A:D,DG!$B$2,)</f>
        <v>0</v>
      </c>
      <c r="F396" s="1095" t="str">
        <f>VLOOKUP($B396,DG!A:D,DG!$C$2,)</f>
        <v>Đà composite 0,8m + Thanh chống đà 720</v>
      </c>
      <c r="G396" s="1082" t="str">
        <f>VLOOKUP($B396,DG!A:D,DG!$D$2,)</f>
        <v>cái</v>
      </c>
      <c r="H396" s="1170">
        <f>1*H394</f>
        <v>0</v>
      </c>
      <c r="I396" s="1262">
        <f t="shared" si="33"/>
        <v>0</v>
      </c>
      <c r="J396" s="1111"/>
      <c r="K396" s="1111"/>
      <c r="L396" s="1085"/>
      <c r="M396" s="977">
        <v>75</v>
      </c>
    </row>
    <row r="397" spans="1:14" s="1086" customFormat="1" ht="25.15" hidden="1" customHeight="1">
      <c r="A397" s="1156">
        <f t="shared" si="31"/>
        <v>0</v>
      </c>
      <c r="B397" s="1327" t="s">
        <v>1081</v>
      </c>
      <c r="C397" s="1327"/>
      <c r="D397" s="1113"/>
      <c r="E397" s="1082">
        <f>VLOOKUP($B397,DG!A:D,DG!$B$2,)</f>
        <v>0</v>
      </c>
      <c r="F397" s="1083" t="str">
        <f>VLOOKUP($B397,DG!A:D,DG!$C$2,)</f>
        <v>Boulon 16x350+ 2 long đền vuông D18-50x50x3/Zn</v>
      </c>
      <c r="G397" s="1082" t="str">
        <f>VLOOKUP($B397,DG!A:D,DG!$D$2,)</f>
        <v>bộ</v>
      </c>
      <c r="H397" s="1170">
        <f>H396*2</f>
        <v>0</v>
      </c>
      <c r="I397" s="1262">
        <f t="shared" si="33"/>
        <v>0</v>
      </c>
      <c r="J397" s="1111"/>
      <c r="K397" s="1111"/>
      <c r="L397" s="1085"/>
      <c r="M397" s="977">
        <v>75</v>
      </c>
    </row>
    <row r="398" spans="1:14" s="1086" customFormat="1" ht="25.15" hidden="1" customHeight="1">
      <c r="A398" s="1156">
        <f t="shared" si="31"/>
        <v>0</v>
      </c>
      <c r="B398" s="1327" t="s">
        <v>4549</v>
      </c>
      <c r="C398" s="1327"/>
      <c r="D398" s="1113"/>
      <c r="E398" s="1191"/>
      <c r="F398" s="1083" t="str">
        <f>VLOOKUP($B398,DG!A:D,DG!$C$2,)</f>
        <v>Boulon 14x100+ 2 long đền vuông D16-50x50x3/Zn</v>
      </c>
      <c r="G398" s="1082" t="str">
        <f>VLOOKUP($B398,DG!A:D,DG!$D$2,)</f>
        <v>bộ</v>
      </c>
      <c r="H398" s="1170">
        <f>H394</f>
        <v>0</v>
      </c>
      <c r="I398" s="1262">
        <f t="shared" si="33"/>
        <v>0</v>
      </c>
      <c r="J398" s="1111"/>
      <c r="K398" s="1111"/>
      <c r="L398" s="1085"/>
      <c r="M398" s="977">
        <v>75</v>
      </c>
    </row>
    <row r="399" spans="1:14" s="1086" customFormat="1" ht="25.15" hidden="1" customHeight="1">
      <c r="A399" s="1156">
        <f t="shared" si="31"/>
        <v>0</v>
      </c>
      <c r="B399" s="1327" t="s">
        <v>2279</v>
      </c>
      <c r="C399" s="1327"/>
      <c r="D399" s="1113"/>
      <c r="E399" s="1191"/>
      <c r="F399" s="1083" t="str">
        <f>VLOOKUP($B399,DG!A:D,DG!$C$2,)</f>
        <v>Bass LL bắt FCO, LA</v>
      </c>
      <c r="G399" s="1082" t="str">
        <f>VLOOKUP($B399,DG!A:D,DG!$D$2,)</f>
        <v>bộ</v>
      </c>
      <c r="H399" s="1170">
        <f>H394</f>
        <v>0</v>
      </c>
      <c r="I399" s="1262">
        <f t="shared" si="33"/>
        <v>0</v>
      </c>
      <c r="J399" s="1111"/>
      <c r="K399" s="1111"/>
      <c r="L399" s="1085"/>
      <c r="M399" s="977">
        <v>75</v>
      </c>
    </row>
    <row r="400" spans="1:14" s="1086" customFormat="1" ht="25.15" hidden="1" customHeight="1">
      <c r="A400" s="1156">
        <f t="shared" si="31"/>
        <v>0</v>
      </c>
      <c r="B400" s="1327"/>
      <c r="C400" s="1327"/>
      <c r="D400" s="1169">
        <f>IF(H400&gt;0,D394+1,D394)</f>
        <v>0</v>
      </c>
      <c r="E400" s="1188"/>
      <c r="F400" s="1200" t="s">
        <v>3697</v>
      </c>
      <c r="G400" s="1169" t="s">
        <v>2394</v>
      </c>
      <c r="H400" s="1867">
        <f>H394</f>
        <v>0</v>
      </c>
      <c r="I400" s="1262">
        <f t="shared" si="33"/>
        <v>0</v>
      </c>
      <c r="J400" s="1111"/>
      <c r="K400" s="1111"/>
      <c r="L400" s="1085"/>
      <c r="M400" s="977">
        <v>75</v>
      </c>
    </row>
    <row r="401" spans="1:13" s="1086" customFormat="1" ht="25.15" hidden="1" customHeight="1">
      <c r="A401" s="1156">
        <f>IF(A400&gt;0,1,0)</f>
        <v>0</v>
      </c>
      <c r="B401" s="1327"/>
      <c r="C401" s="1327"/>
      <c r="D401" s="1113"/>
      <c r="E401" s="1191"/>
      <c r="F401" s="1368" t="s">
        <v>2287</v>
      </c>
      <c r="G401" s="1113"/>
      <c r="H401" s="1170"/>
      <c r="I401" s="1262">
        <f t="shared" si="33"/>
        <v>0</v>
      </c>
      <c r="J401" s="1111"/>
      <c r="K401" s="1111"/>
      <c r="L401" s="1085"/>
      <c r="M401" s="977">
        <v>75</v>
      </c>
    </row>
    <row r="402" spans="1:13" s="1086" customFormat="1" ht="25.15" hidden="1" customHeight="1">
      <c r="A402" s="1156">
        <f t="shared" si="31"/>
        <v>0</v>
      </c>
      <c r="B402" s="1327" t="s">
        <v>1035</v>
      </c>
      <c r="C402" s="1327"/>
      <c r="D402" s="1113"/>
      <c r="E402" s="1082">
        <f>VLOOKUP($B402,DG!A:D,DG!$B$2,)</f>
        <v>0</v>
      </c>
      <c r="F402" s="1095" t="str">
        <f>VLOOKUP($B402,DG!A:D,DG!$C$2,)</f>
        <v>Cáp đồng trần M25mm2</v>
      </c>
      <c r="G402" s="1082" t="str">
        <f>VLOOKUP($B402,DG!A:D,DG!$D$2,)</f>
        <v>kg</v>
      </c>
      <c r="H402" s="1170">
        <f>53*H400*0.224</f>
        <v>0</v>
      </c>
      <c r="I402" s="1262">
        <f t="shared" si="33"/>
        <v>0</v>
      </c>
      <c r="J402" s="1111"/>
      <c r="K402" s="1111"/>
      <c r="L402" s="1085"/>
      <c r="M402" s="977">
        <v>75</v>
      </c>
    </row>
    <row r="403" spans="1:13" s="1086" customFormat="1" ht="25.15" hidden="1" customHeight="1">
      <c r="A403" s="1156">
        <f t="shared" si="31"/>
        <v>0</v>
      </c>
      <c r="B403" s="1157" t="s">
        <v>1513</v>
      </c>
      <c r="C403" s="1157"/>
      <c r="D403" s="1113"/>
      <c r="E403" s="1082">
        <f>VLOOKUP($B403,DG!A:D,DG!$B$2,)</f>
        <v>0</v>
      </c>
      <c r="F403" s="1095" t="str">
        <f>VLOOKUP($B403,DG!A:D,DG!$C$2,)</f>
        <v>Cọc tiếp đất Þ 16- 2,4m + kẹp cọc mạ đồng</v>
      </c>
      <c r="G403" s="1082" t="str">
        <f>VLOOKUP($B403,DG!A:D,DG!$D$2,)</f>
        <v>bộ</v>
      </c>
      <c r="H403" s="1170">
        <f>9*H400</f>
        <v>0</v>
      </c>
      <c r="I403" s="1262">
        <f t="shared" si="33"/>
        <v>0</v>
      </c>
      <c r="J403" s="1111"/>
      <c r="K403" s="1111"/>
      <c r="L403" s="1085"/>
      <c r="M403" s="977">
        <v>75</v>
      </c>
    </row>
    <row r="404" spans="1:13" s="1086" customFormat="1" ht="25.15" hidden="1" customHeight="1">
      <c r="A404" s="1156">
        <f t="shared" si="31"/>
        <v>0</v>
      </c>
      <c r="B404" s="1157" t="s">
        <v>1495</v>
      </c>
      <c r="C404" s="1157"/>
      <c r="D404" s="1113"/>
      <c r="E404" s="1082" t="str">
        <f>VLOOKUP($B404,DG!A:D,DG!$B$2,)</f>
        <v>07.2403</v>
      </c>
      <c r="F404" s="1083" t="str">
        <f>VLOOKUP($B404,DG!A:D,DG!$C$2,)</f>
        <v xml:space="preserve">Ống PVC D21x1,6mm </v>
      </c>
      <c r="G404" s="1082" t="str">
        <f>VLOOKUP($B404,DG!A:D,DG!$D$2,)</f>
        <v>m</v>
      </c>
      <c r="H404" s="1170">
        <f>6*H400</f>
        <v>0</v>
      </c>
      <c r="I404" s="1262">
        <f t="shared" si="33"/>
        <v>0</v>
      </c>
      <c r="J404" s="1111"/>
      <c r="K404" s="1111"/>
      <c r="L404" s="1085"/>
      <c r="M404" s="977">
        <v>75</v>
      </c>
    </row>
    <row r="405" spans="1:13" s="1086" customFormat="1" ht="25.15" hidden="1" customHeight="1">
      <c r="A405" s="1156">
        <f t="shared" si="31"/>
        <v>0</v>
      </c>
      <c r="B405" s="1332" t="s">
        <v>1584</v>
      </c>
      <c r="C405" s="1332"/>
      <c r="D405" s="1113"/>
      <c r="E405" s="1082">
        <f>VLOOKUP($B405,DG!A:D,DG!$B$2,)</f>
        <v>0</v>
      </c>
      <c r="F405" s="1083" t="str">
        <f>VLOOKUP($B405,DG!A:D,DG!$C$2,)</f>
        <v>Kẹp ép WR cỡ dây 50mm2</v>
      </c>
      <c r="G405" s="1082" t="str">
        <f>VLOOKUP($B405,DG!A:D,DG!$D$2,)</f>
        <v>cái</v>
      </c>
      <c r="H405" s="1170">
        <f>2*H400</f>
        <v>0</v>
      </c>
      <c r="I405" s="1262">
        <f t="shared" si="33"/>
        <v>0</v>
      </c>
      <c r="J405" s="1111"/>
      <c r="K405" s="1111"/>
      <c r="L405" s="1085"/>
      <c r="M405" s="977">
        <v>75</v>
      </c>
    </row>
    <row r="406" spans="1:13" s="1086" customFormat="1" ht="25.15" hidden="1" customHeight="1">
      <c r="A406" s="1156">
        <f t="shared" si="31"/>
        <v>0</v>
      </c>
      <c r="B406" s="1332" t="s">
        <v>1117</v>
      </c>
      <c r="C406" s="1332"/>
      <c r="D406" s="1113"/>
      <c r="E406" s="1082">
        <f>VLOOKUP($B406,DG!A:D,DG!$B$2,)</f>
        <v>0</v>
      </c>
      <c r="F406" s="1083" t="str">
        <f>VLOOKUP($B406,DG!A:D,DG!$C$2,)</f>
        <v>Kẹp ép cỡ dây 25mm2</v>
      </c>
      <c r="G406" s="1082" t="str">
        <f>VLOOKUP($B406,DG!A:D,DG!$D$2,)</f>
        <v>cái</v>
      </c>
      <c r="H406" s="1170">
        <f>H400*10</f>
        <v>0</v>
      </c>
      <c r="I406" s="1262">
        <f t="shared" si="33"/>
        <v>0</v>
      </c>
      <c r="J406" s="1111"/>
      <c r="K406" s="1111"/>
      <c r="L406" s="1085"/>
      <c r="M406" s="977">
        <v>75</v>
      </c>
    </row>
    <row r="407" spans="1:13" s="1086" customFormat="1" ht="25.15" hidden="1" customHeight="1">
      <c r="A407" s="1156">
        <f t="shared" si="31"/>
        <v>0</v>
      </c>
      <c r="B407" s="1157" t="s">
        <v>525</v>
      </c>
      <c r="C407" s="1157"/>
      <c r="D407" s="1113"/>
      <c r="E407" s="1082" t="str">
        <f>VLOOKUP($B407,DG!A:D,DG!$B$2,)</f>
        <v>06.3231</v>
      </c>
      <c r="F407" s="1083" t="str">
        <f>VLOOKUP($B407,DG!A:D,DG!$C$2,)</f>
        <v>Cổ dê kẹp ống PVC  21</v>
      </c>
      <c r="G407" s="1082" t="str">
        <f>VLOOKUP($B407,DG!A:D,DG!$D$2,)</f>
        <v>bộ</v>
      </c>
      <c r="H407" s="1170">
        <f>3*H400</f>
        <v>0</v>
      </c>
      <c r="I407" s="1262">
        <f t="shared" si="33"/>
        <v>0</v>
      </c>
      <c r="J407" s="1111"/>
      <c r="K407" s="1111"/>
      <c r="L407" s="1085"/>
      <c r="M407" s="977">
        <v>75</v>
      </c>
    </row>
    <row r="408" spans="1:13" s="1086" customFormat="1" ht="25.15" hidden="1" customHeight="1">
      <c r="A408" s="1156">
        <f t="shared" si="31"/>
        <v>0</v>
      </c>
      <c r="B408" s="1332" t="s">
        <v>2191</v>
      </c>
      <c r="C408" s="1332"/>
      <c r="D408" s="1113"/>
      <c r="E408" s="1082" t="str">
        <f>VLOOKUP($B408,DG!A:D,DG!$B$2,)</f>
        <v>04.7002</v>
      </c>
      <c r="F408" s="1083" t="str">
        <f>VLOOKUP($B408,DG!A:D,DG!$C$2,)</f>
        <v>Kéo dây tiếp địa trong TBA</v>
      </c>
      <c r="G408" s="1082" t="str">
        <f>VLOOKUP($B408,DG!A:D,DG!$D$2,)</f>
        <v>mét</v>
      </c>
      <c r="H408" s="1170">
        <f>H402/0.224</f>
        <v>0</v>
      </c>
      <c r="I408" s="1262">
        <f t="shared" si="33"/>
        <v>0</v>
      </c>
      <c r="J408" s="1111"/>
      <c r="K408" s="1111"/>
      <c r="L408" s="1085"/>
      <c r="M408" s="977">
        <v>75</v>
      </c>
    </row>
    <row r="409" spans="1:13" s="1086" customFormat="1" ht="25.15" hidden="1" customHeight="1">
      <c r="A409" s="1156">
        <f t="shared" si="31"/>
        <v>0</v>
      </c>
      <c r="B409" s="1157" t="s">
        <v>904</v>
      </c>
      <c r="C409" s="1157"/>
      <c r="D409" s="1113"/>
      <c r="E409" s="1082" t="str">
        <f>VLOOKUP($B409,DG!A:D,DG!$B$2,)</f>
        <v>04.7001</v>
      </c>
      <c r="F409" s="1083" t="str">
        <f>VLOOKUP($B409,DG!A:D,DG!$C$2,)</f>
        <v>Đóng cọc tiếp địa trong TBA</v>
      </c>
      <c r="G409" s="1082" t="str">
        <f>VLOOKUP($B409,DG!A:D,DG!$D$2,)</f>
        <v>cọc</v>
      </c>
      <c r="H409" s="1170">
        <f>H403</f>
        <v>0</v>
      </c>
      <c r="I409" s="1262">
        <f t="shared" si="33"/>
        <v>0</v>
      </c>
      <c r="J409" s="1111"/>
      <c r="K409" s="1111"/>
      <c r="L409" s="1085"/>
      <c r="M409" s="977">
        <v>75</v>
      </c>
    </row>
    <row r="410" spans="1:13" s="1086" customFormat="1" ht="25.15" hidden="1" customHeight="1">
      <c r="A410" s="1156">
        <f t="shared" si="31"/>
        <v>0</v>
      </c>
      <c r="B410" s="1332" t="str">
        <f>"dtd"&amp;chitiet!G5</f>
        <v>dtd3</v>
      </c>
      <c r="C410" s="1332"/>
      <c r="D410" s="1113"/>
      <c r="E410" s="1082" t="str">
        <f>VLOOKUP($B410,DG!A:D,DG!$B$2,)</f>
        <v>03.3123</v>
      </c>
      <c r="F410" s="1083" t="str">
        <f>VLOOKUP($B410,DG!A:D,DG!$C$2,)</f>
        <v>Đào rãnh tiếp địa đất cấp 3</v>
      </c>
      <c r="G410" s="1082" t="str">
        <f>VLOOKUP($B410,DG!A:D,DG!$D$2,)</f>
        <v>m3</v>
      </c>
      <c r="H410" s="1170">
        <f>H400*2.64</f>
        <v>0</v>
      </c>
      <c r="I410" s="1262">
        <f t="shared" si="33"/>
        <v>0</v>
      </c>
      <c r="J410" s="1111"/>
      <c r="K410" s="1111"/>
      <c r="L410" s="1085"/>
      <c r="M410" s="977">
        <v>75</v>
      </c>
    </row>
    <row r="411" spans="1:13" s="1086" customFormat="1" ht="25.15" hidden="1" customHeight="1">
      <c r="A411" s="1156">
        <f t="shared" si="31"/>
        <v>0</v>
      </c>
      <c r="B411" s="1157" t="str">
        <f>"datd"&amp;chitiet!G5</f>
        <v>datd3</v>
      </c>
      <c r="C411" s="1157"/>
      <c r="D411" s="1113"/>
      <c r="E411" s="1082" t="str">
        <f>VLOOKUP($B411,DG!A:D,DG!$B$2,)</f>
        <v>03.4123</v>
      </c>
      <c r="F411" s="1083" t="str">
        <f>VLOOKUP($B411,DG!A:D,DG!$C$2,)</f>
        <v>Đắp đất rãnh tiếp độ chặt k=0,85</v>
      </c>
      <c r="G411" s="1082" t="str">
        <f>VLOOKUP($B411,DG!A:D,DG!$D$2,)</f>
        <v>m3</v>
      </c>
      <c r="H411" s="1170">
        <f>H410</f>
        <v>0</v>
      </c>
      <c r="I411" s="1262">
        <f t="shared" si="33"/>
        <v>0</v>
      </c>
      <c r="J411" s="1111"/>
      <c r="K411" s="1111"/>
      <c r="L411" s="1085"/>
      <c r="M411" s="977">
        <v>75</v>
      </c>
    </row>
    <row r="412" spans="1:13" s="1086" customFormat="1" ht="25.15" hidden="1" customHeight="1">
      <c r="A412" s="1156">
        <f t="shared" si="31"/>
        <v>0</v>
      </c>
      <c r="B412" s="1332"/>
      <c r="C412" s="1332"/>
      <c r="D412" s="1169">
        <f>IF(H412&gt;0,D400+1,D400)</f>
        <v>0</v>
      </c>
      <c r="E412" s="1188"/>
      <c r="F412" s="1189" t="s">
        <v>3704</v>
      </c>
      <c r="G412" s="1169" t="s">
        <v>2394</v>
      </c>
      <c r="H412" s="1867">
        <f>H394</f>
        <v>0</v>
      </c>
      <c r="I412" s="1262">
        <f t="shared" si="33"/>
        <v>0</v>
      </c>
      <c r="J412" s="1111"/>
      <c r="K412" s="1111"/>
      <c r="L412" s="1085"/>
      <c r="M412" s="977">
        <v>75</v>
      </c>
    </row>
    <row r="413" spans="1:13" s="1086" customFormat="1" ht="25.15" hidden="1" customHeight="1">
      <c r="A413" s="1156">
        <f>IF(A412&gt;0,1,0)</f>
        <v>0</v>
      </c>
      <c r="B413" s="1332"/>
      <c r="C413" s="1332"/>
      <c r="D413" s="1169"/>
      <c r="E413" s="1188"/>
      <c r="F413" s="1368" t="s">
        <v>2287</v>
      </c>
      <c r="G413" s="1113"/>
      <c r="H413" s="1170"/>
      <c r="I413" s="1262">
        <f t="shared" si="33"/>
        <v>0</v>
      </c>
      <c r="J413" s="1111"/>
      <c r="K413" s="1111"/>
      <c r="L413" s="1085"/>
      <c r="M413" s="977">
        <v>75</v>
      </c>
    </row>
    <row r="414" spans="1:13" s="1086" customFormat="1" ht="25.15" hidden="1" customHeight="1">
      <c r="A414" s="1156">
        <f t="shared" ref="A414:A477" si="35">IF(I414&gt;0,1,0)</f>
        <v>0</v>
      </c>
      <c r="B414" s="1334" t="s">
        <v>616</v>
      </c>
      <c r="C414" s="1334"/>
      <c r="D414" s="1113"/>
      <c r="E414" s="1082" t="str">
        <f>VLOOKUP($B414,DG!A:D,DG!$B$2,)</f>
        <v>05.1001</v>
      </c>
      <c r="F414" s="1095" t="str">
        <f>VLOOKUP($B414,DG!A:D,DG!$C$2,)</f>
        <v>Tủ CB trạm 1 pha + khóa + boulon</v>
      </c>
      <c r="G414" s="1082" t="str">
        <f>VLOOKUP($B414,DG!A:D,DG!$D$2,)</f>
        <v>cái</v>
      </c>
      <c r="H414" s="1170">
        <f>H412</f>
        <v>0</v>
      </c>
      <c r="I414" s="1262">
        <f t="shared" si="33"/>
        <v>0</v>
      </c>
      <c r="J414" s="1111"/>
      <c r="K414" s="1111"/>
      <c r="L414" s="1085"/>
      <c r="M414" s="977">
        <v>75</v>
      </c>
    </row>
    <row r="415" spans="1:13" s="1086" customFormat="1" ht="25.15" hidden="1" customHeight="1">
      <c r="A415" s="1156">
        <f t="shared" si="35"/>
        <v>0</v>
      </c>
      <c r="B415" s="1332" t="s">
        <v>881</v>
      </c>
      <c r="C415" s="1332"/>
      <c r="D415" s="1113"/>
      <c r="E415" s="1082" t="str">
        <f>VLOOKUP($B415,DG!A:D,DG!$B$2,)</f>
        <v>06.3231</v>
      </c>
      <c r="F415" s="1083" t="str">
        <f>VLOOKUP($B415,DG!A:D,DG!$C$2,)</f>
        <v>Cổ dê bắt tủ</v>
      </c>
      <c r="G415" s="1082" t="str">
        <f>VLOOKUP($B415,DG!A:D,DG!$D$2,)</f>
        <v>bộ</v>
      </c>
      <c r="H415" s="1170">
        <f>2*H412*7</f>
        <v>0</v>
      </c>
      <c r="I415" s="1262">
        <f t="shared" si="33"/>
        <v>0</v>
      </c>
      <c r="J415" s="1111"/>
      <c r="K415" s="1111"/>
      <c r="L415" s="1085"/>
      <c r="M415" s="977">
        <v>75</v>
      </c>
    </row>
    <row r="416" spans="1:13" s="1086" customFormat="1" ht="25.15" hidden="1" customHeight="1">
      <c r="A416" s="1156">
        <f t="shared" si="35"/>
        <v>0</v>
      </c>
      <c r="B416" s="1332" t="s">
        <v>1133</v>
      </c>
      <c r="C416" s="1332"/>
      <c r="D416" s="1113"/>
      <c r="E416" s="1082" t="str">
        <f>VLOOKUP($B416,DG!A:D,DG!$B$2,)</f>
        <v>06.2110</v>
      </c>
      <c r="F416" s="1083" t="str">
        <f>VLOOKUP($B416,DG!A:D,DG!$C$2,)</f>
        <v>Lắp cổ dề</v>
      </c>
      <c r="G416" s="1082" t="str">
        <f>VLOOKUP($B416,DG!A:D,DG!$D$2,)</f>
        <v>bộ</v>
      </c>
      <c r="H416" s="1170">
        <f>H412*2</f>
        <v>0</v>
      </c>
      <c r="I416" s="1262">
        <f t="shared" si="33"/>
        <v>0</v>
      </c>
      <c r="J416" s="1111"/>
      <c r="K416" s="1111"/>
      <c r="L416" s="1085"/>
      <c r="M416" s="977">
        <v>75</v>
      </c>
    </row>
    <row r="417" spans="1:13" s="1086" customFormat="1" ht="25.15" hidden="1" customHeight="1">
      <c r="A417" s="1156">
        <f t="shared" si="35"/>
        <v>0</v>
      </c>
      <c r="B417" s="1332" t="s">
        <v>882</v>
      </c>
      <c r="C417" s="1332"/>
      <c r="D417" s="1113"/>
      <c r="E417" s="1082">
        <f>VLOOKUP($B417,DG!A:D,DG!$B$2,)</f>
        <v>0</v>
      </c>
      <c r="F417" s="1083" t="str">
        <f>VLOOKUP($B417,DG!A:D,DG!$C$2,)</f>
        <v xml:space="preserve">Bakelit 550x450 dầy 10mm </v>
      </c>
      <c r="G417" s="1082" t="str">
        <f>VLOOKUP($B417,DG!A:D,DG!$D$2,)</f>
        <v>cái</v>
      </c>
      <c r="H417" s="1170">
        <f>H412</f>
        <v>0</v>
      </c>
      <c r="I417" s="1262">
        <f t="shared" si="33"/>
        <v>0</v>
      </c>
      <c r="J417" s="1111"/>
      <c r="K417" s="1111"/>
      <c r="L417" s="1085"/>
      <c r="M417" s="977">
        <v>75</v>
      </c>
    </row>
    <row r="418" spans="1:13" s="1086" customFormat="1" ht="25.15" hidden="1" customHeight="1">
      <c r="A418" s="1156">
        <f t="shared" si="35"/>
        <v>0</v>
      </c>
      <c r="B418" s="1332"/>
      <c r="C418" s="1332"/>
      <c r="D418" s="1169">
        <f>IF(H418&gt;0,D412+1,D412)</f>
        <v>0</v>
      </c>
      <c r="E418" s="1188"/>
      <c r="F418" s="1200" t="s">
        <v>3710</v>
      </c>
      <c r="G418" s="1169" t="s">
        <v>2394</v>
      </c>
      <c r="H418" s="1867">
        <f>H412</f>
        <v>0</v>
      </c>
      <c r="I418" s="1262">
        <f t="shared" si="33"/>
        <v>0</v>
      </c>
      <c r="J418" s="1111"/>
      <c r="K418" s="1111"/>
      <c r="L418" s="1085"/>
      <c r="M418" s="977">
        <v>75</v>
      </c>
    </row>
    <row r="419" spans="1:13" s="1086" customFormat="1" ht="25.15" hidden="1" customHeight="1">
      <c r="A419" s="1156">
        <f>IF(A418&gt;0,1,0)</f>
        <v>0</v>
      </c>
      <c r="B419" s="1332"/>
      <c r="C419" s="1332"/>
      <c r="D419" s="1169"/>
      <c r="E419" s="1188"/>
      <c r="F419" s="1368" t="s">
        <v>2287</v>
      </c>
      <c r="G419" s="1113"/>
      <c r="H419" s="1170"/>
      <c r="I419" s="1262">
        <f t="shared" si="33"/>
        <v>0</v>
      </c>
      <c r="J419" s="1111"/>
      <c r="K419" s="1111"/>
      <c r="L419" s="1085"/>
      <c r="M419" s="977">
        <v>75</v>
      </c>
    </row>
    <row r="420" spans="1:13" s="1086" customFormat="1" ht="25.15" hidden="1" customHeight="1">
      <c r="A420" s="1156">
        <f t="shared" si="35"/>
        <v>0</v>
      </c>
      <c r="B420" s="1157" t="s">
        <v>699</v>
      </c>
      <c r="C420" s="1157"/>
      <c r="D420" s="1113"/>
      <c r="E420" s="1082">
        <f>VLOOKUP($B420,DG!A:D,DG!$B$2,)</f>
        <v>0</v>
      </c>
      <c r="F420" s="1095" t="str">
        <f>VLOOKUP($B420,DG!A:D,DG!$C$2,)</f>
        <v>Cáp 24KV CX-25mm2</v>
      </c>
      <c r="G420" s="1082" t="str">
        <f>VLOOKUP($B420,DG!A:D,DG!$D$2,)</f>
        <v>mét</v>
      </c>
      <c r="H420" s="1170">
        <f>3*H418</f>
        <v>0</v>
      </c>
      <c r="I420" s="1262">
        <f t="shared" si="33"/>
        <v>0</v>
      </c>
      <c r="J420" s="1111"/>
      <c r="K420" s="1111"/>
      <c r="L420" s="1085"/>
      <c r="M420" s="977">
        <v>75</v>
      </c>
    </row>
    <row r="421" spans="1:13" s="1086" customFormat="1" ht="25.15" hidden="1" customHeight="1">
      <c r="A421" s="1156">
        <f t="shared" si="35"/>
        <v>0</v>
      </c>
      <c r="B421" s="1157" t="s">
        <v>4494</v>
      </c>
      <c r="C421" s="1157"/>
      <c r="D421" s="1113"/>
      <c r="E421" s="1082" t="str">
        <f>VLOOKUP($B421,DG!A:D,DG!$B$2,)</f>
        <v>04.3007</v>
      </c>
      <c r="F421" s="1083" t="str">
        <f>VLOOKUP($B421,DG!A:D,DG!$C$2,)</f>
        <v>Kẹp quai 2/0 + chụp cách điện</v>
      </c>
      <c r="G421" s="1082" t="str">
        <f>VLOOKUP($B421,DG!A:D,DG!$D$2,)</f>
        <v>bộ</v>
      </c>
      <c r="H421" s="1170">
        <f>H418</f>
        <v>0</v>
      </c>
      <c r="I421" s="1262">
        <f t="shared" ref="I421:I489" si="36">IF(M421=$M$23,H421+J421-K421,0)</f>
        <v>0</v>
      </c>
      <c r="J421" s="1111"/>
      <c r="K421" s="1111"/>
      <c r="L421" s="1085"/>
      <c r="M421" s="977">
        <v>75</v>
      </c>
    </row>
    <row r="422" spans="1:13" s="1086" customFormat="1" ht="25.15" hidden="1" customHeight="1">
      <c r="A422" s="1156">
        <f t="shared" ref="A422:A424" si="37">IF(I422&gt;0,1,0)</f>
        <v>0</v>
      </c>
      <c r="B422" s="1157" t="s">
        <v>1482</v>
      </c>
      <c r="C422" s="1157"/>
      <c r="D422" s="1113"/>
      <c r="E422" s="1082" t="str">
        <f>VLOOKUP($B422,DG!A:D,DG!$B$2,)</f>
        <v>04.3007</v>
      </c>
      <c r="F422" s="1083" t="str">
        <f>VLOOKUP($B422,DG!A:D,DG!$C$2,)</f>
        <v>Kẹp hotline 2/0</v>
      </c>
      <c r="G422" s="1082" t="str">
        <f>VLOOKUP($B422,DG!A:D,DG!$D$2,)</f>
        <v>cái</v>
      </c>
      <c r="H422" s="1170">
        <f>H417</f>
        <v>0</v>
      </c>
      <c r="I422" s="1262">
        <f t="shared" ref="I422:I424" si="38">IF(M422=$M$23,H422+J422-K422,0)</f>
        <v>0</v>
      </c>
      <c r="J422" s="1111"/>
      <c r="K422" s="1111"/>
      <c r="L422" s="1085"/>
      <c r="M422" s="977">
        <v>75</v>
      </c>
    </row>
    <row r="423" spans="1:13" s="1086" customFormat="1" ht="25.15" hidden="1" customHeight="1">
      <c r="A423" s="1156">
        <f t="shared" ref="A423" si="39">IF(I423&gt;0,1,0)</f>
        <v>0</v>
      </c>
      <c r="B423" s="1157" t="s">
        <v>4372</v>
      </c>
      <c r="C423" s="1157"/>
      <c r="D423" s="1113"/>
      <c r="E423" s="1082">
        <f>VLOOKUP($B423,DG!A:D,DG!$B$2,)</f>
        <v>0</v>
      </c>
      <c r="F423" s="1083" t="str">
        <f>VLOOKUP($B423,DG!A:D,DG!$C$2,)</f>
        <v>Chụp cách điện đầu cực FCO (trên + dưới)</v>
      </c>
      <c r="G423" s="1082" t="str">
        <f>VLOOKUP($B423,DG!A:D,DG!$D$2,)</f>
        <v>bộ</v>
      </c>
      <c r="H423" s="1170">
        <f>H372</f>
        <v>0</v>
      </c>
      <c r="I423" s="1262">
        <f t="shared" ref="I423" si="40">IF(M423=$M$23,H423+J423-K423,0)</f>
        <v>0</v>
      </c>
      <c r="J423" s="1111"/>
      <c r="K423" s="1111"/>
      <c r="L423" s="1085"/>
      <c r="M423" s="977">
        <v>75</v>
      </c>
    </row>
    <row r="424" spans="1:13" s="1086" customFormat="1" ht="25.15" hidden="1" customHeight="1">
      <c r="A424" s="1156">
        <f t="shared" si="37"/>
        <v>0</v>
      </c>
      <c r="B424" s="1157" t="s">
        <v>4380</v>
      </c>
      <c r="C424" s="1157"/>
      <c r="D424" s="1113"/>
      <c r="E424" s="1082">
        <f>VLOOKUP($B424,DG!A:D,DG!$B$2,)</f>
        <v>0</v>
      </c>
      <c r="F424" s="1083" t="str">
        <f>VLOOKUP($B424,DG!A:D,DG!$C$2,)</f>
        <v>Chụp cách điện đầu cực LA</v>
      </c>
      <c r="G424" s="1082" t="str">
        <f>VLOOKUP($B424,DG!A:D,DG!$D$2,)</f>
        <v>cái</v>
      </c>
      <c r="H424" s="1170">
        <f>H374</f>
        <v>0</v>
      </c>
      <c r="I424" s="1262">
        <f t="shared" si="38"/>
        <v>0</v>
      </c>
      <c r="J424" s="1111"/>
      <c r="K424" s="1111"/>
      <c r="L424" s="1085"/>
      <c r="M424" s="977">
        <v>75</v>
      </c>
    </row>
    <row r="425" spans="1:13" s="1086" customFormat="1" ht="25.15" hidden="1" customHeight="1">
      <c r="A425" s="1156">
        <f t="shared" si="35"/>
        <v>0</v>
      </c>
      <c r="B425" s="1157" t="s">
        <v>4551</v>
      </c>
      <c r="C425" s="1157"/>
      <c r="D425" s="1113"/>
      <c r="E425" s="1082">
        <f>VLOOKUP($B425,DG!A:D,DG!$B$2,)</f>
        <v>0</v>
      </c>
      <c r="F425" s="1083" t="str">
        <f>VLOOKUP($B425,DG!A:D,DG!$C$2,)</f>
        <v>Chụp cách điện đầu cực MBA</v>
      </c>
      <c r="G425" s="1082" t="str">
        <f>VLOOKUP($B425,DG!A:D,DG!$D$2,)</f>
        <v>cái</v>
      </c>
      <c r="H425" s="1170">
        <f>H371</f>
        <v>0</v>
      </c>
      <c r="I425" s="1262">
        <f t="shared" si="36"/>
        <v>0</v>
      </c>
      <c r="J425" s="1111"/>
      <c r="K425" s="1111"/>
      <c r="L425" s="1085"/>
      <c r="M425" s="977">
        <v>75</v>
      </c>
    </row>
    <row r="426" spans="1:13" s="1086" customFormat="1" ht="25.15" hidden="1" customHeight="1">
      <c r="A426" s="1156">
        <f t="shared" si="35"/>
        <v>0</v>
      </c>
      <c r="B426" s="1157" t="s">
        <v>1530</v>
      </c>
      <c r="C426" s="1157"/>
      <c r="D426" s="1113"/>
      <c r="E426" s="1082" t="str">
        <f>VLOOKUP($B426,DG!A:D,DG!$B$2,)</f>
        <v>04.4201</v>
      </c>
      <c r="F426" s="1083" t="str">
        <f>VLOOKUP($B426,DG!A:D,DG!$C$2,)</f>
        <v>Lắp cáp đồng xuống thiết bị D ≤ 95mm2</v>
      </c>
      <c r="G426" s="1082" t="str">
        <f>VLOOKUP($B426,DG!A:D,DG!$D$2,)</f>
        <v>m</v>
      </c>
      <c r="H426" s="1170">
        <f>H420</f>
        <v>0</v>
      </c>
      <c r="I426" s="1262">
        <f t="shared" si="36"/>
        <v>0</v>
      </c>
      <c r="J426" s="1111"/>
      <c r="K426" s="1111"/>
      <c r="L426" s="1085"/>
      <c r="M426" s="977">
        <v>75</v>
      </c>
    </row>
    <row r="427" spans="1:13" s="1086" customFormat="1" ht="25.15" hidden="1" customHeight="1">
      <c r="A427" s="1156">
        <f t="shared" si="35"/>
        <v>0</v>
      </c>
      <c r="B427" s="1327"/>
      <c r="C427" s="1327"/>
      <c r="D427" s="1169">
        <f>IF(H427&gt;0,D418+1,D418)</f>
        <v>0</v>
      </c>
      <c r="E427" s="1188"/>
      <c r="F427" s="1189" t="s">
        <v>3711</v>
      </c>
      <c r="G427" s="1169" t="s">
        <v>2394</v>
      </c>
      <c r="H427" s="1867">
        <f>H371</f>
        <v>0</v>
      </c>
      <c r="I427" s="1262">
        <f t="shared" si="36"/>
        <v>0</v>
      </c>
      <c r="J427" s="1111"/>
      <c r="K427" s="1111"/>
      <c r="L427" s="1085"/>
      <c r="M427" s="977">
        <v>75</v>
      </c>
    </row>
    <row r="428" spans="1:13" s="1086" customFormat="1" ht="25.15" hidden="1" customHeight="1">
      <c r="A428" s="1156">
        <f>IF(A427&gt;0,1,0)</f>
        <v>0</v>
      </c>
      <c r="B428" s="1327"/>
      <c r="C428" s="1327"/>
      <c r="D428" s="1169"/>
      <c r="E428" s="1188"/>
      <c r="F428" s="1367" t="s">
        <v>2287</v>
      </c>
      <c r="G428" s="1169"/>
      <c r="H428" s="1867"/>
      <c r="I428" s="1262">
        <f t="shared" si="36"/>
        <v>0</v>
      </c>
      <c r="J428" s="1111"/>
      <c r="K428" s="1111"/>
      <c r="L428" s="1085"/>
      <c r="M428" s="977">
        <v>75</v>
      </c>
    </row>
    <row r="429" spans="1:13" s="1086" customFormat="1" ht="25.15" hidden="1" customHeight="1">
      <c r="A429" s="1156">
        <f t="shared" si="35"/>
        <v>0</v>
      </c>
      <c r="B429" s="1327" t="s">
        <v>4552</v>
      </c>
      <c r="C429" s="1327"/>
      <c r="D429" s="1169"/>
      <c r="E429" s="1082">
        <f>VLOOKUP($B429,DG!A:D,DG!$B$2,)</f>
        <v>0</v>
      </c>
      <c r="F429" s="1095" t="str">
        <f>VLOOKUP($B429,DG!A:D,DG!$C$2,)</f>
        <v>Cáp đồng bọc CV185</v>
      </c>
      <c r="G429" s="1082" t="str">
        <f>VLOOKUP($B429,DG!A:D,DG!$D$2,)</f>
        <v>mét</v>
      </c>
      <c r="H429" s="1170">
        <f>H427*10*2</f>
        <v>0</v>
      </c>
      <c r="I429" s="1262">
        <f t="shared" si="36"/>
        <v>0</v>
      </c>
      <c r="J429" s="1111"/>
      <c r="K429" s="1111"/>
      <c r="L429" s="1085"/>
      <c r="M429" s="977">
        <v>75</v>
      </c>
    </row>
    <row r="430" spans="1:13" s="1086" customFormat="1" ht="25.15" hidden="1" customHeight="1">
      <c r="A430" s="1156">
        <f t="shared" si="35"/>
        <v>0</v>
      </c>
      <c r="B430" s="1327" t="s">
        <v>237</v>
      </c>
      <c r="C430" s="1327"/>
      <c r="D430" s="1169"/>
      <c r="E430" s="1082">
        <f>VLOOKUP($B430,DG!A:D,DG!$B$2,)</f>
        <v>0</v>
      </c>
      <c r="F430" s="1083" t="str">
        <f>VLOOKUP($B430,DG!A:D,DG!$C$2,)</f>
        <v>Cáp đồng bọc CV70</v>
      </c>
      <c r="G430" s="1082" t="str">
        <f>VLOOKUP($B430,DG!A:D,DG!$D$2,)</f>
        <v>mét</v>
      </c>
      <c r="H430" s="1170">
        <f>H427*9*0</f>
        <v>0</v>
      </c>
      <c r="I430" s="1262">
        <f t="shared" si="36"/>
        <v>0</v>
      </c>
      <c r="J430" s="1111"/>
      <c r="K430" s="1111"/>
      <c r="L430" s="1085"/>
      <c r="M430" s="977">
        <v>75</v>
      </c>
    </row>
    <row r="431" spans="1:13" s="1086" customFormat="1" ht="25.15" hidden="1" customHeight="1">
      <c r="A431" s="1156">
        <f t="shared" si="35"/>
        <v>0</v>
      </c>
      <c r="B431" s="1327" t="s">
        <v>4553</v>
      </c>
      <c r="C431" s="1327"/>
      <c r="D431" s="1113"/>
      <c r="E431" s="1082" t="str">
        <f>VLOOKUP($B431,DG!A:D,DG!$B$2,)</f>
        <v>03.1401</v>
      </c>
      <c r="F431" s="1095" t="str">
        <f>VLOOKUP($B431,DG!A:D,DG!$C$2,)</f>
        <v xml:space="preserve">Cáp CVV 4x4mm2  </v>
      </c>
      <c r="G431" s="1082" t="str">
        <f>VLOOKUP($B431,DG!A:D,DG!$D$2,)</f>
        <v>mét</v>
      </c>
      <c r="H431" s="1170">
        <f>2*H427</f>
        <v>0</v>
      </c>
      <c r="I431" s="1262">
        <f t="shared" si="36"/>
        <v>0</v>
      </c>
      <c r="J431" s="1111"/>
      <c r="K431" s="1111"/>
      <c r="L431" s="1085"/>
      <c r="M431" s="977">
        <v>75</v>
      </c>
    </row>
    <row r="432" spans="1:13" s="1086" customFormat="1" ht="25.15" hidden="1" customHeight="1">
      <c r="A432" s="1156">
        <f t="shared" si="35"/>
        <v>0</v>
      </c>
      <c r="B432" s="1332" t="s">
        <v>151</v>
      </c>
      <c r="C432" s="1332"/>
      <c r="D432" s="1113"/>
      <c r="E432" s="1082" t="str">
        <f>VLOOKUP($B432,DG!A:D,DG!$B$2,)</f>
        <v>03.4007</v>
      </c>
      <c r="F432" s="1083" t="str">
        <f>VLOOKUP($B432,DG!A:D,DG!$C$2,)</f>
        <v>Đầu cosse ép Cu 185mm2</v>
      </c>
      <c r="G432" s="1082" t="str">
        <f>VLOOKUP($B432,DG!A:D,DG!$D$2,)</f>
        <v>cái</v>
      </c>
      <c r="H432" s="1170">
        <f>H427*H376*2</f>
        <v>0</v>
      </c>
      <c r="I432" s="1262">
        <f t="shared" si="36"/>
        <v>0</v>
      </c>
      <c r="J432" s="1111"/>
      <c r="K432" s="1111"/>
      <c r="L432" s="1085"/>
      <c r="M432" s="977">
        <v>75</v>
      </c>
    </row>
    <row r="433" spans="1:13" s="1086" customFormat="1" ht="25.15" hidden="1" customHeight="1">
      <c r="A433" s="1156">
        <f t="shared" si="35"/>
        <v>0</v>
      </c>
      <c r="B433" s="1332" t="s">
        <v>1076</v>
      </c>
      <c r="C433" s="1332"/>
      <c r="D433" s="1113"/>
      <c r="E433" s="1082" t="str">
        <f>VLOOKUP($B433,DG!A:D,DG!$B$2,)</f>
        <v>03.4003</v>
      </c>
      <c r="F433" s="1083" t="str">
        <f>VLOOKUP($B433,DG!A:D,DG!$C$2,)</f>
        <v>Đầu cosse ép Cu 70mm2</v>
      </c>
      <c r="G433" s="1082" t="str">
        <f>VLOOKUP($B433,DG!A:D,DG!$D$2,)</f>
        <v>cái</v>
      </c>
      <c r="H433" s="1170">
        <f>H427*0</f>
        <v>0</v>
      </c>
      <c r="I433" s="1262">
        <f t="shared" si="36"/>
        <v>0</v>
      </c>
      <c r="J433" s="1111"/>
      <c r="K433" s="1111"/>
      <c r="L433" s="1085"/>
      <c r="M433" s="977">
        <v>75</v>
      </c>
    </row>
    <row r="434" spans="1:13" s="1086" customFormat="1" ht="25.15" hidden="1" customHeight="1">
      <c r="A434" s="1156">
        <f t="shared" si="35"/>
        <v>0</v>
      </c>
      <c r="B434" s="1332" t="s">
        <v>1867</v>
      </c>
      <c r="C434" s="1332"/>
      <c r="D434" s="1113"/>
      <c r="E434" s="1082">
        <f>VLOOKUP($B434,DG!A:D,DG!$B$2,)</f>
        <v>0</v>
      </c>
      <c r="F434" s="1083" t="str">
        <f>VLOOKUP($B434,DG!A:D,DG!$C$2,)</f>
        <v>Chụp đầu cosse  120mm2</v>
      </c>
      <c r="G434" s="1082" t="str">
        <f>VLOOKUP($B434,DG!A:D,DG!$D$2,)</f>
        <v>cái</v>
      </c>
      <c r="H434" s="1170">
        <f>H432</f>
        <v>0</v>
      </c>
      <c r="I434" s="1262">
        <f t="shared" si="36"/>
        <v>0</v>
      </c>
      <c r="J434" s="1111"/>
      <c r="K434" s="1111"/>
      <c r="L434" s="1085"/>
      <c r="M434" s="977">
        <v>75</v>
      </c>
    </row>
    <row r="435" spans="1:13" s="1086" customFormat="1" ht="25.15" hidden="1" customHeight="1">
      <c r="A435" s="1156">
        <f t="shared" si="35"/>
        <v>0</v>
      </c>
      <c r="B435" s="1332" t="s">
        <v>2086</v>
      </c>
      <c r="C435" s="1332"/>
      <c r="D435" s="1113"/>
      <c r="E435" s="1082">
        <f>VLOOKUP($B435,DG!A:D,DG!$B$2,)</f>
        <v>0</v>
      </c>
      <c r="F435" s="1083" t="str">
        <f>VLOOKUP($B435,DG!A:D,DG!$C$2,)</f>
        <v>Chụp đầu cosse  70mm2</v>
      </c>
      <c r="G435" s="1082" t="str">
        <f>VLOOKUP($B435,DG!A:D,DG!$D$2,)</f>
        <v>cái</v>
      </c>
      <c r="H435" s="1170">
        <f>H433*0</f>
        <v>0</v>
      </c>
      <c r="I435" s="1262">
        <f t="shared" si="36"/>
        <v>0</v>
      </c>
      <c r="J435" s="1111"/>
      <c r="K435" s="1111"/>
      <c r="L435" s="1085"/>
      <c r="M435" s="977">
        <v>75</v>
      </c>
    </row>
    <row r="436" spans="1:13" s="1086" customFormat="1" ht="25.15" hidden="1" customHeight="1">
      <c r="A436" s="1156">
        <f t="shared" si="35"/>
        <v>0</v>
      </c>
      <c r="B436" s="1332" t="s">
        <v>1044</v>
      </c>
      <c r="C436" s="1332"/>
      <c r="D436" s="1113"/>
      <c r="E436" s="1082">
        <f>VLOOKUP($B436,DG!A:D,DG!$B$2,)</f>
        <v>0</v>
      </c>
      <c r="F436" s="1083" t="str">
        <f>VLOOKUP($B436,DG!A:D,DG!$C$2,)</f>
        <v xml:space="preserve">Ống PVC D114x4,9mm </v>
      </c>
      <c r="G436" s="1082" t="str">
        <f>VLOOKUP($B436,DG!A:D,DG!$D$2,)</f>
        <v>m</v>
      </c>
      <c r="H436" s="1170">
        <f>6*H427</f>
        <v>0</v>
      </c>
      <c r="I436" s="1262">
        <f t="shared" si="36"/>
        <v>0</v>
      </c>
      <c r="J436" s="1111"/>
      <c r="K436" s="1111"/>
      <c r="L436" s="1085"/>
      <c r="M436" s="977">
        <v>75</v>
      </c>
    </row>
    <row r="437" spans="1:13" s="1086" customFormat="1" ht="25.15" hidden="1" customHeight="1">
      <c r="A437" s="1156">
        <f t="shared" si="35"/>
        <v>0</v>
      </c>
      <c r="B437" s="1157" t="s">
        <v>1868</v>
      </c>
      <c r="C437" s="1157"/>
      <c r="D437" s="1113"/>
      <c r="E437" s="1082" t="str">
        <f>VLOOKUP($B437,DG!A:D,DG!$B$2,)</f>
        <v>06.3231</v>
      </c>
      <c r="F437" s="1083" t="str">
        <f>VLOOKUP($B437,DG!A:D,DG!$C$2,)</f>
        <v>Cổ dê kẹp ống PVC Ø 114</v>
      </c>
      <c r="G437" s="1082" t="str">
        <f>VLOOKUP($B437,DG!A:D,DG!$D$2,)</f>
        <v>bộ</v>
      </c>
      <c r="H437" s="1170">
        <f>3*H427</f>
        <v>0</v>
      </c>
      <c r="I437" s="1262">
        <f t="shared" si="36"/>
        <v>0</v>
      </c>
      <c r="J437" s="1111"/>
      <c r="K437" s="1111"/>
      <c r="L437" s="1085"/>
      <c r="M437" s="977">
        <v>75</v>
      </c>
    </row>
    <row r="438" spans="1:13" s="1086" customFormat="1" ht="25.15" hidden="1" customHeight="1">
      <c r="A438" s="1156">
        <f t="shared" si="35"/>
        <v>0</v>
      </c>
      <c r="B438" s="1157" t="s">
        <v>2025</v>
      </c>
      <c r="C438" s="1157"/>
      <c r="D438" s="1113"/>
      <c r="E438" s="1082">
        <f>VLOOKUP($B438,DG!A:D,DG!$B$2,)</f>
        <v>0</v>
      </c>
      <c r="F438" s="1083" t="str">
        <f>VLOOKUP($B438,DG!A:D,DG!$C$2,)</f>
        <v>Boulon 12x40+ 2 long đền vuông D14-50x50x3/Zn</v>
      </c>
      <c r="G438" s="1082" t="str">
        <f>VLOOKUP($B438,DG!A:D,DG!$D$2,)</f>
        <v>bộ</v>
      </c>
      <c r="H438" s="1170">
        <f>H439*4*0</f>
        <v>0</v>
      </c>
      <c r="I438" s="1262">
        <f t="shared" si="36"/>
        <v>0</v>
      </c>
      <c r="J438" s="1111"/>
      <c r="K438" s="1111"/>
      <c r="L438" s="1085"/>
      <c r="M438" s="977">
        <v>75</v>
      </c>
    </row>
    <row r="439" spans="1:13" s="1086" customFormat="1" ht="25.15" hidden="1" customHeight="1">
      <c r="A439" s="1156">
        <f t="shared" si="35"/>
        <v>0</v>
      </c>
      <c r="B439" s="1157" t="s">
        <v>1133</v>
      </c>
      <c r="C439" s="1157"/>
      <c r="D439" s="1113"/>
      <c r="E439" s="1082" t="str">
        <f>VLOOKUP($B439,DG!A:D,DG!$B$2,)</f>
        <v>06.2110</v>
      </c>
      <c r="F439" s="1083" t="str">
        <f>VLOOKUP($B439,DG!A:D,DG!$C$2,)</f>
        <v>Lắp cổ dề</v>
      </c>
      <c r="G439" s="1082" t="str">
        <f>VLOOKUP($B439,DG!A:D,DG!$D$2,)</f>
        <v>bộ</v>
      </c>
      <c r="H439" s="1170">
        <f>H427*3</f>
        <v>0</v>
      </c>
      <c r="I439" s="1262">
        <f t="shared" si="36"/>
        <v>0</v>
      </c>
      <c r="J439" s="1111"/>
      <c r="K439" s="1111"/>
      <c r="L439" s="1085"/>
      <c r="M439" s="977">
        <v>75</v>
      </c>
    </row>
    <row r="440" spans="1:13" s="1086" customFormat="1" ht="25.15" hidden="1" customHeight="1">
      <c r="A440" s="1156">
        <f t="shared" si="35"/>
        <v>0</v>
      </c>
      <c r="B440" s="1332" t="s">
        <v>1870</v>
      </c>
      <c r="C440" s="1332"/>
      <c r="D440" s="1113"/>
      <c r="E440" s="1082">
        <f>VLOOKUP($B440,DG!A:D,DG!$B$2,)</f>
        <v>0</v>
      </c>
      <c r="F440" s="1083" t="str">
        <f>VLOOKUP($B440,DG!A:D,DG!$C$2,)</f>
        <v>Co  90 độ PVC 114</v>
      </c>
      <c r="G440" s="1082" t="str">
        <f>VLOOKUP($B440,DG!A:D,DG!$D$2,)</f>
        <v>cái</v>
      </c>
      <c r="H440" s="1170">
        <f>2*H427</f>
        <v>0</v>
      </c>
      <c r="I440" s="1262">
        <f t="shared" si="36"/>
        <v>0</v>
      </c>
      <c r="J440" s="1111"/>
      <c r="K440" s="1111"/>
      <c r="L440" s="1085"/>
      <c r="M440" s="977">
        <v>75</v>
      </c>
    </row>
    <row r="441" spans="1:13" s="1086" customFormat="1" ht="25.15" hidden="1" customHeight="1">
      <c r="A441" s="1156">
        <f t="shared" si="35"/>
        <v>0</v>
      </c>
      <c r="B441" s="1332" t="s">
        <v>690</v>
      </c>
      <c r="C441" s="1332"/>
      <c r="D441" s="1113"/>
      <c r="E441" s="1082">
        <f>VLOOKUP($B441,DG!A:D,DG!$B$2,)</f>
        <v>0</v>
      </c>
      <c r="F441" s="1083" t="str">
        <f>VLOOKUP($B441,DG!A:D,DG!$C$2,)</f>
        <v>Nối ống PVC 114</v>
      </c>
      <c r="G441" s="1082" t="str">
        <f>VLOOKUP($B441,DG!A:D,DG!$D$2,)</f>
        <v>cái</v>
      </c>
      <c r="H441" s="1170">
        <f>H427</f>
        <v>0</v>
      </c>
      <c r="I441" s="1262">
        <f t="shared" si="36"/>
        <v>0</v>
      </c>
      <c r="J441" s="1111"/>
      <c r="K441" s="1111"/>
      <c r="L441" s="1085"/>
      <c r="M441" s="977">
        <v>75</v>
      </c>
    </row>
    <row r="442" spans="1:13" s="1086" customFormat="1" ht="25.15" hidden="1" customHeight="1">
      <c r="A442" s="1156">
        <f t="shared" si="35"/>
        <v>0</v>
      </c>
      <c r="B442" s="1332" t="s">
        <v>2175</v>
      </c>
      <c r="C442" s="1332"/>
      <c r="D442" s="1113"/>
      <c r="E442" s="1082">
        <f>VLOOKUP($B442,DG!A:D,DG!$B$2,)</f>
        <v>0</v>
      </c>
      <c r="F442" s="1083" t="str">
        <f>VLOOKUP($B442,DG!A:D,DG!$C$2,)</f>
        <v>Khâu ven răng trong D114</v>
      </c>
      <c r="G442" s="1082" t="str">
        <f>VLOOKUP($B442,DG!A:D,DG!$D$2,)</f>
        <v>cái</v>
      </c>
      <c r="H442" s="1170">
        <f>H441*0</f>
        <v>0</v>
      </c>
      <c r="I442" s="1262">
        <f t="shared" si="36"/>
        <v>0</v>
      </c>
      <c r="J442" s="1111"/>
      <c r="K442" s="1111"/>
      <c r="L442" s="1085"/>
      <c r="M442" s="977">
        <v>75</v>
      </c>
    </row>
    <row r="443" spans="1:13" s="1086" customFormat="1" ht="25.15" hidden="1" customHeight="1">
      <c r="A443" s="1156">
        <f t="shared" si="35"/>
        <v>0</v>
      </c>
      <c r="B443" s="1332" t="s">
        <v>2176</v>
      </c>
      <c r="C443" s="1332"/>
      <c r="D443" s="1113"/>
      <c r="E443" s="1082">
        <f>VLOOKUP($B443,DG!A:D,DG!$B$2,)</f>
        <v>0</v>
      </c>
      <c r="F443" s="1083" t="str">
        <f>VLOOKUP($B443,DG!A:D,DG!$C$2,)</f>
        <v>Khâu ven răng ngoài D114</v>
      </c>
      <c r="G443" s="1082" t="str">
        <f>VLOOKUP($B443,DG!A:D,DG!$D$2,)</f>
        <v>cái</v>
      </c>
      <c r="H443" s="1170">
        <f>H442*0</f>
        <v>0</v>
      </c>
      <c r="I443" s="1262">
        <f t="shared" si="36"/>
        <v>0</v>
      </c>
      <c r="J443" s="1111"/>
      <c r="K443" s="1111"/>
      <c r="L443" s="1085"/>
      <c r="M443" s="977">
        <v>75</v>
      </c>
    </row>
    <row r="444" spans="1:13" s="1086" customFormat="1" ht="25.15" hidden="1" customHeight="1">
      <c r="A444" s="1156">
        <f t="shared" si="35"/>
        <v>0</v>
      </c>
      <c r="B444" s="1332" t="s">
        <v>2082</v>
      </c>
      <c r="C444" s="1332"/>
      <c r="D444" s="1113"/>
      <c r="E444" s="1082">
        <f>VLOOKUP($B444,DG!A:D,DG!$B$2,)</f>
        <v>0</v>
      </c>
      <c r="F444" s="1083" t="str">
        <f>VLOOKUP($B444,DG!A:D,DG!$C$2,)</f>
        <v>Keo dán ống PVC (100gr)</v>
      </c>
      <c r="G444" s="1082" t="str">
        <f>VLOOKUP($B444,DG!A:D,DG!$D$2,)</f>
        <v>tuýp</v>
      </c>
      <c r="H444" s="1170">
        <f>H427</f>
        <v>0</v>
      </c>
      <c r="I444" s="1262">
        <f t="shared" si="36"/>
        <v>0</v>
      </c>
      <c r="J444" s="1111"/>
      <c r="K444" s="1111"/>
      <c r="L444" s="1085"/>
      <c r="M444" s="977">
        <v>75</v>
      </c>
    </row>
    <row r="445" spans="1:13" s="1086" customFormat="1" ht="25.15" hidden="1" customHeight="1">
      <c r="A445" s="1156">
        <f t="shared" si="35"/>
        <v>0</v>
      </c>
      <c r="B445" s="1332" t="s">
        <v>489</v>
      </c>
      <c r="C445" s="1332"/>
      <c r="D445" s="1113"/>
      <c r="E445" s="1082">
        <f>VLOOKUP($B445,DG!A:D,DG!$B$2,)</f>
        <v>0</v>
      </c>
      <c r="F445" s="1083" t="str">
        <f>VLOOKUP($B445,DG!A:D,DG!$C$2,)</f>
        <v>Keo silicon bít miệng ống</v>
      </c>
      <c r="G445" s="1082" t="str">
        <f>VLOOKUP($B445,DG!A:D,DG!$D$2,)</f>
        <v>ống</v>
      </c>
      <c r="H445" s="1170">
        <f>H427</f>
        <v>0</v>
      </c>
      <c r="I445" s="1262">
        <f t="shared" si="36"/>
        <v>0</v>
      </c>
      <c r="J445" s="1111"/>
      <c r="K445" s="1111"/>
      <c r="L445" s="1085"/>
      <c r="M445" s="977">
        <v>75</v>
      </c>
    </row>
    <row r="446" spans="1:13" s="1086" customFormat="1" ht="25.15" hidden="1" customHeight="1">
      <c r="A446" s="1156">
        <f t="shared" si="35"/>
        <v>0</v>
      </c>
      <c r="B446" s="1157" t="s">
        <v>672</v>
      </c>
      <c r="C446" s="1157"/>
      <c r="D446" s="1113"/>
      <c r="E446" s="1191"/>
      <c r="F446" s="1083" t="str">
        <f>VLOOKUP($B446,DG!A:D,DG!$C$2,)</f>
        <v>Băng keo cách điện</v>
      </c>
      <c r="G446" s="1082" t="str">
        <f>VLOOKUP($B446,DG!A:D,DG!$D$2,)</f>
        <v>cuộn</v>
      </c>
      <c r="H446" s="1170">
        <f>H427</f>
        <v>0</v>
      </c>
      <c r="I446" s="1262">
        <f t="shared" si="36"/>
        <v>0</v>
      </c>
      <c r="J446" s="1111"/>
      <c r="K446" s="1111"/>
      <c r="L446" s="1085"/>
      <c r="M446" s="977">
        <v>75</v>
      </c>
    </row>
    <row r="447" spans="1:13" s="1086" customFormat="1" ht="25.15" hidden="1" customHeight="1">
      <c r="A447" s="1156">
        <f t="shared" si="35"/>
        <v>0</v>
      </c>
      <c r="B447" s="1332" t="s">
        <v>1869</v>
      </c>
      <c r="C447" s="1332"/>
      <c r="D447" s="1113"/>
      <c r="E447" s="1082" t="str">
        <f>VLOOKUP($B447,DG!A:D,DG!$B$2,)</f>
        <v>07,2407</v>
      </c>
      <c r="F447" s="1083" t="str">
        <f>VLOOKUP($B447,DG!A:D,DG!$C$2,)</f>
        <v>Lắp ống nhựa PVC D114</v>
      </c>
      <c r="G447" s="1082" t="str">
        <f>VLOOKUP($B447,DG!A:D,DG!$D$2,)</f>
        <v>mét</v>
      </c>
      <c r="H447" s="1170">
        <f>H436</f>
        <v>0</v>
      </c>
      <c r="I447" s="1262">
        <f t="shared" si="36"/>
        <v>0</v>
      </c>
      <c r="J447" s="1111"/>
      <c r="K447" s="1111"/>
      <c r="L447" s="1085"/>
      <c r="M447" s="977">
        <v>75</v>
      </c>
    </row>
    <row r="448" spans="1:13" s="1086" customFormat="1" ht="25.15" hidden="1" customHeight="1">
      <c r="A448" s="1156">
        <f t="shared" si="35"/>
        <v>0</v>
      </c>
      <c r="B448" s="1157" t="s">
        <v>1530</v>
      </c>
      <c r="C448" s="1157"/>
      <c r="D448" s="1113"/>
      <c r="E448" s="1082" t="str">
        <f>VLOOKUP($B448,DG!A:D,DG!$B$2,)</f>
        <v>04.4201</v>
      </c>
      <c r="F448" s="1083" t="str">
        <f>VLOOKUP($B448,DG!A:D,DG!$C$2,)</f>
        <v>Lắp cáp đồng xuống thiết bị D ≤ 95mm2</v>
      </c>
      <c r="G448" s="1082" t="str">
        <f>VLOOKUP($B448,DG!A:D,DG!$D$2,)</f>
        <v>m</v>
      </c>
      <c r="H448" s="1170">
        <f>H429+H430</f>
        <v>0</v>
      </c>
      <c r="I448" s="1262">
        <f t="shared" si="36"/>
        <v>0</v>
      </c>
      <c r="J448" s="1111"/>
      <c r="K448" s="1111"/>
      <c r="L448" s="1085"/>
      <c r="M448" s="977">
        <v>75</v>
      </c>
    </row>
    <row r="449" spans="1:14" s="1086" customFormat="1" ht="25.15" hidden="1" customHeight="1">
      <c r="A449" s="1156">
        <f t="shared" si="35"/>
        <v>0</v>
      </c>
      <c r="B449" s="1332" t="s">
        <v>289</v>
      </c>
      <c r="C449" s="1332"/>
      <c r="D449" s="1173">
        <f>IF(H449&gt;0,D427+1,D427)</f>
        <v>0</v>
      </c>
      <c r="E449" s="1192"/>
      <c r="F449" s="1083" t="str">
        <f>VLOOKUP($B449,DG!A:D,DG!$C$2,)</f>
        <v>Bảng tên trạm, bảng báo nguy hiểm + đinh vít</v>
      </c>
      <c r="G449" s="1082" t="str">
        <f>VLOOKUP($B449,DG!A:D,DG!$D$2,)</f>
        <v>bộ</v>
      </c>
      <c r="H449" s="1868">
        <f>H394</f>
        <v>0</v>
      </c>
      <c r="I449" s="1262">
        <f t="shared" si="36"/>
        <v>0</v>
      </c>
      <c r="J449" s="1111"/>
      <c r="K449" s="1111"/>
      <c r="L449" s="1101"/>
      <c r="M449" s="977">
        <v>75</v>
      </c>
    </row>
    <row r="450" spans="1:14" s="1086" customFormat="1" ht="25.15" hidden="1" customHeight="1">
      <c r="A450" s="1156">
        <f t="shared" si="35"/>
        <v>0</v>
      </c>
      <c r="B450" s="1327"/>
      <c r="C450" s="1327"/>
      <c r="D450" s="1193"/>
      <c r="E450" s="1194"/>
      <c r="F450" s="1072"/>
      <c r="G450" s="1195"/>
      <c r="H450" s="1869"/>
      <c r="I450" s="1262">
        <f t="shared" si="36"/>
        <v>0</v>
      </c>
      <c r="J450" s="1196"/>
      <c r="K450" s="1197"/>
      <c r="L450" s="1139"/>
      <c r="M450" s="977"/>
    </row>
    <row r="451" spans="1:14" s="1086" customFormat="1" ht="25.15" hidden="1" customHeight="1">
      <c r="A451" s="1156">
        <f t="shared" si="35"/>
        <v>0</v>
      </c>
      <c r="B451" s="1327"/>
      <c r="C451" s="1327"/>
      <c r="D451" s="1164"/>
      <c r="E451" s="1203"/>
      <c r="F451" s="1204"/>
      <c r="H451" s="1902"/>
      <c r="I451" s="1262">
        <f t="shared" si="36"/>
        <v>0</v>
      </c>
      <c r="M451" s="977"/>
    </row>
    <row r="452" spans="1:14" s="1086" customFormat="1" ht="25.15" hidden="1" customHeight="1">
      <c r="A452" s="1156">
        <f t="shared" si="35"/>
        <v>0</v>
      </c>
      <c r="B452" s="1322"/>
      <c r="C452" s="1322"/>
      <c r="D452" s="1137" t="str">
        <f>"BAÛNG TOÅNG HÔÏP VAÄT LIEÄU, NHAÂN COÂNG, MAÙY THI COÂNG : "&amp;I11&amp;   "TRAÏM_1P100KVA  CAÙP XUAÁT 1P 2W"</f>
        <v>BAÛNG TOÅNG HÔÏP VAÄT LIEÄU, NHAÂN COÂNG, MAÙY THI COÂNG : TRAÏM_1P100KVA  CAÙP XUAÁT 1P 2W</v>
      </c>
      <c r="E452" s="1198"/>
      <c r="F452" s="1103"/>
      <c r="G452" s="1103"/>
      <c r="H452" s="1870"/>
      <c r="I452" s="1262">
        <f t="shared" si="36"/>
        <v>0</v>
      </c>
      <c r="J452" s="1103"/>
      <c r="K452" s="1103"/>
      <c r="L452" s="977"/>
      <c r="M452" s="977"/>
    </row>
    <row r="453" spans="1:14" s="1086" customFormat="1" ht="25.15" hidden="1" customHeight="1">
      <c r="A453" s="1156">
        <f t="shared" si="35"/>
        <v>0</v>
      </c>
      <c r="B453" s="1327"/>
      <c r="C453" s="1327"/>
      <c r="D453" s="1159"/>
      <c r="E453" s="1160"/>
      <c r="F453" s="1072" t="s">
        <v>3693</v>
      </c>
      <c r="G453" s="1162"/>
      <c r="H453" s="1865"/>
      <c r="I453" s="1262">
        <f t="shared" si="36"/>
        <v>0</v>
      </c>
      <c r="J453" s="1162"/>
      <c r="K453" s="1162"/>
      <c r="L453" s="1139"/>
      <c r="M453" s="977">
        <v>100</v>
      </c>
    </row>
    <row r="454" spans="1:14" s="1086" customFormat="1" ht="25.15" hidden="1" customHeight="1">
      <c r="A454" s="1156">
        <f t="shared" si="35"/>
        <v>0</v>
      </c>
      <c r="B454" s="1328" t="s">
        <v>503</v>
      </c>
      <c r="C454" s="1328"/>
      <c r="D454" s="1093">
        <f>IF(H454&gt;0,1,0)</f>
        <v>0</v>
      </c>
      <c r="E454" s="1082" t="str">
        <f>VLOOKUP($B454,DG!A:D,DG!$B$2,)</f>
        <v>01.1164</v>
      </c>
      <c r="F454" s="1083" t="str">
        <f>VLOOKUP($B454,DG!A:D,DG!$C$2,)</f>
        <v>Máy biến áp 12,7/0,22-0,44kV  100kVA</v>
      </c>
      <c r="G454" s="1082" t="str">
        <f>VLOOKUP($B454,DG!A:D,DG!$D$2,)</f>
        <v>máy</v>
      </c>
      <c r="H454" s="1871">
        <f>I11</f>
        <v>0</v>
      </c>
      <c r="I454" s="1262">
        <f t="shared" si="36"/>
        <v>0</v>
      </c>
      <c r="J454" s="1111"/>
      <c r="K454" s="1111"/>
      <c r="L454" s="1085"/>
      <c r="M454" s="977">
        <v>100</v>
      </c>
    </row>
    <row r="455" spans="1:14" s="1086" customFormat="1" ht="25.15" hidden="1" customHeight="1">
      <c r="A455" s="1156">
        <f t="shared" si="35"/>
        <v>0</v>
      </c>
      <c r="B455" s="1328" t="s">
        <v>1657</v>
      </c>
      <c r="C455" s="1328"/>
      <c r="D455" s="1093">
        <f t="shared" ref="D455:D462" si="41">IF(H455&gt;0,D454+1,D454)</f>
        <v>0</v>
      </c>
      <c r="E455" s="1082" t="str">
        <f>VLOOKUP($B455,DG!A:D,DG!$B$2,)</f>
        <v>02.3155</v>
      </c>
      <c r="F455" s="1083" t="str">
        <f>VLOOKUP($B455,DG!A:D,DG!$C$2,)</f>
        <v>FCO 27kV - 100A</v>
      </c>
      <c r="G455" s="1082" t="str">
        <f>VLOOKUP($B455,DG!A:D,DG!$D$2,)</f>
        <v>cái</v>
      </c>
      <c r="H455" s="1170">
        <f>H454</f>
        <v>0</v>
      </c>
      <c r="I455" s="1262">
        <f t="shared" si="36"/>
        <v>0</v>
      </c>
      <c r="J455" s="1111"/>
      <c r="K455" s="1111"/>
      <c r="L455" s="1085"/>
      <c r="M455" s="977">
        <v>100</v>
      </c>
    </row>
    <row r="456" spans="1:14" s="1086" customFormat="1" ht="25.15" hidden="1" customHeight="1">
      <c r="A456" s="1156">
        <f t="shared" si="35"/>
        <v>0</v>
      </c>
      <c r="B456" s="1328" t="s">
        <v>1148</v>
      </c>
      <c r="C456" s="1328"/>
      <c r="D456" s="1093">
        <f t="shared" si="41"/>
        <v>0</v>
      </c>
      <c r="E456" s="1082">
        <f>VLOOKUP($B456,DG!A:D,DG!$B$2,)</f>
        <v>0</v>
      </c>
      <c r="F456" s="1083" t="str">
        <f>VLOOKUP($B456,DG!A:D,DG!$C$2,)</f>
        <v>Dây chảy 10K</v>
      </c>
      <c r="G456" s="1082" t="str">
        <f>VLOOKUP($B456,DG!A:D,DG!$D$2,)</f>
        <v>Sợi</v>
      </c>
      <c r="H456" s="1170">
        <f>H455</f>
        <v>0</v>
      </c>
      <c r="I456" s="1262">
        <f t="shared" si="36"/>
        <v>0</v>
      </c>
      <c r="J456" s="1111"/>
      <c r="K456" s="1111"/>
      <c r="L456" s="1085"/>
      <c r="M456" s="977">
        <v>100</v>
      </c>
    </row>
    <row r="457" spans="1:14" s="1086" customFormat="1" ht="25.15" hidden="1" customHeight="1">
      <c r="A457" s="1156">
        <f t="shared" si="35"/>
        <v>0</v>
      </c>
      <c r="B457" s="1322" t="s">
        <v>1378</v>
      </c>
      <c r="C457" s="1322"/>
      <c r="D457" s="1093">
        <f t="shared" si="41"/>
        <v>0</v>
      </c>
      <c r="E457" s="1082" t="str">
        <f>VLOOKUP($B457,DG!A:D,DG!$B$2,)</f>
        <v>02.5114</v>
      </c>
      <c r="F457" s="1083" t="str">
        <f>VLOOKUP($B457,DG!A:D,DG!$C$2,)</f>
        <v>Chống sét van LA-18KV-10KA</v>
      </c>
      <c r="G457" s="1082" t="str">
        <f>VLOOKUP($B457,DG!A:D,DG!$D$2,)</f>
        <v>cái</v>
      </c>
      <c r="H457" s="1170">
        <f>H456</f>
        <v>0</v>
      </c>
      <c r="I457" s="1262">
        <f t="shared" si="36"/>
        <v>0</v>
      </c>
      <c r="J457" s="1111"/>
      <c r="K457" s="1111"/>
      <c r="L457" s="1085"/>
      <c r="M457" s="977">
        <v>100</v>
      </c>
    </row>
    <row r="458" spans="1:14" s="1086" customFormat="1" ht="25.15" hidden="1" customHeight="1">
      <c r="A458" s="1156">
        <f t="shared" si="35"/>
        <v>0</v>
      </c>
      <c r="B458" s="1329" t="s">
        <v>1118</v>
      </c>
      <c r="C458" s="1329"/>
      <c r="D458" s="1093">
        <f t="shared" si="41"/>
        <v>0</v>
      </c>
      <c r="E458" s="1082">
        <f>VLOOKUP($B458,DG!A:D,DG!$B$2,)</f>
        <v>0</v>
      </c>
      <c r="F458" s="1083" t="str">
        <f>VLOOKUP($B458,DG!A:D,DG!$C$2,)</f>
        <v xml:space="preserve">Biến dòng 600V - 200/5A </v>
      </c>
      <c r="G458" s="1082" t="str">
        <f>VLOOKUP($B458,DG!A:D,DG!$D$2,)</f>
        <v>cái</v>
      </c>
      <c r="H458" s="1170"/>
      <c r="I458" s="1262">
        <f t="shared" si="36"/>
        <v>0</v>
      </c>
      <c r="J458" s="1111"/>
      <c r="K458" s="1111"/>
      <c r="L458" s="1085"/>
      <c r="M458" s="977">
        <v>100</v>
      </c>
    </row>
    <row r="459" spans="1:14" s="1086" customFormat="1" ht="25.15" hidden="1" customHeight="1">
      <c r="A459" s="1156">
        <f t="shared" si="35"/>
        <v>0</v>
      </c>
      <c r="B459" s="1330" t="s">
        <v>1464</v>
      </c>
      <c r="C459" s="1330"/>
      <c r="D459" s="1093">
        <f t="shared" si="41"/>
        <v>0</v>
      </c>
      <c r="E459" s="1082" t="str">
        <f>VLOOKUP($B459,DG!A:D,DG!$B$2,)</f>
        <v>02.8403</v>
      </c>
      <c r="F459" s="1083" t="str">
        <f>VLOOKUP($B459,DG!A:D,DG!$C$2,)</f>
        <v>MCCB 3 cực 400V -500A - 50KA</v>
      </c>
      <c r="G459" s="1082" t="str">
        <f>VLOOKUP($B459,DG!A:D,DG!$D$2,)</f>
        <v>cái</v>
      </c>
      <c r="H459" s="1170">
        <f>H454</f>
        <v>0</v>
      </c>
      <c r="I459" s="1262">
        <f t="shared" si="36"/>
        <v>0</v>
      </c>
      <c r="J459" s="1111"/>
      <c r="K459" s="1111"/>
      <c r="L459" s="1113"/>
      <c r="M459" s="977">
        <v>100</v>
      </c>
    </row>
    <row r="460" spans="1:14" s="1086" customFormat="1" ht="25.15" hidden="1" customHeight="1">
      <c r="A460" s="1156">
        <f t="shared" si="35"/>
        <v>0</v>
      </c>
      <c r="B460" s="1334" t="s">
        <v>287</v>
      </c>
      <c r="C460" s="1334"/>
      <c r="D460" s="1093">
        <f t="shared" si="41"/>
        <v>1</v>
      </c>
      <c r="E460" s="1082">
        <f>VLOOKUP($B460,DG!A:D,DG!$B$2,)</f>
        <v>0</v>
      </c>
      <c r="F460" s="1083" t="str">
        <f>VLOOKUP($B460,DG!A:D,DG!$C$2,)</f>
        <v>Điện kế 1 pha 2 dây 220V-5A</v>
      </c>
      <c r="G460" s="1082" t="str">
        <f>VLOOKUP($B460,DG!A:D,DG!$D$2,)</f>
        <v>cái</v>
      </c>
      <c r="H460" s="1170">
        <v>1</v>
      </c>
      <c r="I460" s="1262">
        <f t="shared" si="36"/>
        <v>0</v>
      </c>
      <c r="J460" s="1111"/>
      <c r="K460" s="1111"/>
      <c r="L460" s="1113" t="s">
        <v>2612</v>
      </c>
      <c r="M460" s="977">
        <v>100</v>
      </c>
      <c r="N460" s="1086">
        <f>100/0.2</f>
        <v>500</v>
      </c>
    </row>
    <row r="461" spans="1:14" s="1086" customFormat="1" ht="25.15" hidden="1" customHeight="1">
      <c r="A461" s="1156">
        <f t="shared" si="35"/>
        <v>0</v>
      </c>
      <c r="B461" s="1327" t="s">
        <v>199</v>
      </c>
      <c r="C461" s="1327"/>
      <c r="D461" s="1093">
        <f t="shared" si="41"/>
        <v>1</v>
      </c>
      <c r="E461" s="1082">
        <f>VLOOKUP($B461,DG!A:D,DG!$B$2,)</f>
        <v>0</v>
      </c>
      <c r="F461" s="1083" t="str">
        <f>VLOOKUP($B461,DG!A:D,DG!$C$2,)</f>
        <v xml:space="preserve">Ampe kế 100/5A-600v +AS </v>
      </c>
      <c r="G461" s="1082" t="str">
        <f>VLOOKUP($B461,DG!A:D,DG!$D$2,)</f>
        <v>Bộ</v>
      </c>
      <c r="H461" s="1170">
        <f>H460*0</f>
        <v>0</v>
      </c>
      <c r="I461" s="1262">
        <f t="shared" si="36"/>
        <v>0</v>
      </c>
      <c r="J461" s="1111"/>
      <c r="K461" s="1111"/>
      <c r="L461" s="1085"/>
      <c r="M461" s="977">
        <v>100</v>
      </c>
    </row>
    <row r="462" spans="1:14" s="1086" customFormat="1" ht="25.15" hidden="1" customHeight="1">
      <c r="A462" s="1156">
        <f t="shared" si="35"/>
        <v>0</v>
      </c>
      <c r="B462" s="1327" t="s">
        <v>200</v>
      </c>
      <c r="C462" s="1327"/>
      <c r="D462" s="1093">
        <f t="shared" si="41"/>
        <v>1</v>
      </c>
      <c r="E462" s="1082">
        <f>VLOOKUP($B462,DG!A:D,DG!$B$2,)</f>
        <v>0</v>
      </c>
      <c r="F462" s="1083" t="str">
        <f>VLOOKUP($B462,DG!A:D,DG!$C$2,)</f>
        <v>Volt kế 500V + VS + 2xChì ống 1A-230V</v>
      </c>
      <c r="G462" s="1082" t="str">
        <f>VLOOKUP($B462,DG!A:D,DG!$D$2,)</f>
        <v>Bộ</v>
      </c>
      <c r="H462" s="1170">
        <f>H461*0</f>
        <v>0</v>
      </c>
      <c r="I462" s="1262">
        <f t="shared" si="36"/>
        <v>0</v>
      </c>
      <c r="J462" s="1111"/>
      <c r="K462" s="1111"/>
      <c r="L462" s="1101"/>
      <c r="M462" s="977">
        <v>100</v>
      </c>
    </row>
    <row r="463" spans="1:14" s="1086" customFormat="1" ht="25.15" hidden="1" customHeight="1">
      <c r="A463" s="1156">
        <f>IF(M463=$M$23,1,0)</f>
        <v>0</v>
      </c>
      <c r="B463" s="1327"/>
      <c r="C463" s="1327"/>
      <c r="D463" s="1110"/>
      <c r="E463" s="1182"/>
      <c r="F463" s="1163"/>
      <c r="G463" s="1110"/>
      <c r="H463" s="1205"/>
      <c r="I463" s="1262">
        <f t="shared" si="36"/>
        <v>0</v>
      </c>
      <c r="J463" s="1163"/>
      <c r="K463" s="1110"/>
      <c r="L463" s="1139"/>
      <c r="M463" s="977">
        <v>100</v>
      </c>
    </row>
    <row r="464" spans="1:14" s="1086" customFormat="1" ht="25.15" hidden="1" customHeight="1">
      <c r="A464" s="1156">
        <f>IF(M464=$M$23,1,0)</f>
        <v>0</v>
      </c>
      <c r="B464" s="1327"/>
      <c r="C464" s="1327"/>
      <c r="D464" s="1184"/>
      <c r="E464" s="1185"/>
      <c r="F464" s="1072" t="s">
        <v>3694</v>
      </c>
      <c r="G464" s="1072"/>
      <c r="H464" s="1865"/>
      <c r="I464" s="1262">
        <f t="shared" si="36"/>
        <v>0</v>
      </c>
      <c r="J464" s="1072"/>
      <c r="K464" s="1072"/>
      <c r="L464" s="1139"/>
      <c r="M464" s="977">
        <v>100</v>
      </c>
    </row>
    <row r="465" spans="1:14" s="1086" customFormat="1" ht="25.15" hidden="1" customHeight="1">
      <c r="A465" s="1156">
        <f t="shared" si="35"/>
        <v>0</v>
      </c>
      <c r="B465" s="1327" t="s">
        <v>1615</v>
      </c>
      <c r="C465" s="1327"/>
      <c r="D465" s="1186">
        <f>IF(H477&gt;0,1,0)</f>
        <v>0</v>
      </c>
      <c r="E465" s="1188"/>
      <c r="F465" s="1083" t="str">
        <f>VLOOKUP($B465,DG!A:D,DG!$C$2,)</f>
        <v>Boulon 16x300+ 2 long đền vuông D18-50x50x3/Zn</v>
      </c>
      <c r="G465" s="1082" t="str">
        <f>VLOOKUP($B465,DG!A:D,DG!$D$2,)</f>
        <v>bộ</v>
      </c>
      <c r="H465" s="1867">
        <f>2*SUM(H454:H454)</f>
        <v>0</v>
      </c>
      <c r="I465" s="1262">
        <f t="shared" si="36"/>
        <v>0</v>
      </c>
      <c r="J465" s="1111"/>
      <c r="K465" s="1111"/>
      <c r="L465" s="1199"/>
      <c r="M465" s="977">
        <v>100</v>
      </c>
    </row>
    <row r="466" spans="1:14" s="1086" customFormat="1" ht="25.15" hidden="1" customHeight="1">
      <c r="A466" s="1156">
        <f t="shared" si="35"/>
        <v>0</v>
      </c>
      <c r="B466" s="1327"/>
      <c r="C466" s="1327"/>
      <c r="D466" s="1081">
        <f>IF(H466&gt;0,D465+1,D465)</f>
        <v>0</v>
      </c>
      <c r="E466" s="1188"/>
      <c r="F466" s="1189" t="s">
        <v>3695</v>
      </c>
      <c r="G466" s="1169" t="s">
        <v>2394</v>
      </c>
      <c r="H466" s="1867">
        <f>H454*0</f>
        <v>0</v>
      </c>
      <c r="I466" s="1262">
        <f t="shared" si="36"/>
        <v>0</v>
      </c>
      <c r="J466" s="1134"/>
      <c r="K466" s="1134"/>
      <c r="L466" s="1113"/>
      <c r="M466" s="977">
        <v>100</v>
      </c>
    </row>
    <row r="467" spans="1:14" s="1086" customFormat="1" ht="25.15" hidden="1" customHeight="1">
      <c r="A467" s="1156">
        <f>IF(A466&gt;0,1,0)</f>
        <v>0</v>
      </c>
      <c r="B467" s="1327"/>
      <c r="C467" s="1327"/>
      <c r="D467" s="1169"/>
      <c r="E467" s="1188"/>
      <c r="F467" s="1367" t="s">
        <v>2287</v>
      </c>
      <c r="G467" s="1113"/>
      <c r="H467" s="1170"/>
      <c r="I467" s="1262">
        <f t="shared" si="36"/>
        <v>0</v>
      </c>
      <c r="J467" s="1134"/>
      <c r="K467" s="1134"/>
      <c r="L467" s="1113"/>
      <c r="M467" s="977">
        <v>100</v>
      </c>
      <c r="N467" s="1190"/>
    </row>
    <row r="468" spans="1:14" s="1086" customFormat="1" ht="25.15" hidden="1" customHeight="1">
      <c r="A468" s="1156">
        <f t="shared" si="35"/>
        <v>0</v>
      </c>
      <c r="B468" s="1157" t="s">
        <v>115</v>
      </c>
      <c r="C468" s="1157"/>
      <c r="D468" s="1113"/>
      <c r="E468" s="1082">
        <f>VLOOKUP($B468,DG!A:D,DG!$B$2,)</f>
        <v>0</v>
      </c>
      <c r="F468" s="1083" t="str">
        <f>VLOOKUP($B468,DG!A:D,DG!$C$2,)</f>
        <v>Trụ BTLT 12m F350 dự ứng lực</v>
      </c>
      <c r="G468" s="1082" t="str">
        <f>VLOOKUP($B468,DG!A:D,DG!$D$2,)</f>
        <v>trụ</v>
      </c>
      <c r="H468" s="1170">
        <f>1*H466</f>
        <v>0</v>
      </c>
      <c r="I468" s="1262">
        <f t="shared" si="36"/>
        <v>0</v>
      </c>
      <c r="J468" s="1111"/>
      <c r="K468" s="1111"/>
      <c r="L468" s="1113"/>
      <c r="M468" s="977">
        <v>100</v>
      </c>
      <c r="N468" s="1190"/>
    </row>
    <row r="469" spans="1:14" s="1086" customFormat="1" ht="25.15" hidden="1" customHeight="1">
      <c r="A469" s="1156">
        <f t="shared" si="35"/>
        <v>0</v>
      </c>
      <c r="B469" s="1157" t="s">
        <v>1820</v>
      </c>
      <c r="C469" s="1157"/>
      <c r="D469" s="1113"/>
      <c r="E469" s="1191"/>
      <c r="F469" s="1083" t="str">
        <f>VLOOKUP($B469,DG!A:D,DG!$C$2,)</f>
        <v>Vật liệu dựng trụ</v>
      </c>
      <c r="G469" s="1082" t="str">
        <f>VLOOKUP($B469,DG!A:D,DG!$D$2,)</f>
        <v>trụ</v>
      </c>
      <c r="H469" s="1170">
        <f>H468</f>
        <v>0</v>
      </c>
      <c r="I469" s="1262">
        <f t="shared" si="36"/>
        <v>0</v>
      </c>
      <c r="J469" s="1111"/>
      <c r="K469" s="1111"/>
      <c r="L469" s="1113"/>
      <c r="M469" s="977">
        <v>100</v>
      </c>
      <c r="N469" s="1190"/>
    </row>
    <row r="470" spans="1:14" s="1086" customFormat="1" ht="25.15" hidden="1" customHeight="1">
      <c r="A470" s="1156">
        <f t="shared" si="35"/>
        <v>0</v>
      </c>
      <c r="B470" s="1157" t="s">
        <v>2134</v>
      </c>
      <c r="C470" s="1157"/>
      <c r="D470" s="1113"/>
      <c r="E470" s="1191"/>
      <c r="F470" s="1083" t="str">
        <f>VLOOKUP($B470,DG!A:D,DG!$C$2,)</f>
        <v>Dựng trụ BTLT 12m trong TBA bằng thủ công + cơ giới</v>
      </c>
      <c r="G470" s="1082" t="str">
        <f>VLOOKUP($B470,DG!A:D,DG!$D$2,)</f>
        <v>trụ</v>
      </c>
      <c r="H470" s="1170">
        <f>H468</f>
        <v>0</v>
      </c>
      <c r="I470" s="1262">
        <f t="shared" si="36"/>
        <v>0</v>
      </c>
      <c r="J470" s="1111"/>
      <c r="K470" s="1111"/>
      <c r="L470" s="1113"/>
      <c r="M470" s="977">
        <v>100</v>
      </c>
      <c r="N470" s="1190"/>
    </row>
    <row r="471" spans="1:14" s="1086" customFormat="1" ht="25.15" hidden="1" customHeight="1">
      <c r="A471" s="1156">
        <f t="shared" si="35"/>
        <v>0</v>
      </c>
      <c r="B471" s="1327"/>
      <c r="C471" s="1327"/>
      <c r="D471" s="1081">
        <f>IF(H471&gt;0,D466+1,D466)</f>
        <v>0</v>
      </c>
      <c r="E471" s="1188"/>
      <c r="F471" s="1189" t="s">
        <v>2361</v>
      </c>
      <c r="G471" s="1169" t="s">
        <v>2394</v>
      </c>
      <c r="H471" s="1867">
        <f>H466</f>
        <v>0</v>
      </c>
      <c r="I471" s="1262">
        <f t="shared" si="36"/>
        <v>0</v>
      </c>
      <c r="J471" s="1134"/>
      <c r="K471" s="1134"/>
      <c r="L471" s="1113"/>
      <c r="M471" s="977">
        <v>100</v>
      </c>
    </row>
    <row r="472" spans="1:14" s="1086" customFormat="1" ht="25.15" hidden="1" customHeight="1">
      <c r="A472" s="1156">
        <f>IF(A471&gt;0,1,0)</f>
        <v>0</v>
      </c>
      <c r="B472" s="1327"/>
      <c r="C472" s="1327"/>
      <c r="D472" s="1169"/>
      <c r="E472" s="1188"/>
      <c r="F472" s="1367" t="s">
        <v>2287</v>
      </c>
      <c r="G472" s="1113"/>
      <c r="H472" s="1170"/>
      <c r="I472" s="1262">
        <f t="shared" si="36"/>
        <v>0</v>
      </c>
      <c r="J472" s="1134"/>
      <c r="K472" s="1134"/>
      <c r="L472" s="1113"/>
      <c r="M472" s="977">
        <v>100</v>
      </c>
      <c r="N472" s="1190"/>
    </row>
    <row r="473" spans="1:14" s="1086" customFormat="1" ht="25.15" hidden="1" customHeight="1">
      <c r="A473" s="1156">
        <f t="shared" si="35"/>
        <v>0</v>
      </c>
      <c r="B473" s="1334" t="s">
        <v>636</v>
      </c>
      <c r="C473" s="1334"/>
      <c r="D473" s="1113"/>
      <c r="E473" s="1082" t="str">
        <f>VLOOKUP($B473,DG!A:D,DG!$B$2,)</f>
        <v>04.4001</v>
      </c>
      <c r="F473" s="1083" t="str">
        <f>VLOOKUP($B473,DG!A:D,DG!$C$2,)</f>
        <v>Đà cản BTCT 1,2m</v>
      </c>
      <c r="G473" s="1082" t="str">
        <f>VLOOKUP($B473,DG!A:D,DG!$D$2,)</f>
        <v>cái</v>
      </c>
      <c r="H473" s="1170">
        <f>1*H471</f>
        <v>0</v>
      </c>
      <c r="I473" s="1262">
        <f t="shared" si="36"/>
        <v>0</v>
      </c>
      <c r="J473" s="1111"/>
      <c r="K473" s="1111"/>
      <c r="L473" s="1113"/>
      <c r="M473" s="977">
        <v>100</v>
      </c>
      <c r="N473" s="1190"/>
    </row>
    <row r="474" spans="1:14" s="1086" customFormat="1" ht="25.15" hidden="1" customHeight="1">
      <c r="A474" s="1156">
        <f t="shared" si="35"/>
        <v>0</v>
      </c>
      <c r="B474" s="1334" t="s">
        <v>566</v>
      </c>
      <c r="C474" s="1334"/>
      <c r="D474" s="1113"/>
      <c r="E474" s="1082">
        <f>VLOOKUP($B474,DG!A:D,DG!$B$2,)</f>
        <v>0</v>
      </c>
      <c r="F474" s="1083" t="str">
        <f>VLOOKUP($B474,DG!A:D,DG!$C$2,)</f>
        <v>Boulon 22x650+ 2 long đền vuông D24-50x50x3/Zn</v>
      </c>
      <c r="G474" s="1082" t="str">
        <f>VLOOKUP($B474,DG!A:D,DG!$D$2,)</f>
        <v>bộ</v>
      </c>
      <c r="H474" s="1170">
        <f>H471</f>
        <v>0</v>
      </c>
      <c r="I474" s="1262">
        <f t="shared" si="36"/>
        <v>0</v>
      </c>
      <c r="J474" s="1111"/>
      <c r="K474" s="1111"/>
      <c r="L474" s="1113"/>
      <c r="M474" s="977">
        <v>100</v>
      </c>
      <c r="N474" s="1190"/>
    </row>
    <row r="475" spans="1:14" s="1086" customFormat="1" ht="25.15" hidden="1" customHeight="1">
      <c r="A475" s="1156">
        <f t="shared" si="35"/>
        <v>0</v>
      </c>
      <c r="B475" s="1334" t="str">
        <f>IF(chitiet!G5=1,"MDD1",IF(chitiet!G5=2,"MDD2",IF(chitiet!G5=3,"MDD3",IF(chitiet!G5=4,"MDD4"))))</f>
        <v>MDD3</v>
      </c>
      <c r="C475" s="1334"/>
      <c r="D475" s="1113"/>
      <c r="E475" s="1082" t="str">
        <f>VLOOKUP($B475,DG!A:D,DG!$B$2,)</f>
        <v>03.1013</v>
      </c>
      <c r="F475" s="1083" t="str">
        <f>VLOOKUP($B475,DG!A:D,DG!$C$2,)</f>
        <v>Đào hố móng đất cấp 3 sâu &gt;1m</v>
      </c>
      <c r="G475" s="1082" t="str">
        <f>VLOOKUP($B475,DG!A:D,DG!$D$2,)</f>
        <v>m3</v>
      </c>
      <c r="H475" s="1170">
        <f>H471*1.45</f>
        <v>0</v>
      </c>
      <c r="I475" s="1262">
        <f t="shared" si="36"/>
        <v>0</v>
      </c>
      <c r="J475" s="1111"/>
      <c r="K475" s="1111"/>
      <c r="L475" s="1113"/>
      <c r="M475" s="977">
        <v>100</v>
      </c>
      <c r="N475" s="1190"/>
    </row>
    <row r="476" spans="1:14" s="1086" customFormat="1" ht="25.15" hidden="1" customHeight="1">
      <c r="A476" s="1156">
        <f t="shared" si="35"/>
        <v>0</v>
      </c>
      <c r="B476" s="1334" t="str">
        <f>IF(chitiet!G5=1,"MDAP1",IF(chitiet!G5=2,"MDAP2",IF(chitiet!G5=3,"MDAP3",IF(chitiet!G5=4,"MDAP4"))))</f>
        <v>MDAP3</v>
      </c>
      <c r="C476" s="1334"/>
      <c r="D476" s="1113"/>
      <c r="E476" s="1082" t="str">
        <f>VLOOKUP($B476,DG!A:D,DG!$B$2,)</f>
        <v>03.4113</v>
      </c>
      <c r="F476" s="1083" t="str">
        <f>VLOOKUP($B476,DG!A:D,DG!$C$2,)</f>
        <v>Đắp đất hố móng, độ chặt k=0,95</v>
      </c>
      <c r="G476" s="1082" t="str">
        <f>VLOOKUP($B476,DG!A:D,DG!$D$2,)</f>
        <v>m3</v>
      </c>
      <c r="H476" s="1170">
        <f>H471*1.37</f>
        <v>0</v>
      </c>
      <c r="I476" s="1262">
        <f t="shared" si="36"/>
        <v>0</v>
      </c>
      <c r="J476" s="1111"/>
      <c r="K476" s="1111"/>
      <c r="L476" s="1113"/>
      <c r="M476" s="977">
        <v>100</v>
      </c>
      <c r="N476" s="1190"/>
    </row>
    <row r="477" spans="1:14" s="1086" customFormat="1" ht="25.15" hidden="1" customHeight="1">
      <c r="A477" s="1156">
        <f t="shared" si="35"/>
        <v>0</v>
      </c>
      <c r="B477" s="1327"/>
      <c r="C477" s="1327"/>
      <c r="D477" s="1081">
        <f>IF(H477&gt;0,D471+1,D471)</f>
        <v>0</v>
      </c>
      <c r="E477" s="1188"/>
      <c r="F477" s="1200" t="s">
        <v>3696</v>
      </c>
      <c r="G477" s="1169" t="s">
        <v>2394</v>
      </c>
      <c r="H477" s="1867">
        <f>SUM(H454:H454)</f>
        <v>0</v>
      </c>
      <c r="I477" s="1262">
        <f t="shared" si="36"/>
        <v>0</v>
      </c>
      <c r="J477" s="1111"/>
      <c r="K477" s="1111"/>
      <c r="L477" s="1085"/>
      <c r="M477" s="977">
        <v>100</v>
      </c>
    </row>
    <row r="478" spans="1:14" s="1086" customFormat="1" ht="25.15" hidden="1" customHeight="1">
      <c r="A478" s="1156">
        <f>IF(A477&gt;0,1,0)</f>
        <v>0</v>
      </c>
      <c r="B478" s="1327"/>
      <c r="C478" s="1327"/>
      <c r="D478" s="1169"/>
      <c r="E478" s="1188"/>
      <c r="F478" s="1368" t="s">
        <v>2287</v>
      </c>
      <c r="G478" s="1113"/>
      <c r="H478" s="1170"/>
      <c r="I478" s="1262">
        <f t="shared" si="36"/>
        <v>0</v>
      </c>
      <c r="J478" s="1111"/>
      <c r="K478" s="1111"/>
      <c r="L478" s="1085"/>
      <c r="M478" s="977">
        <v>100</v>
      </c>
    </row>
    <row r="479" spans="1:14" s="1086" customFormat="1" ht="25.15" hidden="1" customHeight="1">
      <c r="A479" s="1156">
        <f t="shared" ref="A479:A480" si="42">IF(I479&gt;0,1,0)</f>
        <v>0</v>
      </c>
      <c r="B479" s="1327" t="s">
        <v>362</v>
      </c>
      <c r="C479" s="1327"/>
      <c r="D479" s="1113"/>
      <c r="E479" s="1082">
        <f>VLOOKUP($B479,DG!A:D,DG!$B$2,)</f>
        <v>0</v>
      </c>
      <c r="F479" s="1083" t="str">
        <f>VLOOKUP($B479,DG!A:D,DG!$C$2,)</f>
        <v>Xà composite 110x800x5</v>
      </c>
      <c r="G479" s="1082" t="str">
        <f>VLOOKUP($B479,DG!A:D,DG!$D$2,)</f>
        <v>cái</v>
      </c>
      <c r="H479" s="1170">
        <v>1</v>
      </c>
      <c r="I479" s="1262">
        <f t="shared" ref="I479:I480" si="43">IF(M479=$M$23,H479+J479-K479,0)</f>
        <v>0</v>
      </c>
      <c r="J479" s="1111"/>
      <c r="K479" s="1111"/>
      <c r="L479" s="1085"/>
      <c r="M479" s="977">
        <v>100</v>
      </c>
    </row>
    <row r="480" spans="1:14" s="1086" customFormat="1" ht="25.15" hidden="1" customHeight="1">
      <c r="A480" s="1156">
        <f t="shared" si="42"/>
        <v>0</v>
      </c>
      <c r="B480" s="1327" t="s">
        <v>4775</v>
      </c>
      <c r="C480" s="1327"/>
      <c r="D480" s="1113"/>
      <c r="E480" s="1082">
        <f>VLOOKUP($B480,DG!A:D,DG!$B$2,)</f>
        <v>0</v>
      </c>
      <c r="F480" s="1083" t="str">
        <f>VLOOKUP($B480,DG!A:D,DG!$C$2,)</f>
        <v>Thanh chống Composite 10x40x720</v>
      </c>
      <c r="G480" s="1082" t="str">
        <f>VLOOKUP($B480,DG!A:D,DG!$D$2,)</f>
        <v>cái</v>
      </c>
      <c r="H480" s="1170">
        <v>1</v>
      </c>
      <c r="I480" s="1262">
        <f t="shared" si="43"/>
        <v>0</v>
      </c>
      <c r="J480" s="1111"/>
      <c r="K480" s="1111"/>
      <c r="L480" s="1085"/>
      <c r="M480" s="977">
        <v>100</v>
      </c>
    </row>
    <row r="481" spans="1:13" s="1086" customFormat="1" ht="25.15" hidden="1" customHeight="1">
      <c r="A481" s="1156">
        <f t="shared" ref="A481:A544" si="44">IF(I481&gt;0,1,0)</f>
        <v>0</v>
      </c>
      <c r="B481" s="1327" t="s">
        <v>2279</v>
      </c>
      <c r="C481" s="1327"/>
      <c r="D481" s="1113"/>
      <c r="E481" s="1082">
        <f>VLOOKUP($B481,DG!A:D,DG!$B$2,)</f>
        <v>0</v>
      </c>
      <c r="F481" s="1083" t="str">
        <f>VLOOKUP($B481,DG!A:D,DG!$C$2,)</f>
        <v>Bass LL bắt FCO, LA</v>
      </c>
      <c r="G481" s="1082" t="str">
        <f>VLOOKUP($B481,DG!A:D,DG!$D$2,)</f>
        <v>bộ</v>
      </c>
      <c r="H481" s="1170">
        <v>1</v>
      </c>
      <c r="I481" s="1262">
        <f t="shared" si="36"/>
        <v>0</v>
      </c>
      <c r="J481" s="1111"/>
      <c r="K481" s="1111"/>
      <c r="L481" s="1085"/>
      <c r="M481" s="977">
        <v>100</v>
      </c>
    </row>
    <row r="482" spans="1:13" s="1086" customFormat="1" ht="25.15" hidden="1" customHeight="1">
      <c r="A482" s="1156">
        <f t="shared" si="44"/>
        <v>0</v>
      </c>
      <c r="B482" s="1327" t="s">
        <v>1615</v>
      </c>
      <c r="C482" s="1327"/>
      <c r="D482" s="1113"/>
      <c r="E482" s="1191"/>
      <c r="F482" s="1083" t="str">
        <f>VLOOKUP($B482,DG!A:D,DG!$C$2,)</f>
        <v>Boulon 16x300+ 2 long đền vuông D18-50x50x3/Zn</v>
      </c>
      <c r="G482" s="1082" t="str">
        <f>VLOOKUP($B482,DG!A:D,DG!$D$2,)</f>
        <v>bộ</v>
      </c>
      <c r="H482" s="1170">
        <f>H477*2</f>
        <v>0</v>
      </c>
      <c r="I482" s="1262">
        <f t="shared" si="36"/>
        <v>0</v>
      </c>
      <c r="J482" s="1111"/>
      <c r="K482" s="1111"/>
      <c r="L482" s="1085"/>
      <c r="M482" s="977">
        <v>100</v>
      </c>
    </row>
    <row r="483" spans="1:13" s="1086" customFormat="1" ht="25.15" hidden="1" customHeight="1">
      <c r="A483" s="1156">
        <f t="shared" si="44"/>
        <v>0</v>
      </c>
      <c r="B483" s="1327" t="s">
        <v>2157</v>
      </c>
      <c r="C483" s="1327"/>
      <c r="D483" s="1113"/>
      <c r="E483" s="1191"/>
      <c r="F483" s="1083" t="str">
        <f>VLOOKUP($B483,DG!A:D,DG!$C$2,)</f>
        <v>Boulon 16x40+ 2 long đền vuông D18-50x50x3/Zn</v>
      </c>
      <c r="G483" s="1082" t="str">
        <f>VLOOKUP($B483,DG!A:D,DG!$D$2,)</f>
        <v>bộ</v>
      </c>
      <c r="H483" s="1170">
        <v>1</v>
      </c>
      <c r="I483" s="1262">
        <f t="shared" si="36"/>
        <v>0</v>
      </c>
      <c r="J483" s="1111"/>
      <c r="K483" s="1111"/>
      <c r="L483" s="1085"/>
      <c r="M483" s="977">
        <v>100</v>
      </c>
    </row>
    <row r="484" spans="1:13" s="1086" customFormat="1" ht="25.15" hidden="1" customHeight="1">
      <c r="A484" s="1156">
        <f t="shared" si="44"/>
        <v>0</v>
      </c>
      <c r="B484" s="1327"/>
      <c r="C484" s="1327"/>
      <c r="D484" s="1169">
        <f>IF(H484&gt;0,D477+1,D477)</f>
        <v>0</v>
      </c>
      <c r="E484" s="1188"/>
      <c r="F484" s="1200" t="s">
        <v>3697</v>
      </c>
      <c r="G484" s="1169" t="s">
        <v>2394</v>
      </c>
      <c r="H484" s="1867">
        <f>H477</f>
        <v>0</v>
      </c>
      <c r="I484" s="1262">
        <f t="shared" si="36"/>
        <v>0</v>
      </c>
      <c r="J484" s="1111"/>
      <c r="K484" s="1111"/>
      <c r="L484" s="1085"/>
      <c r="M484" s="977">
        <v>100</v>
      </c>
    </row>
    <row r="485" spans="1:13" s="1086" customFormat="1" ht="25.15" hidden="1" customHeight="1">
      <c r="A485" s="1156">
        <f>IF(A484&gt;0,1,0)</f>
        <v>0</v>
      </c>
      <c r="B485" s="1327"/>
      <c r="C485" s="1327"/>
      <c r="D485" s="1113"/>
      <c r="E485" s="1191"/>
      <c r="F485" s="1368" t="s">
        <v>2287</v>
      </c>
      <c r="G485" s="1113"/>
      <c r="H485" s="1170"/>
      <c r="I485" s="1262">
        <f t="shared" si="36"/>
        <v>0</v>
      </c>
      <c r="J485" s="1111"/>
      <c r="K485" s="1111"/>
      <c r="L485" s="1085"/>
      <c r="M485" s="977">
        <v>100</v>
      </c>
    </row>
    <row r="486" spans="1:13" s="1086" customFormat="1" ht="25.15" hidden="1" customHeight="1">
      <c r="A486" s="1156">
        <f t="shared" si="44"/>
        <v>0</v>
      </c>
      <c r="B486" s="1327" t="s">
        <v>1035</v>
      </c>
      <c r="C486" s="1327"/>
      <c r="D486" s="1113"/>
      <c r="E486" s="1082">
        <f>VLOOKUP($B486,DG!A:D,DG!$B$2,)</f>
        <v>0</v>
      </c>
      <c r="F486" s="1335" t="str">
        <f>VLOOKUP($B486,DG!A:D,DG!$C$2,)&amp;": "&amp;I3&amp;J3</f>
        <v>Cáp đồng trần M25mm2: 46m</v>
      </c>
      <c r="G486" s="1082" t="str">
        <f>VLOOKUP($B486,DG!A:D,DG!$D$2,)</f>
        <v>kg</v>
      </c>
      <c r="H486" s="2065">
        <f>53*H484*0.224</f>
        <v>0</v>
      </c>
      <c r="I486" s="2066">
        <f t="shared" si="36"/>
        <v>0</v>
      </c>
      <c r="J486" s="1111"/>
      <c r="K486" s="1111"/>
      <c r="L486" s="1085"/>
      <c r="M486" s="977">
        <v>100</v>
      </c>
    </row>
    <row r="487" spans="1:13" s="1086" customFormat="1" ht="25.15" hidden="1" customHeight="1">
      <c r="A487" s="1156">
        <f t="shared" si="44"/>
        <v>0</v>
      </c>
      <c r="B487" s="1157" t="s">
        <v>1513</v>
      </c>
      <c r="C487" s="1157"/>
      <c r="D487" s="1113"/>
      <c r="E487" s="1082">
        <f>VLOOKUP($B487,DG!A:D,DG!$B$2,)</f>
        <v>0</v>
      </c>
      <c r="F487" s="1083" t="str">
        <f>VLOOKUP($B487,DG!A:D,DG!$C$2,)</f>
        <v>Cọc tiếp đất Þ 16- 2,4m + kẹp cọc mạ đồng</v>
      </c>
      <c r="G487" s="1082" t="str">
        <f>VLOOKUP($B487,DG!A:D,DG!$D$2,)</f>
        <v>bộ</v>
      </c>
      <c r="H487" s="1170">
        <f>9*H484</f>
        <v>0</v>
      </c>
      <c r="I487" s="1262">
        <f t="shared" si="36"/>
        <v>0</v>
      </c>
      <c r="J487" s="1111"/>
      <c r="K487" s="1111"/>
      <c r="L487" s="1085"/>
      <c r="M487" s="977">
        <v>100</v>
      </c>
    </row>
    <row r="488" spans="1:13" s="1086" customFormat="1" ht="25.15" hidden="1" customHeight="1">
      <c r="A488" s="1156">
        <f t="shared" si="44"/>
        <v>0</v>
      </c>
      <c r="B488" s="1157" t="s">
        <v>1495</v>
      </c>
      <c r="C488" s="1157"/>
      <c r="D488" s="1113"/>
      <c r="E488" s="1082" t="str">
        <f>VLOOKUP($B488,DG!A:D,DG!$B$2,)</f>
        <v>07.2403</v>
      </c>
      <c r="F488" s="1083" t="str">
        <f>VLOOKUP($B488,DG!A:D,DG!$C$2,)</f>
        <v xml:space="preserve">Ống PVC D21x1,6mm </v>
      </c>
      <c r="G488" s="1082" t="str">
        <f>VLOOKUP($B488,DG!A:D,DG!$D$2,)</f>
        <v>m</v>
      </c>
      <c r="H488" s="1170">
        <f>6*H484</f>
        <v>0</v>
      </c>
      <c r="I488" s="1262">
        <f t="shared" si="36"/>
        <v>0</v>
      </c>
      <c r="J488" s="1111"/>
      <c r="K488" s="1111"/>
      <c r="L488" s="1085"/>
      <c r="M488" s="977">
        <v>100</v>
      </c>
    </row>
    <row r="489" spans="1:13" s="1086" customFormat="1" ht="25.15" hidden="1" customHeight="1">
      <c r="A489" s="1156">
        <f t="shared" si="44"/>
        <v>0</v>
      </c>
      <c r="B489" s="1332" t="s">
        <v>1584</v>
      </c>
      <c r="C489" s="1332"/>
      <c r="D489" s="1113"/>
      <c r="E489" s="1082">
        <f>VLOOKUP($B489,DG!A:D,DG!$B$2,)</f>
        <v>0</v>
      </c>
      <c r="F489" s="1083" t="str">
        <f>VLOOKUP($B489,DG!A:D,DG!$C$2,)</f>
        <v>Kẹp ép WR cỡ dây 50mm2</v>
      </c>
      <c r="G489" s="1082" t="str">
        <f>VLOOKUP($B489,DG!A:D,DG!$D$2,)</f>
        <v>cái</v>
      </c>
      <c r="H489" s="1170">
        <f>2*H484</f>
        <v>0</v>
      </c>
      <c r="I489" s="1262">
        <f t="shared" si="36"/>
        <v>0</v>
      </c>
      <c r="J489" s="1111"/>
      <c r="K489" s="1111"/>
      <c r="L489" s="1085"/>
      <c r="M489" s="977">
        <v>100</v>
      </c>
    </row>
    <row r="490" spans="1:13" s="1086" customFormat="1" ht="25.15" hidden="1" customHeight="1">
      <c r="A490" s="1156">
        <f t="shared" si="44"/>
        <v>0</v>
      </c>
      <c r="B490" s="1332" t="s">
        <v>1117</v>
      </c>
      <c r="C490" s="1332"/>
      <c r="D490" s="1113"/>
      <c r="E490" s="1082">
        <f>VLOOKUP($B490,DG!A:D,DG!$B$2,)</f>
        <v>0</v>
      </c>
      <c r="F490" s="1083" t="str">
        <f>VLOOKUP($B490,DG!A:D,DG!$C$2,)</f>
        <v>Kẹp ép cỡ dây 25mm2</v>
      </c>
      <c r="G490" s="1082" t="str">
        <f>VLOOKUP($B490,DG!A:D,DG!$D$2,)</f>
        <v>cái</v>
      </c>
      <c r="H490" s="1170">
        <f>H484*11</f>
        <v>0</v>
      </c>
      <c r="I490" s="1262">
        <f t="shared" ref="I490:I556" si="45">IF(M490=$M$23,H490+J490-K490,0)</f>
        <v>0</v>
      </c>
      <c r="J490" s="1111"/>
      <c r="K490" s="1111"/>
      <c r="L490" s="1085"/>
      <c r="M490" s="977">
        <v>100</v>
      </c>
    </row>
    <row r="491" spans="1:13" s="1086" customFormat="1" ht="25.15" hidden="1" customHeight="1">
      <c r="A491" s="1156">
        <f t="shared" si="44"/>
        <v>0</v>
      </c>
      <c r="B491" s="1157" t="s">
        <v>525</v>
      </c>
      <c r="C491" s="1157"/>
      <c r="D491" s="1113"/>
      <c r="E491" s="1082" t="str">
        <f>VLOOKUP($B491,DG!A:D,DG!$B$2,)</f>
        <v>06.3231</v>
      </c>
      <c r="F491" s="1083" t="str">
        <f>VLOOKUP($B491,DG!A:D,DG!$C$2,)</f>
        <v>Cổ dê kẹp ống PVC  21</v>
      </c>
      <c r="G491" s="1082" t="str">
        <f>VLOOKUP($B491,DG!A:D,DG!$D$2,)</f>
        <v>bộ</v>
      </c>
      <c r="H491" s="1170">
        <f>4*H484</f>
        <v>0</v>
      </c>
      <c r="I491" s="1262">
        <f t="shared" si="45"/>
        <v>0</v>
      </c>
      <c r="J491" s="1111"/>
      <c r="K491" s="1111"/>
      <c r="L491" s="1085"/>
      <c r="M491" s="977">
        <v>100</v>
      </c>
    </row>
    <row r="492" spans="1:13" s="1086" customFormat="1" ht="25.15" hidden="1" customHeight="1">
      <c r="A492" s="1156">
        <f t="shared" si="44"/>
        <v>0</v>
      </c>
      <c r="B492" s="1332" t="s">
        <v>2191</v>
      </c>
      <c r="C492" s="1332"/>
      <c r="D492" s="1113"/>
      <c r="E492" s="1082" t="str">
        <f>VLOOKUP($B492,DG!A:D,DG!$B$2,)</f>
        <v>04.7002</v>
      </c>
      <c r="F492" s="1083" t="str">
        <f>VLOOKUP($B492,DG!A:D,DG!$C$2,)</f>
        <v>Kéo dây tiếp địa trong TBA</v>
      </c>
      <c r="G492" s="1082" t="str">
        <f>VLOOKUP($B492,DG!A:D,DG!$D$2,)</f>
        <v>mét</v>
      </c>
      <c r="H492" s="1170">
        <f>H486/0.224</f>
        <v>0</v>
      </c>
      <c r="I492" s="1262">
        <f t="shared" si="45"/>
        <v>0</v>
      </c>
      <c r="J492" s="1111"/>
      <c r="K492" s="1111"/>
      <c r="L492" s="1085"/>
      <c r="M492" s="977">
        <v>100</v>
      </c>
    </row>
    <row r="493" spans="1:13" s="1086" customFormat="1" ht="25.15" hidden="1" customHeight="1">
      <c r="A493" s="1156">
        <f t="shared" si="44"/>
        <v>0</v>
      </c>
      <c r="B493" s="1157" t="s">
        <v>904</v>
      </c>
      <c r="C493" s="1157"/>
      <c r="D493" s="1113"/>
      <c r="E493" s="1082" t="str">
        <f>VLOOKUP($B493,DG!A:D,DG!$B$2,)</f>
        <v>04.7001</v>
      </c>
      <c r="F493" s="1083" t="str">
        <f>VLOOKUP($B493,DG!A:D,DG!$C$2,)</f>
        <v>Đóng cọc tiếp địa trong TBA</v>
      </c>
      <c r="G493" s="1082" t="str">
        <f>VLOOKUP($B493,DG!A:D,DG!$D$2,)</f>
        <v>cọc</v>
      </c>
      <c r="H493" s="1170">
        <f>H487</f>
        <v>0</v>
      </c>
      <c r="I493" s="1262">
        <f t="shared" si="45"/>
        <v>0</v>
      </c>
      <c r="J493" s="1111"/>
      <c r="K493" s="1111"/>
      <c r="L493" s="1085"/>
      <c r="M493" s="977">
        <v>100</v>
      </c>
    </row>
    <row r="494" spans="1:13" s="1086" customFormat="1" ht="25.15" hidden="1" customHeight="1">
      <c r="A494" s="1156">
        <f t="shared" si="44"/>
        <v>0</v>
      </c>
      <c r="B494" s="1332" t="str">
        <f>"dtd"&amp;chitiet!G5</f>
        <v>dtd3</v>
      </c>
      <c r="C494" s="1332"/>
      <c r="D494" s="1113"/>
      <c r="E494" s="1082" t="str">
        <f>VLOOKUP($B494,DG!A:D,DG!$B$2,)</f>
        <v>03.3123</v>
      </c>
      <c r="F494" s="1083" t="str">
        <f>VLOOKUP($B494,DG!A:D,DG!$C$2,)</f>
        <v>Đào rãnh tiếp địa đất cấp 3</v>
      </c>
      <c r="G494" s="1082" t="str">
        <f>VLOOKUP($B494,DG!A:D,DG!$D$2,)</f>
        <v>m3</v>
      </c>
      <c r="H494" s="1170">
        <v>3.6</v>
      </c>
      <c r="I494" s="1262">
        <f t="shared" si="45"/>
        <v>0</v>
      </c>
      <c r="J494" s="1111"/>
      <c r="K494" s="1111"/>
      <c r="L494" s="1085"/>
      <c r="M494" s="977">
        <v>100</v>
      </c>
    </row>
    <row r="495" spans="1:13" s="1086" customFormat="1" ht="25.15" hidden="1" customHeight="1">
      <c r="A495" s="1156">
        <f t="shared" si="44"/>
        <v>0</v>
      </c>
      <c r="B495" s="1157" t="str">
        <f>"datd"&amp;chitiet!G5</f>
        <v>datd3</v>
      </c>
      <c r="C495" s="1157"/>
      <c r="D495" s="1113"/>
      <c r="E495" s="1082" t="str">
        <f>VLOOKUP($B495,DG!A:D,DG!$B$2,)</f>
        <v>03.4123</v>
      </c>
      <c r="F495" s="1083" t="str">
        <f>VLOOKUP($B495,DG!A:D,DG!$C$2,)</f>
        <v>Đắp đất rãnh tiếp độ chặt k=0,85</v>
      </c>
      <c r="G495" s="1082" t="str">
        <f>VLOOKUP($B495,DG!A:D,DG!$D$2,)</f>
        <v>m3</v>
      </c>
      <c r="H495" s="1170">
        <f>H494</f>
        <v>3.6</v>
      </c>
      <c r="I495" s="1262">
        <f t="shared" si="45"/>
        <v>0</v>
      </c>
      <c r="J495" s="1111"/>
      <c r="K495" s="1111"/>
      <c r="L495" s="1085"/>
      <c r="M495" s="977">
        <v>100</v>
      </c>
    </row>
    <row r="496" spans="1:13" s="1086" customFormat="1" ht="25.15" hidden="1" customHeight="1">
      <c r="A496" s="1156">
        <f t="shared" si="44"/>
        <v>0</v>
      </c>
      <c r="B496" s="1332"/>
      <c r="C496" s="1332"/>
      <c r="D496" s="1169">
        <f>IF(H496&gt;0,D484+1,D484)</f>
        <v>0</v>
      </c>
      <c r="E496" s="1188"/>
      <c r="F496" s="1189" t="s">
        <v>3704</v>
      </c>
      <c r="G496" s="1169" t="s">
        <v>2394</v>
      </c>
      <c r="H496" s="1867">
        <f>H477</f>
        <v>0</v>
      </c>
      <c r="I496" s="1262">
        <f t="shared" si="45"/>
        <v>0</v>
      </c>
      <c r="J496" s="1111"/>
      <c r="K496" s="1111"/>
      <c r="L496" s="1085"/>
      <c r="M496" s="977">
        <v>100</v>
      </c>
    </row>
    <row r="497" spans="1:13" s="1086" customFormat="1" ht="25.15" hidden="1" customHeight="1">
      <c r="A497" s="1156">
        <f>IF(A496&gt;0,1,0)</f>
        <v>0</v>
      </c>
      <c r="B497" s="1332"/>
      <c r="C497" s="1332"/>
      <c r="D497" s="1169"/>
      <c r="E497" s="1188"/>
      <c r="F497" s="1368" t="s">
        <v>2287</v>
      </c>
      <c r="G497" s="1113"/>
      <c r="H497" s="1170"/>
      <c r="I497" s="1262">
        <f t="shared" si="45"/>
        <v>0</v>
      </c>
      <c r="J497" s="1111"/>
      <c r="K497" s="1111"/>
      <c r="L497" s="1085"/>
      <c r="M497" s="977">
        <v>100</v>
      </c>
    </row>
    <row r="498" spans="1:13" s="1086" customFormat="1" ht="25.15" hidden="1" customHeight="1">
      <c r="A498" s="1156">
        <f t="shared" si="44"/>
        <v>0</v>
      </c>
      <c r="B498" s="1334" t="s">
        <v>616</v>
      </c>
      <c r="C498" s="1334"/>
      <c r="D498" s="1113"/>
      <c r="E498" s="1082" t="str">
        <f>VLOOKUP($B498,DG!A:D,DG!$B$2,)</f>
        <v>05.1001</v>
      </c>
      <c r="F498" s="1083" t="str">
        <f>VLOOKUP($B498,DG!A:D,DG!$C$2,)</f>
        <v>Tủ CB trạm 1 pha + khóa + boulon</v>
      </c>
      <c r="G498" s="1082" t="str">
        <f>VLOOKUP($B498,DG!A:D,DG!$D$2,)</f>
        <v>cái</v>
      </c>
      <c r="H498" s="1170">
        <f>H496</f>
        <v>0</v>
      </c>
      <c r="I498" s="1262">
        <f t="shared" si="45"/>
        <v>0</v>
      </c>
      <c r="J498" s="1111"/>
      <c r="K498" s="1111"/>
      <c r="L498" s="1085"/>
      <c r="M498" s="977">
        <v>100</v>
      </c>
    </row>
    <row r="499" spans="1:13" s="1086" customFormat="1" ht="25.15" hidden="1" customHeight="1">
      <c r="A499" s="1156">
        <f t="shared" si="44"/>
        <v>0</v>
      </c>
      <c r="B499" s="1332" t="s">
        <v>881</v>
      </c>
      <c r="C499" s="1332"/>
      <c r="D499" s="1113"/>
      <c r="E499" s="1082" t="str">
        <f>VLOOKUP($B499,DG!A:D,DG!$B$2,)</f>
        <v>06.3231</v>
      </c>
      <c r="F499" s="1083" t="str">
        <f>VLOOKUP($B499,DG!A:D,DG!$C$2,)</f>
        <v>Cổ dê bắt tủ</v>
      </c>
      <c r="G499" s="1082" t="str">
        <f>VLOOKUP($B499,DG!A:D,DG!$D$2,)</f>
        <v>bộ</v>
      </c>
      <c r="H499" s="1170">
        <f>2*H496</f>
        <v>0</v>
      </c>
      <c r="I499" s="1262">
        <f t="shared" si="45"/>
        <v>0</v>
      </c>
      <c r="J499" s="1111"/>
      <c r="K499" s="1111"/>
      <c r="L499" s="1085"/>
      <c r="M499" s="977">
        <v>100</v>
      </c>
    </row>
    <row r="500" spans="1:13" s="1086" customFormat="1" ht="25.15" hidden="1" customHeight="1">
      <c r="A500" s="1156">
        <f t="shared" si="44"/>
        <v>0</v>
      </c>
      <c r="B500" s="1332" t="s">
        <v>882</v>
      </c>
      <c r="C500" s="1332"/>
      <c r="D500" s="1113"/>
      <c r="E500" s="1082">
        <f>VLOOKUP($B500,DG!A:D,DG!$B$2,)</f>
        <v>0</v>
      </c>
      <c r="F500" s="1083" t="str">
        <f>VLOOKUP($B500,DG!A:D,DG!$C$2,)</f>
        <v xml:space="preserve">Bakelit 550x450 dầy 10mm </v>
      </c>
      <c r="G500" s="1082" t="str">
        <f>VLOOKUP($B500,DG!A:D,DG!$D$2,)</f>
        <v>cái</v>
      </c>
      <c r="H500" s="1170">
        <v>3</v>
      </c>
      <c r="I500" s="1262">
        <f t="shared" si="45"/>
        <v>0</v>
      </c>
      <c r="J500" s="1111"/>
      <c r="K500" s="1111"/>
      <c r="L500" s="1085"/>
      <c r="M500" s="977">
        <v>100</v>
      </c>
    </row>
    <row r="501" spans="1:13" s="1086" customFormat="1" ht="25.15" hidden="1" customHeight="1">
      <c r="A501" s="1156">
        <f t="shared" si="44"/>
        <v>0</v>
      </c>
      <c r="B501" s="1332"/>
      <c r="C501" s="1332"/>
      <c r="D501" s="1169">
        <f>IF(H501&gt;0,D496+1,D496)</f>
        <v>0</v>
      </c>
      <c r="E501" s="1188"/>
      <c r="F501" s="1200" t="s">
        <v>3699</v>
      </c>
      <c r="G501" s="1169" t="s">
        <v>2394</v>
      </c>
      <c r="H501" s="1867">
        <f>H496</f>
        <v>0</v>
      </c>
      <c r="I501" s="1262">
        <f t="shared" si="45"/>
        <v>0</v>
      </c>
      <c r="J501" s="1111"/>
      <c r="K501" s="1111"/>
      <c r="L501" s="1085"/>
      <c r="M501" s="977">
        <v>100</v>
      </c>
    </row>
    <row r="502" spans="1:13" s="1086" customFormat="1" ht="25.15" hidden="1" customHeight="1">
      <c r="A502" s="1156">
        <f>IF(A501&gt;0,1,0)</f>
        <v>0</v>
      </c>
      <c r="B502" s="1332"/>
      <c r="C502" s="1332"/>
      <c r="D502" s="1169"/>
      <c r="E502" s="1188"/>
      <c r="F502" s="1368" t="s">
        <v>2287</v>
      </c>
      <c r="G502" s="1113"/>
      <c r="H502" s="1170"/>
      <c r="I502" s="1262">
        <f t="shared" si="45"/>
        <v>0</v>
      </c>
      <c r="J502" s="1111"/>
      <c r="K502" s="1111"/>
      <c r="L502" s="1085"/>
      <c r="M502" s="977">
        <v>100</v>
      </c>
    </row>
    <row r="503" spans="1:13" s="1086" customFormat="1" ht="25.15" hidden="1" customHeight="1">
      <c r="A503" s="1156">
        <f t="shared" si="44"/>
        <v>0</v>
      </c>
      <c r="B503" s="1157" t="s">
        <v>699</v>
      </c>
      <c r="C503" s="1157"/>
      <c r="D503" s="1113"/>
      <c r="E503" s="1082">
        <f>VLOOKUP($B503,DG!A:D,DG!$B$2,)</f>
        <v>0</v>
      </c>
      <c r="F503" s="1083" t="str">
        <f>VLOOKUP($B503,DG!A:D,DG!$C$2,)</f>
        <v>Cáp 24KV CX-25mm2</v>
      </c>
      <c r="G503" s="1082" t="str">
        <f>VLOOKUP($B503,DG!A:D,DG!$D$2,)</f>
        <v>mét</v>
      </c>
      <c r="H503" s="1170">
        <f>3*H501</f>
        <v>0</v>
      </c>
      <c r="I503" s="1262">
        <f t="shared" si="45"/>
        <v>0</v>
      </c>
      <c r="J503" s="1111"/>
      <c r="K503" s="1111"/>
      <c r="L503" s="1085"/>
      <c r="M503" s="977">
        <v>100</v>
      </c>
    </row>
    <row r="504" spans="1:13" s="1086" customFormat="1" ht="25.15" hidden="1" customHeight="1">
      <c r="A504" s="1156">
        <f t="shared" si="44"/>
        <v>0</v>
      </c>
      <c r="B504" s="1157" t="s">
        <v>1484</v>
      </c>
      <c r="C504" s="1157"/>
      <c r="D504" s="1113"/>
      <c r="E504" s="1082" t="str">
        <f>VLOOKUP($B504,DG!A:D,DG!$B$2,)</f>
        <v>04.3007</v>
      </c>
      <c r="F504" s="1083" t="str">
        <f>VLOOKUP($B504,DG!A:D,DG!$C$2,)</f>
        <v>Kẹp quai 2/0</v>
      </c>
      <c r="G504" s="1082" t="str">
        <f>VLOOKUP($B504,DG!A:D,DG!$D$2,)</f>
        <v>cái</v>
      </c>
      <c r="H504" s="1170">
        <f>H501</f>
        <v>0</v>
      </c>
      <c r="I504" s="1262">
        <f t="shared" si="45"/>
        <v>0</v>
      </c>
      <c r="J504" s="1111"/>
      <c r="K504" s="1111"/>
      <c r="L504" s="1085"/>
      <c r="M504" s="977">
        <v>100</v>
      </c>
    </row>
    <row r="505" spans="1:13" s="1086" customFormat="1" ht="25.15" hidden="1" customHeight="1">
      <c r="A505" s="1156">
        <f t="shared" ref="A505:A507" si="46">IF(I505&gt;0,1,0)</f>
        <v>0</v>
      </c>
      <c r="B505" s="1157" t="s">
        <v>1482</v>
      </c>
      <c r="C505" s="1157"/>
      <c r="D505" s="1113"/>
      <c r="E505" s="1082" t="str">
        <f>VLOOKUP($B505,DG!A:D,DG!$B$2,)</f>
        <v>04.3007</v>
      </c>
      <c r="F505" s="1083" t="str">
        <f>VLOOKUP($B505,DG!A:D,DG!$C$2,)</f>
        <v>Kẹp hotline 2/0</v>
      </c>
      <c r="G505" s="1082" t="str">
        <f>VLOOKUP($B505,DG!A:D,DG!$D$2,)</f>
        <v>cái</v>
      </c>
      <c r="H505" s="1170">
        <f t="shared" ref="H505" si="47">H498</f>
        <v>0</v>
      </c>
      <c r="I505" s="1262">
        <f t="shared" ref="I505:I507" si="48">IF(M505=$M$23,H505+J505-K505,0)</f>
        <v>0</v>
      </c>
      <c r="J505" s="1111"/>
      <c r="K505" s="1111"/>
      <c r="L505" s="1085"/>
      <c r="M505" s="977">
        <v>100</v>
      </c>
    </row>
    <row r="506" spans="1:13" s="1086" customFormat="1" ht="25.15" hidden="1" customHeight="1">
      <c r="A506" s="1156">
        <f t="shared" si="46"/>
        <v>0</v>
      </c>
      <c r="B506" s="1157" t="s">
        <v>381</v>
      </c>
      <c r="C506" s="1157"/>
      <c r="D506" s="1113"/>
      <c r="E506" s="1082">
        <f>VLOOKUP($B506,DG!A:D,DG!$B$2,)</f>
        <v>0</v>
      </c>
      <c r="F506" s="1083" t="str">
        <f>VLOOKUP($B506,DG!A:D,DG!$C$2,)</f>
        <v>Chụp đầu cực FCO (bộ 2 cái)</v>
      </c>
      <c r="G506" s="1082" t="str">
        <f>VLOOKUP($B506,DG!A:D,DG!$D$2,)</f>
        <v>bộ</v>
      </c>
      <c r="H506" s="1170">
        <v>1</v>
      </c>
      <c r="I506" s="1262">
        <f t="shared" si="48"/>
        <v>0</v>
      </c>
      <c r="J506" s="1111"/>
      <c r="K506" s="1111"/>
      <c r="L506" s="1085"/>
      <c r="M506" s="977">
        <v>100</v>
      </c>
    </row>
    <row r="507" spans="1:13" s="1086" customFormat="1" ht="25.15" hidden="1" customHeight="1">
      <c r="A507" s="1156">
        <f t="shared" si="46"/>
        <v>0</v>
      </c>
      <c r="B507" s="1157" t="s">
        <v>379</v>
      </c>
      <c r="C507" s="1157"/>
      <c r="D507" s="1113"/>
      <c r="E507" s="1082">
        <f>VLOOKUP($B507,DG!A:D,DG!$B$2,)</f>
        <v>0</v>
      </c>
      <c r="F507" s="1083" t="str">
        <f>VLOOKUP($B507,DG!A:D,DG!$C$2,)</f>
        <v>Chụp đầu cực LA</v>
      </c>
      <c r="G507" s="1082" t="str">
        <f>VLOOKUP($B507,DG!A:D,DG!$D$2,)</f>
        <v>cái</v>
      </c>
      <c r="H507" s="1170">
        <v>1</v>
      </c>
      <c r="I507" s="1262">
        <f t="shared" si="48"/>
        <v>0</v>
      </c>
      <c r="J507" s="1111"/>
      <c r="K507" s="1111"/>
      <c r="L507" s="1085"/>
      <c r="M507" s="977">
        <v>100</v>
      </c>
    </row>
    <row r="508" spans="1:13" s="1086" customFormat="1" ht="25.15" hidden="1" customHeight="1">
      <c r="A508" s="1156">
        <f t="shared" si="44"/>
        <v>0</v>
      </c>
      <c r="B508" s="1157" t="s">
        <v>380</v>
      </c>
      <c r="C508" s="1157"/>
      <c r="D508" s="1113"/>
      <c r="E508" s="1082">
        <f>VLOOKUP($B508,DG!A:D,DG!$B$2,)</f>
        <v>0</v>
      </c>
      <c r="F508" s="1083" t="str">
        <f>VLOOKUP($B508,DG!A:D,DG!$C$2,)</f>
        <v>Chụp đầu MBA</v>
      </c>
      <c r="G508" s="1082" t="str">
        <f>VLOOKUP($B508,DG!A:D,DG!$D$2,)</f>
        <v>cái</v>
      </c>
      <c r="H508" s="1170">
        <v>1</v>
      </c>
      <c r="I508" s="1262">
        <f t="shared" si="45"/>
        <v>0</v>
      </c>
      <c r="J508" s="1111"/>
      <c r="K508" s="1111"/>
      <c r="L508" s="1085"/>
      <c r="M508" s="977">
        <v>100</v>
      </c>
    </row>
    <row r="509" spans="1:13" s="1086" customFormat="1" ht="25.15" hidden="1" customHeight="1">
      <c r="A509" s="1156">
        <f t="shared" si="44"/>
        <v>0</v>
      </c>
      <c r="B509" s="1157" t="s">
        <v>1530</v>
      </c>
      <c r="C509" s="1157"/>
      <c r="D509" s="1113"/>
      <c r="E509" s="1082" t="str">
        <f>VLOOKUP($B509,DG!A:D,DG!$B$2,)</f>
        <v>04.4201</v>
      </c>
      <c r="F509" s="1083" t="str">
        <f>VLOOKUP($B509,DG!A:D,DG!$C$2,)</f>
        <v>Lắp cáp đồng xuống thiết bị D ≤ 95mm2</v>
      </c>
      <c r="G509" s="1082" t="str">
        <f>VLOOKUP($B509,DG!A:D,DG!$D$2,)</f>
        <v>m</v>
      </c>
      <c r="H509" s="1170">
        <f>H503</f>
        <v>0</v>
      </c>
      <c r="I509" s="1262">
        <f t="shared" si="45"/>
        <v>0</v>
      </c>
      <c r="J509" s="1111"/>
      <c r="K509" s="1111"/>
      <c r="L509" s="1085"/>
      <c r="M509" s="977">
        <v>100</v>
      </c>
    </row>
    <row r="510" spans="1:13" s="1086" customFormat="1" ht="25.15" hidden="1" customHeight="1">
      <c r="A510" s="1156">
        <f t="shared" si="44"/>
        <v>0</v>
      </c>
      <c r="B510" s="1327"/>
      <c r="C510" s="1327"/>
      <c r="D510" s="1169">
        <f>IF(H510&gt;0,D501+1,D501)</f>
        <v>0</v>
      </c>
      <c r="E510" s="1188"/>
      <c r="F510" s="1189" t="s">
        <v>3712</v>
      </c>
      <c r="G510" s="1169" t="s">
        <v>2394</v>
      </c>
      <c r="H510" s="1867">
        <f>H454</f>
        <v>0</v>
      </c>
      <c r="I510" s="1262">
        <f t="shared" si="45"/>
        <v>0</v>
      </c>
      <c r="J510" s="1111"/>
      <c r="K510" s="1111"/>
      <c r="L510" s="1085"/>
      <c r="M510" s="977">
        <v>100</v>
      </c>
    </row>
    <row r="511" spans="1:13" s="1086" customFormat="1" ht="25.15" hidden="1" customHeight="1">
      <c r="A511" s="1156">
        <f>IF(A510&gt;0,1,0)</f>
        <v>0</v>
      </c>
      <c r="B511" s="1327"/>
      <c r="C511" s="1327"/>
      <c r="D511" s="1169"/>
      <c r="E511" s="1188"/>
      <c r="F511" s="1367" t="s">
        <v>2287</v>
      </c>
      <c r="G511" s="1169"/>
      <c r="H511" s="1867"/>
      <c r="I511" s="1262">
        <f t="shared" si="45"/>
        <v>0</v>
      </c>
      <c r="J511" s="1111"/>
      <c r="K511" s="1111"/>
      <c r="L511" s="1085"/>
      <c r="M511" s="977">
        <v>100</v>
      </c>
    </row>
    <row r="512" spans="1:13" s="1086" customFormat="1" ht="25.15" hidden="1" customHeight="1">
      <c r="A512" s="1156">
        <f t="shared" si="44"/>
        <v>0</v>
      </c>
      <c r="B512" s="1327" t="s">
        <v>4803</v>
      </c>
      <c r="C512" s="1327"/>
      <c r="D512" s="1169"/>
      <c r="E512" s="1082">
        <f>VLOOKUP($B512,DG!A:D,DG!$B$2,)</f>
        <v>0</v>
      </c>
      <c r="F512" s="1083" t="str">
        <f>VLOOKUP($B512,DG!A:D,DG!$C$2,)</f>
        <v>Cáp đồng bọc CV240</v>
      </c>
      <c r="G512" s="1082" t="str">
        <f>VLOOKUP($B512,DG!A:D,DG!$D$2,)</f>
        <v>mét</v>
      </c>
      <c r="H512" s="1170">
        <f>H510*10*2</f>
        <v>0</v>
      </c>
      <c r="I512" s="1262">
        <f t="shared" si="45"/>
        <v>0</v>
      </c>
      <c r="J512" s="1111"/>
      <c r="K512" s="1111"/>
      <c r="L512" s="1085"/>
      <c r="M512" s="977">
        <v>100</v>
      </c>
    </row>
    <row r="513" spans="1:13" s="1086" customFormat="1" ht="25.15" hidden="1" customHeight="1">
      <c r="A513" s="1156">
        <f t="shared" si="44"/>
        <v>0</v>
      </c>
      <c r="B513" s="1327" t="s">
        <v>49</v>
      </c>
      <c r="C513" s="1327"/>
      <c r="D513" s="1169"/>
      <c r="E513" s="1082">
        <f>VLOOKUP($B513,DG!A:D,DG!$B$2,)</f>
        <v>0</v>
      </c>
      <c r="F513" s="1083" t="str">
        <f>VLOOKUP($B513,DG!A:D,DG!$C$2,)</f>
        <v>Cáp đồng bọc CV120</v>
      </c>
      <c r="G513" s="1082" t="str">
        <f>VLOOKUP($B513,DG!A:D,DG!$D$2,)</f>
        <v>mét</v>
      </c>
      <c r="H513" s="1170"/>
      <c r="I513" s="1262">
        <f t="shared" si="45"/>
        <v>0</v>
      </c>
      <c r="J513" s="1111"/>
      <c r="K513" s="1111"/>
      <c r="L513" s="1085"/>
      <c r="M513" s="977">
        <v>100</v>
      </c>
    </row>
    <row r="514" spans="1:13" s="1086" customFormat="1" ht="25.15" hidden="1" customHeight="1">
      <c r="A514" s="1156">
        <f t="shared" si="44"/>
        <v>0</v>
      </c>
      <c r="B514" s="1327" t="s">
        <v>4553</v>
      </c>
      <c r="C514" s="1327"/>
      <c r="D514" s="1113"/>
      <c r="E514" s="1082" t="str">
        <f>VLOOKUP($B514,DG!A:D,DG!$B$2,)</f>
        <v>03.1401</v>
      </c>
      <c r="F514" s="1083" t="str">
        <f>VLOOKUP($B514,DG!A:D,DG!$C$2,)</f>
        <v xml:space="preserve">Cáp CVV 4x4mm2  </v>
      </c>
      <c r="G514" s="1082" t="str">
        <f>VLOOKUP($B514,DG!A:D,DG!$D$2,)</f>
        <v>mét</v>
      </c>
      <c r="H514" s="1170">
        <v>2</v>
      </c>
      <c r="I514" s="1262">
        <f t="shared" si="45"/>
        <v>0</v>
      </c>
      <c r="J514" s="1111"/>
      <c r="K514" s="1111"/>
      <c r="L514" s="1085"/>
      <c r="M514" s="977">
        <v>100</v>
      </c>
    </row>
    <row r="515" spans="1:13" s="1086" customFormat="1" ht="25.15" hidden="1" customHeight="1">
      <c r="A515" s="1156">
        <f t="shared" si="44"/>
        <v>0</v>
      </c>
      <c r="B515" s="1332" t="s">
        <v>4804</v>
      </c>
      <c r="C515" s="1332"/>
      <c r="D515" s="1113"/>
      <c r="E515" s="1082" t="str">
        <f>VLOOKUP($B515,DG!A:D,DG!$B$2,)</f>
        <v>03.4008</v>
      </c>
      <c r="F515" s="1083" t="str">
        <f>VLOOKUP($B515,DG!A:D,DG!$C$2,)</f>
        <v>Đầu cosse ép Cu 240mm2</v>
      </c>
      <c r="G515" s="1082" t="str">
        <f>VLOOKUP($B515,DG!A:D,DG!$D$2,)</f>
        <v>cái</v>
      </c>
      <c r="H515" s="1170">
        <v>2</v>
      </c>
      <c r="I515" s="1262">
        <f t="shared" si="45"/>
        <v>0</v>
      </c>
      <c r="J515" s="1111"/>
      <c r="K515" s="1111"/>
      <c r="L515" s="1085"/>
      <c r="M515" s="977">
        <v>100</v>
      </c>
    </row>
    <row r="516" spans="1:13" s="1086" customFormat="1" ht="25.15" hidden="1" customHeight="1">
      <c r="A516" s="1156">
        <f t="shared" si="44"/>
        <v>0</v>
      </c>
      <c r="B516" s="1332" t="str">
        <f>IF(H459=1,"Cos"&amp;RIGHT(B$350,2),"Cos"&amp;RIGHT(B$350,2))</f>
        <v>Cos20</v>
      </c>
      <c r="C516" s="1332"/>
      <c r="D516" s="1113"/>
      <c r="E516" s="1082" t="e">
        <f>VLOOKUP($B516,DG!A:D,DG!$B$2,)</f>
        <v>#N/A</v>
      </c>
      <c r="F516" s="1083" t="e">
        <f>VLOOKUP($B516,DG!A:D,DG!$C$2,)</f>
        <v>#N/A</v>
      </c>
      <c r="G516" s="1082" t="e">
        <f>VLOOKUP($B516,DG!A:D,DG!$D$2,)</f>
        <v>#N/A</v>
      </c>
      <c r="H516" s="1170"/>
      <c r="I516" s="1262">
        <f t="shared" si="45"/>
        <v>0</v>
      </c>
      <c r="J516" s="1111"/>
      <c r="K516" s="1111"/>
      <c r="L516" s="1085"/>
      <c r="M516" s="977">
        <v>100</v>
      </c>
    </row>
    <row r="517" spans="1:13" s="1086" customFormat="1" ht="25.15" hidden="1" customHeight="1">
      <c r="A517" s="1156">
        <f t="shared" si="44"/>
        <v>0</v>
      </c>
      <c r="B517" s="1332" t="s">
        <v>90</v>
      </c>
      <c r="C517" s="1332"/>
      <c r="D517" s="1113"/>
      <c r="E517" s="1082">
        <f>VLOOKUP($B517,DG!A:D,DG!$B$2,)</f>
        <v>0</v>
      </c>
      <c r="F517" s="1083" t="str">
        <f>VLOOKUP($B517,DG!A:D,DG!$C$2,)</f>
        <v>Chụp đầu cosse  240mm2</v>
      </c>
      <c r="G517" s="1082" t="str">
        <f>VLOOKUP($B517,DG!A:D,DG!$D$2,)</f>
        <v>cái</v>
      </c>
      <c r="H517" s="1170">
        <v>2</v>
      </c>
      <c r="I517" s="1262">
        <f t="shared" si="45"/>
        <v>0</v>
      </c>
      <c r="J517" s="1111"/>
      <c r="K517" s="1111"/>
      <c r="L517" s="1085"/>
      <c r="M517" s="977">
        <v>100</v>
      </c>
    </row>
    <row r="518" spans="1:13" s="1086" customFormat="1" ht="25.15" hidden="1" customHeight="1">
      <c r="A518" s="1156">
        <f t="shared" si="44"/>
        <v>0</v>
      </c>
      <c r="B518" s="1332" t="s">
        <v>2086</v>
      </c>
      <c r="C518" s="1332"/>
      <c r="D518" s="1113"/>
      <c r="E518" s="1082">
        <f>VLOOKUP($B518,DG!A:D,DG!$B$2,)</f>
        <v>0</v>
      </c>
      <c r="F518" s="1083" t="str">
        <f>VLOOKUP($B518,DG!A:D,DG!$C$2,)</f>
        <v>Chụp đầu cosse  70mm2</v>
      </c>
      <c r="G518" s="1082" t="str">
        <f>VLOOKUP($B518,DG!A:D,DG!$D$2,)</f>
        <v>cái</v>
      </c>
      <c r="H518" s="1170"/>
      <c r="I518" s="1262">
        <f t="shared" si="45"/>
        <v>0</v>
      </c>
      <c r="J518" s="1111"/>
      <c r="K518" s="1111"/>
      <c r="L518" s="1085"/>
      <c r="M518" s="977">
        <v>100</v>
      </c>
    </row>
    <row r="519" spans="1:13" s="1086" customFormat="1" ht="25.15" hidden="1" customHeight="1">
      <c r="A519" s="1156">
        <f t="shared" si="44"/>
        <v>0</v>
      </c>
      <c r="B519" s="1332" t="s">
        <v>1044</v>
      </c>
      <c r="C519" s="1332"/>
      <c r="D519" s="1113"/>
      <c r="E519" s="1082">
        <f>VLOOKUP($B519,DG!A:D,DG!$B$2,)</f>
        <v>0</v>
      </c>
      <c r="F519" s="1083" t="str">
        <f>VLOOKUP($B519,DG!A:D,DG!$C$2,)</f>
        <v xml:space="preserve">Ống PVC D114x4,9mm </v>
      </c>
      <c r="G519" s="1082" t="str">
        <f>VLOOKUP($B519,DG!A:D,DG!$D$2,)</f>
        <v>m</v>
      </c>
      <c r="H519" s="1170">
        <v>7</v>
      </c>
      <c r="I519" s="1262">
        <f t="shared" si="45"/>
        <v>0</v>
      </c>
      <c r="J519" s="1111"/>
      <c r="K519" s="1111"/>
      <c r="L519" s="1085"/>
      <c r="M519" s="977">
        <v>100</v>
      </c>
    </row>
    <row r="520" spans="1:13" s="1086" customFormat="1" ht="25.15" hidden="1" customHeight="1">
      <c r="A520" s="1156">
        <f t="shared" si="44"/>
        <v>0</v>
      </c>
      <c r="B520" s="1157" t="s">
        <v>1868</v>
      </c>
      <c r="C520" s="1157"/>
      <c r="D520" s="1113"/>
      <c r="E520" s="1082" t="str">
        <f>VLOOKUP($B520,DG!A:D,DG!$B$2,)</f>
        <v>06.3231</v>
      </c>
      <c r="F520" s="1083" t="str">
        <f>VLOOKUP($B520,DG!A:D,DG!$C$2,)</f>
        <v>Cổ dê kẹp ống PVC Ø 114</v>
      </c>
      <c r="G520" s="1082" t="str">
        <f>VLOOKUP($B520,DG!A:D,DG!$D$2,)</f>
        <v>bộ</v>
      </c>
      <c r="H520" s="1170">
        <f>3*H510</f>
        <v>0</v>
      </c>
      <c r="I520" s="1262">
        <f t="shared" si="45"/>
        <v>0</v>
      </c>
      <c r="J520" s="1111"/>
      <c r="K520" s="1111"/>
      <c r="L520" s="1085"/>
      <c r="M520" s="977">
        <v>100</v>
      </c>
    </row>
    <row r="521" spans="1:13" s="1086" customFormat="1" ht="25.15" hidden="1" customHeight="1">
      <c r="A521" s="1156">
        <f t="shared" si="44"/>
        <v>0</v>
      </c>
      <c r="B521" s="1332" t="s">
        <v>1870</v>
      </c>
      <c r="C521" s="1332"/>
      <c r="D521" s="1113"/>
      <c r="E521" s="1082">
        <f>VLOOKUP($B521,DG!A:D,DG!$B$2,)</f>
        <v>0</v>
      </c>
      <c r="F521" s="1083" t="str">
        <f>VLOOKUP($B521,DG!A:D,DG!$C$2,)</f>
        <v>Co  90 độ PVC 114</v>
      </c>
      <c r="G521" s="1082" t="str">
        <f>VLOOKUP($B521,DG!A:D,DG!$D$2,)</f>
        <v>cái</v>
      </c>
      <c r="H521" s="1170">
        <f>2*H510</f>
        <v>0</v>
      </c>
      <c r="I521" s="1262">
        <f t="shared" si="45"/>
        <v>0</v>
      </c>
      <c r="J521" s="1111"/>
      <c r="K521" s="1111"/>
      <c r="L521" s="1085"/>
      <c r="M521" s="977">
        <v>100</v>
      </c>
    </row>
    <row r="522" spans="1:13" s="1086" customFormat="1" ht="25.15" hidden="1" customHeight="1">
      <c r="A522" s="1156">
        <f t="shared" si="44"/>
        <v>0</v>
      </c>
      <c r="B522" s="1332" t="s">
        <v>690</v>
      </c>
      <c r="C522" s="1332"/>
      <c r="D522" s="1113"/>
      <c r="E522" s="1082">
        <f>VLOOKUP($B522,DG!A:D,DG!$B$2,)</f>
        <v>0</v>
      </c>
      <c r="F522" s="1083" t="str">
        <f>VLOOKUP($B522,DG!A:D,DG!$C$2,)</f>
        <v>Nối ống PVC 114</v>
      </c>
      <c r="G522" s="1082" t="str">
        <f>VLOOKUP($B522,DG!A:D,DG!$D$2,)</f>
        <v>cái</v>
      </c>
      <c r="H522" s="1170">
        <f>H510</f>
        <v>0</v>
      </c>
      <c r="I522" s="1262">
        <f t="shared" si="45"/>
        <v>0</v>
      </c>
      <c r="J522" s="1111"/>
      <c r="K522" s="1111"/>
      <c r="L522" s="1085"/>
      <c r="M522" s="977">
        <v>100</v>
      </c>
    </row>
    <row r="523" spans="1:13" s="1086" customFormat="1" ht="25.15" hidden="1" customHeight="1">
      <c r="A523" s="1156">
        <f t="shared" si="44"/>
        <v>0</v>
      </c>
      <c r="B523" s="1332" t="s">
        <v>2082</v>
      </c>
      <c r="C523" s="1332"/>
      <c r="D523" s="1113"/>
      <c r="E523" s="1082">
        <f>VLOOKUP($B523,DG!A:D,DG!$B$2,)</f>
        <v>0</v>
      </c>
      <c r="F523" s="1083" t="str">
        <f>VLOOKUP($B523,DG!A:D,DG!$C$2,)</f>
        <v>Keo dán ống PVC (100gr)</v>
      </c>
      <c r="G523" s="1082" t="str">
        <f>VLOOKUP($B523,DG!A:D,DG!$D$2,)</f>
        <v>tuýp</v>
      </c>
      <c r="H523" s="1170">
        <f>H510</f>
        <v>0</v>
      </c>
      <c r="I523" s="1262">
        <f t="shared" si="45"/>
        <v>0</v>
      </c>
      <c r="J523" s="1111"/>
      <c r="K523" s="1111"/>
      <c r="L523" s="1085"/>
      <c r="M523" s="977">
        <v>100</v>
      </c>
    </row>
    <row r="524" spans="1:13" s="1086" customFormat="1" ht="25.15" hidden="1" customHeight="1">
      <c r="A524" s="1156">
        <f t="shared" si="44"/>
        <v>0</v>
      </c>
      <c r="B524" s="1332" t="s">
        <v>489</v>
      </c>
      <c r="C524" s="1332"/>
      <c r="D524" s="1113"/>
      <c r="E524" s="1082">
        <f>VLOOKUP($B524,DG!A:D,DG!$B$2,)</f>
        <v>0</v>
      </c>
      <c r="F524" s="1083" t="str">
        <f>VLOOKUP($B524,DG!A:D,DG!$C$2,)</f>
        <v>Keo silicon bít miệng ống</v>
      </c>
      <c r="G524" s="1082" t="str">
        <f>VLOOKUP($B524,DG!A:D,DG!$D$2,)</f>
        <v>ống</v>
      </c>
      <c r="H524" s="1170">
        <f>H510</f>
        <v>0</v>
      </c>
      <c r="I524" s="1262">
        <f t="shared" si="45"/>
        <v>0</v>
      </c>
      <c r="J524" s="1111"/>
      <c r="K524" s="1111"/>
      <c r="L524" s="1085"/>
      <c r="M524" s="977">
        <v>100</v>
      </c>
    </row>
    <row r="525" spans="1:13" s="1086" customFormat="1" ht="25.15" hidden="1" customHeight="1">
      <c r="A525" s="1156">
        <f t="shared" si="44"/>
        <v>0</v>
      </c>
      <c r="B525" s="1157" t="s">
        <v>672</v>
      </c>
      <c r="C525" s="1157"/>
      <c r="D525" s="1113"/>
      <c r="E525" s="1191"/>
      <c r="F525" s="1083" t="str">
        <f>VLOOKUP($B525,DG!A:D,DG!$C$2,)</f>
        <v>Băng keo cách điện</v>
      </c>
      <c r="G525" s="1082" t="str">
        <f>VLOOKUP($B525,DG!A:D,DG!$D$2,)</f>
        <v>cuộn</v>
      </c>
      <c r="H525" s="1170">
        <f>H510</f>
        <v>0</v>
      </c>
      <c r="I525" s="1262">
        <f t="shared" si="45"/>
        <v>0</v>
      </c>
      <c r="J525" s="1111"/>
      <c r="K525" s="1111"/>
      <c r="L525" s="1085"/>
      <c r="M525" s="977">
        <v>100</v>
      </c>
    </row>
    <row r="526" spans="1:13" s="1086" customFormat="1" ht="25.15" hidden="1" customHeight="1">
      <c r="A526" s="1156">
        <f t="shared" si="44"/>
        <v>0</v>
      </c>
      <c r="B526" s="1332" t="s">
        <v>2190</v>
      </c>
      <c r="C526" s="1332"/>
      <c r="D526" s="1113"/>
      <c r="E526" s="1082" t="str">
        <f>VLOOKUP($B526,DG!A:D,DG!$B$2,)</f>
        <v>07.2415</v>
      </c>
      <c r="F526" s="1083" t="str">
        <f>VLOOKUP($B526,DG!A:D,DG!$C$2,)</f>
        <v>Lắp ống nhựa PVC D90</v>
      </c>
      <c r="G526" s="1082" t="str">
        <f>VLOOKUP($B526,DG!A:D,DG!$D$2,)</f>
        <v>mét</v>
      </c>
      <c r="H526" s="1170">
        <f>H519</f>
        <v>7</v>
      </c>
      <c r="I526" s="1262">
        <f t="shared" si="45"/>
        <v>0</v>
      </c>
      <c r="J526" s="1111"/>
      <c r="K526" s="1111"/>
      <c r="L526" s="1085"/>
      <c r="M526" s="977">
        <v>100</v>
      </c>
    </row>
    <row r="527" spans="1:13" s="1086" customFormat="1" ht="25.15" hidden="1" customHeight="1">
      <c r="A527" s="1156">
        <f t="shared" si="44"/>
        <v>0</v>
      </c>
      <c r="B527" s="1157" t="s">
        <v>1530</v>
      </c>
      <c r="C527" s="1157"/>
      <c r="D527" s="1113"/>
      <c r="E527" s="1082" t="str">
        <f>VLOOKUP($B527,DG!A:D,DG!$B$2,)</f>
        <v>04.4201</v>
      </c>
      <c r="F527" s="1083" t="str">
        <f>VLOOKUP($B527,DG!A:D,DG!$C$2,)</f>
        <v>Lắp cáp đồng xuống thiết bị D ≤ 95mm2</v>
      </c>
      <c r="G527" s="1082" t="str">
        <f>VLOOKUP($B527,DG!A:D,DG!$D$2,)</f>
        <v>m</v>
      </c>
      <c r="H527" s="1170">
        <f>H512+H513</f>
        <v>0</v>
      </c>
      <c r="I527" s="1262">
        <f t="shared" si="45"/>
        <v>0</v>
      </c>
      <c r="J527" s="1111"/>
      <c r="K527" s="1111"/>
      <c r="L527" s="1085"/>
      <c r="M527" s="977">
        <v>100</v>
      </c>
    </row>
    <row r="528" spans="1:13" s="1086" customFormat="1" ht="25.15" hidden="1" customHeight="1">
      <c r="A528" s="1156">
        <f t="shared" si="44"/>
        <v>0</v>
      </c>
      <c r="B528" s="1332" t="s">
        <v>289</v>
      </c>
      <c r="C528" s="1332"/>
      <c r="D528" s="1173">
        <f>IF(H528&gt;0,D510+1,D510)</f>
        <v>0</v>
      </c>
      <c r="E528" s="1192"/>
      <c r="F528" s="1083" t="str">
        <f>VLOOKUP($B528,DG!A:D,DG!$C$2,)</f>
        <v>Bảng tên trạm, bảng báo nguy hiểm + đinh vít</v>
      </c>
      <c r="G528" s="1082" t="str">
        <f>VLOOKUP($B528,DG!A:D,DG!$D$2,)</f>
        <v>bộ</v>
      </c>
      <c r="H528" s="1868">
        <f>H477</f>
        <v>0</v>
      </c>
      <c r="I528" s="1262">
        <f t="shared" si="45"/>
        <v>0</v>
      </c>
      <c r="J528" s="1111"/>
      <c r="K528" s="1111"/>
      <c r="L528" s="1101"/>
      <c r="M528" s="977">
        <v>100</v>
      </c>
    </row>
    <row r="529" spans="1:13" s="1086" customFormat="1" ht="25.15" hidden="1" customHeight="1">
      <c r="A529" s="1156">
        <f t="shared" si="44"/>
        <v>0</v>
      </c>
      <c r="B529" s="1327"/>
      <c r="C529" s="1327"/>
      <c r="D529" s="1193"/>
      <c r="E529" s="1194"/>
      <c r="F529" s="1072"/>
      <c r="G529" s="1195"/>
      <c r="H529" s="1869"/>
      <c r="I529" s="1262">
        <f t="shared" si="45"/>
        <v>0</v>
      </c>
      <c r="J529" s="1196"/>
      <c r="K529" s="1197"/>
      <c r="L529" s="1139"/>
      <c r="M529" s="977"/>
    </row>
    <row r="530" spans="1:13" s="1086" customFormat="1" ht="25.15" hidden="1" customHeight="1">
      <c r="A530" s="1156">
        <f t="shared" si="44"/>
        <v>0</v>
      </c>
      <c r="B530" s="1327"/>
      <c r="C530" s="1327"/>
      <c r="D530" s="1164"/>
      <c r="E530" s="1203"/>
      <c r="F530" s="1204"/>
      <c r="H530" s="1902"/>
      <c r="I530" s="1262">
        <f t="shared" si="45"/>
        <v>0</v>
      </c>
      <c r="M530" s="977"/>
    </row>
    <row r="531" spans="1:13" s="1086" customFormat="1" ht="25.15" hidden="1" customHeight="1">
      <c r="A531" s="1156">
        <f t="shared" si="44"/>
        <v>0</v>
      </c>
      <c r="B531" s="1327"/>
      <c r="C531" s="1327"/>
      <c r="D531" s="1137" t="str">
        <f>" BAÛNG TOÅNG HÔÏP VAÄT LIEÄU, NHAÂN COÂNG, MAÙY THI COÂNG : "&amp;L6&amp;" TRAÏM 3P 3x15KVA"</f>
        <v xml:space="preserve"> BAÛNG TOÅNG HÔÏP VAÄT LIEÄU, NHAÂN COÂNG, MAÙY THI COÂNG : 0 TRAÏM 3P 3x15KVA</v>
      </c>
      <c r="E531" s="1198"/>
      <c r="F531" s="1103"/>
      <c r="G531" s="1103"/>
      <c r="H531" s="1870"/>
      <c r="I531" s="1262">
        <f t="shared" si="45"/>
        <v>0</v>
      </c>
      <c r="J531" s="1103"/>
      <c r="K531" s="1103"/>
      <c r="M531" s="977"/>
    </row>
    <row r="532" spans="1:13" s="1086" customFormat="1" ht="25.15" hidden="1" customHeight="1">
      <c r="A532" s="1156">
        <f t="shared" si="44"/>
        <v>0</v>
      </c>
      <c r="B532" s="1327"/>
      <c r="C532" s="1327"/>
      <c r="D532" s="1159"/>
      <c r="E532" s="1160"/>
      <c r="F532" s="1072" t="s">
        <v>3693</v>
      </c>
      <c r="G532" s="1162"/>
      <c r="H532" s="1865"/>
      <c r="I532" s="1262">
        <f t="shared" si="45"/>
        <v>0</v>
      </c>
      <c r="J532" s="1162"/>
      <c r="K532" s="1162"/>
      <c r="L532" s="1160"/>
      <c r="M532" s="977" t="s">
        <v>1264</v>
      </c>
    </row>
    <row r="533" spans="1:13" s="1086" customFormat="1" ht="25.15" hidden="1" customHeight="1">
      <c r="A533" s="1156">
        <f t="shared" si="44"/>
        <v>0</v>
      </c>
      <c r="B533" s="1328" t="s">
        <v>824</v>
      </c>
      <c r="C533" s="1328"/>
      <c r="D533" s="1093">
        <f>IF(H533&gt;0,1,0)</f>
        <v>0</v>
      </c>
      <c r="E533" s="1082" t="str">
        <f>VLOOKUP($B533,DG!A:D,DG!$B$2,)</f>
        <v>01.1161</v>
      </c>
      <c r="F533" s="1083" t="str">
        <f>VLOOKUP($B533,DG!A:D,DG!$C$2,)</f>
        <v>Máy biến áp 12,7/0,22-0,44kV  15kVA</v>
      </c>
      <c r="G533" s="1082" t="str">
        <f>VLOOKUP($B533,DG!A:D,DG!$D$2,)</f>
        <v>máy</v>
      </c>
      <c r="H533" s="1871">
        <f>L6*3</f>
        <v>0</v>
      </c>
      <c r="I533" s="1262">
        <f t="shared" si="45"/>
        <v>0</v>
      </c>
      <c r="J533" s="1111"/>
      <c r="K533" s="1111"/>
      <c r="L533" s="1085"/>
      <c r="M533" s="977" t="s">
        <v>1264</v>
      </c>
    </row>
    <row r="534" spans="1:13" s="1086" customFormat="1" ht="25.15" hidden="1" customHeight="1">
      <c r="A534" s="1156">
        <f t="shared" si="44"/>
        <v>0</v>
      </c>
      <c r="B534" s="1328" t="s">
        <v>1657</v>
      </c>
      <c r="C534" s="1328"/>
      <c r="D534" s="1113">
        <f>IF(H534&gt;0,D533+1,D533)</f>
        <v>0</v>
      </c>
      <c r="E534" s="1082" t="str">
        <f>VLOOKUP($B534,DG!A:D,DG!$B$2,)</f>
        <v>02.3155</v>
      </c>
      <c r="F534" s="1083" t="str">
        <f>VLOOKUP($B534,DG!A:D,DG!$C$2,)</f>
        <v>FCO 27kV - 100A</v>
      </c>
      <c r="G534" s="1082" t="str">
        <f>VLOOKUP($B534,DG!A:D,DG!$D$2,)</f>
        <v>cái</v>
      </c>
      <c r="H534" s="1170">
        <f>+H533</f>
        <v>0</v>
      </c>
      <c r="I534" s="1262">
        <f t="shared" si="45"/>
        <v>0</v>
      </c>
      <c r="J534" s="1111"/>
      <c r="K534" s="1111"/>
      <c r="L534" s="1085"/>
      <c r="M534" s="977" t="s">
        <v>1264</v>
      </c>
    </row>
    <row r="535" spans="1:13" s="1086" customFormat="1" ht="25.15" hidden="1" customHeight="1">
      <c r="A535" s="1156">
        <f t="shared" si="44"/>
        <v>0</v>
      </c>
      <c r="B535" s="1328" t="s">
        <v>890</v>
      </c>
      <c r="C535" s="1328"/>
      <c r="D535" s="1113">
        <f>IF(H535&gt;0,D534+1,D534)</f>
        <v>0</v>
      </c>
      <c r="E535" s="1082">
        <f>VLOOKUP($B535,DG!A:D,DG!$B$2,)</f>
        <v>0</v>
      </c>
      <c r="F535" s="1083" t="str">
        <f>VLOOKUP($B535,DG!A:D,DG!$C$2,)</f>
        <v>Dây chảy 3K</v>
      </c>
      <c r="G535" s="1082" t="str">
        <f>VLOOKUP($B535,DG!A:D,DG!$D$2,)</f>
        <v>Sợi</v>
      </c>
      <c r="H535" s="1170">
        <f>H534</f>
        <v>0</v>
      </c>
      <c r="I535" s="1262">
        <f t="shared" si="45"/>
        <v>0</v>
      </c>
      <c r="J535" s="1111"/>
      <c r="K535" s="1111"/>
      <c r="L535" s="1085"/>
      <c r="M535" s="977" t="s">
        <v>1264</v>
      </c>
    </row>
    <row r="536" spans="1:13" s="1086" customFormat="1" ht="25.15" hidden="1" customHeight="1">
      <c r="A536" s="1156">
        <f t="shared" si="44"/>
        <v>0</v>
      </c>
      <c r="B536" s="1327" t="s">
        <v>1378</v>
      </c>
      <c r="C536" s="1327"/>
      <c r="D536" s="1113">
        <f>IF(H536&gt;0,D535+1,D535)</f>
        <v>0</v>
      </c>
      <c r="E536" s="1082" t="str">
        <f>VLOOKUP($B536,DG!A:D,DG!$B$2,)</f>
        <v>02.5114</v>
      </c>
      <c r="F536" s="1083" t="str">
        <f>VLOOKUP($B536,DG!A:D,DG!$C$2,)</f>
        <v>Chống sét van LA-18KV-10KA</v>
      </c>
      <c r="G536" s="1082" t="str">
        <f>VLOOKUP($B536,DG!A:D,DG!$D$2,)</f>
        <v>cái</v>
      </c>
      <c r="H536" s="1170">
        <f>H534</f>
        <v>0</v>
      </c>
      <c r="I536" s="1262">
        <f t="shared" si="45"/>
        <v>0</v>
      </c>
      <c r="J536" s="1111"/>
      <c r="K536" s="1111"/>
      <c r="L536" s="1085"/>
      <c r="M536" s="977" t="s">
        <v>1264</v>
      </c>
    </row>
    <row r="537" spans="1:13" s="1086" customFormat="1" ht="25.15" hidden="1" customHeight="1">
      <c r="A537" s="1156">
        <f t="shared" si="44"/>
        <v>0</v>
      </c>
      <c r="B537" s="1329" t="s">
        <v>81</v>
      </c>
      <c r="C537" s="1329"/>
      <c r="D537" s="1113">
        <f>IF(H537&gt;0,D536+1,D536)</f>
        <v>0</v>
      </c>
      <c r="E537" s="1082" t="str">
        <f>VLOOKUP($B537,DG!A:D,DG!$B$2,)</f>
        <v>02.8401</v>
      </c>
      <c r="F537" s="1083" t="str">
        <f>VLOOKUP($B537,DG!A:D,DG!$C$2,)</f>
        <v>MCCB 3 cực 400V-75A - 10KA</v>
      </c>
      <c r="G537" s="1082" t="str">
        <f>VLOOKUP($B537,DG!A:D,DG!$D$2,)</f>
        <v>cái</v>
      </c>
      <c r="H537" s="1170">
        <f>H533/3</f>
        <v>0</v>
      </c>
      <c r="I537" s="1262">
        <f t="shared" si="45"/>
        <v>0</v>
      </c>
      <c r="J537" s="1111"/>
      <c r="K537" s="1111"/>
      <c r="L537" s="1085"/>
      <c r="M537" s="977" t="s">
        <v>1264</v>
      </c>
    </row>
    <row r="538" spans="1:13" s="1086" customFormat="1" ht="25.15" hidden="1" customHeight="1">
      <c r="A538" s="1156">
        <f t="shared" si="44"/>
        <v>0</v>
      </c>
      <c r="B538" s="1349" t="s">
        <v>1396</v>
      </c>
      <c r="C538" s="1349"/>
      <c r="D538" s="1113">
        <f>IF(H538&gt;0,D537+1,D537)</f>
        <v>0</v>
      </c>
      <c r="E538" s="1082">
        <f>VLOOKUP($B538,DG!A:D,DG!$B$2,)</f>
        <v>0</v>
      </c>
      <c r="F538" s="1083" t="str">
        <f>VLOOKUP($B538,DG!A:D,DG!$C$2,)</f>
        <v>Điện kế 3 pha 4 dây 220/380V-50(100)A</v>
      </c>
      <c r="G538" s="1082" t="str">
        <f>VLOOKUP($B538,DG!A:D,DG!$D$2,)</f>
        <v>cái</v>
      </c>
      <c r="H538" s="1170">
        <f>H535/3</f>
        <v>0</v>
      </c>
      <c r="I538" s="1262">
        <f t="shared" si="45"/>
        <v>0</v>
      </c>
      <c r="J538" s="1111"/>
      <c r="K538" s="1111"/>
      <c r="L538" s="1101" t="s">
        <v>2612</v>
      </c>
      <c r="M538" s="977" t="s">
        <v>1264</v>
      </c>
    </row>
    <row r="539" spans="1:13" s="1086" customFormat="1" ht="25.15" hidden="1" customHeight="1">
      <c r="A539" s="1156">
        <f t="shared" si="44"/>
        <v>0</v>
      </c>
      <c r="B539" s="1327"/>
      <c r="C539" s="1327"/>
      <c r="D539" s="1110"/>
      <c r="E539" s="1205"/>
      <c r="F539" s="1163"/>
      <c r="G539" s="1110"/>
      <c r="H539" s="1205"/>
      <c r="I539" s="1262">
        <f t="shared" si="45"/>
        <v>0</v>
      </c>
      <c r="J539" s="1163"/>
      <c r="K539" s="1110"/>
      <c r="L539" s="1206"/>
      <c r="M539" s="977" t="s">
        <v>1264</v>
      </c>
    </row>
    <row r="540" spans="1:13" s="1086" customFormat="1" ht="25.15" hidden="1" customHeight="1">
      <c r="A540" s="1156">
        <f t="shared" si="44"/>
        <v>0</v>
      </c>
      <c r="B540" s="1327"/>
      <c r="C540" s="1327"/>
      <c r="D540" s="1184"/>
      <c r="E540" s="1207"/>
      <c r="F540" s="1072" t="s">
        <v>3694</v>
      </c>
      <c r="G540" s="1072"/>
      <c r="H540" s="1865"/>
      <c r="I540" s="1262">
        <f t="shared" si="45"/>
        <v>0</v>
      </c>
      <c r="J540" s="1072"/>
      <c r="K540" s="1072"/>
      <c r="L540" s="1139"/>
      <c r="M540" s="977" t="s">
        <v>1264</v>
      </c>
    </row>
    <row r="541" spans="1:13" s="1086" customFormat="1" ht="25.15" hidden="1" customHeight="1">
      <c r="A541" s="1156">
        <f t="shared" si="44"/>
        <v>0</v>
      </c>
      <c r="B541" s="1327"/>
      <c r="C541" s="1327"/>
      <c r="D541" s="1208">
        <f>IF(H541&gt;0,1,0)</f>
        <v>0</v>
      </c>
      <c r="E541" s="1209"/>
      <c r="F541" s="1210" t="s">
        <v>3713</v>
      </c>
      <c r="G541" s="1208" t="s">
        <v>2394</v>
      </c>
      <c r="H541" s="1874">
        <f>H533/3</f>
        <v>0</v>
      </c>
      <c r="I541" s="1262">
        <f t="shared" si="45"/>
        <v>0</v>
      </c>
      <c r="J541" s="1211"/>
      <c r="K541" s="1211"/>
      <c r="L541" s="1199"/>
      <c r="M541" s="977" t="s">
        <v>1264</v>
      </c>
    </row>
    <row r="542" spans="1:13" s="1086" customFormat="1" ht="25.15" hidden="1" customHeight="1">
      <c r="A542" s="1156">
        <f>IF(A541&gt;0,1,0)</f>
        <v>0</v>
      </c>
      <c r="B542" s="1327"/>
      <c r="C542" s="1327"/>
      <c r="D542" s="1169"/>
      <c r="E542" s="1212"/>
      <c r="F542" s="1368" t="s">
        <v>2287</v>
      </c>
      <c r="G542" s="1113"/>
      <c r="H542" s="1170"/>
      <c r="I542" s="1262">
        <f t="shared" si="45"/>
        <v>0</v>
      </c>
      <c r="J542" s="1213"/>
      <c r="K542" s="1213"/>
      <c r="L542" s="1085"/>
      <c r="M542" s="977" t="s">
        <v>1264</v>
      </c>
    </row>
    <row r="543" spans="1:13" s="1086" customFormat="1" ht="25.15" hidden="1" customHeight="1">
      <c r="A543" s="1156">
        <f t="shared" si="44"/>
        <v>0</v>
      </c>
      <c r="B543" s="1157" t="s">
        <v>1591</v>
      </c>
      <c r="C543" s="1157"/>
      <c r="D543" s="1169"/>
      <c r="E543" s="1082" t="str">
        <f>VLOOKUP($B543,DG!A:D,DG!$B$2,)</f>
        <v>05.6100</v>
      </c>
      <c r="F543" s="1083" t="str">
        <f>VLOOKUP($B543,DG!A:D,DG!$C$2,)</f>
        <v>Giá chùm treo máy biến áp 3x15</v>
      </c>
      <c r="G543" s="1082" t="str">
        <f>VLOOKUP($B543,DG!A:D,DG!$D$2,)</f>
        <v>bô</v>
      </c>
      <c r="H543" s="1170">
        <f>H541*24.13*0+1*H541</f>
        <v>0</v>
      </c>
      <c r="I543" s="1262">
        <f t="shared" si="45"/>
        <v>0</v>
      </c>
      <c r="J543" s="1111"/>
      <c r="K543" s="1111"/>
      <c r="L543" s="1085"/>
      <c r="M543" s="977" t="s">
        <v>1264</v>
      </c>
    </row>
    <row r="544" spans="1:13" s="1086" customFormat="1" ht="25.15" hidden="1" customHeight="1">
      <c r="A544" s="1156">
        <f t="shared" si="44"/>
        <v>0</v>
      </c>
      <c r="B544" s="1327" t="s">
        <v>1792</v>
      </c>
      <c r="C544" s="1327"/>
      <c r="D544" s="1169"/>
      <c r="E544" s="1082">
        <f>VLOOKUP($B544,DG!A:D,DG!$B$2,)</f>
        <v>0</v>
      </c>
      <c r="F544" s="1083" t="str">
        <f>VLOOKUP($B544,DG!A:D,DG!$C$2,)</f>
        <v>Boulon 16x50+ 2 long đền vuông D18-50x50x3/Zn</v>
      </c>
      <c r="G544" s="1082" t="str">
        <f>VLOOKUP($B544,DG!A:D,DG!$D$2,)</f>
        <v>bộ</v>
      </c>
      <c r="H544" s="1170">
        <f>6*H541</f>
        <v>0</v>
      </c>
      <c r="I544" s="1262">
        <f t="shared" si="45"/>
        <v>0</v>
      </c>
      <c r="J544" s="1111"/>
      <c r="K544" s="1111"/>
      <c r="L544" s="1085"/>
      <c r="M544" s="977" t="s">
        <v>1264</v>
      </c>
    </row>
    <row r="545" spans="1:14" s="1086" customFormat="1" ht="25.15" hidden="1" customHeight="1">
      <c r="A545" s="1156">
        <f t="shared" ref="A545:A608" si="49">IF(I545&gt;0,1,0)</f>
        <v>0</v>
      </c>
      <c r="B545" s="1327" t="s">
        <v>1615</v>
      </c>
      <c r="C545" s="1327"/>
      <c r="D545" s="1169"/>
      <c r="E545" s="1082">
        <f>VLOOKUP($B545,DG!A:D,DG!$B$2,)</f>
        <v>0</v>
      </c>
      <c r="F545" s="1083" t="str">
        <f>VLOOKUP($B545,DG!A:D,DG!$C$2,)</f>
        <v>Boulon 16x300+ 2 long đền vuông D18-50x50x3/Zn</v>
      </c>
      <c r="G545" s="1082" t="str">
        <f>VLOOKUP($B545,DG!A:D,DG!$D$2,)</f>
        <v>bộ</v>
      </c>
      <c r="H545" s="1170">
        <f>2*H541</f>
        <v>0</v>
      </c>
      <c r="I545" s="1262">
        <f t="shared" si="45"/>
        <v>0</v>
      </c>
      <c r="J545" s="1111"/>
      <c r="K545" s="1111"/>
      <c r="L545" s="1085"/>
      <c r="M545" s="977" t="s">
        <v>1264</v>
      </c>
    </row>
    <row r="546" spans="1:14" s="1086" customFormat="1" ht="25.15" hidden="1" customHeight="1">
      <c r="A546" s="1156">
        <f t="shared" si="49"/>
        <v>0</v>
      </c>
      <c r="B546" s="1327"/>
      <c r="C546" s="1327"/>
      <c r="D546" s="1081">
        <f>IF(H546&gt;0,D541+1,D541)</f>
        <v>0</v>
      </c>
      <c r="E546" s="1188"/>
      <c r="F546" s="1189" t="s">
        <v>3695</v>
      </c>
      <c r="G546" s="1169" t="s">
        <v>2394</v>
      </c>
      <c r="H546" s="1867"/>
      <c r="I546" s="1262">
        <f t="shared" si="45"/>
        <v>0</v>
      </c>
      <c r="J546" s="1134"/>
      <c r="K546" s="1134"/>
      <c r="L546" s="1113"/>
      <c r="M546" s="977" t="s">
        <v>1264</v>
      </c>
    </row>
    <row r="547" spans="1:14" s="1086" customFormat="1" ht="25.15" hidden="1" customHeight="1">
      <c r="A547" s="1156">
        <f>IF(A546&gt;0,1,0)</f>
        <v>0</v>
      </c>
      <c r="B547" s="1327"/>
      <c r="C547" s="1327"/>
      <c r="D547" s="1169"/>
      <c r="E547" s="1188"/>
      <c r="F547" s="1367" t="s">
        <v>2287</v>
      </c>
      <c r="G547" s="1113"/>
      <c r="H547" s="1170"/>
      <c r="I547" s="1262">
        <f t="shared" si="45"/>
        <v>0</v>
      </c>
      <c r="J547" s="1134"/>
      <c r="K547" s="1134"/>
      <c r="L547" s="1113"/>
      <c r="M547" s="977" t="s">
        <v>1264</v>
      </c>
      <c r="N547" s="1190"/>
    </row>
    <row r="548" spans="1:14" s="1086" customFormat="1" ht="25.15" hidden="1" customHeight="1">
      <c r="A548" s="1156">
        <f t="shared" si="49"/>
        <v>0</v>
      </c>
      <c r="B548" s="1157" t="s">
        <v>115</v>
      </c>
      <c r="C548" s="1157"/>
      <c r="D548" s="1113"/>
      <c r="E548" s="1082">
        <f>VLOOKUP($B548,DG!A:D,DG!$B$2,)</f>
        <v>0</v>
      </c>
      <c r="F548" s="1083" t="str">
        <f>VLOOKUP($B548,DG!A:D,DG!$C$2,)</f>
        <v>Trụ BTLT 12m F350 dự ứng lực</v>
      </c>
      <c r="G548" s="1082" t="str">
        <f>VLOOKUP($B548,DG!A:D,DG!$D$2,)</f>
        <v>trụ</v>
      </c>
      <c r="H548" s="1170">
        <f>1*H546</f>
        <v>0</v>
      </c>
      <c r="I548" s="1262">
        <f t="shared" si="45"/>
        <v>0</v>
      </c>
      <c r="J548" s="1111"/>
      <c r="K548" s="1111"/>
      <c r="L548" s="1113"/>
      <c r="M548" s="977" t="s">
        <v>1264</v>
      </c>
      <c r="N548" s="1190"/>
    </row>
    <row r="549" spans="1:14" s="1086" customFormat="1" ht="25.15" hidden="1" customHeight="1">
      <c r="A549" s="1156">
        <f t="shared" si="49"/>
        <v>0</v>
      </c>
      <c r="B549" s="1157" t="s">
        <v>1820</v>
      </c>
      <c r="C549" s="1157"/>
      <c r="D549" s="1113"/>
      <c r="E549" s="1191"/>
      <c r="F549" s="1083" t="str">
        <f>VLOOKUP($B549,DG!A:D,DG!$C$2,)</f>
        <v>Vật liệu dựng trụ</v>
      </c>
      <c r="G549" s="1082" t="str">
        <f>VLOOKUP($B549,DG!A:D,DG!$D$2,)</f>
        <v>trụ</v>
      </c>
      <c r="H549" s="1170">
        <f>H548</f>
        <v>0</v>
      </c>
      <c r="I549" s="1262">
        <f t="shared" si="45"/>
        <v>0</v>
      </c>
      <c r="J549" s="1111"/>
      <c r="K549" s="1111"/>
      <c r="L549" s="1113"/>
      <c r="M549" s="977" t="s">
        <v>1264</v>
      </c>
      <c r="N549" s="1190"/>
    </row>
    <row r="550" spans="1:14" s="1086" customFormat="1" ht="25.15" hidden="1" customHeight="1">
      <c r="A550" s="1156">
        <f t="shared" si="49"/>
        <v>0</v>
      </c>
      <c r="B550" s="1157" t="s">
        <v>2134</v>
      </c>
      <c r="C550" s="1157"/>
      <c r="D550" s="1113"/>
      <c r="E550" s="1191"/>
      <c r="F550" s="1083" t="str">
        <f>VLOOKUP($B550,DG!A:D,DG!$C$2,)</f>
        <v>Dựng trụ BTLT 12m trong TBA bằng thủ công + cơ giới</v>
      </c>
      <c r="G550" s="1082" t="str">
        <f>VLOOKUP($B550,DG!A:D,DG!$D$2,)</f>
        <v>trụ</v>
      </c>
      <c r="H550" s="1170">
        <f>H548</f>
        <v>0</v>
      </c>
      <c r="I550" s="1262">
        <f t="shared" si="45"/>
        <v>0</v>
      </c>
      <c r="J550" s="1111"/>
      <c r="K550" s="1111"/>
      <c r="L550" s="1113"/>
      <c r="M550" s="977" t="s">
        <v>1264</v>
      </c>
      <c r="N550" s="1190"/>
    </row>
    <row r="551" spans="1:14" s="1086" customFormat="1" ht="25.15" hidden="1" customHeight="1">
      <c r="A551" s="1156">
        <f t="shared" si="49"/>
        <v>0</v>
      </c>
      <c r="B551" s="1327"/>
      <c r="C551" s="1327"/>
      <c r="D551" s="1081">
        <f>IF(H551&gt;0,D546+1,D546)</f>
        <v>0</v>
      </c>
      <c r="E551" s="1188"/>
      <c r="F551" s="1189" t="s">
        <v>2361</v>
      </c>
      <c r="G551" s="1169" t="s">
        <v>2394</v>
      </c>
      <c r="H551" s="1867"/>
      <c r="I551" s="1262">
        <f t="shared" si="45"/>
        <v>0</v>
      </c>
      <c r="J551" s="1134"/>
      <c r="K551" s="1134"/>
      <c r="L551" s="1113"/>
      <c r="M551" s="977" t="s">
        <v>1264</v>
      </c>
    </row>
    <row r="552" spans="1:14" s="1086" customFormat="1" ht="25.15" hidden="1" customHeight="1">
      <c r="A552" s="1156">
        <f>IF(A551&gt;0,1,0)</f>
        <v>0</v>
      </c>
      <c r="B552" s="1327"/>
      <c r="C552" s="1327"/>
      <c r="D552" s="1169"/>
      <c r="E552" s="1188"/>
      <c r="F552" s="1367" t="s">
        <v>2287</v>
      </c>
      <c r="G552" s="1113"/>
      <c r="H552" s="1170"/>
      <c r="I552" s="1262">
        <f t="shared" si="45"/>
        <v>0</v>
      </c>
      <c r="J552" s="1134"/>
      <c r="K552" s="1134"/>
      <c r="L552" s="1113"/>
      <c r="M552" s="977" t="s">
        <v>1264</v>
      </c>
      <c r="N552" s="1190"/>
    </row>
    <row r="553" spans="1:14" s="1086" customFormat="1" ht="25.15" hidden="1" customHeight="1">
      <c r="A553" s="1156">
        <f t="shared" si="49"/>
        <v>0</v>
      </c>
      <c r="B553" s="1334" t="s">
        <v>230</v>
      </c>
      <c r="C553" s="1334"/>
      <c r="D553" s="1113"/>
      <c r="E553" s="1082" t="str">
        <f>VLOOKUP($B553,DG!A:D,DG!$B$2,)</f>
        <v>04.4001</v>
      </c>
      <c r="F553" s="1083" t="str">
        <f>VLOOKUP($B553,DG!A:D,DG!$C$2,)</f>
        <v>Đà cản BTCT 1,2m</v>
      </c>
      <c r="G553" s="1082" t="str">
        <f>VLOOKUP($B553,DG!A:D,DG!$D$2,)</f>
        <v>cái</v>
      </c>
      <c r="H553" s="1170">
        <f>1*H551</f>
        <v>0</v>
      </c>
      <c r="I553" s="1262">
        <f t="shared" si="45"/>
        <v>0</v>
      </c>
      <c r="J553" s="1111"/>
      <c r="K553" s="1111"/>
      <c r="L553" s="1113"/>
      <c r="M553" s="977" t="s">
        <v>1264</v>
      </c>
      <c r="N553" s="1190"/>
    </row>
    <row r="554" spans="1:14" s="1086" customFormat="1" ht="25.15" hidden="1" customHeight="1">
      <c r="A554" s="1156">
        <f t="shared" si="49"/>
        <v>0</v>
      </c>
      <c r="B554" s="1334" t="s">
        <v>398</v>
      </c>
      <c r="C554" s="1334"/>
      <c r="D554" s="1113"/>
      <c r="E554" s="1082">
        <f>VLOOKUP($B554,DG!A:D,DG!$B$2,)</f>
        <v>0</v>
      </c>
      <c r="F554" s="1083" t="str">
        <f>VLOOKUP($B554,DG!A:D,DG!$C$2,)</f>
        <v>Boulon 22x650+ 2 long đền vuông D24-50x50x3/Zn</v>
      </c>
      <c r="G554" s="1082" t="str">
        <f>VLOOKUP($B554,DG!A:D,DG!$D$2,)</f>
        <v>bộ</v>
      </c>
      <c r="H554" s="1170">
        <f>H551</f>
        <v>0</v>
      </c>
      <c r="I554" s="1262">
        <f t="shared" si="45"/>
        <v>0</v>
      </c>
      <c r="J554" s="1111"/>
      <c r="K554" s="1111"/>
      <c r="L554" s="1113"/>
      <c r="M554" s="977" t="s">
        <v>1264</v>
      </c>
      <c r="N554" s="1190"/>
    </row>
    <row r="555" spans="1:14" s="1086" customFormat="1" ht="25.15" hidden="1" customHeight="1">
      <c r="A555" s="1156">
        <f t="shared" si="49"/>
        <v>0</v>
      </c>
      <c r="B555" s="1334" t="str">
        <f>IF(chitiet!G5=1,"MDD1",IF(chitiet!G5=2,"MDD2",IF(chitiet!G5=3,"MDD3",IF(chitiet!G5=4,"MDD4"))))</f>
        <v>MDD3</v>
      </c>
      <c r="C555" s="1334"/>
      <c r="D555" s="1113"/>
      <c r="E555" s="1082" t="str">
        <f>VLOOKUP($B555,DG!A:D,DG!$B$2,)</f>
        <v>03.1013</v>
      </c>
      <c r="F555" s="1083" t="str">
        <f>VLOOKUP($B555,DG!A:D,DG!$C$2,)</f>
        <v>Đào hố móng đất cấp 3 sâu &gt;1m</v>
      </c>
      <c r="G555" s="1082" t="str">
        <f>VLOOKUP($B555,DG!A:D,DG!$D$2,)</f>
        <v>m3</v>
      </c>
      <c r="H555" s="1170">
        <f>H551*1.45</f>
        <v>0</v>
      </c>
      <c r="I555" s="1262">
        <f t="shared" si="45"/>
        <v>0</v>
      </c>
      <c r="J555" s="1111"/>
      <c r="K555" s="1111"/>
      <c r="L555" s="1113"/>
      <c r="M555" s="977" t="s">
        <v>1264</v>
      </c>
      <c r="N555" s="1190"/>
    </row>
    <row r="556" spans="1:14" s="1086" customFormat="1" ht="25.15" hidden="1" customHeight="1">
      <c r="A556" s="1156">
        <f t="shared" si="49"/>
        <v>0</v>
      </c>
      <c r="B556" s="1334" t="str">
        <f>IF(chitiet!G5=1,"MDAP1",IF(chitiet!G5=2,"MDAP2",IF(chitiet!G5=3,"MDAP3",IF(chitiet!G5=4,"MDAP4"))))</f>
        <v>MDAP3</v>
      </c>
      <c r="C556" s="1334"/>
      <c r="D556" s="1113"/>
      <c r="E556" s="1082" t="str">
        <f>VLOOKUP($B556,DG!A:D,DG!$B$2,)</f>
        <v>03.4113</v>
      </c>
      <c r="F556" s="1083" t="str">
        <f>VLOOKUP($B556,DG!A:D,DG!$C$2,)</f>
        <v>Đắp đất hố móng, độ chặt k=0,95</v>
      </c>
      <c r="G556" s="1082" t="str">
        <f>VLOOKUP($B556,DG!A:D,DG!$D$2,)</f>
        <v>m3</v>
      </c>
      <c r="H556" s="1170">
        <f>H551*1.37</f>
        <v>0</v>
      </c>
      <c r="I556" s="1262">
        <f t="shared" si="45"/>
        <v>0</v>
      </c>
      <c r="J556" s="1111"/>
      <c r="K556" s="1111"/>
      <c r="L556" s="1113"/>
      <c r="M556" s="977" t="s">
        <v>1264</v>
      </c>
      <c r="N556" s="1190"/>
    </row>
    <row r="557" spans="1:14" s="1086" customFormat="1" ht="25.15" hidden="1" customHeight="1">
      <c r="A557" s="1156">
        <f t="shared" si="49"/>
        <v>0</v>
      </c>
      <c r="B557" s="1327"/>
      <c r="C557" s="1327"/>
      <c r="D557" s="1169">
        <f>IF(H557&gt;0,D551+1,D551)</f>
        <v>0</v>
      </c>
      <c r="E557" s="1212"/>
      <c r="F557" s="1200" t="s">
        <v>3714</v>
      </c>
      <c r="G557" s="1169" t="s">
        <v>2394</v>
      </c>
      <c r="H557" s="1867">
        <f>H541</f>
        <v>0</v>
      </c>
      <c r="I557" s="1262">
        <f t="shared" ref="I557:I620" si="50">IF(M557=$M$23,H557+J557-K557,0)</f>
        <v>0</v>
      </c>
      <c r="J557" s="1181"/>
      <c r="K557" s="1181"/>
      <c r="L557" s="1085"/>
      <c r="M557" s="977" t="s">
        <v>1264</v>
      </c>
    </row>
    <row r="558" spans="1:14" s="1086" customFormat="1" ht="25.15" hidden="1" customHeight="1">
      <c r="A558" s="1156">
        <f>IF(A557&gt;0,1,0)</f>
        <v>0</v>
      </c>
      <c r="B558" s="1327"/>
      <c r="C558" s="1327"/>
      <c r="D558" s="1169"/>
      <c r="E558" s="1212"/>
      <c r="F558" s="1368" t="s">
        <v>2287</v>
      </c>
      <c r="G558" s="1113"/>
      <c r="H558" s="1170"/>
      <c r="I558" s="1262">
        <f t="shared" si="50"/>
        <v>0</v>
      </c>
      <c r="J558" s="1181"/>
      <c r="K558" s="1181"/>
      <c r="L558" s="1085"/>
      <c r="M558" s="977" t="s">
        <v>1264</v>
      </c>
    </row>
    <row r="559" spans="1:14" s="1086" customFormat="1" ht="25.15" hidden="1" customHeight="1">
      <c r="A559" s="1156">
        <f t="shared" si="49"/>
        <v>0</v>
      </c>
      <c r="B559" s="1334" t="s">
        <v>109</v>
      </c>
      <c r="C559" s="1334"/>
      <c r="D559" s="1169"/>
      <c r="E559" s="1082">
        <f>VLOOKUP($B559,DG!A:D,DG!$B$2,)</f>
        <v>0</v>
      </c>
      <c r="F559" s="1083" t="str">
        <f>VLOOKUP($B559,DG!A:D,DG!$C$2,)</f>
        <v>Sắt góc L75 x75 x8</v>
      </c>
      <c r="G559" s="1082" t="str">
        <f>VLOOKUP($B559,DG!A:D,DG!$D$2,)</f>
        <v>kg</v>
      </c>
      <c r="H559" s="1170">
        <f>H557*9.02*(2.2+4*0.07)</f>
        <v>0</v>
      </c>
      <c r="I559" s="1262">
        <f t="shared" si="50"/>
        <v>0</v>
      </c>
      <c r="J559" s="1111"/>
      <c r="K559" s="1111"/>
      <c r="L559" s="1085"/>
      <c r="M559" s="977" t="s">
        <v>1264</v>
      </c>
    </row>
    <row r="560" spans="1:14" s="1086" customFormat="1" ht="25.15" hidden="1" customHeight="1">
      <c r="A560" s="1156">
        <f t="shared" si="49"/>
        <v>0</v>
      </c>
      <c r="B560" s="1327" t="s">
        <v>457</v>
      </c>
      <c r="C560" s="1327"/>
      <c r="D560" s="1169"/>
      <c r="E560" s="1082">
        <f>VLOOKUP($B560,DG!A:D,DG!$B$2,)</f>
        <v>0</v>
      </c>
      <c r="F560" s="1083" t="str">
        <f>VLOOKUP($B560,DG!A:D,DG!$C$2,)</f>
        <v>Sắt góc L50 x50 x5</v>
      </c>
      <c r="G560" s="1082" t="str">
        <f>VLOOKUP($B560,DG!A:D,DG!$D$2,)</f>
        <v>kg</v>
      </c>
      <c r="H560" s="1170">
        <f>H557*2*3.77*0.81</f>
        <v>0</v>
      </c>
      <c r="I560" s="1262">
        <f t="shared" si="50"/>
        <v>0</v>
      </c>
      <c r="J560" s="1111"/>
      <c r="K560" s="1111"/>
      <c r="L560" s="1085"/>
      <c r="M560" s="977" t="s">
        <v>1264</v>
      </c>
    </row>
    <row r="561" spans="1:13" s="1086" customFormat="1" ht="25.15" hidden="1" customHeight="1">
      <c r="A561" s="1156">
        <f t="shared" si="49"/>
        <v>0</v>
      </c>
      <c r="B561" s="1327" t="s">
        <v>1792</v>
      </c>
      <c r="C561" s="1327"/>
      <c r="D561" s="1169"/>
      <c r="E561" s="1082">
        <f>VLOOKUP($B561,DG!A:D,DG!$B$2,)</f>
        <v>0</v>
      </c>
      <c r="F561" s="1083" t="str">
        <f>VLOOKUP($B561,DG!A:D,DG!$C$2,)</f>
        <v>Boulon 16x50+ 2 long đền vuông D18-50x50x3/Zn</v>
      </c>
      <c r="G561" s="1082" t="str">
        <f>VLOOKUP($B561,DG!A:D,DG!$D$2,)</f>
        <v>bộ</v>
      </c>
      <c r="H561" s="1170">
        <f>4*H557</f>
        <v>0</v>
      </c>
      <c r="I561" s="1262">
        <f t="shared" si="50"/>
        <v>0</v>
      </c>
      <c r="J561" s="1111"/>
      <c r="K561" s="1111"/>
      <c r="L561" s="1085"/>
      <c r="M561" s="977" t="s">
        <v>1264</v>
      </c>
    </row>
    <row r="562" spans="1:13" s="1086" customFormat="1" ht="25.15" hidden="1" customHeight="1">
      <c r="A562" s="1156">
        <f t="shared" si="49"/>
        <v>0</v>
      </c>
      <c r="B562" s="1327" t="s">
        <v>1614</v>
      </c>
      <c r="C562" s="1327"/>
      <c r="D562" s="1169"/>
      <c r="E562" s="1082">
        <f>VLOOKUP($B562,DG!A:D,DG!$B$2,)</f>
        <v>0</v>
      </c>
      <c r="F562" s="1083" t="str">
        <f>VLOOKUP($B562,DG!A:D,DG!$C$2,)</f>
        <v>Boulon 16x250+ 2 long đền vuông D18-50x50x3/Zn</v>
      </c>
      <c r="G562" s="1082" t="str">
        <f>VLOOKUP($B562,DG!A:D,DG!$D$2,)</f>
        <v>bộ</v>
      </c>
      <c r="H562" s="1170">
        <f>2*H557</f>
        <v>0</v>
      </c>
      <c r="I562" s="1262">
        <f t="shared" si="50"/>
        <v>0</v>
      </c>
      <c r="J562" s="1111"/>
      <c r="K562" s="1111"/>
      <c r="L562" s="1085"/>
      <c r="M562" s="977" t="s">
        <v>1264</v>
      </c>
    </row>
    <row r="563" spans="1:13" s="1086" customFormat="1" ht="25.15" hidden="1" customHeight="1">
      <c r="A563" s="1156">
        <f t="shared" si="49"/>
        <v>0</v>
      </c>
      <c r="B563" s="1327" t="s">
        <v>2279</v>
      </c>
      <c r="C563" s="1327"/>
      <c r="D563" s="1169"/>
      <c r="E563" s="1082">
        <f>VLOOKUP($B563,DG!A:D,DG!$B$2,)</f>
        <v>0</v>
      </c>
      <c r="F563" s="1083" t="str">
        <f>VLOOKUP($B563,DG!A:D,DG!$C$2,)</f>
        <v>Bass LL bắt FCO, LA</v>
      </c>
      <c r="G563" s="1082" t="str">
        <f>VLOOKUP($B563,DG!A:D,DG!$D$2,)</f>
        <v>bộ</v>
      </c>
      <c r="H563" s="1170">
        <f>H557*3</f>
        <v>0</v>
      </c>
      <c r="I563" s="1262">
        <f t="shared" si="50"/>
        <v>0</v>
      </c>
      <c r="J563" s="1111"/>
      <c r="K563" s="1111"/>
      <c r="L563" s="1085"/>
      <c r="M563" s="977" t="s">
        <v>1264</v>
      </c>
    </row>
    <row r="564" spans="1:13" s="1086" customFormat="1" ht="25.15" hidden="1" customHeight="1">
      <c r="A564" s="1156">
        <f t="shared" si="49"/>
        <v>0</v>
      </c>
      <c r="B564" s="1327" t="s">
        <v>516</v>
      </c>
      <c r="C564" s="1327"/>
      <c r="D564" s="1169"/>
      <c r="E564" s="1082" t="str">
        <f>VLOOKUP($B564,DG!A:D,DG!$B$2,)</f>
        <v>05.6102</v>
      </c>
      <c r="F564" s="1083" t="str">
        <f>VLOOKUP($B564,DG!A:D,DG!$C$2,)</f>
        <v>Lắp xà đỡ ≤ 50kg</v>
      </c>
      <c r="G564" s="1082" t="str">
        <f>VLOOKUP($B564,DG!A:D,DG!$D$2,)</f>
        <v>bộ</v>
      </c>
      <c r="H564" s="1170">
        <f>H557</f>
        <v>0</v>
      </c>
      <c r="I564" s="1262">
        <f t="shared" si="50"/>
        <v>0</v>
      </c>
      <c r="J564" s="1111"/>
      <c r="K564" s="1111"/>
      <c r="L564" s="1085"/>
      <c r="M564" s="977" t="s">
        <v>1264</v>
      </c>
    </row>
    <row r="565" spans="1:13" s="1086" customFormat="1" ht="25.15" hidden="1" customHeight="1">
      <c r="A565" s="1156">
        <f t="shared" si="49"/>
        <v>0</v>
      </c>
      <c r="B565" s="1327"/>
      <c r="C565" s="1327"/>
      <c r="D565" s="1169">
        <f>IF(H565&gt;0,D557+1,D557)</f>
        <v>0</v>
      </c>
      <c r="E565" s="1212"/>
      <c r="F565" s="1200" t="s">
        <v>3715</v>
      </c>
      <c r="G565" s="1169" t="s">
        <v>2394</v>
      </c>
      <c r="H565" s="1867">
        <f>H541</f>
        <v>0</v>
      </c>
      <c r="I565" s="1262">
        <f t="shared" si="50"/>
        <v>0</v>
      </c>
      <c r="J565" s="1181"/>
      <c r="K565" s="1181"/>
      <c r="L565" s="1085"/>
      <c r="M565" s="977" t="s">
        <v>1264</v>
      </c>
    </row>
    <row r="566" spans="1:13" s="1086" customFormat="1" ht="25.15" hidden="1" customHeight="1">
      <c r="A566" s="1156">
        <f t="shared" si="49"/>
        <v>0</v>
      </c>
      <c r="B566" s="1327"/>
      <c r="C566" s="1327"/>
      <c r="D566" s="1169"/>
      <c r="E566" s="1212"/>
      <c r="F566" s="1085" t="s">
        <v>3716</v>
      </c>
      <c r="G566" s="1113"/>
      <c r="H566" s="1170"/>
      <c r="I566" s="1262">
        <f t="shared" si="50"/>
        <v>0</v>
      </c>
      <c r="J566" s="1181"/>
      <c r="K566" s="1181"/>
      <c r="L566" s="1085"/>
      <c r="M566" s="977" t="s">
        <v>1264</v>
      </c>
    </row>
    <row r="567" spans="1:13" s="1086" customFormat="1" ht="25.15" hidden="1" customHeight="1">
      <c r="A567" s="1156">
        <f t="shared" si="49"/>
        <v>0</v>
      </c>
      <c r="B567" s="1327" t="s">
        <v>103</v>
      </c>
      <c r="C567" s="1327"/>
      <c r="D567" s="1113"/>
      <c r="E567" s="1082">
        <f>VLOOKUP($B567,DG!A:D,DG!$B$2,)</f>
        <v>0</v>
      </c>
      <c r="F567" s="1083" t="str">
        <f>VLOOKUP($B567,DG!A:D,DG!$C$2,)</f>
        <v>Cáp đồng trần M25mm2</v>
      </c>
      <c r="G567" s="1082" t="str">
        <f>VLOOKUP($B567,DG!A:D,DG!$D$2,)</f>
        <v>kg</v>
      </c>
      <c r="H567" s="1170">
        <f>I2*H565*0.224</f>
        <v>0</v>
      </c>
      <c r="I567" s="1262">
        <f t="shared" si="50"/>
        <v>0</v>
      </c>
      <c r="J567" s="1111"/>
      <c r="K567" s="1111"/>
      <c r="L567" s="1085"/>
      <c r="M567" s="977" t="s">
        <v>1264</v>
      </c>
    </row>
    <row r="568" spans="1:13" s="1086" customFormat="1" ht="25.15" hidden="1" customHeight="1">
      <c r="A568" s="1156">
        <f t="shared" si="49"/>
        <v>0</v>
      </c>
      <c r="B568" s="1157" t="s">
        <v>1513</v>
      </c>
      <c r="C568" s="1157"/>
      <c r="D568" s="1113"/>
      <c r="E568" s="1082">
        <f>VLOOKUP($B568,DG!A:D,DG!$B$2,)</f>
        <v>0</v>
      </c>
      <c r="F568" s="1083" t="str">
        <f>VLOOKUP($B568,DG!A:D,DG!$C$2,)</f>
        <v>Cọc tiếp đất Þ 16- 2,4m + kẹp cọc mạ đồng</v>
      </c>
      <c r="G568" s="1082" t="str">
        <f>VLOOKUP($B568,DG!A:D,DG!$D$2,)</f>
        <v>bộ</v>
      </c>
      <c r="H568" s="1170">
        <f>(I3)*H565</f>
        <v>0</v>
      </c>
      <c r="I568" s="1262">
        <f t="shared" si="50"/>
        <v>0</v>
      </c>
      <c r="J568" s="1111"/>
      <c r="K568" s="1111"/>
      <c r="L568" s="1085"/>
      <c r="M568" s="977" t="s">
        <v>1264</v>
      </c>
    </row>
    <row r="569" spans="1:13" s="1086" customFormat="1" ht="25.15" hidden="1" customHeight="1">
      <c r="A569" s="1156">
        <f t="shared" si="49"/>
        <v>0</v>
      </c>
      <c r="B569" s="1157" t="s">
        <v>3467</v>
      </c>
      <c r="C569" s="1157"/>
      <c r="D569" s="1113"/>
      <c r="E569" s="1082">
        <f>VLOOKUP($B569,DG!A:D,DG!$B$2,)</f>
        <v>0</v>
      </c>
      <c r="F569" s="1083" t="str">
        <f>VLOOKUP($B569,DG!A:D,DG!$C$2,)</f>
        <v>Giếng tiếp địa khoan đá</v>
      </c>
      <c r="G569" s="1082" t="str">
        <f>VLOOKUP($B569,DG!A:D,DG!$D$2,)</f>
        <v>Cái</v>
      </c>
      <c r="H569" s="1170">
        <f>I3*H565</f>
        <v>0</v>
      </c>
      <c r="I569" s="1262">
        <f t="shared" si="50"/>
        <v>0</v>
      </c>
      <c r="J569" s="1111"/>
      <c r="K569" s="1111"/>
      <c r="L569" s="1085"/>
      <c r="M569" s="977" t="s">
        <v>1264</v>
      </c>
    </row>
    <row r="570" spans="1:13" s="1086" customFormat="1" ht="25.15" hidden="1" customHeight="1">
      <c r="A570" s="1156">
        <f t="shared" si="49"/>
        <v>0</v>
      </c>
      <c r="B570" s="1157" t="s">
        <v>576</v>
      </c>
      <c r="C570" s="1157"/>
      <c r="D570" s="1113"/>
      <c r="E570" s="1082" t="str">
        <f>VLOOKUP($B570,DG!A:D,DG!$B$2,)</f>
        <v>07.2403</v>
      </c>
      <c r="F570" s="1083" t="str">
        <f>VLOOKUP($B570,DG!A:D,DG!$C$2,)</f>
        <v xml:space="preserve">Ống PVC D21x1,6mm </v>
      </c>
      <c r="G570" s="1082" t="str">
        <f>VLOOKUP($B570,DG!A:D,DG!$D$2,)</f>
        <v>m</v>
      </c>
      <c r="H570" s="1170">
        <f>6*H565</f>
        <v>0</v>
      </c>
      <c r="I570" s="1262">
        <f t="shared" si="50"/>
        <v>0</v>
      </c>
      <c r="J570" s="1111"/>
      <c r="K570" s="1111"/>
      <c r="L570" s="1085"/>
      <c r="M570" s="977" t="s">
        <v>1264</v>
      </c>
    </row>
    <row r="571" spans="1:13" s="1086" customFormat="1" ht="25.15" hidden="1" customHeight="1">
      <c r="A571" s="1156">
        <f t="shared" si="49"/>
        <v>0</v>
      </c>
      <c r="B571" s="1332" t="s">
        <v>1584</v>
      </c>
      <c r="C571" s="1332"/>
      <c r="D571" s="1113"/>
      <c r="E571" s="1082">
        <f>VLOOKUP($B571,DG!A:D,DG!$B$2,)</f>
        <v>0</v>
      </c>
      <c r="F571" s="1083" t="str">
        <f>VLOOKUP($B571,DG!A:D,DG!$C$2,)</f>
        <v>Kẹp ép WR cỡ dây 50mm2</v>
      </c>
      <c r="G571" s="1082" t="str">
        <f>VLOOKUP($B571,DG!A:D,DG!$D$2,)</f>
        <v>cái</v>
      </c>
      <c r="H571" s="1170">
        <f>2*H565</f>
        <v>0</v>
      </c>
      <c r="I571" s="1262">
        <f t="shared" si="50"/>
        <v>0</v>
      </c>
      <c r="J571" s="1111"/>
      <c r="K571" s="1111"/>
      <c r="L571" s="1085"/>
      <c r="M571" s="977" t="s">
        <v>1264</v>
      </c>
    </row>
    <row r="572" spans="1:13" s="1086" customFormat="1" ht="25.15" hidden="1" customHeight="1">
      <c r="A572" s="1156">
        <f t="shared" si="49"/>
        <v>0</v>
      </c>
      <c r="B572" s="1332" t="s">
        <v>104</v>
      </c>
      <c r="C572" s="1332"/>
      <c r="D572" s="1113"/>
      <c r="E572" s="1082" t="str">
        <f>VLOOKUP($B572,DG!A:D,DG!$B$2,)</f>
        <v>03.4001</v>
      </c>
      <c r="F572" s="1083" t="str">
        <f>VLOOKUP($B572,DG!A:D,DG!$C$2,)</f>
        <v>Đầu cosse ép Cu 25mm2</v>
      </c>
      <c r="G572" s="1082" t="str">
        <f>VLOOKUP($B572,DG!A:D,DG!$D$2,)</f>
        <v>cái</v>
      </c>
      <c r="H572" s="1170">
        <f>H565*2</f>
        <v>0</v>
      </c>
      <c r="I572" s="1262">
        <f t="shared" si="50"/>
        <v>0</v>
      </c>
      <c r="J572" s="1111"/>
      <c r="K572" s="1111"/>
      <c r="L572" s="1085"/>
      <c r="M572" s="977" t="s">
        <v>1264</v>
      </c>
    </row>
    <row r="573" spans="1:13" s="1086" customFormat="1" ht="25.15" hidden="1" customHeight="1">
      <c r="A573" s="1156">
        <f t="shared" si="49"/>
        <v>0</v>
      </c>
      <c r="B573" s="1332" t="s">
        <v>138</v>
      </c>
      <c r="C573" s="1332"/>
      <c r="D573" s="1113"/>
      <c r="E573" s="1082">
        <f>VLOOKUP($B573,DG!A:D,DG!$B$2,)</f>
        <v>0</v>
      </c>
      <c r="F573" s="1083" t="str">
        <f>VLOOKUP($B573,DG!A:D,DG!$C$2,)</f>
        <v>Boulon 12x40+ 2 long đền vuông D14-50x50x3/Zn</v>
      </c>
      <c r="G573" s="1082" t="str">
        <f>VLOOKUP($B573,DG!A:D,DG!$D$2,)</f>
        <v>bộ</v>
      </c>
      <c r="H573" s="1170">
        <f>H565*1</f>
        <v>0</v>
      </c>
      <c r="I573" s="1262">
        <f t="shared" si="50"/>
        <v>0</v>
      </c>
      <c r="J573" s="1111"/>
      <c r="K573" s="1111"/>
      <c r="L573" s="1085"/>
      <c r="M573" s="977" t="s">
        <v>1264</v>
      </c>
    </row>
    <row r="574" spans="1:13" s="1086" customFormat="1" ht="25.15" hidden="1" customHeight="1">
      <c r="A574" s="1156">
        <f t="shared" si="49"/>
        <v>0</v>
      </c>
      <c r="B574" s="1332" t="s">
        <v>818</v>
      </c>
      <c r="C574" s="1332"/>
      <c r="D574" s="1113"/>
      <c r="E574" s="1082" t="str">
        <f>VLOOKUP($B574,DG!A:D,DG!$B$2,)</f>
        <v>04.3107</v>
      </c>
      <c r="F574" s="1083" t="str">
        <f>VLOOKUP($B574,DG!A:D,DG!$C$2,)</f>
        <v>Ốc siết cáp cỡ 25mm2</v>
      </c>
      <c r="G574" s="1082" t="str">
        <f>VLOOKUP($B574,DG!A:D,DG!$D$2,)</f>
        <v>cái</v>
      </c>
      <c r="H574" s="1170">
        <f>11*H565</f>
        <v>0</v>
      </c>
      <c r="I574" s="1262">
        <f t="shared" si="50"/>
        <v>0</v>
      </c>
      <c r="J574" s="1111"/>
      <c r="K574" s="1111"/>
      <c r="L574" s="1085"/>
      <c r="M574" s="977" t="s">
        <v>1264</v>
      </c>
    </row>
    <row r="575" spans="1:13" s="1086" customFormat="1" ht="25.15" hidden="1" customHeight="1">
      <c r="A575" s="1156">
        <f t="shared" si="49"/>
        <v>0</v>
      </c>
      <c r="B575" s="1157" t="s">
        <v>1597</v>
      </c>
      <c r="C575" s="1157"/>
      <c r="D575" s="1113"/>
      <c r="E575" s="1082" t="str">
        <f>VLOOKUP($B575,DG!A:D,DG!$B$2,)</f>
        <v>06.3231</v>
      </c>
      <c r="F575" s="1083" t="str">
        <f>VLOOKUP($B575,DG!A:D,DG!$C$2,)</f>
        <v>Cổ dê kẹp ống PVC  21</v>
      </c>
      <c r="G575" s="1082" t="str">
        <f>VLOOKUP($B575,DG!A:D,DG!$D$2,)</f>
        <v>bộ</v>
      </c>
      <c r="H575" s="1170">
        <f>H565*3</f>
        <v>0</v>
      </c>
      <c r="I575" s="1262">
        <f t="shared" si="50"/>
        <v>0</v>
      </c>
      <c r="J575" s="1111"/>
      <c r="K575" s="1111"/>
      <c r="L575" s="1085"/>
      <c r="M575" s="977" t="s">
        <v>1264</v>
      </c>
    </row>
    <row r="576" spans="1:13" s="1086" customFormat="1" ht="25.15" hidden="1" customHeight="1">
      <c r="A576" s="1156">
        <f t="shared" si="49"/>
        <v>0</v>
      </c>
      <c r="B576" s="1157" t="s">
        <v>1597</v>
      </c>
      <c r="C576" s="1157"/>
      <c r="D576" s="1113"/>
      <c r="E576" s="1082" t="str">
        <f>VLOOKUP($B576,DG!A:D,DG!$B$2,)</f>
        <v>06.3231</v>
      </c>
      <c r="F576" s="1083" t="str">
        <f>VLOOKUP($B576,DG!A:D,DG!$C$2,)&amp;": CD-280 1 cái"</f>
        <v>Cổ dê kẹp ống PVC  21: CD-280 1 cái</v>
      </c>
      <c r="G576" s="1082" t="str">
        <f>VLOOKUP($B576,DG!A:D,DG!$D$2,)</f>
        <v>bộ</v>
      </c>
      <c r="H576" s="1170">
        <f>H565*0.452*0</f>
        <v>0</v>
      </c>
      <c r="I576" s="1262">
        <f t="shared" si="50"/>
        <v>0</v>
      </c>
      <c r="J576" s="1111"/>
      <c r="K576" s="1111"/>
      <c r="L576" s="1085"/>
      <c r="M576" s="977" t="s">
        <v>1264</v>
      </c>
    </row>
    <row r="577" spans="1:13" s="1086" customFormat="1" ht="25.15" hidden="1" customHeight="1">
      <c r="A577" s="1156">
        <f t="shared" si="49"/>
        <v>0</v>
      </c>
      <c r="B577" s="1157" t="s">
        <v>1597</v>
      </c>
      <c r="C577" s="1157"/>
      <c r="D577" s="1113"/>
      <c r="E577" s="1082" t="str">
        <f>VLOOKUP($B577,DG!A:D,DG!$B$2,)</f>
        <v>06.3231</v>
      </c>
      <c r="F577" s="1083" t="str">
        <f>VLOOKUP($B577,DG!A:D,DG!$C$2,)&amp;": CD-320 1 cái"</f>
        <v>Cổ dê kẹp ống PVC  21: CD-320 1 cái</v>
      </c>
      <c r="G577" s="1082" t="str">
        <f>VLOOKUP($B577,DG!A:D,DG!$D$2,)</f>
        <v>bộ</v>
      </c>
      <c r="H577" s="1170">
        <f>H565*0.5013*0</f>
        <v>0</v>
      </c>
      <c r="I577" s="1262">
        <f t="shared" si="50"/>
        <v>0</v>
      </c>
      <c r="J577" s="1111"/>
      <c r="K577" s="1111"/>
      <c r="L577" s="1085"/>
      <c r="M577" s="977" t="s">
        <v>1264</v>
      </c>
    </row>
    <row r="578" spans="1:13" s="1086" customFormat="1" ht="25.15" hidden="1" customHeight="1">
      <c r="A578" s="1156">
        <f t="shared" si="49"/>
        <v>0</v>
      </c>
      <c r="B578" s="1157" t="s">
        <v>1133</v>
      </c>
      <c r="C578" s="1157"/>
      <c r="D578" s="1113"/>
      <c r="E578" s="1082" t="str">
        <f>VLOOKUP($B578,DG!A:D,DG!$B$2,)</f>
        <v>06.2110</v>
      </c>
      <c r="F578" s="1083" t="str">
        <f>VLOOKUP($B578,DG!A:D,DG!$C$2,)</f>
        <v>Lắp cổ dề</v>
      </c>
      <c r="G578" s="1082" t="str">
        <f>VLOOKUP($B578,DG!A:D,DG!$D$2,)</f>
        <v>bộ</v>
      </c>
      <c r="H578" s="1170">
        <f>H575</f>
        <v>0</v>
      </c>
      <c r="I578" s="1262">
        <f t="shared" si="50"/>
        <v>0</v>
      </c>
      <c r="J578" s="1111"/>
      <c r="K578" s="1111"/>
      <c r="L578" s="1085"/>
      <c r="M578" s="977" t="s">
        <v>1264</v>
      </c>
    </row>
    <row r="579" spans="1:13" s="1086" customFormat="1" ht="25.15" hidden="1" customHeight="1">
      <c r="A579" s="1156">
        <f t="shared" si="49"/>
        <v>0</v>
      </c>
      <c r="B579" s="1332" t="s">
        <v>389</v>
      </c>
      <c r="C579" s="1332"/>
      <c r="D579" s="1113"/>
      <c r="E579" s="1082" t="str">
        <f>VLOOKUP($B579,DG!A:D,DG!$B$2,)</f>
        <v>04.7002</v>
      </c>
      <c r="F579" s="1083" t="str">
        <f>VLOOKUP($B579,DG!A:D,DG!$C$2,)</f>
        <v>Kéo dây tiếp địa trong TBA</v>
      </c>
      <c r="G579" s="1082" t="str">
        <f>VLOOKUP($B579,DG!A:D,DG!$D$2,)</f>
        <v>mét</v>
      </c>
      <c r="H579" s="1170">
        <f>H565*I3</f>
        <v>0</v>
      </c>
      <c r="I579" s="1262">
        <f t="shared" si="50"/>
        <v>0</v>
      </c>
      <c r="J579" s="1111"/>
      <c r="K579" s="1111"/>
      <c r="L579" s="1085"/>
      <c r="M579" s="977" t="s">
        <v>1264</v>
      </c>
    </row>
    <row r="580" spans="1:13" s="1086" customFormat="1" ht="25.15" hidden="1" customHeight="1">
      <c r="A580" s="1156">
        <f t="shared" si="49"/>
        <v>0</v>
      </c>
      <c r="B580" s="1157" t="s">
        <v>1443</v>
      </c>
      <c r="C580" s="1157"/>
      <c r="D580" s="1113"/>
      <c r="E580" s="1082" t="str">
        <f>VLOOKUP($B580,DG!A:D,DG!$B$2,)</f>
        <v>04.7001</v>
      </c>
      <c r="F580" s="1083" t="str">
        <f>VLOOKUP($B580,DG!A:D,DG!$C$2,)</f>
        <v>Đóng cọc tiếp địa trong TBA</v>
      </c>
      <c r="G580" s="1082" t="str">
        <f>VLOOKUP($B580,DG!A:D,DG!$D$2,)</f>
        <v>cọc</v>
      </c>
      <c r="H580" s="1170">
        <f>H568</f>
        <v>0</v>
      </c>
      <c r="I580" s="1262">
        <f t="shared" si="50"/>
        <v>0</v>
      </c>
      <c r="J580" s="1111"/>
      <c r="K580" s="1111"/>
      <c r="L580" s="1085"/>
      <c r="M580" s="977" t="s">
        <v>1264</v>
      </c>
    </row>
    <row r="581" spans="1:13" s="1086" customFormat="1" ht="25.15" hidden="1" customHeight="1">
      <c r="A581" s="1156">
        <f t="shared" si="49"/>
        <v>0</v>
      </c>
      <c r="B581" s="1332" t="s">
        <v>796</v>
      </c>
      <c r="C581" s="1332"/>
      <c r="D581" s="1113"/>
      <c r="E581" s="1082" t="str">
        <f>VLOOKUP($B581,DG!A:D,DG!$B$2,)</f>
        <v>03.3123</v>
      </c>
      <c r="F581" s="1083" t="str">
        <f>VLOOKUP($B581,DG!A:D,DG!$C$2,)</f>
        <v>Đào rãnh tiếp địa đất cấp 3</v>
      </c>
      <c r="G581" s="1082" t="str">
        <f>VLOOKUP($B581,DG!A:D,DG!$D$2,)</f>
        <v>m3</v>
      </c>
      <c r="H581" s="1170">
        <f>H565*I3</f>
        <v>0</v>
      </c>
      <c r="I581" s="1262">
        <f t="shared" si="50"/>
        <v>0</v>
      </c>
      <c r="J581" s="1111"/>
      <c r="K581" s="1111"/>
      <c r="L581" s="1085"/>
      <c r="M581" s="977" t="s">
        <v>1264</v>
      </c>
    </row>
    <row r="582" spans="1:13" s="1086" customFormat="1" ht="25.15" hidden="1" customHeight="1">
      <c r="A582" s="1156">
        <f t="shared" si="49"/>
        <v>0</v>
      </c>
      <c r="B582" s="1332" t="s">
        <v>800</v>
      </c>
      <c r="C582" s="1332"/>
      <c r="D582" s="1113"/>
      <c r="E582" s="1082" t="str">
        <f>VLOOKUP($B582,DG!A:D,DG!$B$2,)</f>
        <v>03.4123</v>
      </c>
      <c r="F582" s="1083" t="str">
        <f>VLOOKUP($B582,DG!A:D,DG!$C$2,)</f>
        <v>Đắp đất rãnh tiếp độ chặt k=0,85</v>
      </c>
      <c r="G582" s="1082" t="str">
        <f>VLOOKUP($B582,DG!A:D,DG!$D$2,)</f>
        <v>m3</v>
      </c>
      <c r="H582" s="1170">
        <f>H581</f>
        <v>0</v>
      </c>
      <c r="I582" s="1262">
        <f t="shared" si="50"/>
        <v>0</v>
      </c>
      <c r="J582" s="1111"/>
      <c r="K582" s="1111"/>
      <c r="L582" s="1085"/>
      <c r="M582" s="977" t="s">
        <v>1264</v>
      </c>
    </row>
    <row r="583" spans="1:13" s="1086" customFormat="1" ht="25.15" hidden="1" customHeight="1">
      <c r="A583" s="1156">
        <f t="shared" si="49"/>
        <v>0</v>
      </c>
      <c r="B583" s="1327"/>
      <c r="C583" s="1327"/>
      <c r="D583" s="1169">
        <f>IF(H583&gt;0,D565+1,D565)</f>
        <v>0</v>
      </c>
      <c r="E583" s="1212"/>
      <c r="F583" s="1189" t="s">
        <v>3717</v>
      </c>
      <c r="G583" s="1169" t="s">
        <v>2394</v>
      </c>
      <c r="H583" s="1867">
        <f>H541</f>
        <v>0</v>
      </c>
      <c r="I583" s="1262">
        <f t="shared" si="50"/>
        <v>0</v>
      </c>
      <c r="J583" s="1181"/>
      <c r="K583" s="1181"/>
      <c r="L583" s="1085"/>
      <c r="M583" s="977" t="s">
        <v>1264</v>
      </c>
    </row>
    <row r="584" spans="1:13" s="1086" customFormat="1" ht="25.15" hidden="1" customHeight="1">
      <c r="A584" s="1156">
        <f>IF(A583&gt;0,1,0)</f>
        <v>0</v>
      </c>
      <c r="B584" s="1327"/>
      <c r="C584" s="1327"/>
      <c r="D584" s="1169"/>
      <c r="E584" s="1212"/>
      <c r="F584" s="1368" t="s">
        <v>2287</v>
      </c>
      <c r="G584" s="1113"/>
      <c r="H584" s="1170"/>
      <c r="I584" s="1262">
        <f t="shared" si="50"/>
        <v>0</v>
      </c>
      <c r="J584" s="1181"/>
      <c r="K584" s="1181"/>
      <c r="L584" s="1085"/>
      <c r="M584" s="977" t="s">
        <v>1264</v>
      </c>
    </row>
    <row r="585" spans="1:13" s="1086" customFormat="1" ht="25.15" hidden="1" customHeight="1">
      <c r="A585" s="1156">
        <f t="shared" si="49"/>
        <v>0</v>
      </c>
      <c r="B585" s="1334" t="s">
        <v>1028</v>
      </c>
      <c r="C585" s="1334"/>
      <c r="D585" s="1113"/>
      <c r="E585" s="1082" t="str">
        <f>VLOOKUP($B585,DG!A:D,DG!$B$2,)</f>
        <v>05.1102</v>
      </c>
      <c r="F585" s="1083" t="str">
        <f>VLOOKUP($B585,DG!A:D,DG!$C$2,)</f>
        <v>Vỏ tủ + khóa tủ</v>
      </c>
      <c r="G585" s="1082" t="str">
        <f>VLOOKUP($B585,DG!A:D,DG!$D$2,)</f>
        <v>cái</v>
      </c>
      <c r="H585" s="1170">
        <f>H583</f>
        <v>0</v>
      </c>
      <c r="I585" s="1262">
        <f t="shared" si="50"/>
        <v>0</v>
      </c>
      <c r="J585" s="1111"/>
      <c r="K585" s="1111"/>
      <c r="L585" s="1085"/>
      <c r="M585" s="977" t="s">
        <v>1264</v>
      </c>
    </row>
    <row r="586" spans="1:13" s="1086" customFormat="1" ht="25.15" hidden="1" customHeight="1">
      <c r="A586" s="1156">
        <f t="shared" si="49"/>
        <v>0</v>
      </c>
      <c r="B586" s="1327" t="s">
        <v>881</v>
      </c>
      <c r="C586" s="1327"/>
      <c r="D586" s="1113"/>
      <c r="E586" s="1082" t="str">
        <f>VLOOKUP($B586,DG!A:D,DG!$B$2,)</f>
        <v>06.3231</v>
      </c>
      <c r="F586" s="1083" t="str">
        <f>VLOOKUP($B586,DG!A:D,DG!$C$2,)</f>
        <v>Cổ dê bắt tủ</v>
      </c>
      <c r="G586" s="1082" t="str">
        <f>VLOOKUP($B586,DG!A:D,DG!$D$2,)</f>
        <v>bộ</v>
      </c>
      <c r="H586" s="1170">
        <f>H583*2</f>
        <v>0</v>
      </c>
      <c r="I586" s="1262">
        <f t="shared" si="50"/>
        <v>0</v>
      </c>
      <c r="J586" s="1111"/>
      <c r="K586" s="1111"/>
      <c r="L586" s="1085"/>
      <c r="M586" s="977" t="s">
        <v>1264</v>
      </c>
    </row>
    <row r="587" spans="1:13" s="1086" customFormat="1" ht="25.15" hidden="1" customHeight="1">
      <c r="A587" s="1156">
        <f t="shared" si="49"/>
        <v>0</v>
      </c>
      <c r="B587" s="1327" t="s">
        <v>1132</v>
      </c>
      <c r="C587" s="1327"/>
      <c r="D587" s="1113"/>
      <c r="E587" s="1082" t="str">
        <f>VLOOKUP($B587,DG!A:D,DG!$B$2,)</f>
        <v>06.2110</v>
      </c>
      <c r="F587" s="1083" t="str">
        <f>VLOOKUP($B587,DG!A:D,DG!$C$2,)</f>
        <v>Lắp cổ dề</v>
      </c>
      <c r="G587" s="1082" t="str">
        <f>VLOOKUP($B587,DG!A:D,DG!$D$2,)</f>
        <v>bộ</v>
      </c>
      <c r="H587" s="1170">
        <f>H583*2</f>
        <v>0</v>
      </c>
      <c r="I587" s="1262">
        <f t="shared" si="50"/>
        <v>0</v>
      </c>
      <c r="J587" s="1111"/>
      <c r="K587" s="1111"/>
      <c r="L587" s="1085"/>
      <c r="M587" s="977" t="s">
        <v>1264</v>
      </c>
    </row>
    <row r="588" spans="1:13" s="1086" customFormat="1" ht="25.15" hidden="1" customHeight="1">
      <c r="A588" s="1156">
        <f t="shared" si="49"/>
        <v>0</v>
      </c>
      <c r="B588" s="1327" t="s">
        <v>138</v>
      </c>
      <c r="C588" s="1327"/>
      <c r="D588" s="1113"/>
      <c r="E588" s="1082">
        <f>VLOOKUP($B588,DG!A:D,DG!$B$2,)</f>
        <v>0</v>
      </c>
      <c r="F588" s="1083" t="str">
        <f>VLOOKUP($B588,DG!A:D,DG!$C$2,)</f>
        <v>Boulon 12x40+ 2 long đền vuông D14-50x50x3/Zn</v>
      </c>
      <c r="G588" s="1082" t="str">
        <f>VLOOKUP($B588,DG!A:D,DG!$D$2,)</f>
        <v>bộ</v>
      </c>
      <c r="H588" s="1170">
        <f>H583*4*0</f>
        <v>0</v>
      </c>
      <c r="I588" s="1262">
        <f t="shared" si="50"/>
        <v>0</v>
      </c>
      <c r="J588" s="1111"/>
      <c r="K588" s="1111"/>
      <c r="L588" s="1085"/>
      <c r="M588" s="977" t="s">
        <v>1264</v>
      </c>
    </row>
    <row r="589" spans="1:13" s="1086" customFormat="1" ht="25.15" hidden="1" customHeight="1">
      <c r="A589" s="1156">
        <f t="shared" si="49"/>
        <v>0</v>
      </c>
      <c r="B589" s="1327" t="s">
        <v>882</v>
      </c>
      <c r="C589" s="1327"/>
      <c r="D589" s="1113"/>
      <c r="E589" s="1082">
        <f>VLOOKUP($B589,DG!A:D,DG!$B$2,)</f>
        <v>0</v>
      </c>
      <c r="F589" s="1083" t="str">
        <f>VLOOKUP($B589,DG!A:D,DG!$C$2,)</f>
        <v xml:space="preserve">Bakelit 550x450 dầy 10mm </v>
      </c>
      <c r="G589" s="1082" t="str">
        <f>VLOOKUP($B589,DG!A:D,DG!$D$2,)</f>
        <v>cái</v>
      </c>
      <c r="H589" s="1170">
        <f>H583*2</f>
        <v>0</v>
      </c>
      <c r="I589" s="1262">
        <f t="shared" si="50"/>
        <v>0</v>
      </c>
      <c r="J589" s="1111"/>
      <c r="K589" s="1111"/>
      <c r="L589" s="1085"/>
      <c r="M589" s="977" t="s">
        <v>1264</v>
      </c>
    </row>
    <row r="590" spans="1:13" s="1086" customFormat="1" ht="25.15" hidden="1" customHeight="1">
      <c r="A590" s="1156">
        <f t="shared" si="49"/>
        <v>0</v>
      </c>
      <c r="B590" s="1327"/>
      <c r="C590" s="1327"/>
      <c r="D590" s="1169">
        <f>IF(H590&gt;0,D583+1,D583)</f>
        <v>0</v>
      </c>
      <c r="E590" s="1212"/>
      <c r="F590" s="1200" t="s">
        <v>3718</v>
      </c>
      <c r="G590" s="1169" t="s">
        <v>2394</v>
      </c>
      <c r="H590" s="1867">
        <f>H541</f>
        <v>0</v>
      </c>
      <c r="I590" s="1262">
        <f t="shared" si="50"/>
        <v>0</v>
      </c>
      <c r="J590" s="1181"/>
      <c r="K590" s="1181"/>
      <c r="L590" s="1085"/>
      <c r="M590" s="977" t="s">
        <v>1264</v>
      </c>
    </row>
    <row r="591" spans="1:13" s="1086" customFormat="1" ht="25.15" hidden="1" customHeight="1">
      <c r="A591" s="1156">
        <f>IF(A590&gt;0,1,0)</f>
        <v>0</v>
      </c>
      <c r="B591" s="1327"/>
      <c r="C591" s="1327"/>
      <c r="D591" s="1169"/>
      <c r="E591" s="1212"/>
      <c r="F591" s="1368" t="s">
        <v>2287</v>
      </c>
      <c r="G591" s="1113"/>
      <c r="H591" s="1170"/>
      <c r="I591" s="1262">
        <f t="shared" si="50"/>
        <v>0</v>
      </c>
      <c r="J591" s="1181"/>
      <c r="K591" s="1181"/>
      <c r="L591" s="1085"/>
      <c r="M591" s="977" t="s">
        <v>1264</v>
      </c>
    </row>
    <row r="592" spans="1:13" s="1086" customFormat="1" ht="25.15" hidden="1" customHeight="1">
      <c r="A592" s="1156">
        <f t="shared" si="49"/>
        <v>0</v>
      </c>
      <c r="B592" s="1157" t="s">
        <v>699</v>
      </c>
      <c r="C592" s="1157"/>
      <c r="D592" s="1113"/>
      <c r="E592" s="1082">
        <f>VLOOKUP($B592,DG!A:D,DG!$B$2,)</f>
        <v>0</v>
      </c>
      <c r="F592" s="1083" t="str">
        <f>VLOOKUP($B592,DG!A:D,DG!$C$2,)&amp;": 3m/pha"</f>
        <v>Cáp 24KV CX-25mm2: 3m/pha</v>
      </c>
      <c r="G592" s="1082" t="str">
        <f>VLOOKUP($B592,DG!A:D,DG!$D$2,)</f>
        <v>mét</v>
      </c>
      <c r="H592" s="1170">
        <f>H590*3*3</f>
        <v>0</v>
      </c>
      <c r="I592" s="1262">
        <f t="shared" si="50"/>
        <v>0</v>
      </c>
      <c r="J592" s="1111"/>
      <c r="K592" s="1111"/>
      <c r="L592" s="1085"/>
      <c r="M592" s="977" t="s">
        <v>1264</v>
      </c>
    </row>
    <row r="593" spans="1:13" s="1086" customFormat="1" ht="25.15" hidden="1" customHeight="1">
      <c r="A593" s="1156">
        <f t="shared" si="49"/>
        <v>0</v>
      </c>
      <c r="B593" s="1157" t="s">
        <v>1484</v>
      </c>
      <c r="C593" s="1157"/>
      <c r="D593" s="1113"/>
      <c r="E593" s="1082" t="str">
        <f>VLOOKUP($B593,DG!A:D,DG!$B$2,)</f>
        <v>04.3007</v>
      </c>
      <c r="F593" s="1083" t="str">
        <f>VLOOKUP($B593,DG!A:D,DG!$C$2,)</f>
        <v>Kẹp quai 2/0</v>
      </c>
      <c r="G593" s="1082" t="str">
        <f>VLOOKUP($B593,DG!A:D,DG!$D$2,)</f>
        <v>cái</v>
      </c>
      <c r="H593" s="1170">
        <f>3*H590</f>
        <v>0</v>
      </c>
      <c r="I593" s="1262">
        <f t="shared" si="50"/>
        <v>0</v>
      </c>
      <c r="J593" s="1111"/>
      <c r="K593" s="1111"/>
      <c r="L593" s="1085"/>
      <c r="M593" s="977" t="s">
        <v>1264</v>
      </c>
    </row>
    <row r="594" spans="1:13" s="1086" customFormat="1" ht="25.15" hidden="1" customHeight="1">
      <c r="A594" s="1156">
        <f t="shared" si="49"/>
        <v>0</v>
      </c>
      <c r="B594" s="1157" t="s">
        <v>1482</v>
      </c>
      <c r="C594" s="1157"/>
      <c r="D594" s="1113"/>
      <c r="E594" s="1082" t="str">
        <f>VLOOKUP($B594,DG!A:D,DG!$B$2,)</f>
        <v>04.3007</v>
      </c>
      <c r="F594" s="1083" t="str">
        <f>VLOOKUP($B594,DG!A:D,DG!$C$2,)</f>
        <v>Kẹp hotline 2/0</v>
      </c>
      <c r="G594" s="1082" t="str">
        <f>VLOOKUP($B594,DG!A:D,DG!$D$2,)</f>
        <v>cái</v>
      </c>
      <c r="H594" s="1170">
        <f>3*H590</f>
        <v>0</v>
      </c>
      <c r="I594" s="1262">
        <f t="shared" si="50"/>
        <v>0</v>
      </c>
      <c r="J594" s="1111"/>
      <c r="K594" s="1111"/>
      <c r="L594" s="1085"/>
      <c r="M594" s="977" t="s">
        <v>1264</v>
      </c>
    </row>
    <row r="595" spans="1:13" s="1086" customFormat="1" ht="25.15" hidden="1" customHeight="1">
      <c r="A595" s="1156">
        <f t="shared" si="49"/>
        <v>0</v>
      </c>
      <c r="B595" s="1327"/>
      <c r="C595" s="1327"/>
      <c r="D595" s="1169">
        <f>IF(H595&gt;0,D590+1,D590)</f>
        <v>0</v>
      </c>
      <c r="E595" s="1212"/>
      <c r="F595" s="1189" t="s">
        <v>3719</v>
      </c>
      <c r="G595" s="1169" t="s">
        <v>2394</v>
      </c>
      <c r="H595" s="1867">
        <f>H533/3</f>
        <v>0</v>
      </c>
      <c r="I595" s="1262">
        <f t="shared" si="50"/>
        <v>0</v>
      </c>
      <c r="J595" s="1181"/>
      <c r="K595" s="1181"/>
      <c r="L595" s="1085"/>
      <c r="M595" s="977" t="s">
        <v>1264</v>
      </c>
    </row>
    <row r="596" spans="1:13" s="1086" customFormat="1" ht="25.15" hidden="1" customHeight="1">
      <c r="A596" s="1156">
        <f>IF(A595&gt;0,1,0)</f>
        <v>0</v>
      </c>
      <c r="B596" s="1327"/>
      <c r="C596" s="1327"/>
      <c r="D596" s="1169"/>
      <c r="E596" s="1212"/>
      <c r="F596" s="1368" t="s">
        <v>2287</v>
      </c>
      <c r="G596" s="1113"/>
      <c r="H596" s="1170"/>
      <c r="I596" s="1262">
        <f t="shared" si="50"/>
        <v>0</v>
      </c>
      <c r="J596" s="1181"/>
      <c r="K596" s="1181"/>
      <c r="L596" s="1085"/>
      <c r="M596" s="977" t="s">
        <v>1264</v>
      </c>
    </row>
    <row r="597" spans="1:13" s="1086" customFormat="1" ht="25.15" hidden="1" customHeight="1">
      <c r="A597" s="1156">
        <f t="shared" si="49"/>
        <v>0</v>
      </c>
      <c r="B597" s="1327" t="s">
        <v>82</v>
      </c>
      <c r="C597" s="1327"/>
      <c r="D597" s="1113"/>
      <c r="E597" s="1082">
        <f>VLOOKUP($B597,DG!A:D,DG!$B$2,)</f>
        <v>0</v>
      </c>
      <c r="F597" s="1083" t="str">
        <f>VLOOKUP($B597,DG!A:D,DG!$C$2,)&amp;": 9m/pha"</f>
        <v>Cáp đồng bọc CV50: 9m/pha</v>
      </c>
      <c r="G597" s="1082" t="str">
        <f>VLOOKUP($B597,DG!A:D,DG!$D$2,)</f>
        <v>mét</v>
      </c>
      <c r="H597" s="1170">
        <f>3*9*H595</f>
        <v>0</v>
      </c>
      <c r="I597" s="1262">
        <f t="shared" si="50"/>
        <v>0</v>
      </c>
      <c r="J597" s="1111"/>
      <c r="K597" s="1111"/>
      <c r="L597" s="1085"/>
      <c r="M597" s="977" t="s">
        <v>1264</v>
      </c>
    </row>
    <row r="598" spans="1:13" s="1086" customFormat="1" ht="25.15" hidden="1" customHeight="1">
      <c r="A598" s="1156">
        <f t="shared" si="49"/>
        <v>0</v>
      </c>
      <c r="B598" s="1327" t="s">
        <v>82</v>
      </c>
      <c r="C598" s="1327"/>
      <c r="D598" s="1113"/>
      <c r="E598" s="1082">
        <f>VLOOKUP($B598,DG!A:D,DG!$B$2,)</f>
        <v>0</v>
      </c>
      <c r="F598" s="1083" t="str">
        <f>VLOOKUP($B598,DG!A:D,DG!$C$2,)&amp;": 9m/trung tinh"</f>
        <v>Cáp đồng bọc CV50: 9m/trung tinh</v>
      </c>
      <c r="G598" s="1082" t="str">
        <f>VLOOKUP($B598,DG!A:D,DG!$D$2,)</f>
        <v>mét</v>
      </c>
      <c r="H598" s="1170">
        <f>9*H595</f>
        <v>0</v>
      </c>
      <c r="I598" s="1262">
        <f t="shared" si="50"/>
        <v>0</v>
      </c>
      <c r="J598" s="1111"/>
      <c r="K598" s="1111"/>
      <c r="L598" s="1085"/>
      <c r="M598" s="977" t="s">
        <v>1264</v>
      </c>
    </row>
    <row r="599" spans="1:13" s="1086" customFormat="1" ht="25.15" hidden="1" customHeight="1">
      <c r="A599" s="1156">
        <f t="shared" si="49"/>
        <v>0</v>
      </c>
      <c r="B599" s="1327" t="s">
        <v>1071</v>
      </c>
      <c r="C599" s="1327"/>
      <c r="D599" s="1113"/>
      <c r="E599" s="1082" t="str">
        <f>VLOOKUP($B599,DG!A:D,DG!$B$2,)</f>
        <v>03.1401</v>
      </c>
      <c r="F599" s="1083" t="str">
        <f>VLOOKUP($B599,DG!A:D,DG!$C$2,)&amp;": ñaáu noái ño ñeám"</f>
        <v>Cáp CVV 4x2,5mm2  : ñaáu noái ño ñeám</v>
      </c>
      <c r="G599" s="1082" t="str">
        <f>VLOOKUP($B599,DG!A:D,DG!$D$2,)</f>
        <v>mét</v>
      </c>
      <c r="H599" s="1170">
        <f>4*H595</f>
        <v>0</v>
      </c>
      <c r="I599" s="1262">
        <f t="shared" si="50"/>
        <v>0</v>
      </c>
      <c r="J599" s="1111"/>
      <c r="K599" s="1111"/>
      <c r="L599" s="1085"/>
      <c r="M599" s="977" t="s">
        <v>1264</v>
      </c>
    </row>
    <row r="600" spans="1:13" s="1086" customFormat="1" ht="25.15" hidden="1" customHeight="1">
      <c r="A600" s="1156">
        <f t="shared" si="49"/>
        <v>0</v>
      </c>
      <c r="B600" s="1332" t="s">
        <v>1307</v>
      </c>
      <c r="C600" s="1332"/>
      <c r="D600" s="1113"/>
      <c r="E600" s="1082" t="str">
        <f>VLOOKUP($B600,DG!A:D,DG!$B$2,)</f>
        <v>03.4002</v>
      </c>
      <c r="F600" s="1083" t="str">
        <f>VLOOKUP($B600,DG!A:D,DG!$C$2,)</f>
        <v>Đầu cosse ép Cu 50mm2</v>
      </c>
      <c r="G600" s="1082" t="str">
        <f>VLOOKUP($B600,DG!A:D,DG!$D$2,)</f>
        <v>cái</v>
      </c>
      <c r="H600" s="1170">
        <f>3*H595</f>
        <v>0</v>
      </c>
      <c r="I600" s="1262">
        <f t="shared" si="50"/>
        <v>0</v>
      </c>
      <c r="J600" s="1111"/>
      <c r="K600" s="1111"/>
      <c r="L600" s="1085"/>
      <c r="M600" s="977" t="s">
        <v>1264</v>
      </c>
    </row>
    <row r="601" spans="1:13" s="1086" customFormat="1" ht="25.15" hidden="1" customHeight="1">
      <c r="A601" s="1156">
        <f t="shared" si="49"/>
        <v>0</v>
      </c>
      <c r="B601" s="1332" t="s">
        <v>104</v>
      </c>
      <c r="C601" s="1332"/>
      <c r="D601" s="1113"/>
      <c r="E601" s="1082" t="str">
        <f>VLOOKUP($B601,DG!A:D,DG!$B$2,)</f>
        <v>03.4001</v>
      </c>
      <c r="F601" s="1083" t="str">
        <f>VLOOKUP($B601,DG!A:D,DG!$C$2,)</f>
        <v>Đầu cosse ép Cu 25mm2</v>
      </c>
      <c r="G601" s="1082" t="str">
        <f>VLOOKUP($B601,DG!A:D,DG!$D$2,)</f>
        <v>cái</v>
      </c>
      <c r="H601" s="1170">
        <f>4*H595*0</f>
        <v>0</v>
      </c>
      <c r="I601" s="1262">
        <f t="shared" si="50"/>
        <v>0</v>
      </c>
      <c r="J601" s="1111"/>
      <c r="K601" s="1111"/>
      <c r="L601" s="1085"/>
      <c r="M601" s="977" t="s">
        <v>1264</v>
      </c>
    </row>
    <row r="602" spans="1:13" s="1086" customFormat="1" ht="25.15" hidden="1" customHeight="1">
      <c r="A602" s="1156">
        <f t="shared" si="49"/>
        <v>0</v>
      </c>
      <c r="B602" s="1332" t="s">
        <v>2159</v>
      </c>
      <c r="C602" s="1332"/>
      <c r="D602" s="1113"/>
      <c r="E602" s="1082">
        <f>VLOOKUP($B602,DG!A:D,DG!$B$2,)</f>
        <v>0</v>
      </c>
      <c r="F602" s="1083" t="str">
        <f>VLOOKUP($B602,DG!A:D,DG!$C$2,)</f>
        <v>Chụp đầu cosse  50mm2</v>
      </c>
      <c r="G602" s="1082" t="str">
        <f>VLOOKUP($B602,DG!A:D,DG!$D$2,)</f>
        <v>cái</v>
      </c>
      <c r="H602" s="1170">
        <f>H600</f>
        <v>0</v>
      </c>
      <c r="I602" s="1262">
        <f t="shared" si="50"/>
        <v>0</v>
      </c>
      <c r="J602" s="1111"/>
      <c r="K602" s="1111"/>
      <c r="L602" s="1085"/>
      <c r="M602" s="977" t="s">
        <v>1264</v>
      </c>
    </row>
    <row r="603" spans="1:13" s="1086" customFormat="1" ht="25.15" hidden="1" customHeight="1">
      <c r="A603" s="1156">
        <f t="shared" si="49"/>
        <v>0</v>
      </c>
      <c r="B603" s="1332" t="s">
        <v>1922</v>
      </c>
      <c r="C603" s="1332"/>
      <c r="D603" s="1113"/>
      <c r="E603" s="1082">
        <f>VLOOKUP($B603,DG!A:D,DG!$B$2,)</f>
        <v>0</v>
      </c>
      <c r="F603" s="1083" t="str">
        <f>VLOOKUP($B603,DG!A:D,DG!$C$2,)</f>
        <v>Chụp đầu cosse  25mm2</v>
      </c>
      <c r="G603" s="1082" t="str">
        <f>VLOOKUP($B603,DG!A:D,DG!$D$2,)</f>
        <v>cái</v>
      </c>
      <c r="H603" s="1170">
        <f>H601</f>
        <v>0</v>
      </c>
      <c r="I603" s="1262">
        <f t="shared" si="50"/>
        <v>0</v>
      </c>
      <c r="J603" s="1111"/>
      <c r="K603" s="1111"/>
      <c r="L603" s="1085"/>
      <c r="M603" s="977" t="s">
        <v>1264</v>
      </c>
    </row>
    <row r="604" spans="1:13" s="1086" customFormat="1" ht="25.15" hidden="1" customHeight="1">
      <c r="A604" s="1156">
        <f t="shared" si="49"/>
        <v>0</v>
      </c>
      <c r="B604" s="1327" t="s">
        <v>282</v>
      </c>
      <c r="C604" s="1327"/>
      <c r="D604" s="1113"/>
      <c r="E604" s="1082" t="str">
        <f>VLOOKUP($B604,DG!A:D,DG!$B$2,)</f>
        <v>04.8003</v>
      </c>
      <c r="F604" s="1083" t="str">
        <f>VLOOKUP($B604,DG!A:D,DG!$C$2,)</f>
        <v xml:space="preserve">Ống PVC D90x3,8mm </v>
      </c>
      <c r="G604" s="1082" t="str">
        <f>VLOOKUP($B604,DG!A:D,DG!$D$2,)</f>
        <v>m</v>
      </c>
      <c r="H604" s="1170">
        <f>8*H595</f>
        <v>0</v>
      </c>
      <c r="I604" s="1262">
        <f t="shared" si="50"/>
        <v>0</v>
      </c>
      <c r="J604" s="1111"/>
      <c r="K604" s="1111"/>
      <c r="L604" s="1085"/>
      <c r="M604" s="977" t="s">
        <v>1264</v>
      </c>
    </row>
    <row r="605" spans="1:13" s="1086" customFormat="1" ht="25.15" hidden="1" customHeight="1">
      <c r="A605" s="1156">
        <f t="shared" si="49"/>
        <v>0</v>
      </c>
      <c r="B605" s="1157" t="s">
        <v>1996</v>
      </c>
      <c r="C605" s="1157"/>
      <c r="D605" s="1113"/>
      <c r="E605" s="1082" t="str">
        <f>VLOOKUP($B605,DG!A:D,DG!$B$2,)</f>
        <v>06.3231</v>
      </c>
      <c r="F605" s="1083" t="str">
        <f>VLOOKUP($B605,DG!A:D,DG!$C$2,)</f>
        <v>Cổ dê kẹp ống PVC Ø 90</v>
      </c>
      <c r="G605" s="1082" t="str">
        <f>VLOOKUP($B605,DG!A:D,DG!$D$2,)</f>
        <v>bộ</v>
      </c>
      <c r="H605" s="1170">
        <f>3*H595</f>
        <v>0</v>
      </c>
      <c r="I605" s="1262">
        <f t="shared" si="50"/>
        <v>0</v>
      </c>
      <c r="J605" s="1111"/>
      <c r="K605" s="1111"/>
      <c r="L605" s="1085"/>
      <c r="M605" s="977" t="s">
        <v>1264</v>
      </c>
    </row>
    <row r="606" spans="1:13" s="1086" customFormat="1" ht="25.15" hidden="1" customHeight="1">
      <c r="A606" s="1156">
        <f t="shared" si="49"/>
        <v>0</v>
      </c>
      <c r="B606" s="1157" t="s">
        <v>1996</v>
      </c>
      <c r="C606" s="1157"/>
      <c r="D606" s="1113"/>
      <c r="E606" s="1082" t="str">
        <f>VLOOKUP($B606,DG!A:D,DG!$B$2,)</f>
        <v>06.3231</v>
      </c>
      <c r="F606" s="1083" t="str">
        <f>VLOOKUP($B606,DG!A:D,DG!$C$2,)&amp;": CD-280-1 cái"</f>
        <v>Cổ dê kẹp ống PVC Ø 90: CD-280-1 cái</v>
      </c>
      <c r="G606" s="1082" t="str">
        <f>VLOOKUP($B606,DG!A:D,DG!$D$2,)</f>
        <v>bộ</v>
      </c>
      <c r="H606" s="1170">
        <f>H595*1.031*0</f>
        <v>0</v>
      </c>
      <c r="I606" s="1262">
        <f t="shared" si="50"/>
        <v>0</v>
      </c>
      <c r="J606" s="1111"/>
      <c r="K606" s="1111"/>
      <c r="L606" s="1085"/>
      <c r="M606" s="977" t="s">
        <v>1264</v>
      </c>
    </row>
    <row r="607" spans="1:13" s="1086" customFormat="1" ht="25.15" hidden="1" customHeight="1">
      <c r="A607" s="1156">
        <f t="shared" si="49"/>
        <v>0</v>
      </c>
      <c r="B607" s="1157" t="s">
        <v>1996</v>
      </c>
      <c r="C607" s="1157"/>
      <c r="D607" s="1113"/>
      <c r="E607" s="1082" t="str">
        <f>VLOOKUP($B607,DG!A:D,DG!$B$2,)</f>
        <v>06.3231</v>
      </c>
      <c r="F607" s="1083" t="str">
        <f>VLOOKUP($B607,DG!A:D,DG!$C$2,)&amp;": CD-320 1 cái"</f>
        <v>Cổ dê kẹp ống PVC Ø 90: CD-320 1 cái</v>
      </c>
      <c r="G607" s="1082" t="str">
        <f>VLOOKUP($B607,DG!A:D,DG!$D$2,)</f>
        <v>bộ</v>
      </c>
      <c r="H607" s="1170">
        <f>H595*1.12*0</f>
        <v>0</v>
      </c>
      <c r="I607" s="1262">
        <f t="shared" si="50"/>
        <v>0</v>
      </c>
      <c r="J607" s="1111"/>
      <c r="K607" s="1111"/>
      <c r="L607" s="1085"/>
      <c r="M607" s="977" t="s">
        <v>1264</v>
      </c>
    </row>
    <row r="608" spans="1:13" s="1086" customFormat="1" ht="25.15" hidden="1" customHeight="1">
      <c r="A608" s="1156">
        <f t="shared" si="49"/>
        <v>0</v>
      </c>
      <c r="B608" s="1157" t="s">
        <v>1133</v>
      </c>
      <c r="C608" s="1157"/>
      <c r="D608" s="1113"/>
      <c r="E608" s="1082" t="str">
        <f>VLOOKUP($B608,DG!A:D,DG!$B$2,)</f>
        <v>06.2110</v>
      </c>
      <c r="F608" s="1083" t="str">
        <f>VLOOKUP($B608,DG!A:D,DG!$C$2,)</f>
        <v>Lắp cổ dề</v>
      </c>
      <c r="G608" s="1082" t="str">
        <f>VLOOKUP($B608,DG!A:D,DG!$D$2,)</f>
        <v>bộ</v>
      </c>
      <c r="H608" s="1170">
        <f>H605</f>
        <v>0</v>
      </c>
      <c r="I608" s="1262">
        <f t="shared" si="50"/>
        <v>0</v>
      </c>
      <c r="J608" s="1111"/>
      <c r="K608" s="1111"/>
      <c r="L608" s="1085"/>
      <c r="M608" s="977" t="s">
        <v>1264</v>
      </c>
    </row>
    <row r="609" spans="1:13" s="1086" customFormat="1" ht="25.15" hidden="1" customHeight="1">
      <c r="A609" s="1156">
        <f t="shared" ref="A609:A670" si="51">IF(I609&gt;0,1,0)</f>
        <v>0</v>
      </c>
      <c r="B609" s="1157" t="s">
        <v>138</v>
      </c>
      <c r="C609" s="1157"/>
      <c r="D609" s="1113"/>
      <c r="E609" s="1082">
        <f>VLOOKUP($B609,DG!A:D,DG!$B$2,)</f>
        <v>0</v>
      </c>
      <c r="F609" s="1083" t="str">
        <f>VLOOKUP($B609,DG!A:D,DG!$C$2,)&amp;": CD-250"</f>
        <v>Boulon 12x40+ 2 long đền vuông D14-50x50x3/Zn: CD-250</v>
      </c>
      <c r="G609" s="1082" t="str">
        <f>VLOOKUP($B609,DG!A:D,DG!$D$2,)</f>
        <v>bộ</v>
      </c>
      <c r="H609" s="1170">
        <f>H595*7*0</f>
        <v>0</v>
      </c>
      <c r="I609" s="1262">
        <f t="shared" si="50"/>
        <v>0</v>
      </c>
      <c r="J609" s="1111"/>
      <c r="K609" s="1111"/>
      <c r="L609" s="1085"/>
      <c r="M609" s="977" t="s">
        <v>1264</v>
      </c>
    </row>
    <row r="610" spans="1:13" s="1086" customFormat="1" ht="25.15" hidden="1" customHeight="1">
      <c r="A610" s="1156">
        <f t="shared" si="51"/>
        <v>0</v>
      </c>
      <c r="B610" s="1327" t="s">
        <v>70</v>
      </c>
      <c r="C610" s="1327"/>
      <c r="D610" s="1113"/>
      <c r="E610" s="1082">
        <f>VLOOKUP($B610,DG!A:D,DG!$B$2,)</f>
        <v>0</v>
      </c>
      <c r="F610" s="1083" t="str">
        <f>VLOOKUP($B610,DG!A:D,DG!$C$2,)</f>
        <v>Co  90 độ PVC 90</v>
      </c>
      <c r="G610" s="1082" t="str">
        <f>VLOOKUP($B610,DG!A:D,DG!$D$2,)</f>
        <v>cái</v>
      </c>
      <c r="H610" s="1170">
        <f>2*H595</f>
        <v>0</v>
      </c>
      <c r="I610" s="1262">
        <f t="shared" si="50"/>
        <v>0</v>
      </c>
      <c r="J610" s="1111"/>
      <c r="K610" s="1111"/>
      <c r="L610" s="1085"/>
      <c r="M610" s="977" t="s">
        <v>1264</v>
      </c>
    </row>
    <row r="611" spans="1:13" s="1086" customFormat="1" ht="25.15" hidden="1" customHeight="1">
      <c r="A611" s="1156">
        <f t="shared" si="51"/>
        <v>0</v>
      </c>
      <c r="B611" s="1327" t="s">
        <v>2161</v>
      </c>
      <c r="C611" s="1327"/>
      <c r="D611" s="1113"/>
      <c r="E611" s="1082">
        <f>VLOOKUP($B611,DG!A:D,DG!$B$2,)</f>
        <v>0</v>
      </c>
      <c r="F611" s="1083" t="str">
        <f>VLOOKUP($B611,DG!A:D,DG!$C$2,)</f>
        <v>Khâu ven răng trong D90</v>
      </c>
      <c r="G611" s="1082" t="str">
        <f>VLOOKUP($B611,DG!A:D,DG!$D$2,)</f>
        <v>cái</v>
      </c>
      <c r="H611" s="1170">
        <f>H595</f>
        <v>0</v>
      </c>
      <c r="I611" s="1262">
        <f t="shared" si="50"/>
        <v>0</v>
      </c>
      <c r="J611" s="1111"/>
      <c r="K611" s="1111"/>
      <c r="L611" s="1085"/>
      <c r="M611" s="977" t="s">
        <v>1264</v>
      </c>
    </row>
    <row r="612" spans="1:13" s="1086" customFormat="1" ht="25.15" hidden="1" customHeight="1">
      <c r="A612" s="1156">
        <f t="shared" si="51"/>
        <v>0</v>
      </c>
      <c r="B612" s="1327" t="s">
        <v>2162</v>
      </c>
      <c r="C612" s="1327"/>
      <c r="D612" s="1113"/>
      <c r="E612" s="1082">
        <f>VLOOKUP($B612,DG!A:D,DG!$B$2,)</f>
        <v>0</v>
      </c>
      <c r="F612" s="1083" t="str">
        <f>VLOOKUP($B612,DG!A:D,DG!$C$2,)</f>
        <v>Khâu ven răng ngoài D90</v>
      </c>
      <c r="G612" s="1082" t="str">
        <f>VLOOKUP($B612,DG!A:D,DG!$D$2,)</f>
        <v>cái</v>
      </c>
      <c r="H612" s="1170">
        <f>H611</f>
        <v>0</v>
      </c>
      <c r="I612" s="1262">
        <f t="shared" si="50"/>
        <v>0</v>
      </c>
      <c r="J612" s="1111"/>
      <c r="K612" s="1111"/>
      <c r="L612" s="1085"/>
      <c r="M612" s="977" t="s">
        <v>1264</v>
      </c>
    </row>
    <row r="613" spans="1:13" s="1086" customFormat="1" ht="25.15" hidden="1" customHeight="1">
      <c r="A613" s="1156">
        <f t="shared" si="51"/>
        <v>0</v>
      </c>
      <c r="B613" s="1327" t="s">
        <v>419</v>
      </c>
      <c r="C613" s="1327"/>
      <c r="D613" s="1113"/>
      <c r="E613" s="1082">
        <f>VLOOKUP($B613,DG!A:D,DG!$B$2,)</f>
        <v>0</v>
      </c>
      <c r="F613" s="1083" t="str">
        <f>VLOOKUP($B613,DG!A:D,DG!$C$2,)</f>
        <v>Keo dán ống PVC (100gr)</v>
      </c>
      <c r="G613" s="1082" t="str">
        <f>VLOOKUP($B613,DG!A:D,DG!$D$2,)</f>
        <v>tuýp</v>
      </c>
      <c r="H613" s="1170">
        <f>H595</f>
        <v>0</v>
      </c>
      <c r="I613" s="1262">
        <f t="shared" si="50"/>
        <v>0</v>
      </c>
      <c r="J613" s="1111"/>
      <c r="K613" s="1111"/>
      <c r="L613" s="1085"/>
      <c r="M613" s="977" t="s">
        <v>1264</v>
      </c>
    </row>
    <row r="614" spans="1:13" s="1086" customFormat="1" ht="25.15" hidden="1" customHeight="1">
      <c r="A614" s="1156">
        <f t="shared" si="51"/>
        <v>0</v>
      </c>
      <c r="B614" s="1327" t="s">
        <v>1181</v>
      </c>
      <c r="C614" s="1327"/>
      <c r="D614" s="1113"/>
      <c r="E614" s="1082">
        <f>VLOOKUP($B614,DG!A:D,DG!$B$2,)</f>
        <v>0</v>
      </c>
      <c r="F614" s="1083" t="str">
        <f>VLOOKUP($B614,DG!A:D,DG!$C$2,)</f>
        <v>Keo silicon bít miệng ống</v>
      </c>
      <c r="G614" s="1082" t="str">
        <f>VLOOKUP($B614,DG!A:D,DG!$D$2,)</f>
        <v>ống</v>
      </c>
      <c r="H614" s="1170">
        <f>H595</f>
        <v>0</v>
      </c>
      <c r="I614" s="1262">
        <f t="shared" si="50"/>
        <v>0</v>
      </c>
      <c r="J614" s="1111"/>
      <c r="K614" s="1111"/>
      <c r="L614" s="1085"/>
      <c r="M614" s="977" t="s">
        <v>1264</v>
      </c>
    </row>
    <row r="615" spans="1:13" s="1086" customFormat="1" ht="25.15" hidden="1" customHeight="1">
      <c r="A615" s="1156">
        <f t="shared" si="51"/>
        <v>0</v>
      </c>
      <c r="B615" s="1157" t="s">
        <v>672</v>
      </c>
      <c r="C615" s="1157"/>
      <c r="D615" s="1113"/>
      <c r="E615" s="1082">
        <f>VLOOKUP($B615,DG!A:D,DG!$B$2,)</f>
        <v>0</v>
      </c>
      <c r="F615" s="1083" t="str">
        <f>VLOOKUP($B615,DG!A:D,DG!$C$2,)</f>
        <v>Băng keo cách điện</v>
      </c>
      <c r="G615" s="1082" t="str">
        <f>VLOOKUP($B615,DG!A:D,DG!$D$2,)</f>
        <v>cuộn</v>
      </c>
      <c r="H615" s="1170">
        <f>H595</f>
        <v>0</v>
      </c>
      <c r="I615" s="1262">
        <f t="shared" si="50"/>
        <v>0</v>
      </c>
      <c r="J615" s="1111"/>
      <c r="K615" s="1111"/>
      <c r="L615" s="1085"/>
      <c r="M615" s="977" t="s">
        <v>1264</v>
      </c>
    </row>
    <row r="616" spans="1:13" s="1086" customFormat="1" ht="25.15" hidden="1" customHeight="1">
      <c r="A616" s="1156">
        <f t="shared" si="51"/>
        <v>0</v>
      </c>
      <c r="B616" s="1332" t="s">
        <v>552</v>
      </c>
      <c r="C616" s="1332"/>
      <c r="D616" s="1113"/>
      <c r="E616" s="1082" t="str">
        <f>VLOOKUP($B616,DG!A:D,DG!$B$2,)</f>
        <v>07.2415</v>
      </c>
      <c r="F616" s="1083" t="str">
        <f>VLOOKUP($B616,DG!A:D,DG!$C$2,)</f>
        <v>Lắp ống nhựa PVC D90</v>
      </c>
      <c r="G616" s="1082" t="str">
        <f>VLOOKUP($B616,DG!A:D,DG!$D$2,)</f>
        <v>mét</v>
      </c>
      <c r="H616" s="1170">
        <f>H604</f>
        <v>0</v>
      </c>
      <c r="I616" s="1262">
        <f t="shared" si="50"/>
        <v>0</v>
      </c>
      <c r="J616" s="1111"/>
      <c r="K616" s="1111"/>
      <c r="L616" s="1085"/>
      <c r="M616" s="977" t="s">
        <v>1264</v>
      </c>
    </row>
    <row r="617" spans="1:13" s="1086" customFormat="1" ht="25.15" hidden="1" customHeight="1">
      <c r="A617" s="1156">
        <f t="shared" si="51"/>
        <v>0</v>
      </c>
      <c r="B617" s="1157" t="s">
        <v>1530</v>
      </c>
      <c r="C617" s="1157"/>
      <c r="D617" s="1113"/>
      <c r="E617" s="1082" t="str">
        <f>VLOOKUP($B617,DG!A:D,DG!$B$2,)</f>
        <v>04.4201</v>
      </c>
      <c r="F617" s="1083" t="str">
        <f>VLOOKUP($B617,DG!A:D,DG!$C$2,)</f>
        <v>Lắp cáp đồng xuống thiết bị D ≤ 95mm2</v>
      </c>
      <c r="G617" s="1082" t="str">
        <f>VLOOKUP($B617,DG!A:D,DG!$D$2,)</f>
        <v>m</v>
      </c>
      <c r="H617" s="1170">
        <f>H597+H598</f>
        <v>0</v>
      </c>
      <c r="I617" s="1262">
        <f t="shared" si="50"/>
        <v>0</v>
      </c>
      <c r="J617" s="1111"/>
      <c r="K617" s="1111"/>
      <c r="L617" s="1085"/>
      <c r="M617" s="977" t="s">
        <v>1264</v>
      </c>
    </row>
    <row r="618" spans="1:13" s="1086" customFormat="1" ht="25.15" hidden="1" customHeight="1">
      <c r="A618" s="1156">
        <f t="shared" si="51"/>
        <v>0</v>
      </c>
      <c r="B618" s="1327" t="s">
        <v>289</v>
      </c>
      <c r="C618" s="1327"/>
      <c r="D618" s="1173">
        <f>IF(H618&gt;0,D595+1,D595)</f>
        <v>0</v>
      </c>
      <c r="E618" s="1192"/>
      <c r="F618" s="1083" t="str">
        <f>VLOOKUP($B618,DG!A:D,DG!$C$2,)</f>
        <v>Bảng tên trạm, bảng báo nguy hiểm + đinh vít</v>
      </c>
      <c r="G618" s="1082" t="str">
        <f>VLOOKUP($B618,DG!A:D,DG!$D$2,)</f>
        <v>bộ</v>
      </c>
      <c r="H618" s="1868">
        <f>H557</f>
        <v>0</v>
      </c>
      <c r="I618" s="1262">
        <f t="shared" si="50"/>
        <v>0</v>
      </c>
      <c r="J618" s="1111"/>
      <c r="K618" s="1111"/>
      <c r="L618" s="1101"/>
      <c r="M618" s="977" t="s">
        <v>1264</v>
      </c>
    </row>
    <row r="619" spans="1:13" s="1086" customFormat="1" ht="25.15" hidden="1" customHeight="1">
      <c r="A619" s="1156">
        <f t="shared" si="51"/>
        <v>0</v>
      </c>
      <c r="B619" s="1327"/>
      <c r="C619" s="1327"/>
      <c r="D619" s="1193"/>
      <c r="E619" s="1194"/>
      <c r="F619" s="1072"/>
      <c r="G619" s="1195"/>
      <c r="H619" s="1869"/>
      <c r="I619" s="1262">
        <f t="shared" si="50"/>
        <v>0</v>
      </c>
      <c r="J619" s="1196"/>
      <c r="K619" s="1197"/>
      <c r="L619" s="1139"/>
      <c r="M619" s="977"/>
    </row>
    <row r="620" spans="1:13" s="1086" customFormat="1" ht="25.15" hidden="1" customHeight="1">
      <c r="A620" s="1156">
        <f t="shared" si="51"/>
        <v>0</v>
      </c>
      <c r="B620" s="1322"/>
      <c r="C620" s="1322"/>
      <c r="D620" s="1164"/>
      <c r="E620" s="1203"/>
      <c r="H620" s="1902"/>
      <c r="I620" s="1262">
        <f t="shared" si="50"/>
        <v>0</v>
      </c>
      <c r="M620" s="977"/>
    </row>
    <row r="621" spans="1:13" s="1086" customFormat="1" ht="25.15" hidden="1" customHeight="1">
      <c r="A621" s="1156">
        <f t="shared" si="51"/>
        <v>0</v>
      </c>
      <c r="B621" s="1322"/>
      <c r="C621" s="1322"/>
      <c r="D621" s="1103" t="str">
        <f>"BAÛNG TOÅNG HÔÏP VAÄT LIEÄU, NHAÂN COÂNG, MAÙY THI COÂNG : "&amp;L7&amp;" TRAÏM 3P 3x25KVA"</f>
        <v>BAÛNG TOÅNG HÔÏP VAÄT LIEÄU, NHAÂN COÂNG, MAÙY THI COÂNG : 0 TRAÏM 3P 3x25KVA</v>
      </c>
      <c r="E621" s="1103"/>
      <c r="F621" s="1103"/>
      <c r="G621" s="1103"/>
      <c r="H621" s="1870"/>
      <c r="I621" s="1262">
        <f t="shared" ref="I621:I684" si="52">IF(M621=$M$23,H621+J621-K621,0)</f>
        <v>0</v>
      </c>
      <c r="J621" s="1103"/>
      <c r="K621" s="1103"/>
      <c r="L621" s="977"/>
      <c r="M621" s="977"/>
    </row>
    <row r="622" spans="1:13" s="1086" customFormat="1" ht="25.15" hidden="1" customHeight="1">
      <c r="A622" s="1156">
        <f t="shared" si="51"/>
        <v>0</v>
      </c>
      <c r="B622" s="1327"/>
      <c r="C622" s="1327"/>
      <c r="D622" s="1159"/>
      <c r="E622" s="1160"/>
      <c r="F622" s="1072" t="s">
        <v>3693</v>
      </c>
      <c r="G622" s="1162"/>
      <c r="H622" s="1865"/>
      <c r="I622" s="1262">
        <f t="shared" si="52"/>
        <v>0</v>
      </c>
      <c r="J622" s="1162"/>
      <c r="K622" s="1162"/>
      <c r="L622" s="1139"/>
      <c r="M622" s="977" t="s">
        <v>1265</v>
      </c>
    </row>
    <row r="623" spans="1:13" s="1086" customFormat="1" ht="25.15" hidden="1" customHeight="1">
      <c r="A623" s="1156">
        <f t="shared" si="51"/>
        <v>0</v>
      </c>
      <c r="B623" s="1328" t="s">
        <v>1212</v>
      </c>
      <c r="C623" s="1328"/>
      <c r="D623" s="1093">
        <f>IF(H623&gt;0,1,0)</f>
        <v>0</v>
      </c>
      <c r="E623" s="1082" t="str">
        <f>VLOOKUP($B623,DG!A:D,DG!$B$2,)</f>
        <v>01.1161</v>
      </c>
      <c r="F623" s="1083" t="str">
        <f>VLOOKUP($B623,DG!A:D,DG!$C$2,)</f>
        <v>Máy biến áp 12,7/0,22-0,44kV  25kVA</v>
      </c>
      <c r="G623" s="1082" t="str">
        <f>VLOOKUP($B623,DG!A:D,DG!$D$2,)</f>
        <v>máy</v>
      </c>
      <c r="H623" s="1871">
        <f>L7*3</f>
        <v>0</v>
      </c>
      <c r="I623" s="1262">
        <f t="shared" si="52"/>
        <v>0</v>
      </c>
      <c r="J623" s="1111"/>
      <c r="K623" s="1111"/>
      <c r="L623" s="1199"/>
      <c r="M623" s="977" t="s">
        <v>1265</v>
      </c>
    </row>
    <row r="624" spans="1:13" s="1086" customFormat="1" ht="25.15" hidden="1" customHeight="1">
      <c r="A624" s="1156">
        <f t="shared" si="51"/>
        <v>0</v>
      </c>
      <c r="B624" s="1328" t="s">
        <v>1657</v>
      </c>
      <c r="C624" s="1328"/>
      <c r="D624" s="1093">
        <f t="shared" ref="D624:D629" si="53">IF(H624&gt;0,D623+1,D623)</f>
        <v>0</v>
      </c>
      <c r="E624" s="1082" t="str">
        <f>VLOOKUP($B624,DG!A:D,DG!$B$2,)</f>
        <v>02.3155</v>
      </c>
      <c r="F624" s="1083" t="str">
        <f>VLOOKUP($B624,DG!A:D,DG!$C$2,)</f>
        <v>FCO 27kV - 100A</v>
      </c>
      <c r="G624" s="1082" t="str">
        <f>VLOOKUP($B624,DG!A:D,DG!$D$2,)</f>
        <v>cái</v>
      </c>
      <c r="H624" s="1170">
        <f>+H623</f>
        <v>0</v>
      </c>
      <c r="I624" s="1262">
        <f t="shared" si="52"/>
        <v>0</v>
      </c>
      <c r="J624" s="1111"/>
      <c r="K624" s="1111"/>
      <c r="L624" s="1085"/>
      <c r="M624" s="977" t="s">
        <v>1265</v>
      </c>
    </row>
    <row r="625" spans="1:14" s="1086" customFormat="1" ht="25.15" hidden="1" customHeight="1">
      <c r="A625" s="1156">
        <f t="shared" si="51"/>
        <v>0</v>
      </c>
      <c r="B625" s="1328" t="s">
        <v>890</v>
      </c>
      <c r="C625" s="1328"/>
      <c r="D625" s="1093">
        <f t="shared" si="53"/>
        <v>0</v>
      </c>
      <c r="E625" s="1082">
        <f>VLOOKUP($B625,DG!A:D,DG!$B$2,)</f>
        <v>0</v>
      </c>
      <c r="F625" s="1083" t="str">
        <f>VLOOKUP($B625,DG!A:D,DG!$C$2,)</f>
        <v>Dây chảy 3K</v>
      </c>
      <c r="G625" s="1082" t="str">
        <f>VLOOKUP($B625,DG!A:D,DG!$D$2,)</f>
        <v>Sợi</v>
      </c>
      <c r="H625" s="1170">
        <f>H624</f>
        <v>0</v>
      </c>
      <c r="I625" s="1262">
        <f t="shared" si="52"/>
        <v>0</v>
      </c>
      <c r="J625" s="1111"/>
      <c r="K625" s="1111"/>
      <c r="L625" s="1085"/>
      <c r="M625" s="977" t="s">
        <v>1265</v>
      </c>
    </row>
    <row r="626" spans="1:14" s="1086" customFormat="1" ht="25.15" hidden="1" customHeight="1">
      <c r="A626" s="1156">
        <f t="shared" si="51"/>
        <v>0</v>
      </c>
      <c r="B626" s="1322" t="s">
        <v>1378</v>
      </c>
      <c r="C626" s="1322"/>
      <c r="D626" s="1093">
        <f t="shared" si="53"/>
        <v>0</v>
      </c>
      <c r="E626" s="1082" t="str">
        <f>VLOOKUP($B626,DG!A:D,DG!$B$2,)</f>
        <v>02.5114</v>
      </c>
      <c r="F626" s="1083" t="str">
        <f>VLOOKUP($B626,DG!A:D,DG!$C$2,)</f>
        <v>Chống sét van LA-18KV-10KA</v>
      </c>
      <c r="G626" s="1082" t="str">
        <f>VLOOKUP($B626,DG!A:D,DG!$D$2,)</f>
        <v>cái</v>
      </c>
      <c r="H626" s="1170">
        <f>H623</f>
        <v>0</v>
      </c>
      <c r="I626" s="1262">
        <f t="shared" si="52"/>
        <v>0</v>
      </c>
      <c r="J626" s="1111"/>
      <c r="K626" s="1111"/>
      <c r="L626" s="1085"/>
      <c r="M626" s="977" t="s">
        <v>1265</v>
      </c>
    </row>
    <row r="627" spans="1:14" s="1086" customFormat="1" ht="25.15" hidden="1" customHeight="1">
      <c r="A627" s="1156">
        <f t="shared" si="51"/>
        <v>0</v>
      </c>
      <c r="B627" s="1329" t="s">
        <v>1424</v>
      </c>
      <c r="C627" s="1329"/>
      <c r="D627" s="1093">
        <f t="shared" si="53"/>
        <v>0</v>
      </c>
      <c r="E627" s="1082" t="str">
        <f>VLOOKUP($B627,DG!A:D,DG!$B$2,)</f>
        <v>02.8401</v>
      </c>
      <c r="F627" s="1083" t="str">
        <f>VLOOKUP($B627,DG!A:D,DG!$C$2,)</f>
        <v>MCCB 3 cực 400V -125A - 30KA</v>
      </c>
      <c r="G627" s="1082" t="str">
        <f>VLOOKUP($B627,DG!A:D,DG!$D$2,)</f>
        <v>cái</v>
      </c>
      <c r="H627" s="1170">
        <f>+H623/3</f>
        <v>0</v>
      </c>
      <c r="I627" s="1262">
        <f t="shared" si="52"/>
        <v>0</v>
      </c>
      <c r="J627" s="1111"/>
      <c r="K627" s="1111"/>
      <c r="L627" s="1085"/>
      <c r="M627" s="977" t="s">
        <v>1265</v>
      </c>
    </row>
    <row r="628" spans="1:14" s="1086" customFormat="1" ht="25.15" hidden="1" customHeight="1">
      <c r="A628" s="1156">
        <f t="shared" si="51"/>
        <v>0</v>
      </c>
      <c r="B628" s="1157" t="s">
        <v>2050</v>
      </c>
      <c r="C628" s="1157"/>
      <c r="D628" s="1093">
        <f t="shared" si="53"/>
        <v>0</v>
      </c>
      <c r="E628" s="1082">
        <f>VLOOKUP($B628,DG!A:D,DG!$B$2,)</f>
        <v>0</v>
      </c>
      <c r="F628" s="1083" t="str">
        <f>VLOOKUP($B628,DG!A:D,DG!$C$2,)</f>
        <v>Biến dòng 600V - 100/5A</v>
      </c>
      <c r="G628" s="1082" t="str">
        <f>VLOOKUP($B628,DG!A:D,DG!$D$2,)</f>
        <v>cái</v>
      </c>
      <c r="H628" s="1875">
        <f>H623</f>
        <v>0</v>
      </c>
      <c r="I628" s="1262">
        <f t="shared" si="52"/>
        <v>0</v>
      </c>
      <c r="J628" s="1111"/>
      <c r="K628" s="1111"/>
      <c r="L628" s="1113" t="s">
        <v>2612</v>
      </c>
      <c r="M628" s="977" t="s">
        <v>1265</v>
      </c>
    </row>
    <row r="629" spans="1:14" s="1086" customFormat="1" ht="25.15" hidden="1" customHeight="1">
      <c r="A629" s="1156">
        <f t="shared" si="51"/>
        <v>0</v>
      </c>
      <c r="B629" s="1350" t="s">
        <v>288</v>
      </c>
      <c r="C629" s="1350"/>
      <c r="D629" s="1093">
        <f t="shared" si="53"/>
        <v>0</v>
      </c>
      <c r="E629" s="1082" t="str">
        <f>VLOOKUP($B629,DG!A:D,DG!$B$2,)</f>
        <v>05.5104</v>
      </c>
      <c r="F629" s="1083" t="str">
        <f>VLOOKUP($B629,DG!A:D,DG!$C$2,)</f>
        <v>Điện kế 3 pha 4 dây 220/380V-5A</v>
      </c>
      <c r="G629" s="1082" t="str">
        <f>VLOOKUP($B629,DG!A:D,DG!$D$2,)</f>
        <v>cái</v>
      </c>
      <c r="H629" s="1170">
        <f>H628/3</f>
        <v>0</v>
      </c>
      <c r="I629" s="1262">
        <f t="shared" si="52"/>
        <v>0</v>
      </c>
      <c r="J629" s="1111"/>
      <c r="K629" s="1111"/>
      <c r="L629" s="1113" t="s">
        <v>2612</v>
      </c>
      <c r="M629" s="977" t="s">
        <v>1265</v>
      </c>
    </row>
    <row r="630" spans="1:14" s="1086" customFormat="1" ht="25.15" hidden="1" customHeight="1">
      <c r="A630" s="1156">
        <f t="shared" si="51"/>
        <v>0</v>
      </c>
      <c r="B630" s="1327"/>
      <c r="C630" s="1327"/>
      <c r="D630" s="1110"/>
      <c r="E630" s="1205"/>
      <c r="F630" s="1163"/>
      <c r="G630" s="1110"/>
      <c r="H630" s="1205"/>
      <c r="I630" s="1262">
        <f t="shared" si="52"/>
        <v>0</v>
      </c>
      <c r="J630" s="1163"/>
      <c r="K630" s="1110"/>
      <c r="L630" s="1139"/>
      <c r="M630" s="977" t="s">
        <v>1265</v>
      </c>
    </row>
    <row r="631" spans="1:14" s="1086" customFormat="1" ht="25.15" hidden="1" customHeight="1">
      <c r="A631" s="1156">
        <f t="shared" si="51"/>
        <v>0</v>
      </c>
      <c r="B631" s="1327"/>
      <c r="C631" s="1327"/>
      <c r="D631" s="1184"/>
      <c r="E631" s="1207"/>
      <c r="F631" s="1072" t="s">
        <v>3694</v>
      </c>
      <c r="G631" s="1072"/>
      <c r="H631" s="1865"/>
      <c r="I631" s="1262">
        <f t="shared" si="52"/>
        <v>0</v>
      </c>
      <c r="J631" s="1072"/>
      <c r="K631" s="1072"/>
      <c r="L631" s="1139"/>
      <c r="M631" s="977" t="s">
        <v>1265</v>
      </c>
    </row>
    <row r="632" spans="1:14" s="1086" customFormat="1" ht="25.15" hidden="1" customHeight="1">
      <c r="A632" s="1156">
        <f t="shared" si="51"/>
        <v>0</v>
      </c>
      <c r="B632" s="1327"/>
      <c r="C632" s="1327"/>
      <c r="D632" s="1208">
        <f>IF(H632&gt;0,1,0)</f>
        <v>0</v>
      </c>
      <c r="E632" s="1209"/>
      <c r="F632" s="1210" t="s">
        <v>3713</v>
      </c>
      <c r="G632" s="1208" t="s">
        <v>2394</v>
      </c>
      <c r="H632" s="1874">
        <f>H623/3</f>
        <v>0</v>
      </c>
      <c r="I632" s="1262">
        <f t="shared" si="52"/>
        <v>0</v>
      </c>
      <c r="J632" s="1211"/>
      <c r="K632" s="1211"/>
      <c r="L632" s="1199"/>
      <c r="M632" s="977" t="s">
        <v>1265</v>
      </c>
    </row>
    <row r="633" spans="1:14" s="1086" customFormat="1" ht="25.15" hidden="1" customHeight="1">
      <c r="A633" s="1156">
        <f>IF(A632&gt;0,1,0)</f>
        <v>0</v>
      </c>
      <c r="B633" s="1327"/>
      <c r="C633" s="1327"/>
      <c r="D633" s="1169"/>
      <c r="E633" s="1212"/>
      <c r="F633" s="1368" t="s">
        <v>2287</v>
      </c>
      <c r="G633" s="1113"/>
      <c r="H633" s="1170"/>
      <c r="I633" s="1262">
        <f t="shared" si="52"/>
        <v>0</v>
      </c>
      <c r="J633" s="1213"/>
      <c r="K633" s="1213"/>
      <c r="L633" s="1085"/>
      <c r="M633" s="977" t="s">
        <v>1265</v>
      </c>
    </row>
    <row r="634" spans="1:14" s="1086" customFormat="1" ht="25.15" hidden="1" customHeight="1">
      <c r="A634" s="1156">
        <f t="shared" si="51"/>
        <v>0</v>
      </c>
      <c r="B634" s="1157" t="s">
        <v>1002</v>
      </c>
      <c r="C634" s="1157"/>
      <c r="D634" s="1169"/>
      <c r="E634" s="1082" t="str">
        <f>VLOOKUP($B634,DG!A:D,DG!$B$2,)</f>
        <v>05.6100</v>
      </c>
      <c r="F634" s="1083" t="str">
        <f>VLOOKUP($B634,DG!A:D,DG!$C$2,)</f>
        <v>Giá chùm treo máy biến áp 3x25</v>
      </c>
      <c r="G634" s="1082" t="str">
        <f>VLOOKUP($B634,DG!A:D,DG!$D$2,)</f>
        <v>cái</v>
      </c>
      <c r="H634" s="1170">
        <f>H632</f>
        <v>0</v>
      </c>
      <c r="I634" s="1262">
        <f t="shared" si="52"/>
        <v>0</v>
      </c>
      <c r="J634" s="1111"/>
      <c r="K634" s="1111"/>
      <c r="L634" s="1085"/>
      <c r="M634" s="977" t="s">
        <v>1265</v>
      </c>
    </row>
    <row r="635" spans="1:14" s="1086" customFormat="1" ht="25.15" hidden="1" customHeight="1">
      <c r="A635" s="1156">
        <f t="shared" si="51"/>
        <v>0</v>
      </c>
      <c r="B635" s="1327" t="s">
        <v>1792</v>
      </c>
      <c r="C635" s="1327"/>
      <c r="D635" s="1169"/>
      <c r="E635" s="1212"/>
      <c r="F635" s="1083" t="str">
        <f>VLOOKUP($B635,DG!A:D,DG!$C$2,)</f>
        <v>Boulon 16x50+ 2 long đền vuông D18-50x50x3/Zn</v>
      </c>
      <c r="G635" s="1082" t="str">
        <f>VLOOKUP($B635,DG!A:D,DG!$D$2,)</f>
        <v>bộ</v>
      </c>
      <c r="H635" s="1170">
        <f>6*H632</f>
        <v>0</v>
      </c>
      <c r="I635" s="1262">
        <f t="shared" si="52"/>
        <v>0</v>
      </c>
      <c r="J635" s="1111"/>
      <c r="K635" s="1111"/>
      <c r="L635" s="1085"/>
      <c r="M635" s="977" t="s">
        <v>1265</v>
      </c>
    </row>
    <row r="636" spans="1:14" s="1086" customFormat="1" ht="25.15" hidden="1" customHeight="1">
      <c r="A636" s="1156">
        <f t="shared" si="51"/>
        <v>0</v>
      </c>
      <c r="B636" s="1327" t="s">
        <v>1615</v>
      </c>
      <c r="C636" s="1327"/>
      <c r="D636" s="1169"/>
      <c r="E636" s="1212"/>
      <c r="F636" s="1083" t="str">
        <f>VLOOKUP($B636,DG!A:D,DG!$C$2,)</f>
        <v>Boulon 16x300+ 2 long đền vuông D18-50x50x3/Zn</v>
      </c>
      <c r="G636" s="1082" t="str">
        <f>VLOOKUP($B636,DG!A:D,DG!$D$2,)</f>
        <v>bộ</v>
      </c>
      <c r="H636" s="1170">
        <f>2*H632</f>
        <v>0</v>
      </c>
      <c r="I636" s="1262">
        <f t="shared" si="52"/>
        <v>0</v>
      </c>
      <c r="J636" s="1111"/>
      <c r="K636" s="1111"/>
      <c r="L636" s="1085"/>
      <c r="M636" s="977" t="s">
        <v>1265</v>
      </c>
    </row>
    <row r="637" spans="1:14" s="1086" customFormat="1" ht="25.15" hidden="1" customHeight="1">
      <c r="A637" s="1156">
        <f t="shared" si="51"/>
        <v>0</v>
      </c>
      <c r="B637" s="1327"/>
      <c r="C637" s="1327"/>
      <c r="D637" s="1081">
        <f>IF(H637&gt;0,D632+1,D632)</f>
        <v>0</v>
      </c>
      <c r="E637" s="1188"/>
      <c r="F637" s="1189" t="s">
        <v>3695</v>
      </c>
      <c r="G637" s="1169" t="s">
        <v>2394</v>
      </c>
      <c r="H637" s="1867">
        <f>H632*0</f>
        <v>0</v>
      </c>
      <c r="I637" s="1262">
        <f t="shared" si="52"/>
        <v>0</v>
      </c>
      <c r="J637" s="1134"/>
      <c r="K637" s="1134"/>
      <c r="L637" s="1113"/>
      <c r="M637" s="977" t="s">
        <v>1265</v>
      </c>
    </row>
    <row r="638" spans="1:14" s="1086" customFormat="1" ht="25.15" hidden="1" customHeight="1">
      <c r="A638" s="1156">
        <f>IF(A637&gt;0,1,0)</f>
        <v>0</v>
      </c>
      <c r="B638" s="1327"/>
      <c r="C638" s="1327"/>
      <c r="D638" s="1169"/>
      <c r="E638" s="1188"/>
      <c r="F638" s="1367" t="s">
        <v>2287</v>
      </c>
      <c r="G638" s="1113"/>
      <c r="H638" s="1170"/>
      <c r="I638" s="1262">
        <f t="shared" si="52"/>
        <v>0</v>
      </c>
      <c r="J638" s="1134"/>
      <c r="K638" s="1134"/>
      <c r="L638" s="1113"/>
      <c r="M638" s="977" t="s">
        <v>1265</v>
      </c>
      <c r="N638" s="1190"/>
    </row>
    <row r="639" spans="1:14" s="1086" customFormat="1" ht="25.15" hidden="1" customHeight="1">
      <c r="A639" s="1156">
        <f t="shared" si="51"/>
        <v>0</v>
      </c>
      <c r="B639" s="1157" t="s">
        <v>115</v>
      </c>
      <c r="C639" s="1157"/>
      <c r="D639" s="1113"/>
      <c r="E639" s="1082">
        <f>VLOOKUP($B639,DG!A:D,DG!$B$2,)</f>
        <v>0</v>
      </c>
      <c r="F639" s="1083" t="str">
        <f>VLOOKUP($B639,DG!A:D,DG!$C$2,)</f>
        <v>Trụ BTLT 12m F350 dự ứng lực</v>
      </c>
      <c r="G639" s="1082" t="str">
        <f>VLOOKUP($B639,DG!A:D,DG!$D$2,)</f>
        <v>trụ</v>
      </c>
      <c r="H639" s="1170">
        <f>1*H637</f>
        <v>0</v>
      </c>
      <c r="I639" s="1262">
        <f t="shared" si="52"/>
        <v>0</v>
      </c>
      <c r="J639" s="1111"/>
      <c r="K639" s="1111"/>
      <c r="L639" s="1113"/>
      <c r="M639" s="977" t="s">
        <v>1265</v>
      </c>
      <c r="N639" s="1190"/>
    </row>
    <row r="640" spans="1:14" s="1086" customFormat="1" ht="25.15" hidden="1" customHeight="1">
      <c r="A640" s="1156">
        <f t="shared" si="51"/>
        <v>0</v>
      </c>
      <c r="B640" s="1157" t="s">
        <v>1820</v>
      </c>
      <c r="C640" s="1157"/>
      <c r="D640" s="1113"/>
      <c r="E640" s="1191"/>
      <c r="F640" s="1083" t="str">
        <f>VLOOKUP($B640,DG!A:D,DG!$C$2,)</f>
        <v>Vật liệu dựng trụ</v>
      </c>
      <c r="G640" s="1082" t="str">
        <f>VLOOKUP($B640,DG!A:D,DG!$D$2,)</f>
        <v>trụ</v>
      </c>
      <c r="H640" s="1170">
        <f>H639</f>
        <v>0</v>
      </c>
      <c r="I640" s="1262">
        <f t="shared" si="52"/>
        <v>0</v>
      </c>
      <c r="J640" s="1111"/>
      <c r="K640" s="1111"/>
      <c r="L640" s="1113"/>
      <c r="M640" s="977" t="s">
        <v>1265</v>
      </c>
      <c r="N640" s="1190"/>
    </row>
    <row r="641" spans="1:14" s="1086" customFormat="1" ht="25.15" hidden="1" customHeight="1">
      <c r="A641" s="1156">
        <f t="shared" si="51"/>
        <v>0</v>
      </c>
      <c r="B641" s="1157" t="s">
        <v>2134</v>
      </c>
      <c r="C641" s="1157"/>
      <c r="D641" s="1113"/>
      <c r="E641" s="1191"/>
      <c r="F641" s="1083" t="str">
        <f>VLOOKUP($B641,DG!A:D,DG!$C$2,)</f>
        <v>Dựng trụ BTLT 12m trong TBA bằng thủ công + cơ giới</v>
      </c>
      <c r="G641" s="1082" t="str">
        <f>VLOOKUP($B641,DG!A:D,DG!$D$2,)</f>
        <v>trụ</v>
      </c>
      <c r="H641" s="1170">
        <f>H639</f>
        <v>0</v>
      </c>
      <c r="I641" s="1262">
        <f t="shared" si="52"/>
        <v>0</v>
      </c>
      <c r="J641" s="1111"/>
      <c r="K641" s="1111"/>
      <c r="L641" s="1113"/>
      <c r="M641" s="977" t="s">
        <v>1265</v>
      </c>
      <c r="N641" s="1190"/>
    </row>
    <row r="642" spans="1:14" s="1086" customFormat="1" ht="25.15" hidden="1" customHeight="1">
      <c r="A642" s="1156">
        <f t="shared" si="51"/>
        <v>0</v>
      </c>
      <c r="B642" s="1327"/>
      <c r="C642" s="1327"/>
      <c r="D642" s="1081">
        <f>IF(H642&gt;0,D637+1,D637)</f>
        <v>0</v>
      </c>
      <c r="E642" s="1188"/>
      <c r="F642" s="1189" t="s">
        <v>2361</v>
      </c>
      <c r="G642" s="1169" t="s">
        <v>2394</v>
      </c>
      <c r="H642" s="1867">
        <f>H637</f>
        <v>0</v>
      </c>
      <c r="I642" s="1262">
        <f t="shared" si="52"/>
        <v>0</v>
      </c>
      <c r="J642" s="1134"/>
      <c r="K642" s="1134"/>
      <c r="L642" s="1113"/>
      <c r="M642" s="977" t="s">
        <v>1265</v>
      </c>
    </row>
    <row r="643" spans="1:14" s="1086" customFormat="1" ht="25.15" hidden="1" customHeight="1">
      <c r="A643" s="1156">
        <f>IF(A642&gt;0,1,0)</f>
        <v>0</v>
      </c>
      <c r="B643" s="1327"/>
      <c r="C643" s="1327"/>
      <c r="D643" s="1169"/>
      <c r="E643" s="1188"/>
      <c r="F643" s="1367" t="s">
        <v>2287</v>
      </c>
      <c r="G643" s="1113"/>
      <c r="H643" s="1170"/>
      <c r="I643" s="1262">
        <f t="shared" si="52"/>
        <v>0</v>
      </c>
      <c r="J643" s="1134"/>
      <c r="K643" s="1134"/>
      <c r="L643" s="1113"/>
      <c r="M643" s="977" t="s">
        <v>1265</v>
      </c>
      <c r="N643" s="1190"/>
    </row>
    <row r="644" spans="1:14" s="1086" customFormat="1" ht="25.15" hidden="1" customHeight="1">
      <c r="A644" s="1156">
        <f t="shared" si="51"/>
        <v>0</v>
      </c>
      <c r="B644" s="1334" t="s">
        <v>636</v>
      </c>
      <c r="C644" s="1334"/>
      <c r="D644" s="1113"/>
      <c r="E644" s="1082" t="str">
        <f>VLOOKUP($B644,DG!A:D,DG!$B$2,)</f>
        <v>04.4001</v>
      </c>
      <c r="F644" s="1083" t="str">
        <f>VLOOKUP($B644,DG!A:D,DG!$C$2,)</f>
        <v>Đà cản BTCT 1,2m</v>
      </c>
      <c r="G644" s="1082" t="str">
        <f>VLOOKUP($B644,DG!A:D,DG!$D$2,)</f>
        <v>cái</v>
      </c>
      <c r="H644" s="1170">
        <f>1*H642</f>
        <v>0</v>
      </c>
      <c r="I644" s="1262">
        <f t="shared" si="52"/>
        <v>0</v>
      </c>
      <c r="J644" s="1111"/>
      <c r="K644" s="1111"/>
      <c r="L644" s="1113"/>
      <c r="M644" s="977" t="s">
        <v>1265</v>
      </c>
      <c r="N644" s="1190"/>
    </row>
    <row r="645" spans="1:14" s="1086" customFormat="1" ht="25.15" hidden="1" customHeight="1">
      <c r="A645" s="1156">
        <f t="shared" si="51"/>
        <v>0</v>
      </c>
      <c r="B645" s="1334" t="s">
        <v>566</v>
      </c>
      <c r="C645" s="1334"/>
      <c r="D645" s="1113"/>
      <c r="E645" s="1082">
        <f>VLOOKUP($B645,DG!A:D,DG!$B$2,)</f>
        <v>0</v>
      </c>
      <c r="F645" s="1083" t="str">
        <f>VLOOKUP($B645,DG!A:D,DG!$C$2,)</f>
        <v>Boulon 22x650+ 2 long đền vuông D24-50x50x3/Zn</v>
      </c>
      <c r="G645" s="1082" t="str">
        <f>VLOOKUP($B645,DG!A:D,DG!$D$2,)</f>
        <v>bộ</v>
      </c>
      <c r="H645" s="1170">
        <f>H642</f>
        <v>0</v>
      </c>
      <c r="I645" s="1262">
        <f t="shared" si="52"/>
        <v>0</v>
      </c>
      <c r="J645" s="1111"/>
      <c r="K645" s="1111"/>
      <c r="L645" s="1113"/>
      <c r="M645" s="977" t="s">
        <v>1265</v>
      </c>
      <c r="N645" s="1190"/>
    </row>
    <row r="646" spans="1:14" s="1086" customFormat="1" ht="25.15" hidden="1" customHeight="1">
      <c r="A646" s="1156">
        <f t="shared" si="51"/>
        <v>0</v>
      </c>
      <c r="B646" s="1334" t="str">
        <f>IF(chitiet!G5=1,"MDD1",IF(chitiet!G5=2,"MDD2",IF(chitiet!G5=3,"MDD3",IF(chitiet!G5=4,"MDD4"))))</f>
        <v>MDD3</v>
      </c>
      <c r="C646" s="1334"/>
      <c r="D646" s="1113"/>
      <c r="E646" s="1082" t="str">
        <f>VLOOKUP($B646,DG!A:D,DG!$B$2,)</f>
        <v>03.1013</v>
      </c>
      <c r="F646" s="1083" t="str">
        <f>VLOOKUP($B646,DG!A:D,DG!$C$2,)</f>
        <v>Đào hố móng đất cấp 3 sâu &gt;1m</v>
      </c>
      <c r="G646" s="1082" t="str">
        <f>VLOOKUP($B646,DG!A:D,DG!$D$2,)</f>
        <v>m3</v>
      </c>
      <c r="H646" s="1170">
        <f>H642*1.45</f>
        <v>0</v>
      </c>
      <c r="I646" s="1262">
        <f t="shared" si="52"/>
        <v>0</v>
      </c>
      <c r="J646" s="1111"/>
      <c r="K646" s="1111"/>
      <c r="L646" s="1113"/>
      <c r="M646" s="977" t="s">
        <v>1265</v>
      </c>
      <c r="N646" s="1190"/>
    </row>
    <row r="647" spans="1:14" s="1086" customFormat="1" ht="25.15" hidden="1" customHeight="1">
      <c r="A647" s="1156">
        <f t="shared" si="51"/>
        <v>0</v>
      </c>
      <c r="B647" s="1334" t="str">
        <f>IF(chitiet!G5=1,"MDAP1",IF(chitiet!G5=2,"MDAP2",IF(chitiet!G5=3,"MDAP3",IF(chitiet!G5=4,"MDAP4"))))</f>
        <v>MDAP3</v>
      </c>
      <c r="C647" s="1334"/>
      <c r="D647" s="1113"/>
      <c r="E647" s="1082" t="str">
        <f>VLOOKUP($B647,DG!A:D,DG!$B$2,)</f>
        <v>03.4113</v>
      </c>
      <c r="F647" s="1083" t="str">
        <f>VLOOKUP($B647,DG!A:D,DG!$C$2,)</f>
        <v>Đắp đất hố móng, độ chặt k=0,95</v>
      </c>
      <c r="G647" s="1082" t="str">
        <f>VLOOKUP($B647,DG!A:D,DG!$D$2,)</f>
        <v>m3</v>
      </c>
      <c r="H647" s="1170">
        <f>H642*1.37</f>
        <v>0</v>
      </c>
      <c r="I647" s="1262">
        <f t="shared" si="52"/>
        <v>0</v>
      </c>
      <c r="J647" s="1111"/>
      <c r="K647" s="1111"/>
      <c r="L647" s="1113"/>
      <c r="M647" s="977" t="s">
        <v>1265</v>
      </c>
      <c r="N647" s="1190"/>
    </row>
    <row r="648" spans="1:14" s="1086" customFormat="1" ht="25.15" hidden="1" customHeight="1">
      <c r="A648" s="1156">
        <f t="shared" si="51"/>
        <v>0</v>
      </c>
      <c r="B648" s="1327"/>
      <c r="C648" s="1327"/>
      <c r="D648" s="1169">
        <f>IF(H648&gt;0,D642+1,D642)</f>
        <v>0</v>
      </c>
      <c r="E648" s="1212"/>
      <c r="F648" s="1200" t="s">
        <v>3720</v>
      </c>
      <c r="G648" s="1169" t="s">
        <v>2394</v>
      </c>
      <c r="H648" s="1867">
        <f>H632</f>
        <v>0</v>
      </c>
      <c r="I648" s="1262">
        <f t="shared" si="52"/>
        <v>0</v>
      </c>
      <c r="J648" s="1134"/>
      <c r="K648" s="1134"/>
      <c r="L648" s="1085"/>
      <c r="M648" s="977" t="s">
        <v>1265</v>
      </c>
    </row>
    <row r="649" spans="1:14" s="1086" customFormat="1" ht="25.15" hidden="1" customHeight="1">
      <c r="A649" s="1156">
        <f>IF(A648&gt;0,1,0)</f>
        <v>0</v>
      </c>
      <c r="B649" s="1327"/>
      <c r="C649" s="1327"/>
      <c r="D649" s="1169"/>
      <c r="E649" s="1212"/>
      <c r="F649" s="1368" t="s">
        <v>2287</v>
      </c>
      <c r="G649" s="1113"/>
      <c r="H649" s="1170"/>
      <c r="I649" s="1262">
        <f t="shared" si="52"/>
        <v>0</v>
      </c>
      <c r="J649" s="1134"/>
      <c r="K649" s="1134"/>
      <c r="L649" s="1085"/>
      <c r="M649" s="977" t="s">
        <v>1265</v>
      </c>
    </row>
    <row r="650" spans="1:14" s="1086" customFormat="1" ht="25.15" hidden="1" customHeight="1">
      <c r="A650" s="1156">
        <f t="shared" si="51"/>
        <v>0</v>
      </c>
      <c r="B650" s="1334" t="s">
        <v>364</v>
      </c>
      <c r="C650" s="1334"/>
      <c r="D650" s="1169"/>
      <c r="E650" s="1082">
        <f>VLOOKUP($B650,DG!A:D,DG!$B$2,)</f>
        <v>0</v>
      </c>
      <c r="F650" s="1083" t="str">
        <f>VLOOKUP($B650,DG!A:D,DG!$C$2,)</f>
        <v>Xà composite 110x800x5</v>
      </c>
      <c r="G650" s="1082" t="str">
        <f>VLOOKUP($B650,DG!A:D,DG!$D$2,)</f>
        <v>cái</v>
      </c>
      <c r="H650" s="1170">
        <f>H648*2.4</f>
        <v>0</v>
      </c>
      <c r="I650" s="1262">
        <f t="shared" si="52"/>
        <v>0</v>
      </c>
      <c r="J650" s="1111"/>
      <c r="K650" s="1111"/>
      <c r="L650" s="1085"/>
      <c r="M650" s="977" t="s">
        <v>1265</v>
      </c>
    </row>
    <row r="651" spans="1:14" s="1086" customFormat="1" ht="25.15" hidden="1" customHeight="1">
      <c r="A651" s="1156">
        <f t="shared" si="51"/>
        <v>0</v>
      </c>
      <c r="B651" s="1327" t="s">
        <v>365</v>
      </c>
      <c r="C651" s="1327"/>
      <c r="D651" s="1169"/>
      <c r="E651" s="1082">
        <f>VLOOKUP($B651,DG!A:D,DG!$B$2,)</f>
        <v>0</v>
      </c>
      <c r="F651" s="1083" t="str">
        <f>VLOOKUP($B651,DG!A:D,DG!$C$2,)</f>
        <v>Chống composite 40x10x920</v>
      </c>
      <c r="G651" s="1082" t="str">
        <f>VLOOKUP($B651,DG!A:D,DG!$D$2,)</f>
        <v>cái</v>
      </c>
      <c r="H651" s="1170">
        <f>2*H648</f>
        <v>0</v>
      </c>
      <c r="I651" s="1262">
        <f t="shared" si="52"/>
        <v>0</v>
      </c>
      <c r="J651" s="1111"/>
      <c r="K651" s="1111"/>
      <c r="L651" s="1085"/>
      <c r="M651" s="977" t="s">
        <v>1265</v>
      </c>
    </row>
    <row r="652" spans="1:14" s="1086" customFormat="1" ht="25.15" hidden="1" customHeight="1">
      <c r="A652" s="1156">
        <f t="shared" si="51"/>
        <v>0</v>
      </c>
      <c r="B652" s="1327" t="s">
        <v>488</v>
      </c>
      <c r="C652" s="1327"/>
      <c r="D652" s="1169"/>
      <c r="E652" s="1082">
        <f>VLOOKUP($B652,DG!A:D,DG!$B$2,)</f>
        <v>0</v>
      </c>
      <c r="F652" s="1083" t="str">
        <f>VLOOKUP($B652,DG!A:D,DG!$C$2,)</f>
        <v>Bass LL bắt FCO, LA</v>
      </c>
      <c r="G652" s="1082" t="str">
        <f>VLOOKUP($B652,DG!A:D,DG!$D$2,)</f>
        <v>bộ</v>
      </c>
      <c r="H652" s="1170">
        <f>H648*3</f>
        <v>0</v>
      </c>
      <c r="I652" s="1262">
        <f t="shared" si="52"/>
        <v>0</v>
      </c>
      <c r="J652" s="1111"/>
      <c r="K652" s="1111"/>
      <c r="L652" s="1085"/>
      <c r="M652" s="977" t="s">
        <v>1265</v>
      </c>
    </row>
    <row r="653" spans="1:14" s="1086" customFormat="1" ht="25.15" hidden="1" customHeight="1">
      <c r="A653" s="1156">
        <f t="shared" si="51"/>
        <v>0</v>
      </c>
      <c r="B653" s="1327" t="s">
        <v>804</v>
      </c>
      <c r="C653" s="1327"/>
      <c r="D653" s="1169"/>
      <c r="E653" s="1082">
        <f>VLOOKUP($B653,DG!A:D,DG!$B$2,)</f>
        <v>0</v>
      </c>
      <c r="F653" s="1083" t="str">
        <f>VLOOKUP($B653,DG!A:D,DG!$C$2,)</f>
        <v>Boulon 16x100+ 2 long đền vuông D18-50x50x3/Zn</v>
      </c>
      <c r="G653" s="1082" t="str">
        <f>VLOOKUP($B653,DG!A:D,DG!$D$2,)</f>
        <v>bộ</v>
      </c>
      <c r="H653" s="1170">
        <f>2*H648</f>
        <v>0</v>
      </c>
      <c r="I653" s="1262">
        <f t="shared" si="52"/>
        <v>0</v>
      </c>
      <c r="J653" s="1111"/>
      <c r="K653" s="1111"/>
      <c r="L653" s="1085"/>
      <c r="M653" s="977" t="s">
        <v>1265</v>
      </c>
    </row>
    <row r="654" spans="1:14" s="1086" customFormat="1" ht="25.15" hidden="1" customHeight="1">
      <c r="A654" s="1156">
        <f t="shared" si="51"/>
        <v>0</v>
      </c>
      <c r="B654" s="1327" t="s">
        <v>1085</v>
      </c>
      <c r="C654" s="1327"/>
      <c r="D654" s="1169"/>
      <c r="E654" s="1082">
        <f>VLOOKUP($B654,DG!A:D,DG!$B$2,)</f>
        <v>0</v>
      </c>
      <c r="F654" s="1083" t="str">
        <f>VLOOKUP($B654,DG!A:D,DG!$C$2,)</f>
        <v>Boulon 16x400+ 2 long đền vuông D18-50x50x3/Zn</v>
      </c>
      <c r="G654" s="1082" t="str">
        <f>VLOOKUP($B654,DG!A:D,DG!$D$2,)</f>
        <v>bộ</v>
      </c>
      <c r="H654" s="1170">
        <f>2*H648</f>
        <v>0</v>
      </c>
      <c r="I654" s="1262">
        <f t="shared" si="52"/>
        <v>0</v>
      </c>
      <c r="J654" s="1111"/>
      <c r="K654" s="1111"/>
      <c r="L654" s="1085"/>
      <c r="M654" s="977" t="s">
        <v>1265</v>
      </c>
    </row>
    <row r="655" spans="1:14" s="1086" customFormat="1" ht="25.15" hidden="1" customHeight="1">
      <c r="A655" s="1156">
        <f t="shared" si="51"/>
        <v>0</v>
      </c>
      <c r="B655" s="1327" t="s">
        <v>420</v>
      </c>
      <c r="C655" s="1327"/>
      <c r="D655" s="1169"/>
      <c r="E655" s="1082" t="str">
        <f>VLOOKUP($B655,DG!A:D,DG!$B$2,)</f>
        <v>05.6102</v>
      </c>
      <c r="F655" s="1083" t="str">
        <f>VLOOKUP($B655,DG!A:D,DG!$C$2,)</f>
        <v>Lắp xà đỡ ≤ 50kg</v>
      </c>
      <c r="G655" s="1082" t="str">
        <f>VLOOKUP($B655,DG!A:D,DG!$D$2,)</f>
        <v>bộ</v>
      </c>
      <c r="H655" s="1170">
        <f>H648</f>
        <v>0</v>
      </c>
      <c r="I655" s="1262">
        <f t="shared" si="52"/>
        <v>0</v>
      </c>
      <c r="J655" s="1111"/>
      <c r="K655" s="1111"/>
      <c r="L655" s="1085"/>
      <c r="M655" s="977" t="s">
        <v>1265</v>
      </c>
    </row>
    <row r="656" spans="1:14" s="1086" customFormat="1" ht="25.15" hidden="1" customHeight="1">
      <c r="A656" s="1156">
        <f t="shared" si="51"/>
        <v>0</v>
      </c>
      <c r="B656" s="1327"/>
      <c r="C656" s="1327"/>
      <c r="D656" s="1169">
        <f>IF(H656&gt;0,D648+1,D648)</f>
        <v>0</v>
      </c>
      <c r="E656" s="1212"/>
      <c r="F656" s="1200" t="s">
        <v>3715</v>
      </c>
      <c r="G656" s="1169" t="s">
        <v>2394</v>
      </c>
      <c r="H656" s="1867">
        <f>H632</f>
        <v>0</v>
      </c>
      <c r="I656" s="1262">
        <f t="shared" si="52"/>
        <v>0</v>
      </c>
      <c r="J656" s="1134"/>
      <c r="K656" s="1134"/>
      <c r="L656" s="1085"/>
      <c r="M656" s="977" t="s">
        <v>1265</v>
      </c>
    </row>
    <row r="657" spans="1:13" s="1086" customFormat="1" ht="25.15" hidden="1" customHeight="1">
      <c r="A657" s="1156">
        <f>IF(A656&gt;0,1,0)</f>
        <v>0</v>
      </c>
      <c r="B657" s="1327"/>
      <c r="C657" s="1327"/>
      <c r="D657" s="1169"/>
      <c r="E657" s="1212"/>
      <c r="F657" s="1368" t="s">
        <v>2287</v>
      </c>
      <c r="G657" s="1113"/>
      <c r="H657" s="1170"/>
      <c r="I657" s="1262">
        <f t="shared" si="52"/>
        <v>0</v>
      </c>
      <c r="J657" s="1134"/>
      <c r="K657" s="1134"/>
      <c r="L657" s="1085"/>
      <c r="M657" s="977" t="s">
        <v>1265</v>
      </c>
    </row>
    <row r="658" spans="1:13" s="1086" customFormat="1" ht="25.15" hidden="1" customHeight="1">
      <c r="A658" s="1156">
        <f t="shared" si="51"/>
        <v>0</v>
      </c>
      <c r="B658" s="1327" t="s">
        <v>103</v>
      </c>
      <c r="C658" s="1327"/>
      <c r="D658" s="1113"/>
      <c r="E658" s="1082">
        <f>VLOOKUP($B658,DG!A:D,DG!$B$2,)</f>
        <v>0</v>
      </c>
      <c r="F658" s="1083" t="str">
        <f>VLOOKUP($B658,DG!A:D,DG!$C$2,)</f>
        <v>Cáp đồng trần M25mm2</v>
      </c>
      <c r="G658" s="1082" t="str">
        <f>VLOOKUP($B658,DG!A:D,DG!$D$2,)</f>
        <v>kg</v>
      </c>
      <c r="H658" s="1170">
        <f>H656*8*0.224</f>
        <v>0</v>
      </c>
      <c r="I658" s="1262">
        <f t="shared" si="52"/>
        <v>0</v>
      </c>
      <c r="J658" s="1111"/>
      <c r="K658" s="1111"/>
      <c r="L658" s="1085"/>
      <c r="M658" s="977" t="s">
        <v>1265</v>
      </c>
    </row>
    <row r="659" spans="1:13" s="1086" customFormat="1" ht="25.15" hidden="1" customHeight="1">
      <c r="A659" s="1156">
        <f t="shared" si="51"/>
        <v>0</v>
      </c>
      <c r="B659" s="1157" t="s">
        <v>1513</v>
      </c>
      <c r="C659" s="1157"/>
      <c r="D659" s="1113"/>
      <c r="E659" s="1082">
        <f>VLOOKUP($B659,DG!A:D,DG!$B$2,)</f>
        <v>0</v>
      </c>
      <c r="F659" s="1083" t="str">
        <f>VLOOKUP($B659,DG!A:D,DG!$C$2,)</f>
        <v>Cọc tiếp đất Þ 16- 2,4m + kẹp cọc mạ đồng</v>
      </c>
      <c r="G659" s="1082" t="str">
        <f>VLOOKUP($B659,DG!A:D,DG!$D$2,)</f>
        <v>bộ</v>
      </c>
      <c r="H659" s="1170">
        <f>H656*9</f>
        <v>0</v>
      </c>
      <c r="I659" s="1262">
        <f t="shared" si="52"/>
        <v>0</v>
      </c>
      <c r="J659" s="1111"/>
      <c r="K659" s="1111"/>
      <c r="L659" s="1085"/>
      <c r="M659" s="977" t="s">
        <v>1265</v>
      </c>
    </row>
    <row r="660" spans="1:13" s="1086" customFormat="1" ht="25.15" hidden="1" customHeight="1">
      <c r="A660" s="1156">
        <f t="shared" si="51"/>
        <v>0</v>
      </c>
      <c r="B660" s="1157" t="s">
        <v>997</v>
      </c>
      <c r="C660" s="1157"/>
      <c r="D660" s="1113"/>
      <c r="E660" s="1082">
        <f>VLOOKUP($B660,DG!A:D,DG!$B$2,)</f>
        <v>0</v>
      </c>
      <c r="F660" s="1083" t="str">
        <f>VLOOKUP($B660,DG!A:D,DG!$C$2,)</f>
        <v>Sắt Ø10</v>
      </c>
      <c r="G660" s="1082" t="str">
        <f>VLOOKUP($B660,DG!A:D,DG!$D$2,)</f>
        <v>kg</v>
      </c>
      <c r="H660" s="1170">
        <f>0.395*31*H656</f>
        <v>0</v>
      </c>
      <c r="I660" s="1262">
        <f t="shared" si="52"/>
        <v>0</v>
      </c>
      <c r="J660" s="1111"/>
      <c r="K660" s="1111"/>
      <c r="L660" s="1085"/>
      <c r="M660" s="977" t="s">
        <v>1265</v>
      </c>
    </row>
    <row r="661" spans="1:13" s="1086" customFormat="1" ht="25.15" hidden="1" customHeight="1">
      <c r="A661" s="1156">
        <f t="shared" si="51"/>
        <v>0</v>
      </c>
      <c r="B661" s="1157" t="s">
        <v>376</v>
      </c>
      <c r="C661" s="1157"/>
      <c r="D661" s="1113"/>
      <c r="E661" s="1082">
        <f>VLOOKUP($B661,DG!A:D,DG!$B$2,)</f>
        <v>0</v>
      </c>
      <c r="F661" s="1083" t="str">
        <f>VLOOKUP($B661,DG!A:D,DG!$C$2,)</f>
        <v>Bake D16 - 200x200</v>
      </c>
      <c r="G661" s="1082" t="str">
        <f>VLOOKUP($B661,DG!A:D,DG!$D$2,)</f>
        <v>cái</v>
      </c>
      <c r="H661" s="1170">
        <f>H656*14</f>
        <v>0</v>
      </c>
      <c r="I661" s="1262">
        <f t="shared" si="52"/>
        <v>0</v>
      </c>
      <c r="J661" s="1111"/>
      <c r="K661" s="1111"/>
      <c r="L661" s="1085"/>
      <c r="M661" s="977" t="s">
        <v>1265</v>
      </c>
    </row>
    <row r="662" spans="1:13" s="1086" customFormat="1" ht="25.15" hidden="1" customHeight="1">
      <c r="A662" s="1156">
        <f t="shared" si="51"/>
        <v>0</v>
      </c>
      <c r="B662" s="1332" t="s">
        <v>1584</v>
      </c>
      <c r="C662" s="1332"/>
      <c r="D662" s="1113"/>
      <c r="E662" s="1082">
        <f>VLOOKUP($B662,DG!A:D,DG!$B$2,)</f>
        <v>0</v>
      </c>
      <c r="F662" s="1083" t="str">
        <f>VLOOKUP($B662,DG!A:D,DG!$C$2,)</f>
        <v>Kẹp ép WR cỡ dây 50mm2</v>
      </c>
      <c r="G662" s="1082" t="str">
        <f>VLOOKUP($B662,DG!A:D,DG!$D$2,)</f>
        <v>cái</v>
      </c>
      <c r="H662" s="1170">
        <f>2*H656</f>
        <v>0</v>
      </c>
      <c r="I662" s="1262">
        <f t="shared" si="52"/>
        <v>0</v>
      </c>
      <c r="J662" s="1111"/>
      <c r="K662" s="1111"/>
      <c r="L662" s="1085"/>
      <c r="M662" s="977" t="s">
        <v>1265</v>
      </c>
    </row>
    <row r="663" spans="1:13" s="1086" customFormat="1" ht="25.15" hidden="1" customHeight="1">
      <c r="A663" s="1156">
        <f t="shared" si="51"/>
        <v>0</v>
      </c>
      <c r="B663" s="1332" t="s">
        <v>1116</v>
      </c>
      <c r="C663" s="1332"/>
      <c r="D663" s="1113"/>
      <c r="E663" s="1082">
        <f>VLOOKUP($B663,DG!A:D,DG!$B$2,)</f>
        <v>0</v>
      </c>
      <c r="F663" s="1083" t="str">
        <f>VLOOKUP($B663,DG!A:D,DG!$C$2,)</f>
        <v>Kẹp ép cỡ dây 25mm2</v>
      </c>
      <c r="G663" s="1082" t="str">
        <f>VLOOKUP($B663,DG!A:D,DG!$D$2,)</f>
        <v>cái</v>
      </c>
      <c r="H663" s="1170">
        <f>H656*4</f>
        <v>0</v>
      </c>
      <c r="I663" s="1262">
        <f t="shared" si="52"/>
        <v>0</v>
      </c>
      <c r="J663" s="1111"/>
      <c r="K663" s="1111"/>
      <c r="L663" s="1085"/>
      <c r="M663" s="977" t="s">
        <v>1265</v>
      </c>
    </row>
    <row r="664" spans="1:13" s="1086" customFormat="1" ht="25.15" hidden="1" customHeight="1">
      <c r="A664" s="1156">
        <f t="shared" si="51"/>
        <v>0</v>
      </c>
      <c r="B664" s="1332" t="s">
        <v>377</v>
      </c>
      <c r="C664" s="1332"/>
      <c r="D664" s="1113"/>
      <c r="E664" s="1082" t="str">
        <f>VLOOKUP($B664,DG!A:D,DG!$B$2,)</f>
        <v>03.4002</v>
      </c>
      <c r="F664" s="1083" t="str">
        <f>VLOOKUP($B664,DG!A:D,DG!$C$2,)</f>
        <v>Đầu cosse ép Cu 35mm2</v>
      </c>
      <c r="G664" s="1082" t="str">
        <f>VLOOKUP($B664,DG!A:D,DG!$D$2,)</f>
        <v>cái</v>
      </c>
      <c r="H664" s="1170">
        <f>H656*3</f>
        <v>0</v>
      </c>
      <c r="I664" s="1262">
        <f t="shared" si="52"/>
        <v>0</v>
      </c>
      <c r="J664" s="1111"/>
      <c r="K664" s="1111"/>
      <c r="L664" s="1085"/>
      <c r="M664" s="977" t="s">
        <v>1265</v>
      </c>
    </row>
    <row r="665" spans="1:13" s="1086" customFormat="1" ht="25.15" hidden="1" customHeight="1">
      <c r="A665" s="1156">
        <f t="shared" si="51"/>
        <v>0</v>
      </c>
      <c r="B665" s="1332" t="s">
        <v>371</v>
      </c>
      <c r="C665" s="1332"/>
      <c r="D665" s="1113"/>
      <c r="E665" s="1082" t="str">
        <f>VLOOKUP($B665,DG!A:D,DG!$B$2,)</f>
        <v>03.4003</v>
      </c>
      <c r="F665" s="1083" t="str">
        <f>VLOOKUP($B665,DG!A:D,DG!$C$2,)</f>
        <v>Đầu cosse ép Cu 70mm2</v>
      </c>
      <c r="G665" s="1082" t="str">
        <f>VLOOKUP($B665,DG!A:D,DG!$D$2,)</f>
        <v>cái</v>
      </c>
      <c r="H665" s="1170">
        <f>H656*2</f>
        <v>0</v>
      </c>
      <c r="I665" s="1262">
        <f t="shared" si="52"/>
        <v>0</v>
      </c>
      <c r="J665" s="1111"/>
      <c r="K665" s="1111"/>
      <c r="L665" s="1085"/>
      <c r="M665" s="977" t="s">
        <v>1265</v>
      </c>
    </row>
    <row r="666" spans="1:13" s="1086" customFormat="1" ht="25.15" hidden="1" customHeight="1">
      <c r="A666" s="1156">
        <f t="shared" si="51"/>
        <v>0</v>
      </c>
      <c r="B666" s="1157" t="s">
        <v>375</v>
      </c>
      <c r="C666" s="1157"/>
      <c r="D666" s="1113"/>
      <c r="E666" s="1082" t="str">
        <f>VLOOKUP($B666,DG!A:D,DG!$B$2,)</f>
        <v>06.3231</v>
      </c>
      <c r="F666" s="1083" t="str">
        <f>VLOOKUP($B666,DG!A:D,DG!$C$2,)</f>
        <v>Cổ dê kẹp sắt Ø 10</v>
      </c>
      <c r="G666" s="1082" t="str">
        <f>VLOOKUP($B666,DG!A:D,DG!$D$2,)</f>
        <v>bộ</v>
      </c>
      <c r="H666" s="1170">
        <f>4*H656</f>
        <v>0</v>
      </c>
      <c r="I666" s="1262">
        <f t="shared" si="52"/>
        <v>0</v>
      </c>
      <c r="J666" s="1111"/>
      <c r="K666" s="1111"/>
      <c r="L666" s="1085"/>
      <c r="M666" s="977" t="s">
        <v>1265</v>
      </c>
    </row>
    <row r="667" spans="1:13" s="1086" customFormat="1" ht="25.15" hidden="1" customHeight="1">
      <c r="A667" s="1156">
        <f t="shared" si="51"/>
        <v>0</v>
      </c>
      <c r="B667" s="1157" t="s">
        <v>1355</v>
      </c>
      <c r="C667" s="1157"/>
      <c r="D667" s="1113"/>
      <c r="E667" s="1082">
        <f>VLOOKUP($B667,DG!A:D,DG!$B$2,)</f>
        <v>0</v>
      </c>
      <c r="F667" s="1083" t="s">
        <v>823</v>
      </c>
      <c r="G667" s="1082" t="str">
        <f>VLOOKUP($B667,DG!A:D,DG!$D$2,)</f>
        <v>bộ</v>
      </c>
      <c r="H667" s="1170">
        <f>2*H656</f>
        <v>0</v>
      </c>
      <c r="I667" s="1262">
        <f t="shared" si="52"/>
        <v>0</v>
      </c>
      <c r="J667" s="1111"/>
      <c r="K667" s="1111"/>
      <c r="L667" s="1085"/>
      <c r="M667" s="977" t="s">
        <v>1265</v>
      </c>
    </row>
    <row r="668" spans="1:13" s="1086" customFormat="1" ht="25.15" hidden="1" customHeight="1">
      <c r="A668" s="1156">
        <f t="shared" si="51"/>
        <v>0</v>
      </c>
      <c r="B668" s="1332" t="s">
        <v>2191</v>
      </c>
      <c r="C668" s="1332"/>
      <c r="D668" s="1113"/>
      <c r="E668" s="1082" t="str">
        <f>VLOOKUP($B668,DG!A:D,DG!$B$2,)</f>
        <v>04.7002</v>
      </c>
      <c r="F668" s="1083" t="str">
        <f>VLOOKUP($B668,DG!A:D,DG!$C$2,)</f>
        <v>Kéo dây tiếp địa trong TBA</v>
      </c>
      <c r="G668" s="1082" t="str">
        <f>VLOOKUP($B668,DG!A:D,DG!$D$2,)</f>
        <v>mét</v>
      </c>
      <c r="H668" s="1170">
        <f>H656*31</f>
        <v>0</v>
      </c>
      <c r="I668" s="1262">
        <f t="shared" si="52"/>
        <v>0</v>
      </c>
      <c r="J668" s="1111"/>
      <c r="K668" s="1111"/>
      <c r="L668" s="1085"/>
      <c r="M668" s="977" t="s">
        <v>1265</v>
      </c>
    </row>
    <row r="669" spans="1:13" s="1086" customFormat="1" ht="25.15" hidden="1" customHeight="1">
      <c r="A669" s="1156">
        <f t="shared" si="51"/>
        <v>0</v>
      </c>
      <c r="B669" s="1157" t="s">
        <v>904</v>
      </c>
      <c r="C669" s="1157"/>
      <c r="D669" s="1113"/>
      <c r="E669" s="1082" t="str">
        <f>VLOOKUP($B669,DG!A:D,DG!$B$2,)</f>
        <v>04.7001</v>
      </c>
      <c r="F669" s="1083" t="str">
        <f>VLOOKUP($B669,DG!A:D,DG!$C$2,)</f>
        <v>Đóng cọc tiếp địa trong TBA</v>
      </c>
      <c r="G669" s="1082" t="str">
        <f>VLOOKUP($B669,DG!A:D,DG!$D$2,)</f>
        <v>cọc</v>
      </c>
      <c r="H669" s="1170">
        <f>H659</f>
        <v>0</v>
      </c>
      <c r="I669" s="1262">
        <f t="shared" si="52"/>
        <v>0</v>
      </c>
      <c r="J669" s="1111"/>
      <c r="K669" s="1111"/>
      <c r="L669" s="1085"/>
      <c r="M669" s="977" t="s">
        <v>1265</v>
      </c>
    </row>
    <row r="670" spans="1:13" s="1086" customFormat="1" ht="25.15" hidden="1" customHeight="1">
      <c r="A670" s="1156">
        <f t="shared" si="51"/>
        <v>0</v>
      </c>
      <c r="B670" s="1332" t="str">
        <f>"dtd"&amp;chitiet!G5</f>
        <v>dtd3</v>
      </c>
      <c r="C670" s="1332"/>
      <c r="D670" s="1113"/>
      <c r="E670" s="1082" t="str">
        <f>VLOOKUP($B670,DG!A:D,DG!$B$2,)</f>
        <v>03.3123</v>
      </c>
      <c r="F670" s="1083" t="str">
        <f>VLOOKUP($B670,DG!A:D,DG!$C$2,)</f>
        <v>Đào rãnh tiếp địa đất cấp 3</v>
      </c>
      <c r="G670" s="1082" t="str">
        <f>VLOOKUP($B670,DG!A:D,DG!$D$2,)</f>
        <v>m3</v>
      </c>
      <c r="H670" s="1170">
        <f>H656*11*0.3*0.5</f>
        <v>0</v>
      </c>
      <c r="I670" s="1262">
        <f t="shared" si="52"/>
        <v>0</v>
      </c>
      <c r="J670" s="1111"/>
      <c r="K670" s="1111"/>
      <c r="L670" s="1085"/>
      <c r="M670" s="977" t="s">
        <v>1265</v>
      </c>
    </row>
    <row r="671" spans="1:13" s="1086" customFormat="1" ht="25.15" hidden="1" customHeight="1">
      <c r="A671" s="1156">
        <f t="shared" ref="A671:A732" si="54">IF(I671&gt;0,1,0)</f>
        <v>0</v>
      </c>
      <c r="B671" s="1157" t="str">
        <f>"datd"&amp;chitiet!G5</f>
        <v>datd3</v>
      </c>
      <c r="C671" s="1157"/>
      <c r="D671" s="1113"/>
      <c r="E671" s="1082" t="str">
        <f>VLOOKUP($B671,DG!A:D,DG!$B$2,)</f>
        <v>03.4123</v>
      </c>
      <c r="F671" s="1083" t="str">
        <f>VLOOKUP($B671,DG!A:D,DG!$C$2,)</f>
        <v>Đắp đất rãnh tiếp độ chặt k=0,85</v>
      </c>
      <c r="G671" s="1082" t="str">
        <f>VLOOKUP($B671,DG!A:D,DG!$D$2,)</f>
        <v>m3</v>
      </c>
      <c r="H671" s="1170">
        <f>H670</f>
        <v>0</v>
      </c>
      <c r="I671" s="1262">
        <f t="shared" si="52"/>
        <v>0</v>
      </c>
      <c r="J671" s="1111"/>
      <c r="K671" s="1111"/>
      <c r="L671" s="1085"/>
      <c r="M671" s="977" t="s">
        <v>1265</v>
      </c>
    </row>
    <row r="672" spans="1:13" s="1086" customFormat="1" ht="25.15" hidden="1" customHeight="1">
      <c r="A672" s="1156">
        <f t="shared" si="54"/>
        <v>0</v>
      </c>
      <c r="B672" s="1327"/>
      <c r="C672" s="1327"/>
      <c r="D672" s="1169">
        <f>IF(H672&gt;0,D656+1,D656)</f>
        <v>0</v>
      </c>
      <c r="E672" s="1212"/>
      <c r="F672" s="1189" t="s">
        <v>3721</v>
      </c>
      <c r="G672" s="1169" t="s">
        <v>2394</v>
      </c>
      <c r="H672" s="1867">
        <f>H656</f>
        <v>0</v>
      </c>
      <c r="I672" s="1262">
        <f t="shared" si="52"/>
        <v>0</v>
      </c>
      <c r="J672" s="1134"/>
      <c r="K672" s="1134"/>
      <c r="L672" s="1085"/>
      <c r="M672" s="977" t="s">
        <v>1265</v>
      </c>
    </row>
    <row r="673" spans="1:13" s="1086" customFormat="1" ht="25.15" hidden="1" customHeight="1">
      <c r="A673" s="1156">
        <f>IF(A672&gt;0,1,0)</f>
        <v>0</v>
      </c>
      <c r="B673" s="1327"/>
      <c r="C673" s="1327"/>
      <c r="D673" s="1169"/>
      <c r="E673" s="1212"/>
      <c r="F673" s="1368" t="s">
        <v>2287</v>
      </c>
      <c r="G673" s="1113"/>
      <c r="H673" s="1170"/>
      <c r="I673" s="1262">
        <f t="shared" si="52"/>
        <v>0</v>
      </c>
      <c r="J673" s="1134"/>
      <c r="K673" s="1134"/>
      <c r="L673" s="1085"/>
      <c r="M673" s="977" t="s">
        <v>1265</v>
      </c>
    </row>
    <row r="674" spans="1:13" s="1086" customFormat="1" ht="25.15" hidden="1" customHeight="1">
      <c r="A674" s="1156">
        <f t="shared" si="54"/>
        <v>0</v>
      </c>
      <c r="B674" s="1334" t="s">
        <v>617</v>
      </c>
      <c r="C674" s="1334"/>
      <c r="D674" s="1113"/>
      <c r="E674" s="1082" t="str">
        <f>VLOOKUP($B674,DG!A:D,DG!$B$2,)</f>
        <v>05.1102</v>
      </c>
      <c r="F674" s="1083" t="str">
        <f>VLOOKUP($B674,DG!A:D,DG!$C$2,)</f>
        <v>Vỏ tủ + khóa tủ</v>
      </c>
      <c r="G674" s="1082" t="str">
        <f>VLOOKUP($B674,DG!A:D,DG!$D$2,)</f>
        <v>cái</v>
      </c>
      <c r="H674" s="1170">
        <f>H672</f>
        <v>0</v>
      </c>
      <c r="I674" s="1262">
        <f t="shared" si="52"/>
        <v>0</v>
      </c>
      <c r="J674" s="1111"/>
      <c r="K674" s="1111"/>
      <c r="L674" s="1085"/>
      <c r="M674" s="977" t="s">
        <v>1265</v>
      </c>
    </row>
    <row r="675" spans="1:13" s="1086" customFormat="1" ht="25.15" hidden="1" customHeight="1">
      <c r="A675" s="1156">
        <f t="shared" si="54"/>
        <v>0</v>
      </c>
      <c r="B675" s="1327" t="s">
        <v>881</v>
      </c>
      <c r="C675" s="1327"/>
      <c r="D675" s="1113"/>
      <c r="E675" s="1214"/>
      <c r="F675" s="1083" t="str">
        <f>VLOOKUP($B675,DG!A:D,DG!$C$2,)</f>
        <v>Cổ dê bắt tủ</v>
      </c>
      <c r="G675" s="1082" t="str">
        <f>VLOOKUP($B675,DG!A:D,DG!$D$2,)</f>
        <v>bộ</v>
      </c>
      <c r="H675" s="1170">
        <f>7.018*H672</f>
        <v>0</v>
      </c>
      <c r="I675" s="1262">
        <f t="shared" si="52"/>
        <v>0</v>
      </c>
      <c r="J675" s="1111"/>
      <c r="K675" s="1111"/>
      <c r="L675" s="1085"/>
      <c r="M675" s="977" t="s">
        <v>1265</v>
      </c>
    </row>
    <row r="676" spans="1:13" s="1086" customFormat="1" ht="25.15" hidden="1" customHeight="1">
      <c r="A676" s="1156">
        <f t="shared" si="54"/>
        <v>0</v>
      </c>
      <c r="B676" s="1327" t="s">
        <v>882</v>
      </c>
      <c r="C676" s="1327"/>
      <c r="D676" s="1113"/>
      <c r="E676" s="1214"/>
      <c r="F676" s="1083" t="str">
        <f>VLOOKUP($B676,DG!A:D,DG!$C$2,)</f>
        <v xml:space="preserve">Bakelit 550x450 dầy 10mm </v>
      </c>
      <c r="G676" s="1082" t="str">
        <f>VLOOKUP($B676,DG!A:D,DG!$D$2,)</f>
        <v>cái</v>
      </c>
      <c r="H676" s="1170">
        <f>H672</f>
        <v>0</v>
      </c>
      <c r="I676" s="1262">
        <f t="shared" si="52"/>
        <v>0</v>
      </c>
      <c r="J676" s="1111"/>
      <c r="K676" s="1111"/>
      <c r="L676" s="1085"/>
      <c r="M676" s="977" t="s">
        <v>1265</v>
      </c>
    </row>
    <row r="677" spans="1:13" s="1086" customFormat="1" ht="25.15" hidden="1" customHeight="1">
      <c r="A677" s="1156">
        <f t="shared" si="54"/>
        <v>0</v>
      </c>
      <c r="B677" s="1327"/>
      <c r="C677" s="1327"/>
      <c r="D677" s="1169">
        <f>IF(H677&gt;0,D672+1,D672)</f>
        <v>0</v>
      </c>
      <c r="E677" s="1212"/>
      <c r="F677" s="1200" t="s">
        <v>3722</v>
      </c>
      <c r="G677" s="1169" t="s">
        <v>2394</v>
      </c>
      <c r="H677" s="1867">
        <f>H632</f>
        <v>0</v>
      </c>
      <c r="I677" s="1262">
        <f t="shared" si="52"/>
        <v>0</v>
      </c>
      <c r="J677" s="1134"/>
      <c r="K677" s="1134"/>
      <c r="L677" s="1085"/>
      <c r="M677" s="977" t="s">
        <v>1265</v>
      </c>
    </row>
    <row r="678" spans="1:13" s="1086" customFormat="1" ht="25.15" hidden="1" customHeight="1">
      <c r="A678" s="1156">
        <f>IF(A677&gt;0,1,0)</f>
        <v>0</v>
      </c>
      <c r="B678" s="1327"/>
      <c r="C678" s="1327"/>
      <c r="D678" s="1169"/>
      <c r="E678" s="1212"/>
      <c r="F678" s="1368" t="s">
        <v>2287</v>
      </c>
      <c r="G678" s="1113"/>
      <c r="H678" s="1170"/>
      <c r="I678" s="1262">
        <f t="shared" si="52"/>
        <v>0</v>
      </c>
      <c r="J678" s="1134"/>
      <c r="K678" s="1134"/>
      <c r="L678" s="1085"/>
      <c r="M678" s="977" t="s">
        <v>1265</v>
      </c>
    </row>
    <row r="679" spans="1:13" s="1086" customFormat="1" ht="25.15" hidden="1" customHeight="1">
      <c r="A679" s="1156">
        <f t="shared" si="54"/>
        <v>0</v>
      </c>
      <c r="B679" s="1330" t="s">
        <v>4482</v>
      </c>
      <c r="C679" s="1330"/>
      <c r="D679" s="1113"/>
      <c r="E679" s="1082">
        <f>VLOOKUP($B679,DG!A:D,DG!$B$2,)</f>
        <v>0</v>
      </c>
      <c r="F679" s="1083" t="str">
        <f>VLOOKUP($B679,DG!A:D,DG!$C$2,)</f>
        <v>Cáp 24KV CX-25mm2</v>
      </c>
      <c r="G679" s="1082" t="str">
        <f>VLOOKUP($B679,DG!A:D,DG!$D$2,)</f>
        <v>mét</v>
      </c>
      <c r="H679" s="1170">
        <f>9*H677</f>
        <v>0</v>
      </c>
      <c r="I679" s="1262">
        <f t="shared" si="52"/>
        <v>0</v>
      </c>
      <c r="J679" s="1111"/>
      <c r="K679" s="1111"/>
      <c r="L679" s="1085"/>
      <c r="M679" s="977" t="s">
        <v>1265</v>
      </c>
    </row>
    <row r="680" spans="1:13" s="1086" customFormat="1" ht="25.15" hidden="1" customHeight="1">
      <c r="A680" s="1156">
        <f t="shared" si="54"/>
        <v>0</v>
      </c>
      <c r="B680" s="1157" t="s">
        <v>1484</v>
      </c>
      <c r="C680" s="1157"/>
      <c r="D680" s="1113"/>
      <c r="E680" s="1082" t="str">
        <f>VLOOKUP($B680,DG!A:D,DG!$B$2,)</f>
        <v>04.3007</v>
      </c>
      <c r="F680" s="1083" t="str">
        <f>VLOOKUP($B680,DG!A:D,DG!$C$2,)</f>
        <v>Kẹp quai 2/0</v>
      </c>
      <c r="G680" s="1082" t="str">
        <f>VLOOKUP($B680,DG!A:D,DG!$D$2,)</f>
        <v>cái</v>
      </c>
      <c r="H680" s="1170">
        <f>3*H677</f>
        <v>0</v>
      </c>
      <c r="I680" s="1262">
        <f t="shared" si="52"/>
        <v>0</v>
      </c>
      <c r="J680" s="1111"/>
      <c r="K680" s="1111"/>
      <c r="L680" s="1085"/>
      <c r="M680" s="977" t="s">
        <v>1265</v>
      </c>
    </row>
    <row r="681" spans="1:13" s="1086" customFormat="1" ht="25.15" hidden="1" customHeight="1">
      <c r="A681" s="1156">
        <f t="shared" si="54"/>
        <v>0</v>
      </c>
      <c r="B681" s="1157" t="s">
        <v>1482</v>
      </c>
      <c r="C681" s="1157"/>
      <c r="D681" s="1113"/>
      <c r="E681" s="1082" t="str">
        <f>VLOOKUP($B681,DG!A:D,DG!$B$2,)</f>
        <v>04.3007</v>
      </c>
      <c r="F681" s="1083" t="str">
        <f>VLOOKUP($B681,DG!A:D,DG!$C$2,)</f>
        <v>Kẹp hotline 2/0</v>
      </c>
      <c r="G681" s="1082" t="str">
        <f>VLOOKUP($B681,DG!A:D,DG!$D$2,)</f>
        <v>cái</v>
      </c>
      <c r="H681" s="1170">
        <f>3*H677</f>
        <v>0</v>
      </c>
      <c r="I681" s="1262">
        <f t="shared" si="52"/>
        <v>0</v>
      </c>
      <c r="J681" s="1111"/>
      <c r="K681" s="1111"/>
      <c r="L681" s="1085"/>
      <c r="M681" s="977" t="s">
        <v>1265</v>
      </c>
    </row>
    <row r="682" spans="1:13" s="1086" customFormat="1" ht="25.15" hidden="1" customHeight="1">
      <c r="A682" s="1156">
        <f t="shared" si="54"/>
        <v>0</v>
      </c>
      <c r="B682" s="1157" t="s">
        <v>382</v>
      </c>
      <c r="C682" s="1157"/>
      <c r="D682" s="1113"/>
      <c r="E682" s="1082">
        <f>VLOOKUP($B682,DG!A:D,DG!$B$2,)</f>
        <v>0</v>
      </c>
      <c r="F682" s="1083" t="str">
        <f>VLOOKUP($B682,DG!A:D,DG!$C$2,)</f>
        <v>Chụp đầu cực FCO (bộ 2 cái)</v>
      </c>
      <c r="G682" s="1082" t="str">
        <f>VLOOKUP($B682,DG!A:D,DG!$D$2,)</f>
        <v>bộ</v>
      </c>
      <c r="H682" s="1170">
        <f>H624</f>
        <v>0</v>
      </c>
      <c r="I682" s="1262">
        <f t="shared" si="52"/>
        <v>0</v>
      </c>
      <c r="J682" s="1111"/>
      <c r="K682" s="1111"/>
      <c r="L682" s="1085"/>
      <c r="M682" s="977" t="s">
        <v>1265</v>
      </c>
    </row>
    <row r="683" spans="1:13" s="1086" customFormat="1" ht="25.15" hidden="1" customHeight="1">
      <c r="A683" s="1156">
        <f t="shared" si="54"/>
        <v>0</v>
      </c>
      <c r="B683" s="1157" t="s">
        <v>383</v>
      </c>
      <c r="C683" s="1157"/>
      <c r="D683" s="1113"/>
      <c r="E683" s="1082">
        <f>VLOOKUP($B683,DG!A:D,DG!$B$2,)</f>
        <v>0</v>
      </c>
      <c r="F683" s="1083" t="str">
        <f>VLOOKUP($B683,DG!A:D,DG!$C$2,)</f>
        <v>Chụp đầu cực LA</v>
      </c>
      <c r="G683" s="1082" t="str">
        <f>VLOOKUP($B683,DG!A:D,DG!$D$2,)</f>
        <v>cái</v>
      </c>
      <c r="H683" s="1170">
        <f>H626</f>
        <v>0</v>
      </c>
      <c r="I683" s="1262">
        <f t="shared" si="52"/>
        <v>0</v>
      </c>
      <c r="J683" s="1111"/>
      <c r="K683" s="1111"/>
      <c r="L683" s="1085"/>
      <c r="M683" s="977" t="s">
        <v>1265</v>
      </c>
    </row>
    <row r="684" spans="1:13" s="1086" customFormat="1" ht="25.15" hidden="1" customHeight="1">
      <c r="A684" s="1156">
        <f t="shared" si="54"/>
        <v>0</v>
      </c>
      <c r="B684" s="1157" t="s">
        <v>384</v>
      </c>
      <c r="C684" s="1157"/>
      <c r="D684" s="1113"/>
      <c r="E684" s="1082">
        <f>VLOOKUP($B684,DG!A:D,DG!$B$2,)</f>
        <v>0</v>
      </c>
      <c r="F684" s="1083" t="str">
        <f>VLOOKUP($B684,DG!A:D,DG!$C$2,)</f>
        <v>Chụp đầu MBA</v>
      </c>
      <c r="G684" s="1082" t="str">
        <f>VLOOKUP($B684,DG!A:D,DG!$D$2,)</f>
        <v>cái</v>
      </c>
      <c r="H684" s="1170">
        <f>H623</f>
        <v>0</v>
      </c>
      <c r="I684" s="1262">
        <f t="shared" si="52"/>
        <v>0</v>
      </c>
      <c r="J684" s="1111"/>
      <c r="K684" s="1111"/>
      <c r="L684" s="1085"/>
      <c r="M684" s="977" t="s">
        <v>1265</v>
      </c>
    </row>
    <row r="685" spans="1:13" s="1086" customFormat="1" ht="25.15" hidden="1" customHeight="1">
      <c r="A685" s="1156">
        <f t="shared" si="54"/>
        <v>0</v>
      </c>
      <c r="B685" s="1157" t="s">
        <v>1530</v>
      </c>
      <c r="C685" s="1157"/>
      <c r="D685" s="1113"/>
      <c r="E685" s="1082" t="str">
        <f>VLOOKUP($B685,DG!A:D,DG!$B$2,)</f>
        <v>04.4201</v>
      </c>
      <c r="F685" s="1083" t="str">
        <f>VLOOKUP($B685,DG!A:D,DG!$C$2,)</f>
        <v>Lắp cáp đồng xuống thiết bị D ≤ 95mm2</v>
      </c>
      <c r="G685" s="1082" t="str">
        <f>VLOOKUP($B685,DG!A:D,DG!$D$2,)</f>
        <v>m</v>
      </c>
      <c r="H685" s="1170">
        <f>H679</f>
        <v>0</v>
      </c>
      <c r="I685" s="1262">
        <f t="shared" ref="I685:I748" si="55">IF(M685=$M$23,H685+J685-K685,0)</f>
        <v>0</v>
      </c>
      <c r="J685" s="1111"/>
      <c r="K685" s="1111"/>
      <c r="L685" s="1085"/>
      <c r="M685" s="977" t="s">
        <v>1265</v>
      </c>
    </row>
    <row r="686" spans="1:13" s="1086" customFormat="1" ht="25.15" hidden="1" customHeight="1">
      <c r="A686" s="1156">
        <f t="shared" si="54"/>
        <v>0</v>
      </c>
      <c r="B686" s="1327"/>
      <c r="C686" s="1327"/>
      <c r="D686" s="1169">
        <f>IF(H686&gt;0,D677+1,D677)</f>
        <v>0</v>
      </c>
      <c r="E686" s="1212"/>
      <c r="F686" s="1200" t="s">
        <v>3723</v>
      </c>
      <c r="G686" s="1169" t="s">
        <v>2394</v>
      </c>
      <c r="H686" s="1867">
        <f>+H632</f>
        <v>0</v>
      </c>
      <c r="I686" s="1262">
        <f t="shared" si="55"/>
        <v>0</v>
      </c>
      <c r="J686" s="1134"/>
      <c r="K686" s="1134"/>
      <c r="L686" s="1085"/>
      <c r="M686" s="977" t="s">
        <v>1265</v>
      </c>
    </row>
    <row r="687" spans="1:13" s="1086" customFormat="1" ht="25.15" hidden="1" customHeight="1">
      <c r="A687" s="1156">
        <f>IF(A686&gt;0,1,0)</f>
        <v>0</v>
      </c>
      <c r="B687" s="1327"/>
      <c r="C687" s="1327"/>
      <c r="D687" s="1169"/>
      <c r="E687" s="1212"/>
      <c r="F687" s="1368" t="s">
        <v>2287</v>
      </c>
      <c r="G687" s="1169"/>
      <c r="H687" s="1867"/>
      <c r="I687" s="1262">
        <f t="shared" si="55"/>
        <v>0</v>
      </c>
      <c r="J687" s="1134"/>
      <c r="K687" s="1134"/>
      <c r="L687" s="1085"/>
      <c r="M687" s="977" t="s">
        <v>1265</v>
      </c>
    </row>
    <row r="688" spans="1:13" s="1086" customFormat="1" ht="25.15" hidden="1" customHeight="1">
      <c r="A688" s="1156">
        <f t="shared" si="54"/>
        <v>0</v>
      </c>
      <c r="B688" s="1327" t="s">
        <v>1628</v>
      </c>
      <c r="C688" s="1327"/>
      <c r="D688" s="1113"/>
      <c r="E688" s="1082">
        <f>VLOOKUP($B688,DG!A:D,DG!$B$2,)</f>
        <v>0</v>
      </c>
      <c r="F688" s="1083" t="str">
        <f>VLOOKUP($B688,DG!A:D,DG!$C$2,)&amp;": 9m/1pha"</f>
        <v>Cáp đồng bọc CV70: 9m/1pha</v>
      </c>
      <c r="G688" s="1082" t="str">
        <f>VLOOKUP($B688,DG!A:D,DG!$D$2,)</f>
        <v>mét</v>
      </c>
      <c r="H688" s="1170">
        <f>9*H686*3</f>
        <v>0</v>
      </c>
      <c r="I688" s="1262">
        <f t="shared" si="55"/>
        <v>0</v>
      </c>
      <c r="J688" s="1111"/>
      <c r="K688" s="1111"/>
      <c r="L688" s="1085"/>
      <c r="M688" s="977" t="s">
        <v>1265</v>
      </c>
    </row>
    <row r="689" spans="1:13" s="1086" customFormat="1" ht="25.15" hidden="1" customHeight="1">
      <c r="A689" s="1156">
        <f t="shared" si="54"/>
        <v>0</v>
      </c>
      <c r="B689" s="1327">
        <f>Solieu!$L$62</f>
        <v>0</v>
      </c>
      <c r="C689" s="1327"/>
      <c r="D689" s="1113"/>
      <c r="E689" s="1082" t="e">
        <f>VLOOKUP($B689,DG!A:D,DG!$B$2,)</f>
        <v>#N/A</v>
      </c>
      <c r="F689" s="1083" t="e">
        <f>VLOOKUP($B689,DG!A:D,DG!$C$2,)&amp;": 10m/trung hòa"</f>
        <v>#N/A</v>
      </c>
      <c r="G689" s="1082" t="e">
        <f>VLOOKUP($B689,DG!A:D,DG!$D$2,)</f>
        <v>#N/A</v>
      </c>
      <c r="H689" s="1873">
        <f>10*H686</f>
        <v>0</v>
      </c>
      <c r="I689" s="1262">
        <f t="shared" si="55"/>
        <v>0</v>
      </c>
      <c r="J689" s="1111"/>
      <c r="K689" s="1111"/>
      <c r="L689" s="1085"/>
      <c r="M689" s="977" t="s">
        <v>1265</v>
      </c>
    </row>
    <row r="690" spans="1:13" s="1086" customFormat="1" ht="25.15" hidden="1" customHeight="1">
      <c r="A690" s="1156">
        <f t="shared" si="54"/>
        <v>0</v>
      </c>
      <c r="B690" s="1327" t="s">
        <v>1828</v>
      </c>
      <c r="C690" s="1327"/>
      <c r="D690" s="1113"/>
      <c r="E690" s="1082" t="str">
        <f>VLOOKUP($B690,DG!A:D,DG!$B$2,)</f>
        <v>03.1401</v>
      </c>
      <c r="F690" s="1083" t="str">
        <f>VLOOKUP($B690,DG!A:D,DG!$C$2,)</f>
        <v xml:space="preserve">Cáp CVV 4x2,5mm2  </v>
      </c>
      <c r="G690" s="1082" t="str">
        <f>VLOOKUP($B690,DG!A:D,DG!$D$2,)</f>
        <v>mét</v>
      </c>
      <c r="H690" s="1170">
        <f>2*H686</f>
        <v>0</v>
      </c>
      <c r="I690" s="1262">
        <f t="shared" si="55"/>
        <v>0</v>
      </c>
      <c r="J690" s="1111"/>
      <c r="K690" s="1111"/>
      <c r="L690" s="1085"/>
      <c r="M690" s="977" t="s">
        <v>1265</v>
      </c>
    </row>
    <row r="691" spans="1:13" s="1086" customFormat="1" ht="25.15" hidden="1" customHeight="1">
      <c r="A691" s="1156">
        <f t="shared" si="54"/>
        <v>0</v>
      </c>
      <c r="B691" s="1327" t="s">
        <v>1308</v>
      </c>
      <c r="C691" s="1327"/>
      <c r="D691" s="1113"/>
      <c r="E691" s="1082" t="str">
        <f>VLOOKUP($B691,DG!A:D,DG!$B$2,)</f>
        <v>03.4003</v>
      </c>
      <c r="F691" s="1083" t="str">
        <f>VLOOKUP($B691,DG!A:D,DG!$C$2,)</f>
        <v>Đầu cosse ép Cu 70mm2</v>
      </c>
      <c r="G691" s="1082" t="str">
        <f>VLOOKUP($B691,DG!A:D,DG!$D$2,)</f>
        <v>cái</v>
      </c>
      <c r="H691" s="1873">
        <f>6*H686</f>
        <v>0</v>
      </c>
      <c r="I691" s="1262">
        <f t="shared" si="55"/>
        <v>0</v>
      </c>
      <c r="J691" s="1111"/>
      <c r="K691" s="1111"/>
      <c r="L691" s="1085"/>
      <c r="M691" s="977" t="s">
        <v>1265</v>
      </c>
    </row>
    <row r="692" spans="1:13" s="1086" customFormat="1" ht="25.15" hidden="1" customHeight="1">
      <c r="A692" s="1156">
        <f t="shared" si="54"/>
        <v>0</v>
      </c>
      <c r="B692" s="1327" t="s">
        <v>1307</v>
      </c>
      <c r="C692" s="1327"/>
      <c r="D692" s="1113"/>
      <c r="E692" s="1082" t="str">
        <f>VLOOKUP($B692,DG!A:D,DG!$B$2,)</f>
        <v>03.4002</v>
      </c>
      <c r="F692" s="1083" t="str">
        <f>VLOOKUP($B692,DG!A:D,DG!$C$2,)</f>
        <v>Đầu cosse ép Cu 50mm2</v>
      </c>
      <c r="G692" s="1082" t="str">
        <f>VLOOKUP($B692,DG!A:D,DG!$D$2,)</f>
        <v>cái</v>
      </c>
      <c r="H692" s="1170">
        <f>H686*2</f>
        <v>0</v>
      </c>
      <c r="I692" s="1262">
        <f t="shared" si="55"/>
        <v>0</v>
      </c>
      <c r="J692" s="1111"/>
      <c r="K692" s="1111"/>
      <c r="L692" s="1085"/>
      <c r="M692" s="977" t="s">
        <v>1265</v>
      </c>
    </row>
    <row r="693" spans="1:13" s="1086" customFormat="1" ht="25.15" hidden="1" customHeight="1">
      <c r="A693" s="1156">
        <f t="shared" si="54"/>
        <v>0</v>
      </c>
      <c r="B693" s="1327" t="s">
        <v>2086</v>
      </c>
      <c r="C693" s="1327"/>
      <c r="D693" s="1113"/>
      <c r="E693" s="1082">
        <f>VLOOKUP($B693,DG!A:D,DG!$B$2,)</f>
        <v>0</v>
      </c>
      <c r="F693" s="1083" t="str">
        <f>VLOOKUP($B693,DG!A:D,DG!$C$2,)</f>
        <v>Chụp đầu cosse  70mm2</v>
      </c>
      <c r="G693" s="1082" t="str">
        <f>VLOOKUP($B693,DG!A:D,DG!$D$2,)</f>
        <v>cái</v>
      </c>
      <c r="H693" s="1170">
        <f>H691</f>
        <v>0</v>
      </c>
      <c r="I693" s="1262">
        <f t="shared" si="55"/>
        <v>0</v>
      </c>
      <c r="J693" s="1111"/>
      <c r="K693" s="1111"/>
      <c r="L693" s="1085"/>
      <c r="M693" s="977" t="s">
        <v>1265</v>
      </c>
    </row>
    <row r="694" spans="1:13" s="1086" customFormat="1" ht="25.15" hidden="1" customHeight="1">
      <c r="A694" s="1156">
        <f t="shared" si="54"/>
        <v>0</v>
      </c>
      <c r="B694" s="1327" t="s">
        <v>1180</v>
      </c>
      <c r="C694" s="1327"/>
      <c r="D694" s="1113"/>
      <c r="E694" s="1082">
        <f>VLOOKUP($B694,DG!A:D,DG!$B$2,)</f>
        <v>0</v>
      </c>
      <c r="F694" s="1083" t="str">
        <f>VLOOKUP($B694,DG!A:D,DG!$C$2,)</f>
        <v>Chụp đầu cosse  50mm2</v>
      </c>
      <c r="G694" s="1082" t="str">
        <f>VLOOKUP($B694,DG!A:D,DG!$D$2,)</f>
        <v>cái</v>
      </c>
      <c r="H694" s="1170">
        <f>H692</f>
        <v>0</v>
      </c>
      <c r="I694" s="1262">
        <f t="shared" si="55"/>
        <v>0</v>
      </c>
      <c r="J694" s="1111"/>
      <c r="K694" s="1111"/>
      <c r="L694" s="1085"/>
      <c r="M694" s="977" t="s">
        <v>1265</v>
      </c>
    </row>
    <row r="695" spans="1:13" s="1086" customFormat="1" ht="25.15" hidden="1" customHeight="1">
      <c r="A695" s="1156">
        <f t="shared" si="54"/>
        <v>0</v>
      </c>
      <c r="B695" s="1327" t="s">
        <v>282</v>
      </c>
      <c r="C695" s="1327"/>
      <c r="D695" s="1113"/>
      <c r="E695" s="1082" t="str">
        <f>VLOOKUP($B695,DG!A:D,DG!$B$2,)</f>
        <v>04.8003</v>
      </c>
      <c r="F695" s="1083" t="str">
        <f>VLOOKUP($B695,DG!A:D,DG!$C$2,)</f>
        <v xml:space="preserve">Ống PVC D90x3,8mm </v>
      </c>
      <c r="G695" s="1082" t="str">
        <f>VLOOKUP($B695,DG!A:D,DG!$D$2,)</f>
        <v>m</v>
      </c>
      <c r="H695" s="1170">
        <f>8*H686</f>
        <v>0</v>
      </c>
      <c r="I695" s="1262">
        <f t="shared" si="55"/>
        <v>0</v>
      </c>
      <c r="J695" s="1111"/>
      <c r="K695" s="1111"/>
      <c r="L695" s="1085"/>
      <c r="M695" s="977" t="s">
        <v>1265</v>
      </c>
    </row>
    <row r="696" spans="1:13" s="1086" customFormat="1" ht="25.15" hidden="1" customHeight="1">
      <c r="A696" s="1156">
        <f t="shared" si="54"/>
        <v>0</v>
      </c>
      <c r="B696" s="1157" t="s">
        <v>1996</v>
      </c>
      <c r="C696" s="1157"/>
      <c r="D696" s="1113"/>
      <c r="E696" s="1082" t="str">
        <f>VLOOKUP($B696,DG!A:D,DG!$B$2,)</f>
        <v>06.3231</v>
      </c>
      <c r="F696" s="1083" t="str">
        <f>VLOOKUP($B696,DG!A:D,DG!$C$2,)</f>
        <v>Cổ dê kẹp ống PVC Ø 90</v>
      </c>
      <c r="G696" s="1082" t="str">
        <f>VLOOKUP($B696,DG!A:D,DG!$D$2,)</f>
        <v>bộ</v>
      </c>
      <c r="H696" s="1170">
        <f>3*H686</f>
        <v>0</v>
      </c>
      <c r="I696" s="1262">
        <f t="shared" si="55"/>
        <v>0</v>
      </c>
      <c r="J696" s="1111"/>
      <c r="K696" s="1111"/>
      <c r="L696" s="1085"/>
      <c r="M696" s="977" t="s">
        <v>1265</v>
      </c>
    </row>
    <row r="697" spans="1:13" s="1086" customFormat="1" ht="25.15" hidden="1" customHeight="1">
      <c r="A697" s="1156">
        <f t="shared" si="54"/>
        <v>0</v>
      </c>
      <c r="B697" s="1157" t="s">
        <v>1133</v>
      </c>
      <c r="C697" s="1157"/>
      <c r="D697" s="1113"/>
      <c r="E697" s="1082" t="str">
        <f>VLOOKUP($B697,DG!A:D,DG!$B$2,)</f>
        <v>06.2110</v>
      </c>
      <c r="F697" s="1083" t="str">
        <f>VLOOKUP($B697,DG!A:D,DG!$C$2,)&amp;": CD-320"</f>
        <v>Lắp cổ dề: CD-320</v>
      </c>
      <c r="G697" s="1082" t="str">
        <f>VLOOKUP($B697,DG!A:D,DG!$D$2,)</f>
        <v>bộ</v>
      </c>
      <c r="H697" s="1170">
        <f>1.12*H687</f>
        <v>0</v>
      </c>
      <c r="I697" s="1262">
        <f t="shared" si="55"/>
        <v>0</v>
      </c>
      <c r="J697" s="1111"/>
      <c r="K697" s="1111"/>
      <c r="L697" s="1085"/>
      <c r="M697" s="977" t="s">
        <v>1265</v>
      </c>
    </row>
    <row r="698" spans="1:13" s="1086" customFormat="1" ht="25.15" hidden="1" customHeight="1">
      <c r="A698" s="1156">
        <f t="shared" si="54"/>
        <v>0</v>
      </c>
      <c r="B698" s="1327" t="s">
        <v>69</v>
      </c>
      <c r="C698" s="1327"/>
      <c r="D698" s="1113"/>
      <c r="E698" s="1082">
        <f>VLOOKUP($B698,DG!A:D,DG!$B$2,)</f>
        <v>0</v>
      </c>
      <c r="F698" s="1083" t="str">
        <f>VLOOKUP($B698,DG!A:D,DG!$C$2,)</f>
        <v>Co  90 độ PVC 90</v>
      </c>
      <c r="G698" s="1082" t="str">
        <f>VLOOKUP($B698,DG!A:D,DG!$D$2,)</f>
        <v>cái</v>
      </c>
      <c r="H698" s="1170">
        <f>2*H686</f>
        <v>0</v>
      </c>
      <c r="I698" s="1262">
        <f t="shared" si="55"/>
        <v>0</v>
      </c>
      <c r="J698" s="1111"/>
      <c r="K698" s="1111"/>
      <c r="L698" s="1085"/>
      <c r="M698" s="977" t="s">
        <v>1265</v>
      </c>
    </row>
    <row r="699" spans="1:13" s="1086" customFormat="1" ht="25.15" hidden="1" customHeight="1">
      <c r="A699" s="1156">
        <f t="shared" si="54"/>
        <v>0</v>
      </c>
      <c r="B699" s="1327" t="s">
        <v>727</v>
      </c>
      <c r="C699" s="1327"/>
      <c r="D699" s="1113"/>
      <c r="E699" s="1082">
        <f>VLOOKUP($B699,DG!A:D,DG!$B$2,)</f>
        <v>0</v>
      </c>
      <c r="F699" s="1083" t="str">
        <f>VLOOKUP($B699,DG!A:D,DG!$C$2,)</f>
        <v xml:space="preserve">Nối thẳng ống PVC 90 </v>
      </c>
      <c r="G699" s="1082" t="str">
        <f>VLOOKUP($B699,DG!A:D,DG!$D$2,)</f>
        <v>cái</v>
      </c>
      <c r="H699" s="1873">
        <f>1*H686*0</f>
        <v>0</v>
      </c>
      <c r="I699" s="1262">
        <f t="shared" si="55"/>
        <v>0</v>
      </c>
      <c r="J699" s="1111"/>
      <c r="K699" s="1111"/>
      <c r="L699" s="1085"/>
      <c r="M699" s="977" t="s">
        <v>1265</v>
      </c>
    </row>
    <row r="700" spans="1:13" s="1086" customFormat="1" ht="25.15" hidden="1" customHeight="1">
      <c r="A700" s="1156">
        <f t="shared" si="54"/>
        <v>0</v>
      </c>
      <c r="B700" s="1327" t="s">
        <v>419</v>
      </c>
      <c r="C700" s="1327"/>
      <c r="D700" s="1113"/>
      <c r="E700" s="1082">
        <f>VLOOKUP($B700,DG!A:D,DG!$B$2,)</f>
        <v>0</v>
      </c>
      <c r="F700" s="1083" t="str">
        <f>VLOOKUP($B700,DG!A:D,DG!$C$2,)</f>
        <v>Keo dán ống PVC (100gr)</v>
      </c>
      <c r="G700" s="1082" t="str">
        <f>VLOOKUP($B700,DG!A:D,DG!$D$2,)</f>
        <v>tuýp</v>
      </c>
      <c r="H700" s="1170">
        <f>H686</f>
        <v>0</v>
      </c>
      <c r="I700" s="1262">
        <f t="shared" si="55"/>
        <v>0</v>
      </c>
      <c r="J700" s="1111"/>
      <c r="K700" s="1111"/>
      <c r="L700" s="1085"/>
      <c r="M700" s="977" t="s">
        <v>1265</v>
      </c>
    </row>
    <row r="701" spans="1:13" s="1086" customFormat="1" ht="25.15" hidden="1" customHeight="1">
      <c r="A701" s="1156">
        <f t="shared" si="54"/>
        <v>0</v>
      </c>
      <c r="B701" s="1327" t="s">
        <v>1181</v>
      </c>
      <c r="C701" s="1327"/>
      <c r="D701" s="1113"/>
      <c r="E701" s="1082">
        <f>VLOOKUP($B701,DG!A:D,DG!$B$2,)</f>
        <v>0</v>
      </c>
      <c r="F701" s="1083" t="str">
        <f>VLOOKUP($B701,DG!A:D,DG!$C$2,)</f>
        <v>Keo silicon bít miệng ống</v>
      </c>
      <c r="G701" s="1082" t="str">
        <f>VLOOKUP($B701,DG!A:D,DG!$D$2,)</f>
        <v>ống</v>
      </c>
      <c r="H701" s="1170">
        <f>H686</f>
        <v>0</v>
      </c>
      <c r="I701" s="1262">
        <f t="shared" si="55"/>
        <v>0</v>
      </c>
      <c r="J701" s="1111"/>
      <c r="K701" s="1111"/>
      <c r="L701" s="1085"/>
      <c r="M701" s="977" t="s">
        <v>1265</v>
      </c>
    </row>
    <row r="702" spans="1:13" s="1086" customFormat="1" ht="25.15" hidden="1" customHeight="1">
      <c r="A702" s="1156">
        <f t="shared" si="54"/>
        <v>0</v>
      </c>
      <c r="B702" s="1157" t="s">
        <v>672</v>
      </c>
      <c r="C702" s="1157"/>
      <c r="D702" s="1113"/>
      <c r="E702" s="1082">
        <f>VLOOKUP($B702,DG!A:D,DG!$B$2,)</f>
        <v>0</v>
      </c>
      <c r="F702" s="1083" t="str">
        <f>VLOOKUP($B702,DG!A:D,DG!$C$2,)</f>
        <v>Băng keo cách điện</v>
      </c>
      <c r="G702" s="1082" t="str">
        <f>VLOOKUP($B702,DG!A:D,DG!$D$2,)</f>
        <v>cuộn</v>
      </c>
      <c r="H702" s="1170">
        <f>H686*2</f>
        <v>0</v>
      </c>
      <c r="I702" s="1262">
        <f t="shared" si="55"/>
        <v>0</v>
      </c>
      <c r="J702" s="1111"/>
      <c r="K702" s="1111"/>
      <c r="L702" s="1085"/>
      <c r="M702" s="977" t="s">
        <v>1265</v>
      </c>
    </row>
    <row r="703" spans="1:13" s="1086" customFormat="1" ht="25.15" hidden="1" customHeight="1">
      <c r="A703" s="1156">
        <f t="shared" si="54"/>
        <v>0</v>
      </c>
      <c r="B703" s="1332" t="s">
        <v>2190</v>
      </c>
      <c r="C703" s="1332"/>
      <c r="D703" s="1113"/>
      <c r="E703" s="1082" t="str">
        <f>VLOOKUP($B703,DG!A:D,DG!$B$2,)</f>
        <v>07.2415</v>
      </c>
      <c r="F703" s="1083" t="str">
        <f>VLOOKUP($B703,DG!A:D,DG!$C$2,)</f>
        <v>Lắp ống nhựa PVC D90</v>
      </c>
      <c r="G703" s="1082" t="str">
        <f>VLOOKUP($B703,DG!A:D,DG!$D$2,)</f>
        <v>mét</v>
      </c>
      <c r="H703" s="1170">
        <f>H695</f>
        <v>0</v>
      </c>
      <c r="I703" s="1262">
        <f t="shared" si="55"/>
        <v>0</v>
      </c>
      <c r="J703" s="1111"/>
      <c r="K703" s="1111"/>
      <c r="L703" s="1085"/>
      <c r="M703" s="977" t="s">
        <v>1265</v>
      </c>
    </row>
    <row r="704" spans="1:13" s="1086" customFormat="1" ht="25.15" hidden="1" customHeight="1">
      <c r="A704" s="1156">
        <f t="shared" si="54"/>
        <v>0</v>
      </c>
      <c r="B704" s="1157" t="s">
        <v>1530</v>
      </c>
      <c r="C704" s="1157"/>
      <c r="D704" s="1113"/>
      <c r="E704" s="1082" t="str">
        <f>VLOOKUP($B704,DG!A:D,DG!$B$2,)</f>
        <v>04.4201</v>
      </c>
      <c r="F704" s="1083" t="str">
        <f>VLOOKUP($B704,DG!A:D,DG!$C$2,)</f>
        <v>Lắp cáp đồng xuống thiết bị D ≤ 95mm2</v>
      </c>
      <c r="G704" s="1082" t="str">
        <f>VLOOKUP($B704,DG!A:D,DG!$D$2,)</f>
        <v>m</v>
      </c>
      <c r="H704" s="1170">
        <f>H688+H689</f>
        <v>0</v>
      </c>
      <c r="I704" s="1262">
        <f t="shared" si="55"/>
        <v>0</v>
      </c>
      <c r="J704" s="1111"/>
      <c r="K704" s="1111"/>
      <c r="L704" s="1085"/>
      <c r="M704" s="977" t="s">
        <v>1265</v>
      </c>
    </row>
    <row r="705" spans="1:13" s="1086" customFormat="1" ht="25.15" hidden="1" customHeight="1">
      <c r="A705" s="1156">
        <f t="shared" si="54"/>
        <v>0</v>
      </c>
      <c r="B705" s="1327" t="s">
        <v>289</v>
      </c>
      <c r="C705" s="1327"/>
      <c r="D705" s="1173">
        <f>IF(H705&gt;0,D686+1,D686)</f>
        <v>0</v>
      </c>
      <c r="E705" s="1192"/>
      <c r="F705" s="1215" t="s">
        <v>3724</v>
      </c>
      <c r="G705" s="1082" t="str">
        <f>VLOOKUP($B705,DG!A:D,DG!$D$2,)</f>
        <v>bộ</v>
      </c>
      <c r="H705" s="1868">
        <f>H648</f>
        <v>0</v>
      </c>
      <c r="I705" s="1262">
        <f t="shared" si="55"/>
        <v>0</v>
      </c>
      <c r="J705" s="1111"/>
      <c r="K705" s="1111"/>
      <c r="L705" s="1101"/>
      <c r="M705" s="977" t="s">
        <v>1265</v>
      </c>
    </row>
    <row r="706" spans="1:13" s="1086" customFormat="1" ht="25.15" hidden="1" customHeight="1">
      <c r="A706" s="1156">
        <f t="shared" si="54"/>
        <v>0</v>
      </c>
      <c r="B706" s="1322"/>
      <c r="C706" s="1322"/>
      <c r="D706" s="1193"/>
      <c r="E706" s="1194"/>
      <c r="F706" s="1072"/>
      <c r="G706" s="1195"/>
      <c r="H706" s="1869"/>
      <c r="I706" s="1262">
        <f t="shared" si="55"/>
        <v>0</v>
      </c>
      <c r="J706" s="1196"/>
      <c r="K706" s="1197"/>
      <c r="L706" s="1139"/>
      <c r="M706" s="977"/>
    </row>
    <row r="707" spans="1:13" s="1086" customFormat="1" ht="25.15" hidden="1" customHeight="1">
      <c r="A707" s="1156">
        <f t="shared" si="54"/>
        <v>0</v>
      </c>
      <c r="B707" s="1351"/>
      <c r="C707" s="1351"/>
      <c r="D707" s="1216" t="str">
        <f>"Địa Điểm: "&amp;Solieu!C7</f>
        <v>Địa Điểm: 04</v>
      </c>
      <c r="E707" s="1216"/>
      <c r="F707" s="1216"/>
      <c r="G707" s="1216"/>
      <c r="H707" s="1927"/>
      <c r="I707" s="1262">
        <f t="shared" si="55"/>
        <v>0</v>
      </c>
      <c r="J707" s="1216"/>
      <c r="K707" s="1216"/>
      <c r="L707" s="1216"/>
      <c r="M707" s="977"/>
    </row>
    <row r="708" spans="1:13" s="1086" customFormat="1" ht="25.15" hidden="1" customHeight="1">
      <c r="A708" s="1156">
        <f t="shared" si="54"/>
        <v>0</v>
      </c>
      <c r="B708" s="1351"/>
      <c r="C708" s="1351"/>
      <c r="D708" s="1103"/>
      <c r="E708" s="1198"/>
      <c r="F708" s="1217"/>
      <c r="G708" s="1217"/>
      <c r="H708" s="1876"/>
      <c r="I708" s="1262">
        <f t="shared" si="55"/>
        <v>0</v>
      </c>
      <c r="J708" s="1217"/>
      <c r="K708" s="1217"/>
      <c r="L708" s="977"/>
      <c r="M708" s="977"/>
    </row>
    <row r="709" spans="1:13" s="1086" customFormat="1" ht="25.15" hidden="1" customHeight="1">
      <c r="A709" s="1156">
        <f t="shared" si="54"/>
        <v>0</v>
      </c>
      <c r="B709" s="1327"/>
      <c r="C709" s="1327"/>
      <c r="D709" s="1215"/>
      <c r="E709" s="1215"/>
      <c r="F709" s="1218" t="s">
        <v>3725</v>
      </c>
      <c r="G709" s="1219"/>
      <c r="H709" s="1897"/>
      <c r="I709" s="1262">
        <f t="shared" si="55"/>
        <v>0</v>
      </c>
      <c r="J709" s="1219"/>
      <c r="K709" s="1219"/>
      <c r="L709" s="1199"/>
      <c r="M709" s="977" t="s">
        <v>1266</v>
      </c>
    </row>
    <row r="710" spans="1:13" s="1086" customFormat="1" ht="25.15" hidden="1" customHeight="1">
      <c r="A710" s="1156">
        <f>IF(I710&gt;0,1,0)</f>
        <v>0</v>
      </c>
      <c r="B710" s="1328" t="s">
        <v>1213</v>
      </c>
      <c r="C710" s="1328"/>
      <c r="D710" s="1093">
        <f>IF(H710&gt;0,1,0)</f>
        <v>0</v>
      </c>
      <c r="E710" s="1082" t="str">
        <f>VLOOKUP($B710,DG!A:D,DG!$B$2,)</f>
        <v>01.1412</v>
      </c>
      <c r="F710" s="1083" t="str">
        <f>VLOOKUP($B710,DG!A:D,DG!$C$2,)</f>
        <v>Máy biến áp 12,7/0,22-0,44kV  37,5kVA</v>
      </c>
      <c r="G710" s="1082" t="str">
        <f>VLOOKUP($B710,DG!A:D,DG!$D$2,)</f>
        <v>máy</v>
      </c>
      <c r="H710" s="1877">
        <f>L8*3</f>
        <v>0</v>
      </c>
      <c r="I710" s="1262">
        <f t="shared" si="55"/>
        <v>0</v>
      </c>
      <c r="J710" s="1111"/>
      <c r="K710" s="1111"/>
      <c r="L710" s="1085"/>
      <c r="M710" s="977" t="s">
        <v>1266</v>
      </c>
    </row>
    <row r="711" spans="1:13" s="1086" customFormat="1" ht="25.15" hidden="1" customHeight="1">
      <c r="A711" s="1156">
        <f t="shared" si="54"/>
        <v>0</v>
      </c>
      <c r="B711" s="1328" t="s">
        <v>1213</v>
      </c>
      <c r="C711" s="1328"/>
      <c r="D711" s="1093">
        <f>IF(H711&gt;0,D710+1,D710)</f>
        <v>0</v>
      </c>
      <c r="E711" s="1082" t="str">
        <f>VLOOKUP($B711,DG!A:D,DG!$B$2,)</f>
        <v>01.1412</v>
      </c>
      <c r="F711" s="1083" t="str">
        <f>VLOOKUP($B711,DG!A:D,DG!$C$2,)&amp;" : Thaùo + laép"</f>
        <v>Máy biến áp 12,7/0,22-0,44kV  37,5kVA : Thaùo + laép</v>
      </c>
      <c r="G711" s="1082" t="str">
        <f>VLOOKUP($B711,DG!A:D,DG!$D$2,)</f>
        <v>máy</v>
      </c>
      <c r="H711" s="1877"/>
      <c r="I711" s="1262">
        <f t="shared" si="55"/>
        <v>0</v>
      </c>
      <c r="J711" s="1111"/>
      <c r="K711" s="1111"/>
      <c r="L711" s="1085"/>
      <c r="M711" s="977" t="s">
        <v>1266</v>
      </c>
    </row>
    <row r="712" spans="1:13" s="1086" customFormat="1" ht="25.15" hidden="1" customHeight="1">
      <c r="A712" s="1156">
        <f t="shared" si="54"/>
        <v>0</v>
      </c>
      <c r="B712" s="1328" t="s">
        <v>1657</v>
      </c>
      <c r="C712" s="1328"/>
      <c r="D712" s="1093">
        <f t="shared" ref="D712:D723" si="56">IF(H712&gt;0,D711+1,D711)</f>
        <v>0</v>
      </c>
      <c r="E712" s="1082" t="str">
        <f>VLOOKUP($B712,DG!A:D,DG!$B$2,)</f>
        <v>02.3155</v>
      </c>
      <c r="F712" s="1083" t="str">
        <f>VLOOKUP($B712,DG!A:D,DG!$C$2,)</f>
        <v>FCO 27kV - 100A</v>
      </c>
      <c r="G712" s="1082" t="str">
        <f>VLOOKUP($B712,DG!A:D,DG!$D$2,)</f>
        <v>cái</v>
      </c>
      <c r="H712" s="1878">
        <f>+H710</f>
        <v>0</v>
      </c>
      <c r="I712" s="1262">
        <f t="shared" si="55"/>
        <v>0</v>
      </c>
      <c r="J712" s="1111"/>
      <c r="K712" s="1111"/>
      <c r="L712" s="1085"/>
      <c r="M712" s="977" t="s">
        <v>1266</v>
      </c>
    </row>
    <row r="713" spans="1:13" s="1086" customFormat="1" ht="25.15" hidden="1" customHeight="1">
      <c r="A713" s="1156">
        <f t="shared" si="54"/>
        <v>0</v>
      </c>
      <c r="B713" s="1327" t="s">
        <v>890</v>
      </c>
      <c r="C713" s="1327"/>
      <c r="D713" s="1093">
        <f t="shared" si="56"/>
        <v>0</v>
      </c>
      <c r="E713" s="1082">
        <f>VLOOKUP($B713,DG!A:D,DG!$B$2,)</f>
        <v>0</v>
      </c>
      <c r="F713" s="1083" t="str">
        <f>VLOOKUP($B713,DG!A:D,DG!$C$2,)</f>
        <v>Dây chảy 3K</v>
      </c>
      <c r="G713" s="1082" t="str">
        <f>VLOOKUP($B713,DG!A:D,DG!$D$2,)</f>
        <v>Sợi</v>
      </c>
      <c r="H713" s="1878"/>
      <c r="I713" s="1262">
        <f t="shared" si="55"/>
        <v>0</v>
      </c>
      <c r="J713" s="1111"/>
      <c r="K713" s="1111"/>
      <c r="L713" s="1085"/>
      <c r="M713" s="977" t="s">
        <v>1266</v>
      </c>
    </row>
    <row r="714" spans="1:13" s="1086" customFormat="1" ht="25.15" hidden="1" customHeight="1">
      <c r="A714" s="1156">
        <f t="shared" si="54"/>
        <v>0</v>
      </c>
      <c r="B714" s="1322" t="s">
        <v>1378</v>
      </c>
      <c r="C714" s="1322"/>
      <c r="D714" s="1093">
        <f t="shared" si="56"/>
        <v>0</v>
      </c>
      <c r="E714" s="1082" t="str">
        <f>VLOOKUP($B714,DG!A:D,DG!$B$2,)</f>
        <v>02.5114</v>
      </c>
      <c r="F714" s="1083" t="str">
        <f>VLOOKUP($B714,DG!A:D,DG!$C$2,)</f>
        <v>Chống sét van LA-18KV-10KA</v>
      </c>
      <c r="G714" s="1082" t="str">
        <f>VLOOKUP($B714,DG!A:D,DG!$D$2,)</f>
        <v>cái</v>
      </c>
      <c r="H714" s="1878">
        <f>H712</f>
        <v>0</v>
      </c>
      <c r="I714" s="1262">
        <f t="shared" si="55"/>
        <v>0</v>
      </c>
      <c r="J714" s="1111"/>
      <c r="K714" s="1111"/>
      <c r="L714" s="1085"/>
      <c r="M714" s="977" t="s">
        <v>1266</v>
      </c>
    </row>
    <row r="715" spans="1:13" s="1086" customFormat="1" ht="25.15" hidden="1" customHeight="1">
      <c r="A715" s="1156">
        <f t="shared" si="54"/>
        <v>0</v>
      </c>
      <c r="B715" s="1322" t="s">
        <v>4384</v>
      </c>
      <c r="C715" s="1322"/>
      <c r="D715" s="1093">
        <f t="shared" si="56"/>
        <v>0</v>
      </c>
      <c r="E715" s="1082" t="str">
        <f>VLOOKUP($B715,DG!A:D,DG!$B$2,)</f>
        <v>02.5114</v>
      </c>
      <c r="F715" s="1083" t="str">
        <f>VLOOKUP($B715,DG!A:D,DG!$C$2,)&amp;": Thaùo + laép"</f>
        <v>LA 12kV 10kA: Thaùo + laép</v>
      </c>
      <c r="G715" s="1082" t="str">
        <f>VLOOKUP($B715,DG!A:D,DG!$D$2,)</f>
        <v>cái</v>
      </c>
      <c r="H715" s="1878">
        <f>H712</f>
        <v>0</v>
      </c>
      <c r="I715" s="1262">
        <f t="shared" si="55"/>
        <v>0</v>
      </c>
      <c r="J715" s="1111"/>
      <c r="K715" s="1111"/>
      <c r="L715" s="1085"/>
      <c r="M715" s="977" t="s">
        <v>1266</v>
      </c>
    </row>
    <row r="716" spans="1:13" s="1086" customFormat="1" ht="25.15" hidden="1" customHeight="1">
      <c r="A716" s="1156">
        <f t="shared" si="54"/>
        <v>0</v>
      </c>
      <c r="B716" s="1329" t="s">
        <v>1432</v>
      </c>
      <c r="C716" s="1329"/>
      <c r="D716" s="1093">
        <f t="shared" si="56"/>
        <v>0</v>
      </c>
      <c r="E716" s="1082" t="str">
        <f>VLOOKUP($B716,DG!A:D,DG!$B$2,)</f>
        <v>02.8401</v>
      </c>
      <c r="F716" s="1083" t="str">
        <f>VLOOKUP($B716,DG!A:D,DG!$C$2,)</f>
        <v>MCCB 3 cực 400V -200A - 35KA</v>
      </c>
      <c r="G716" s="1082" t="str">
        <f>VLOOKUP($B716,DG!A:D,DG!$D$2,)</f>
        <v>cái</v>
      </c>
      <c r="H716" s="1878"/>
      <c r="I716" s="1262">
        <f t="shared" si="55"/>
        <v>0</v>
      </c>
      <c r="J716" s="1111"/>
      <c r="K716" s="1111"/>
      <c r="L716" s="1085"/>
      <c r="M716" s="977" t="s">
        <v>1266</v>
      </c>
    </row>
    <row r="717" spans="1:13" s="1086" customFormat="1" ht="25.15" hidden="1" customHeight="1">
      <c r="A717" s="1156">
        <f t="shared" si="54"/>
        <v>0</v>
      </c>
      <c r="B717" s="1329" t="s">
        <v>760</v>
      </c>
      <c r="C717" s="1329"/>
      <c r="D717" s="1093">
        <f t="shared" si="56"/>
        <v>0</v>
      </c>
      <c r="E717" s="1082" t="str">
        <f>VLOOKUP($B717,DG!A:D,DG!$B$2,)</f>
        <v>02.8534</v>
      </c>
      <c r="F717" s="1083" t="str">
        <f>VLOOKUP($B717,DG!A:D,DG!$C$2,)</f>
        <v>Tụ bù 1 pha 30Kvar</v>
      </c>
      <c r="G717" s="1082" t="str">
        <f>VLOOKUP($B717,DG!A:D,DG!$D$2,)</f>
        <v>tủ</v>
      </c>
      <c r="H717" s="1879"/>
      <c r="I717" s="1262">
        <f t="shared" si="55"/>
        <v>0</v>
      </c>
      <c r="J717" s="1111"/>
      <c r="K717" s="1111"/>
      <c r="L717" s="1085"/>
      <c r="M717" s="977" t="s">
        <v>1266</v>
      </c>
    </row>
    <row r="718" spans="1:13" s="1086" customFormat="1" ht="25.15" hidden="1" customHeight="1">
      <c r="A718" s="1156">
        <f t="shared" si="54"/>
        <v>0</v>
      </c>
      <c r="B718" s="1329" t="s">
        <v>760</v>
      </c>
      <c r="C718" s="1329"/>
      <c r="D718" s="1093">
        <f t="shared" si="56"/>
        <v>0</v>
      </c>
      <c r="E718" s="1082" t="str">
        <f>VLOOKUP($B718,DG!A:D,DG!$B$2,)</f>
        <v>02.8534</v>
      </c>
      <c r="F718" s="1083" t="s">
        <v>3726</v>
      </c>
      <c r="G718" s="1082" t="str">
        <f>VLOOKUP($B718,DG!A:D,DG!$D$2,)</f>
        <v>tủ</v>
      </c>
      <c r="H718" s="1879"/>
      <c r="I718" s="1262">
        <f t="shared" si="55"/>
        <v>0</v>
      </c>
      <c r="J718" s="1111"/>
      <c r="K718" s="1111"/>
      <c r="L718" s="1085"/>
      <c r="M718" s="977" t="s">
        <v>1266</v>
      </c>
    </row>
    <row r="719" spans="1:13" s="1086" customFormat="1" ht="25.15" hidden="1" customHeight="1">
      <c r="A719" s="1156">
        <f t="shared" si="54"/>
        <v>0</v>
      </c>
      <c r="B719" s="1330" t="s">
        <v>2050</v>
      </c>
      <c r="C719" s="1330"/>
      <c r="D719" s="1093">
        <f t="shared" si="56"/>
        <v>0</v>
      </c>
      <c r="E719" s="1082">
        <f>VLOOKUP($B719,DG!A:D,DG!$B$2,)</f>
        <v>0</v>
      </c>
      <c r="F719" s="1165" t="str">
        <f>VLOOKUP($B719,DG!A:D,DG!$C$2,)</f>
        <v>Biến dòng 600V - 100/5A</v>
      </c>
      <c r="G719" s="1082" t="str">
        <f>VLOOKUP($B719,DG!A:D,DG!$D$2,)</f>
        <v>cái</v>
      </c>
      <c r="H719" s="1879"/>
      <c r="I719" s="1262">
        <f t="shared" si="55"/>
        <v>0</v>
      </c>
      <c r="J719" s="1111"/>
      <c r="K719" s="1111"/>
      <c r="L719" s="1113"/>
      <c r="M719" s="977" t="s">
        <v>1266</v>
      </c>
    </row>
    <row r="720" spans="1:13" s="1086" customFormat="1" ht="25.15" hidden="1" customHeight="1">
      <c r="A720" s="1156">
        <f t="shared" si="54"/>
        <v>0</v>
      </c>
      <c r="B720" s="1334" t="s">
        <v>288</v>
      </c>
      <c r="C720" s="1334"/>
      <c r="D720" s="1093">
        <f t="shared" si="56"/>
        <v>0</v>
      </c>
      <c r="E720" s="1082" t="str">
        <f>VLOOKUP($B720,DG!A:D,DG!$B$2,)</f>
        <v>05.5104</v>
      </c>
      <c r="F720" s="1165" t="str">
        <f>VLOOKUP($B720,DG!A:D,DG!$C$2,)</f>
        <v>Điện kế 3 pha 4 dây 220/380V-5A</v>
      </c>
      <c r="G720" s="1082" t="str">
        <f>VLOOKUP($B720,DG!A:D,DG!$D$2,)</f>
        <v>cái</v>
      </c>
      <c r="H720" s="1880">
        <f>+H710</f>
        <v>0</v>
      </c>
      <c r="I720" s="1262">
        <f t="shared" si="55"/>
        <v>0</v>
      </c>
      <c r="J720" s="1111"/>
      <c r="K720" s="1111"/>
      <c r="L720" s="1113"/>
      <c r="M720" s="977" t="s">
        <v>1266</v>
      </c>
    </row>
    <row r="721" spans="1:13" s="1086" customFormat="1" ht="25.15" hidden="1" customHeight="1">
      <c r="A721" s="1156">
        <f t="shared" si="54"/>
        <v>0</v>
      </c>
      <c r="B721" s="1327" t="s">
        <v>199</v>
      </c>
      <c r="C721" s="1327"/>
      <c r="D721" s="1093">
        <f t="shared" si="56"/>
        <v>0</v>
      </c>
      <c r="E721" s="1082">
        <f>VLOOKUP($B721,DG!A:D,DG!$B$2,)</f>
        <v>0</v>
      </c>
      <c r="F721" s="1083" t="str">
        <f>VLOOKUP($B721,DG!A:D,DG!$C$2,)</f>
        <v xml:space="preserve">Ampe kế 100/5A-600v +AS </v>
      </c>
      <c r="G721" s="1082" t="str">
        <f>VLOOKUP($B721,DG!A:D,DG!$D$2,)</f>
        <v>Bộ</v>
      </c>
      <c r="H721" s="1878"/>
      <c r="I721" s="1262">
        <f t="shared" si="55"/>
        <v>0</v>
      </c>
      <c r="J721" s="1111"/>
      <c r="K721" s="1111"/>
      <c r="L721" s="1085"/>
      <c r="M721" s="977" t="s">
        <v>1266</v>
      </c>
    </row>
    <row r="722" spans="1:13" s="1086" customFormat="1" ht="25.15" hidden="1" customHeight="1">
      <c r="A722" s="1156">
        <f t="shared" si="54"/>
        <v>0</v>
      </c>
      <c r="B722" s="1327" t="s">
        <v>200</v>
      </c>
      <c r="C722" s="1327"/>
      <c r="D722" s="1093">
        <f t="shared" si="56"/>
        <v>0</v>
      </c>
      <c r="E722" s="1082">
        <f>VLOOKUP($B722,DG!A:D,DG!$B$2,)</f>
        <v>0</v>
      </c>
      <c r="F722" s="1083" t="str">
        <f>VLOOKUP($B722,DG!A:D,DG!$C$2,)</f>
        <v>Volt kế 500V + VS + 2xChì ống 1A-230V</v>
      </c>
      <c r="G722" s="1082" t="str">
        <f>VLOOKUP($B722,DG!A:D,DG!$D$2,)</f>
        <v>Bộ</v>
      </c>
      <c r="H722" s="1880">
        <f>+H714*0</f>
        <v>0</v>
      </c>
      <c r="I722" s="1262">
        <f t="shared" si="55"/>
        <v>0</v>
      </c>
      <c r="J722" s="1111"/>
      <c r="K722" s="1111"/>
      <c r="L722" s="1101"/>
      <c r="M722" s="977" t="s">
        <v>1266</v>
      </c>
    </row>
    <row r="723" spans="1:13" s="1086" customFormat="1" ht="25.15" hidden="1" customHeight="1">
      <c r="A723" s="1156">
        <f t="shared" si="54"/>
        <v>0</v>
      </c>
      <c r="B723" s="1327"/>
      <c r="C723" s="1327"/>
      <c r="D723" s="1093">
        <f t="shared" si="56"/>
        <v>0</v>
      </c>
      <c r="E723" s="1082"/>
      <c r="F723" s="1220" t="s">
        <v>3727</v>
      </c>
      <c r="G723" s="1221"/>
      <c r="H723" s="1881">
        <f>H712/3*0</f>
        <v>0</v>
      </c>
      <c r="I723" s="1262">
        <f t="shared" si="55"/>
        <v>0</v>
      </c>
      <c r="J723" s="1111"/>
      <c r="K723" s="1111"/>
      <c r="L723" s="1222"/>
      <c r="M723" s="977" t="s">
        <v>1266</v>
      </c>
    </row>
    <row r="724" spans="1:13" s="1086" customFormat="1" ht="25.15" hidden="1" customHeight="1">
      <c r="A724" s="1156">
        <f t="shared" si="54"/>
        <v>0</v>
      </c>
      <c r="B724" s="1327" t="s">
        <v>1654</v>
      </c>
      <c r="C724" s="1327"/>
      <c r="D724" s="1093">
        <f>IF(H724&gt;0,D723+1,D723)</f>
        <v>0</v>
      </c>
      <c r="E724" s="1082" t="str">
        <f>VLOOKUP($B724,DG!A:D,DG!$B$2,)</f>
        <v>01.1162</v>
      </c>
      <c r="F724" s="1083" t="str">
        <f>VLOOKUP($B724,DG!A:D,DG!$C$2,)&amp;": thaùo"</f>
        <v>Máy biến áp 8,6(12,7)/0,22-0,44kV- 37,5kVA: thaùo</v>
      </c>
      <c r="G724" s="1082" t="str">
        <f>VLOOKUP($B724,DG!A:D,DG!$D$2,)</f>
        <v>máy</v>
      </c>
      <c r="H724" s="1170"/>
      <c r="I724" s="1262">
        <f t="shared" si="55"/>
        <v>0</v>
      </c>
      <c r="J724" s="1111"/>
      <c r="K724" s="1111"/>
      <c r="L724" s="1175"/>
      <c r="M724" s="977" t="s">
        <v>1266</v>
      </c>
    </row>
    <row r="725" spans="1:13" s="1086" customFormat="1" ht="25.15" hidden="1" customHeight="1">
      <c r="A725" s="1156">
        <f t="shared" si="54"/>
        <v>0</v>
      </c>
      <c r="B725" s="1327" t="s">
        <v>1654</v>
      </c>
      <c r="C725" s="1327"/>
      <c r="D725" s="1093">
        <f>IF(H725&gt;0,D724+1,D724)</f>
        <v>0</v>
      </c>
      <c r="E725" s="1082" t="str">
        <f>VLOOKUP($B725,DG!A:D,DG!$B$2,)</f>
        <v>01.1162</v>
      </c>
      <c r="F725" s="1083" t="str">
        <f>VLOOKUP($B725,DG!A:D,DG!$C$2,)&amp;": laép"</f>
        <v>Máy biến áp 8,6(12,7)/0,22-0,44kV- 37,5kVA: laép</v>
      </c>
      <c r="G725" s="1082" t="str">
        <f>VLOOKUP($B725,DG!A:D,DG!$D$2,)</f>
        <v>máy</v>
      </c>
      <c r="H725" s="1170"/>
      <c r="I725" s="1262">
        <f t="shared" si="55"/>
        <v>0</v>
      </c>
      <c r="J725" s="1111"/>
      <c r="K725" s="1111"/>
      <c r="L725" s="1175"/>
      <c r="M725" s="977" t="s">
        <v>1266</v>
      </c>
    </row>
    <row r="726" spans="1:13" s="1086" customFormat="1" ht="25.15" hidden="1" customHeight="1">
      <c r="A726" s="1156">
        <f t="shared" si="54"/>
        <v>0</v>
      </c>
      <c r="B726" s="1328" t="s">
        <v>1657</v>
      </c>
      <c r="C726" s="1328"/>
      <c r="D726" s="1093">
        <f>IF(H726&gt;0,D724+1,D724)</f>
        <v>0</v>
      </c>
      <c r="E726" s="1082" t="str">
        <f>VLOOKUP($B726,DG!A:D,DG!$B$2,)</f>
        <v>02.3155</v>
      </c>
      <c r="F726" s="1083" t="str">
        <f>VLOOKUP($B726,DG!A:D,DG!$C$2,)&amp;": thaùo"</f>
        <v>FCO 27kV - 100A: thaùo</v>
      </c>
      <c r="G726" s="1082" t="str">
        <f>VLOOKUP($B726,DG!A:D,DG!$D$2,)</f>
        <v>cái</v>
      </c>
      <c r="H726" s="1170"/>
      <c r="I726" s="1262">
        <f t="shared" si="55"/>
        <v>0</v>
      </c>
      <c r="J726" s="1111"/>
      <c r="K726" s="1111"/>
      <c r="L726" s="1175"/>
      <c r="M726" s="977" t="s">
        <v>1266</v>
      </c>
    </row>
    <row r="727" spans="1:13" s="1086" customFormat="1" ht="25.15" hidden="1" customHeight="1">
      <c r="A727" s="1156">
        <f t="shared" si="54"/>
        <v>0</v>
      </c>
      <c r="B727" s="1328" t="s">
        <v>1657</v>
      </c>
      <c r="C727" s="1328"/>
      <c r="D727" s="1093">
        <f>IF(H727&gt;0,D725+1,D725)</f>
        <v>0</v>
      </c>
      <c r="E727" s="1082" t="str">
        <f>VLOOKUP($B727,DG!A:D,DG!$B$2,)</f>
        <v>02.3155</v>
      </c>
      <c r="F727" s="1083" t="str">
        <f>VLOOKUP($B727,DG!A:D,DG!$C$2,)&amp;": laép"</f>
        <v>FCO 27kV - 100A: laép</v>
      </c>
      <c r="G727" s="1082" t="str">
        <f>VLOOKUP($B727,DG!A:D,DG!$D$2,)</f>
        <v>cái</v>
      </c>
      <c r="H727" s="1170"/>
      <c r="I727" s="1262">
        <f t="shared" si="55"/>
        <v>0</v>
      </c>
      <c r="J727" s="1111"/>
      <c r="K727" s="1111"/>
      <c r="L727" s="1175"/>
      <c r="M727" s="977" t="s">
        <v>1266</v>
      </c>
    </row>
    <row r="728" spans="1:13" s="1086" customFormat="1" ht="25.15" hidden="1" customHeight="1">
      <c r="A728" s="1156">
        <f t="shared" si="54"/>
        <v>0</v>
      </c>
      <c r="B728" s="1327" t="s">
        <v>1378</v>
      </c>
      <c r="C728" s="1327"/>
      <c r="D728" s="1093">
        <f>IF(H728&gt;0,D726+1,D726)</f>
        <v>0</v>
      </c>
      <c r="E728" s="1082" t="str">
        <f>VLOOKUP($B728,DG!A:D,DG!$B$2,)</f>
        <v>02.5114</v>
      </c>
      <c r="F728" s="1083" t="str">
        <f>VLOOKUP($B728,DG!A:D,DG!$C$2,)&amp;": thaùo"</f>
        <v>Chống sét van LA-18KV-10KA: thaùo</v>
      </c>
      <c r="G728" s="1082" t="str">
        <f>VLOOKUP($B728,DG!A:D,DG!$D$2,)</f>
        <v>cái</v>
      </c>
      <c r="H728" s="1170"/>
      <c r="I728" s="1262">
        <f t="shared" si="55"/>
        <v>0</v>
      </c>
      <c r="J728" s="1111"/>
      <c r="K728" s="1111"/>
      <c r="L728" s="1175"/>
      <c r="M728" s="977" t="s">
        <v>1266</v>
      </c>
    </row>
    <row r="729" spans="1:13" s="1086" customFormat="1" ht="25.15" hidden="1" customHeight="1">
      <c r="A729" s="1156">
        <f t="shared" si="54"/>
        <v>0</v>
      </c>
      <c r="B729" s="1327" t="s">
        <v>1378</v>
      </c>
      <c r="C729" s="1327"/>
      <c r="D729" s="1093">
        <f>IF(H729&gt;0,D727+1,D727)</f>
        <v>0</v>
      </c>
      <c r="E729" s="1082" t="str">
        <f>VLOOKUP($B729,DG!A:D,DG!$B$2,)</f>
        <v>02.5114</v>
      </c>
      <c r="F729" s="1083" t="str">
        <f>VLOOKUP($B729,DG!A:D,DG!$C$2,)&amp;": laép"</f>
        <v>Chống sét van LA-18KV-10KA: laép</v>
      </c>
      <c r="G729" s="1082" t="str">
        <f>VLOOKUP($B729,DG!A:D,DG!$D$2,)</f>
        <v>cái</v>
      </c>
      <c r="H729" s="1170"/>
      <c r="I729" s="1262">
        <f t="shared" si="55"/>
        <v>0</v>
      </c>
      <c r="J729" s="1111"/>
      <c r="K729" s="1111"/>
      <c r="L729" s="1175"/>
      <c r="M729" s="977" t="s">
        <v>1266</v>
      </c>
    </row>
    <row r="730" spans="1:13" s="1086" customFormat="1" ht="25.15" hidden="1" customHeight="1">
      <c r="A730" s="1156">
        <f t="shared" si="54"/>
        <v>0</v>
      </c>
      <c r="B730" s="1327" t="s">
        <v>991</v>
      </c>
      <c r="C730" s="1327"/>
      <c r="D730" s="1093">
        <f>IF(H730&gt;0,D728+1,D728)</f>
        <v>0</v>
      </c>
      <c r="E730" s="1082" t="str">
        <f>VLOOKUP($B730,DG!A:D,DG!$B$2,)</f>
        <v>05.6001</v>
      </c>
      <c r="F730" s="1083" t="str">
        <f>VLOOKUP($B730,DG!A:D,DG!$C$2,)</f>
        <v>Giá chữ "T" lắp FCO, LA (V50x50x5)</v>
      </c>
      <c r="G730" s="1082" t="str">
        <f>VLOOKUP($B730,DG!A:D,DG!$D$2,)</f>
        <v>Kg</v>
      </c>
      <c r="H730" s="1170"/>
      <c r="I730" s="1262">
        <f t="shared" si="55"/>
        <v>0</v>
      </c>
      <c r="J730" s="1111"/>
      <c r="K730" s="1111"/>
      <c r="L730" s="1175"/>
      <c r="M730" s="977" t="s">
        <v>1266</v>
      </c>
    </row>
    <row r="731" spans="1:13" s="1086" customFormat="1" ht="25.15" hidden="1" customHeight="1">
      <c r="A731" s="1156">
        <f t="shared" si="54"/>
        <v>0</v>
      </c>
      <c r="B731" s="1327"/>
      <c r="C731" s="1327"/>
      <c r="D731" s="1223"/>
      <c r="E731" s="1224"/>
      <c r="F731" s="1225"/>
      <c r="G731" s="1224"/>
      <c r="H731" s="1882"/>
      <c r="I731" s="1262">
        <f t="shared" si="55"/>
        <v>0</v>
      </c>
      <c r="J731" s="1111"/>
      <c r="K731" s="1111"/>
      <c r="L731" s="1101"/>
      <c r="M731" s="977" t="s">
        <v>1266</v>
      </c>
    </row>
    <row r="732" spans="1:13" s="1086" customFormat="1" ht="25.15" hidden="1" customHeight="1">
      <c r="A732" s="1156">
        <f t="shared" si="54"/>
        <v>0</v>
      </c>
      <c r="B732" s="1327"/>
      <c r="C732" s="1327"/>
      <c r="D732" s="1163"/>
      <c r="E732" s="1205"/>
      <c r="F732" s="1226"/>
      <c r="G732" s="1227"/>
      <c r="H732" s="1883"/>
      <c r="I732" s="1262">
        <f t="shared" si="55"/>
        <v>0</v>
      </c>
      <c r="J732" s="1111"/>
      <c r="K732" s="1111"/>
      <c r="L732" s="1139"/>
      <c r="M732" s="977" t="s">
        <v>1266</v>
      </c>
    </row>
    <row r="733" spans="1:13" s="1086" customFormat="1" ht="25.15" hidden="1" customHeight="1">
      <c r="A733" s="1156">
        <f t="shared" ref="A733:A796" si="57">IF(I733&gt;0,1,0)</f>
        <v>0</v>
      </c>
      <c r="B733" s="1327"/>
      <c r="C733" s="1327"/>
      <c r="D733" s="1228"/>
      <c r="E733" s="1229"/>
      <c r="F733" s="1230" t="s">
        <v>3694</v>
      </c>
      <c r="G733" s="1230"/>
      <c r="H733" s="1884"/>
      <c r="I733" s="1262">
        <f t="shared" si="55"/>
        <v>0</v>
      </c>
      <c r="J733" s="1174"/>
      <c r="K733" s="1174"/>
      <c r="L733" s="1206"/>
      <c r="M733" s="977" t="s">
        <v>1266</v>
      </c>
    </row>
    <row r="734" spans="1:13" s="1086" customFormat="1" ht="25.15" hidden="1" customHeight="1">
      <c r="A734" s="1156">
        <f t="shared" si="57"/>
        <v>0</v>
      </c>
      <c r="B734" s="1327"/>
      <c r="C734" s="1327"/>
      <c r="D734" s="1166">
        <f>IF(H734&gt;0,1,0)</f>
        <v>0</v>
      </c>
      <c r="E734" s="1167"/>
      <c r="F734" s="1168" t="s">
        <v>3713</v>
      </c>
      <c r="G734" s="1076" t="s">
        <v>2394</v>
      </c>
      <c r="H734" s="1263"/>
      <c r="I734" s="1263">
        <f t="shared" si="55"/>
        <v>0</v>
      </c>
      <c r="J734" s="1076"/>
      <c r="K734" s="1076"/>
      <c r="L734" s="1076"/>
      <c r="M734" s="977" t="s">
        <v>1266</v>
      </c>
    </row>
    <row r="735" spans="1:13" s="1086" customFormat="1" ht="25.15" hidden="1" customHeight="1">
      <c r="A735" s="1156">
        <f>IF(A734&gt;0,1,0)</f>
        <v>0</v>
      </c>
      <c r="B735" s="1327"/>
      <c r="C735" s="1327"/>
      <c r="D735" s="1231"/>
      <c r="E735" s="1232"/>
      <c r="F735" s="1369" t="s">
        <v>2287</v>
      </c>
      <c r="G735" s="1233"/>
      <c r="H735" s="1885"/>
      <c r="I735" s="1262">
        <f t="shared" si="55"/>
        <v>0</v>
      </c>
      <c r="J735" s="1234"/>
      <c r="K735" s="1234"/>
      <c r="L735" s="1199"/>
      <c r="M735" s="977" t="s">
        <v>1266</v>
      </c>
    </row>
    <row r="736" spans="1:13" s="1086" customFormat="1" ht="25.15" hidden="1" customHeight="1">
      <c r="A736" s="1156">
        <f t="shared" si="57"/>
        <v>0</v>
      </c>
      <c r="B736" s="1157" t="s">
        <v>1592</v>
      </c>
      <c r="C736" s="1157"/>
      <c r="D736" s="1169"/>
      <c r="E736" s="1082" t="str">
        <f>VLOOKUP($B736,DG!A:D,DG!$B$2,)</f>
        <v>05.6100</v>
      </c>
      <c r="F736" s="1083" t="str">
        <f>VLOOKUP($B736,DG!A:D,DG!$C$2,)</f>
        <v>Giá chùm treo máy biến áp 3x37,5</v>
      </c>
      <c r="G736" s="1082" t="str">
        <f>VLOOKUP($B736,DG!A:D,DG!$D$2,)</f>
        <v>cái</v>
      </c>
      <c r="H736" s="1878">
        <f>H734*41</f>
        <v>0</v>
      </c>
      <c r="I736" s="1262">
        <f t="shared" si="55"/>
        <v>0</v>
      </c>
      <c r="J736" s="1111"/>
      <c r="K736" s="1111"/>
      <c r="L736" s="1085"/>
      <c r="M736" s="977" t="s">
        <v>1266</v>
      </c>
    </row>
    <row r="737" spans="1:14" s="1086" customFormat="1" ht="25.15" hidden="1" customHeight="1">
      <c r="A737" s="1156">
        <f t="shared" si="57"/>
        <v>0</v>
      </c>
      <c r="B737" s="1327" t="s">
        <v>1792</v>
      </c>
      <c r="C737" s="1327"/>
      <c r="D737" s="1169"/>
      <c r="E737" s="1170"/>
      <c r="F737" s="1083" t="str">
        <f>VLOOKUP($B737,DG!A:D,DG!$C$2,)</f>
        <v>Boulon 16x50+ 2 long đền vuông D18-50x50x3/Zn</v>
      </c>
      <c r="G737" s="1082" t="str">
        <f>VLOOKUP($B737,DG!A:D,DG!$D$2,)</f>
        <v>bộ</v>
      </c>
      <c r="H737" s="1878">
        <f>6*H734</f>
        <v>0</v>
      </c>
      <c r="I737" s="1262">
        <f t="shared" si="55"/>
        <v>0</v>
      </c>
      <c r="J737" s="1111"/>
      <c r="K737" s="1111"/>
      <c r="L737" s="1085"/>
      <c r="M737" s="977" t="s">
        <v>1266</v>
      </c>
    </row>
    <row r="738" spans="1:14" s="1086" customFormat="1" ht="25.15" hidden="1" customHeight="1">
      <c r="A738" s="1156">
        <f t="shared" si="57"/>
        <v>0</v>
      </c>
      <c r="B738" s="1327" t="s">
        <v>1615</v>
      </c>
      <c r="C738" s="1327"/>
      <c r="D738" s="1169"/>
      <c r="E738" s="1170"/>
      <c r="F738" s="1083" t="str">
        <f>VLOOKUP($B738,DG!A:D,DG!$C$2,)</f>
        <v>Boulon 16x300+ 2 long đền vuông D18-50x50x3/Zn</v>
      </c>
      <c r="G738" s="1082" t="str">
        <f>VLOOKUP($B738,DG!A:D,DG!$D$2,)</f>
        <v>bộ</v>
      </c>
      <c r="H738" s="1878">
        <f>2*H734</f>
        <v>0</v>
      </c>
      <c r="I738" s="1262">
        <f t="shared" si="55"/>
        <v>0</v>
      </c>
      <c r="J738" s="1111"/>
      <c r="K738" s="1111"/>
      <c r="L738" s="1085"/>
      <c r="M738" s="977" t="s">
        <v>1266</v>
      </c>
    </row>
    <row r="739" spans="1:14" s="1086" customFormat="1" ht="25.15" hidden="1" customHeight="1">
      <c r="A739" s="1156">
        <f t="shared" si="57"/>
        <v>0</v>
      </c>
      <c r="B739" s="1327" t="s">
        <v>516</v>
      </c>
      <c r="C739" s="1327"/>
      <c r="D739" s="1169"/>
      <c r="E739" s="1170"/>
      <c r="F739" s="1165" t="str">
        <f>VLOOKUP($B739,DG!A:D,DG!$C$2,)</f>
        <v>Lắp xà đỡ ≤ 50kg</v>
      </c>
      <c r="G739" s="1082" t="str">
        <f>VLOOKUP($B739,DG!A:D,DG!$D$2,)</f>
        <v>bộ</v>
      </c>
      <c r="H739" s="1878">
        <f>H734</f>
        <v>0</v>
      </c>
      <c r="I739" s="1262">
        <f t="shared" si="55"/>
        <v>0</v>
      </c>
      <c r="J739" s="1111"/>
      <c r="K739" s="1111"/>
      <c r="L739" s="1085"/>
      <c r="M739" s="977" t="s">
        <v>1266</v>
      </c>
    </row>
    <row r="740" spans="1:14" s="1086" customFormat="1" ht="25.15" hidden="1" customHeight="1">
      <c r="A740" s="1156">
        <f t="shared" si="57"/>
        <v>0</v>
      </c>
      <c r="B740" s="1327"/>
      <c r="C740" s="1327"/>
      <c r="D740" s="1087">
        <f>IF(H740&gt;0,D734+1,D734)</f>
        <v>0</v>
      </c>
      <c r="E740" s="1235"/>
      <c r="F740" s="1236" t="s">
        <v>3695</v>
      </c>
      <c r="G740" s="1237" t="s">
        <v>2394</v>
      </c>
      <c r="H740" s="1886"/>
      <c r="I740" s="1263">
        <f t="shared" si="55"/>
        <v>0</v>
      </c>
      <c r="J740" s="1090"/>
      <c r="K740" s="1090"/>
      <c r="L740" s="1090"/>
      <c r="M740" s="977" t="s">
        <v>1266</v>
      </c>
    </row>
    <row r="741" spans="1:14" s="1086" customFormat="1" ht="25.15" hidden="1" customHeight="1">
      <c r="A741" s="1156">
        <f>IF(A740&gt;0,1,0)</f>
        <v>0</v>
      </c>
      <c r="B741" s="1327"/>
      <c r="C741" s="1327"/>
      <c r="D741" s="1169"/>
      <c r="E741" s="1188"/>
      <c r="F741" s="1367" t="s">
        <v>2287</v>
      </c>
      <c r="G741" s="1113"/>
      <c r="H741" s="1881"/>
      <c r="I741" s="1262">
        <f t="shared" si="55"/>
        <v>0</v>
      </c>
      <c r="J741" s="1111"/>
      <c r="K741" s="1111"/>
      <c r="L741" s="1113"/>
      <c r="M741" s="977" t="s">
        <v>1266</v>
      </c>
      <c r="N741" s="1190"/>
    </row>
    <row r="742" spans="1:14" s="1086" customFormat="1" ht="25.15" hidden="1" customHeight="1">
      <c r="A742" s="1156">
        <f t="shared" si="57"/>
        <v>0</v>
      </c>
      <c r="B742" s="1157" t="s">
        <v>115</v>
      </c>
      <c r="C742" s="1157"/>
      <c r="D742" s="1113"/>
      <c r="E742" s="1082">
        <f>VLOOKUP($B742,DG!A:D,DG!$B$2,)</f>
        <v>0</v>
      </c>
      <c r="F742" s="1083" t="str">
        <f>VLOOKUP($B742,DG!A:D,DG!$C$2,)</f>
        <v>Trụ BTLT 12m F350 dự ứng lực</v>
      </c>
      <c r="G742" s="1082" t="str">
        <f>VLOOKUP($B742,DG!A:D,DG!$D$2,)</f>
        <v>trụ</v>
      </c>
      <c r="H742" s="1881">
        <f>1*H740</f>
        <v>0</v>
      </c>
      <c r="I742" s="1262">
        <f t="shared" si="55"/>
        <v>0</v>
      </c>
      <c r="J742" s="1111"/>
      <c r="K742" s="1111"/>
      <c r="L742" s="1113"/>
      <c r="M742" s="977" t="s">
        <v>1266</v>
      </c>
      <c r="N742" s="1190"/>
    </row>
    <row r="743" spans="1:14" s="1086" customFormat="1" ht="25.15" hidden="1" customHeight="1">
      <c r="A743" s="1156">
        <f t="shared" si="57"/>
        <v>0</v>
      </c>
      <c r="B743" s="1157" t="s">
        <v>1820</v>
      </c>
      <c r="C743" s="1157"/>
      <c r="D743" s="1113"/>
      <c r="E743" s="1191"/>
      <c r="F743" s="1083" t="str">
        <f>VLOOKUP($B743,DG!A:D,DG!$C$2,)</f>
        <v>Vật liệu dựng trụ</v>
      </c>
      <c r="G743" s="1082" t="str">
        <f>VLOOKUP($B743,DG!A:D,DG!$D$2,)</f>
        <v>trụ</v>
      </c>
      <c r="H743" s="1881">
        <f>H742</f>
        <v>0</v>
      </c>
      <c r="I743" s="1262">
        <f t="shared" si="55"/>
        <v>0</v>
      </c>
      <c r="J743" s="1111"/>
      <c r="K743" s="1111"/>
      <c r="L743" s="1113"/>
      <c r="M743" s="977" t="s">
        <v>1266</v>
      </c>
      <c r="N743" s="1190"/>
    </row>
    <row r="744" spans="1:14" s="1086" customFormat="1" ht="25.15" hidden="1" customHeight="1">
      <c r="A744" s="1156">
        <f t="shared" si="57"/>
        <v>0</v>
      </c>
      <c r="B744" s="1157" t="s">
        <v>2134</v>
      </c>
      <c r="C744" s="1157"/>
      <c r="D744" s="1113"/>
      <c r="E744" s="1191"/>
      <c r="F744" s="1083" t="str">
        <f>VLOOKUP($B744,DG!A:D,DG!$C$2,)</f>
        <v>Dựng trụ BTLT 12m trong TBA bằng thủ công + cơ giới</v>
      </c>
      <c r="G744" s="1082" t="str">
        <f>VLOOKUP($B744,DG!A:D,DG!$D$2,)</f>
        <v>trụ</v>
      </c>
      <c r="H744" s="1881">
        <f>H742</f>
        <v>0</v>
      </c>
      <c r="I744" s="1262">
        <f t="shared" si="55"/>
        <v>0</v>
      </c>
      <c r="J744" s="1111"/>
      <c r="K744" s="1111"/>
      <c r="L744" s="1113"/>
      <c r="M744" s="977" t="s">
        <v>1266</v>
      </c>
      <c r="N744" s="1190"/>
    </row>
    <row r="745" spans="1:14" s="1086" customFormat="1" ht="25.15" hidden="1" customHeight="1">
      <c r="A745" s="1156">
        <f t="shared" si="57"/>
        <v>0</v>
      </c>
      <c r="B745" s="1327"/>
      <c r="C745" s="1327"/>
      <c r="D745" s="1087">
        <f>IF(H745&gt;0,D740+1,D740)</f>
        <v>0</v>
      </c>
      <c r="E745" s="1235"/>
      <c r="F745" s="1236" t="s">
        <v>2361</v>
      </c>
      <c r="G745" s="1237" t="s">
        <v>2394</v>
      </c>
      <c r="H745" s="1887">
        <f>H740</f>
        <v>0</v>
      </c>
      <c r="I745" s="1263">
        <f t="shared" si="55"/>
        <v>0</v>
      </c>
      <c r="J745" s="1090"/>
      <c r="K745" s="1090"/>
      <c r="L745" s="1090"/>
      <c r="M745" s="977" t="s">
        <v>1266</v>
      </c>
    </row>
    <row r="746" spans="1:14" s="1086" customFormat="1" ht="25.15" hidden="1" customHeight="1">
      <c r="A746" s="1156">
        <f>IF(A745&gt;0,1,0)</f>
        <v>0</v>
      </c>
      <c r="B746" s="1327"/>
      <c r="C746" s="1327"/>
      <c r="D746" s="1169"/>
      <c r="E746" s="1188"/>
      <c r="F746" s="1367" t="s">
        <v>2287</v>
      </c>
      <c r="G746" s="1113"/>
      <c r="H746" s="1881"/>
      <c r="I746" s="1262">
        <f t="shared" si="55"/>
        <v>0</v>
      </c>
      <c r="J746" s="1111"/>
      <c r="K746" s="1111"/>
      <c r="L746" s="1113"/>
      <c r="M746" s="977" t="s">
        <v>1266</v>
      </c>
      <c r="N746" s="1190"/>
    </row>
    <row r="747" spans="1:14" s="1086" customFormat="1" ht="25.15" hidden="1" customHeight="1">
      <c r="A747" s="1156">
        <f t="shared" si="57"/>
        <v>0</v>
      </c>
      <c r="B747" s="1334" t="s">
        <v>636</v>
      </c>
      <c r="C747" s="1334"/>
      <c r="D747" s="1113"/>
      <c r="E747" s="1082" t="str">
        <f>VLOOKUP($B747,DG!A:D,DG!$B$2,)</f>
        <v>04.4001</v>
      </c>
      <c r="F747" s="1083" t="str">
        <f>VLOOKUP($B747,DG!A:D,DG!$C$2,)</f>
        <v>Đà cản BTCT 1,2m</v>
      </c>
      <c r="G747" s="1082" t="str">
        <f>VLOOKUP($B747,DG!A:D,DG!$D$2,)</f>
        <v>cái</v>
      </c>
      <c r="H747" s="1881">
        <f>1*H745</f>
        <v>0</v>
      </c>
      <c r="I747" s="1262">
        <f t="shared" si="55"/>
        <v>0</v>
      </c>
      <c r="J747" s="1111"/>
      <c r="K747" s="1111"/>
      <c r="L747" s="1113"/>
      <c r="M747" s="977" t="s">
        <v>1266</v>
      </c>
      <c r="N747" s="1190"/>
    </row>
    <row r="748" spans="1:14" s="1086" customFormat="1" ht="25.15" hidden="1" customHeight="1">
      <c r="A748" s="1156">
        <f t="shared" si="57"/>
        <v>0</v>
      </c>
      <c r="B748" s="1334" t="s">
        <v>566</v>
      </c>
      <c r="C748" s="1334"/>
      <c r="D748" s="1113"/>
      <c r="E748" s="1082">
        <f>VLOOKUP($B748,DG!A:D,DG!$B$2,)</f>
        <v>0</v>
      </c>
      <c r="F748" s="1083" t="str">
        <f>VLOOKUP($B748,DG!A:D,DG!$C$2,)</f>
        <v>Boulon 22x650+ 2 long đền vuông D24-50x50x3/Zn</v>
      </c>
      <c r="G748" s="1082" t="str">
        <f>VLOOKUP($B748,DG!A:D,DG!$D$2,)</f>
        <v>bộ</v>
      </c>
      <c r="H748" s="1881">
        <f>H745</f>
        <v>0</v>
      </c>
      <c r="I748" s="1262">
        <f t="shared" si="55"/>
        <v>0</v>
      </c>
      <c r="J748" s="1111"/>
      <c r="K748" s="1111"/>
      <c r="L748" s="1113"/>
      <c r="M748" s="977" t="s">
        <v>1266</v>
      </c>
      <c r="N748" s="1190"/>
    </row>
    <row r="749" spans="1:14" s="1086" customFormat="1" ht="25.15" hidden="1" customHeight="1">
      <c r="A749" s="1156">
        <f t="shared" si="57"/>
        <v>0</v>
      </c>
      <c r="B749" s="1334" t="str">
        <f>IF(chitiet!G5=1,"MDD1",IF(chitiet!G5=2,"MDD2",IF(chitiet!G5=3,"MDD3",IF(chitiet!G5=4,"MDD4"))))</f>
        <v>MDD3</v>
      </c>
      <c r="C749" s="1334"/>
      <c r="D749" s="1113"/>
      <c r="E749" s="1082" t="str">
        <f>VLOOKUP($B749,DG!A:D,DG!$B$2,)</f>
        <v>03.1013</v>
      </c>
      <c r="F749" s="1083" t="str">
        <f>VLOOKUP($B749,DG!A:D,DG!$C$2,)</f>
        <v>Đào hố móng đất cấp 3 sâu &gt;1m</v>
      </c>
      <c r="G749" s="1082" t="str">
        <f>VLOOKUP($B749,DG!A:D,DG!$D$2,)</f>
        <v>m3</v>
      </c>
      <c r="H749" s="1881">
        <f>H745*1.45</f>
        <v>0</v>
      </c>
      <c r="I749" s="1262">
        <f t="shared" ref="I749:I812" si="58">IF(M749=$M$23,H749+J749-K749,0)</f>
        <v>0</v>
      </c>
      <c r="J749" s="1111"/>
      <c r="K749" s="1111"/>
      <c r="L749" s="1113"/>
      <c r="M749" s="977" t="s">
        <v>1266</v>
      </c>
      <c r="N749" s="1190"/>
    </row>
    <row r="750" spans="1:14" s="1086" customFormat="1" ht="25.15" hidden="1" customHeight="1">
      <c r="A750" s="1156">
        <f t="shared" si="57"/>
        <v>0</v>
      </c>
      <c r="B750" s="1334" t="str">
        <f>IF(chitiet!G5=1,"MDAP1",IF(chitiet!G5=2,"MDAP2",IF(chitiet!G5=3,"MDAP3",IF(chitiet!G5=4,"MDAP4"))))</f>
        <v>MDAP3</v>
      </c>
      <c r="C750" s="1334"/>
      <c r="D750" s="1175"/>
      <c r="E750" s="1099" t="str">
        <f>VLOOKUP($B750,DG!A:D,DG!$B$2,)</f>
        <v>03.4113</v>
      </c>
      <c r="F750" s="1100" t="str">
        <f>VLOOKUP($B750,DG!A:D,DG!$C$2,)</f>
        <v>Đắp đất hố móng, độ chặt k=0,95</v>
      </c>
      <c r="G750" s="1099" t="str">
        <f>VLOOKUP($B750,DG!A:D,DG!$D$2,)</f>
        <v>m3</v>
      </c>
      <c r="H750" s="1881">
        <f>H745*1.37</f>
        <v>0</v>
      </c>
      <c r="I750" s="1262">
        <f t="shared" si="58"/>
        <v>0</v>
      </c>
      <c r="J750" s="1174"/>
      <c r="K750" s="1174"/>
      <c r="L750" s="1175"/>
      <c r="M750" s="977" t="s">
        <v>1266</v>
      </c>
      <c r="N750" s="1190"/>
    </row>
    <row r="751" spans="1:14" s="1086" customFormat="1" ht="25.15" hidden="1" customHeight="1">
      <c r="A751" s="1156">
        <f t="shared" si="57"/>
        <v>0</v>
      </c>
      <c r="B751" s="1327"/>
      <c r="C751" s="1327"/>
      <c r="D751" s="1166">
        <f>IF(H751&gt;0,D745+1,D745)</f>
        <v>0</v>
      </c>
      <c r="E751" s="1171"/>
      <c r="F751" s="1172" t="s">
        <v>4374</v>
      </c>
      <c r="G751" s="1076" t="s">
        <v>2394</v>
      </c>
      <c r="H751" s="1888">
        <f>H734</f>
        <v>0</v>
      </c>
      <c r="I751" s="1263">
        <f t="shared" si="58"/>
        <v>0</v>
      </c>
      <c r="J751" s="1076"/>
      <c r="K751" s="1076"/>
      <c r="L751" s="1076"/>
      <c r="M751" s="977" t="s">
        <v>1266</v>
      </c>
    </row>
    <row r="752" spans="1:14" s="1086" customFormat="1" ht="25.15" hidden="1" customHeight="1">
      <c r="A752" s="1156">
        <f>IF(A751&gt;0,1,0)</f>
        <v>0</v>
      </c>
      <c r="B752" s="1327"/>
      <c r="C752" s="1327"/>
      <c r="D752" s="1231"/>
      <c r="E752" s="1232"/>
      <c r="F752" s="1369" t="s">
        <v>2287</v>
      </c>
      <c r="G752" s="1233"/>
      <c r="H752" s="1878"/>
      <c r="I752" s="1262">
        <f t="shared" si="58"/>
        <v>0</v>
      </c>
      <c r="J752" s="1234"/>
      <c r="K752" s="1234"/>
      <c r="L752" s="1199"/>
      <c r="M752" s="977" t="s">
        <v>1266</v>
      </c>
    </row>
    <row r="753" spans="1:13" s="1086" customFormat="1" ht="25.15" hidden="1" customHeight="1">
      <c r="A753" s="1156">
        <f t="shared" si="57"/>
        <v>0</v>
      </c>
      <c r="B753" s="1157" t="s">
        <v>4362</v>
      </c>
      <c r="C753" s="1157"/>
      <c r="D753" s="1169"/>
      <c r="E753" s="1082">
        <f>VLOOKUP($B753,DG!A:D,DG!$B$2,)</f>
        <v>0</v>
      </c>
      <c r="F753" s="1083" t="str">
        <f>VLOOKUP($B753,DG!A:D,DG!$C$2,)</f>
        <v>Xà composite 110x800x5 dài 2,4m</v>
      </c>
      <c r="G753" s="1082" t="str">
        <f>VLOOKUP($B753,DG!A:D,DG!$D$2,)</f>
        <v>cái</v>
      </c>
      <c r="H753" s="1878">
        <f>H751*9.02*(2.2+4*0.07)</f>
        <v>0</v>
      </c>
      <c r="I753" s="1262">
        <f t="shared" si="58"/>
        <v>0</v>
      </c>
      <c r="J753" s="1111"/>
      <c r="K753" s="1111"/>
      <c r="L753" s="1085"/>
      <c r="M753" s="977" t="s">
        <v>1266</v>
      </c>
    </row>
    <row r="754" spans="1:13" s="1086" customFormat="1" ht="25.15" hidden="1" customHeight="1">
      <c r="A754" s="1156">
        <f t="shared" si="57"/>
        <v>0</v>
      </c>
      <c r="B754" s="1157" t="s">
        <v>365</v>
      </c>
      <c r="C754" s="1157"/>
      <c r="D754" s="1169"/>
      <c r="E754" s="1082">
        <f>VLOOKUP($B754,DG!A:D,DG!$B$2,)</f>
        <v>0</v>
      </c>
      <c r="F754" s="1083" t="str">
        <f>VLOOKUP($B754,DG!A:D,DG!$C$2,)</f>
        <v>Chống composite 40x10x920</v>
      </c>
      <c r="G754" s="1082" t="str">
        <f>VLOOKUP($B754,DG!A:D,DG!$D$2,)</f>
        <v>cái</v>
      </c>
      <c r="H754" s="1878">
        <f>H751*2*3.77*0.81</f>
        <v>0</v>
      </c>
      <c r="I754" s="1262">
        <f t="shared" si="58"/>
        <v>0</v>
      </c>
      <c r="J754" s="1111"/>
      <c r="K754" s="1111"/>
      <c r="L754" s="1085"/>
      <c r="M754" s="977" t="s">
        <v>1266</v>
      </c>
    </row>
    <row r="755" spans="1:13" s="1086" customFormat="1" ht="25.15" hidden="1" customHeight="1">
      <c r="A755" s="1156">
        <f t="shared" si="57"/>
        <v>0</v>
      </c>
      <c r="B755" s="1157" t="s">
        <v>1081</v>
      </c>
      <c r="C755" s="1157"/>
      <c r="D755" s="1169"/>
      <c r="E755" s="1082">
        <f>VLOOKUP($B755,DG!A:D,DG!$B$2,)</f>
        <v>0</v>
      </c>
      <c r="F755" s="1083" t="str">
        <f>VLOOKUP($B755,DG!A:D,DG!$C$2,)</f>
        <v>Boulon 16x350+ 2 long đền vuông D18-50x50x3/Zn</v>
      </c>
      <c r="G755" s="1082" t="str">
        <f>VLOOKUP($B755,DG!A:D,DG!$D$2,)</f>
        <v>bộ</v>
      </c>
      <c r="H755" s="1878">
        <f>H751*3</f>
        <v>0</v>
      </c>
      <c r="I755" s="1262">
        <f t="shared" si="58"/>
        <v>0</v>
      </c>
      <c r="J755" s="1111"/>
      <c r="K755" s="1111"/>
      <c r="L755" s="1085"/>
      <c r="M755" s="977" t="s">
        <v>1266</v>
      </c>
    </row>
    <row r="756" spans="1:13" s="1086" customFormat="1" ht="25.15" hidden="1" customHeight="1">
      <c r="A756" s="1156">
        <f t="shared" si="57"/>
        <v>0</v>
      </c>
      <c r="B756" s="1157" t="s">
        <v>244</v>
      </c>
      <c r="C756" s="1157"/>
      <c r="D756" s="1169"/>
      <c r="E756" s="1082">
        <f>VLOOKUP($B756,DG!A:D,DG!$B$2,)</f>
        <v>0</v>
      </c>
      <c r="F756" s="1083" t="str">
        <f>VLOOKUP($B756,DG!A:D,DG!$C$2,)</f>
        <v>Boulon 16x150+ 2 long đền vuông D18-50x50x3/Zn</v>
      </c>
      <c r="G756" s="1082" t="str">
        <f>VLOOKUP($B756,DG!A:D,DG!$D$2,)</f>
        <v>bộ</v>
      </c>
      <c r="H756" s="1878">
        <f>4*H751</f>
        <v>0</v>
      </c>
      <c r="I756" s="1262">
        <f t="shared" si="58"/>
        <v>0</v>
      </c>
      <c r="J756" s="1111"/>
      <c r="K756" s="1111"/>
      <c r="L756" s="1085"/>
      <c r="M756" s="977" t="s">
        <v>1266</v>
      </c>
    </row>
    <row r="757" spans="1:13" s="1086" customFormat="1" ht="25.15" hidden="1" customHeight="1">
      <c r="A757" s="1156">
        <f t="shared" si="57"/>
        <v>0</v>
      </c>
      <c r="B757" s="1331" t="s">
        <v>2279</v>
      </c>
      <c r="C757" s="1331"/>
      <c r="D757" s="1169"/>
      <c r="E757" s="1082">
        <f>VLOOKUP($B757,DG!A:D,DG!$B$2,)</f>
        <v>0</v>
      </c>
      <c r="F757" s="1083" t="str">
        <f>VLOOKUP($B757,DG!A:D,DG!$C$2,)</f>
        <v>Bass LL bắt FCO, LA</v>
      </c>
      <c r="G757" s="1082" t="str">
        <f>VLOOKUP($B757,DG!A:D,DG!$D$2,)</f>
        <v>bộ</v>
      </c>
      <c r="H757" s="1878">
        <f>2*H751</f>
        <v>0</v>
      </c>
      <c r="I757" s="1262">
        <f t="shared" si="58"/>
        <v>0</v>
      </c>
      <c r="J757" s="1111"/>
      <c r="K757" s="1111"/>
      <c r="L757" s="1085"/>
      <c r="M757" s="977" t="s">
        <v>1266</v>
      </c>
    </row>
    <row r="758" spans="1:13" s="1086" customFormat="1" ht="25.15" hidden="1" customHeight="1">
      <c r="A758" s="1156">
        <f t="shared" si="57"/>
        <v>0</v>
      </c>
      <c r="B758" s="1327" t="s">
        <v>516</v>
      </c>
      <c r="C758" s="1327"/>
      <c r="D758" s="1173"/>
      <c r="E758" s="1099" t="str">
        <f>VLOOKUP($B758,DG!A:D,DG!$B$2,)</f>
        <v>05.6102</v>
      </c>
      <c r="F758" s="1165" t="str">
        <f>VLOOKUP($B758,DG!A:D,DG!$C$2,)</f>
        <v>Lắp xà đỡ ≤ 50kg</v>
      </c>
      <c r="G758" s="1099" t="str">
        <f>VLOOKUP($B758,DG!A:D,DG!$D$2,)</f>
        <v>bộ</v>
      </c>
      <c r="H758" s="1878">
        <f>H751</f>
        <v>0</v>
      </c>
      <c r="I758" s="1262">
        <f t="shared" si="58"/>
        <v>0</v>
      </c>
      <c r="J758" s="1174"/>
      <c r="K758" s="1174"/>
      <c r="L758" s="1101"/>
      <c r="M758" s="977" t="s">
        <v>1266</v>
      </c>
    </row>
    <row r="759" spans="1:13" s="1086" customFormat="1" ht="25.15" hidden="1" customHeight="1">
      <c r="A759" s="1156">
        <f t="shared" si="57"/>
        <v>0</v>
      </c>
      <c r="B759" s="1327"/>
      <c r="C759" s="1327"/>
      <c r="D759" s="1166">
        <f>IF(H759&gt;0,D751+1,D751)</f>
        <v>0</v>
      </c>
      <c r="E759" s="1167"/>
      <c r="F759" s="1168" t="s">
        <v>4407</v>
      </c>
      <c r="G759" s="1076" t="s">
        <v>2394</v>
      </c>
      <c r="H759" s="1888"/>
      <c r="I759" s="1263">
        <f t="shared" si="58"/>
        <v>0</v>
      </c>
      <c r="J759" s="1076"/>
      <c r="K759" s="1076"/>
      <c r="L759" s="1076"/>
      <c r="M759" s="977" t="s">
        <v>1266</v>
      </c>
    </row>
    <row r="760" spans="1:13" s="1086" customFormat="1" ht="25.15" hidden="1" customHeight="1">
      <c r="A760" s="1156">
        <f>IF(A759&gt;0,1,0)</f>
        <v>0</v>
      </c>
      <c r="B760" s="1327"/>
      <c r="C760" s="1327"/>
      <c r="D760" s="1231"/>
      <c r="E760" s="1238"/>
      <c r="F760" s="1369" t="s">
        <v>2287</v>
      </c>
      <c r="G760" s="1233"/>
      <c r="H760" s="1878"/>
      <c r="I760" s="1262">
        <f t="shared" si="58"/>
        <v>0</v>
      </c>
      <c r="J760" s="1234"/>
      <c r="K760" s="1234"/>
      <c r="L760" s="1199"/>
      <c r="M760" s="977" t="s">
        <v>1266</v>
      </c>
    </row>
    <row r="761" spans="1:13" s="1086" customFormat="1" ht="25.15" hidden="1" customHeight="1">
      <c r="A761" s="1156">
        <f t="shared" si="57"/>
        <v>0</v>
      </c>
      <c r="B761" s="1327" t="s">
        <v>1035</v>
      </c>
      <c r="C761" s="1327"/>
      <c r="D761" s="1169"/>
      <c r="E761" s="1082"/>
      <c r="F761" s="1083" t="str">
        <f>VLOOKUP($B761,DG!A:D,DG!$C$2,)</f>
        <v>Cáp đồng trần M25mm2</v>
      </c>
      <c r="G761" s="1082" t="str">
        <f>VLOOKUP($B761,DG!A:D,DG!$D$2,)</f>
        <v>kg</v>
      </c>
      <c r="H761" s="1881">
        <f>H759*0.224*30</f>
        <v>0</v>
      </c>
      <c r="I761" s="1262">
        <f t="shared" si="58"/>
        <v>0</v>
      </c>
      <c r="J761" s="1111"/>
      <c r="K761" s="1111"/>
      <c r="L761" s="1085"/>
      <c r="M761" s="977" t="s">
        <v>1266</v>
      </c>
    </row>
    <row r="762" spans="1:13" s="1086" customFormat="1" ht="25.15" hidden="1" customHeight="1">
      <c r="A762" s="1156">
        <f t="shared" si="57"/>
        <v>0</v>
      </c>
      <c r="B762" s="1157" t="s">
        <v>1513</v>
      </c>
      <c r="C762" s="1157"/>
      <c r="D762" s="1169"/>
      <c r="E762" s="1082">
        <f>VLOOKUP($B762,DG!A:D,DG!$B$2,)</f>
        <v>0</v>
      </c>
      <c r="F762" s="1083" t="str">
        <f>VLOOKUP($B762,DG!A:D,DG!$C$2,)</f>
        <v>Cọc tiếp đất Þ 16- 2,4m + kẹp cọc mạ đồng</v>
      </c>
      <c r="G762" s="1082" t="str">
        <f>VLOOKUP($B762,DG!A:D,DG!$D$2,)</f>
        <v>bộ</v>
      </c>
      <c r="H762" s="1881"/>
      <c r="I762" s="1262">
        <f t="shared" si="58"/>
        <v>0</v>
      </c>
      <c r="J762" s="1111"/>
      <c r="K762" s="1111"/>
      <c r="L762" s="1085"/>
      <c r="M762" s="977" t="s">
        <v>1266</v>
      </c>
    </row>
    <row r="763" spans="1:13" s="1086" customFormat="1" ht="25.15" hidden="1" customHeight="1">
      <c r="A763" s="1156">
        <f t="shared" si="57"/>
        <v>0</v>
      </c>
      <c r="B763" s="1157" t="s">
        <v>1495</v>
      </c>
      <c r="C763" s="1157"/>
      <c r="D763" s="1113"/>
      <c r="E763" s="1082" t="str">
        <f>VLOOKUP($B763,DG!A:D,DG!$B$2,)</f>
        <v>07.2403</v>
      </c>
      <c r="F763" s="1083" t="str">
        <f>VLOOKUP($B763,DG!A:D,DG!$C$2,)</f>
        <v xml:space="preserve">Ống PVC D21x1,6mm </v>
      </c>
      <c r="G763" s="1082" t="str">
        <f>VLOOKUP($B763,DG!A:D,DG!$D$2,)</f>
        <v>m</v>
      </c>
      <c r="H763" s="1878">
        <f>6*H759</f>
        <v>0</v>
      </c>
      <c r="I763" s="1262">
        <f t="shared" si="58"/>
        <v>0</v>
      </c>
      <c r="J763" s="1111"/>
      <c r="K763" s="1111"/>
      <c r="L763" s="1085"/>
      <c r="M763" s="977" t="s">
        <v>1266</v>
      </c>
    </row>
    <row r="764" spans="1:13" s="1086" customFormat="1" ht="25.15" hidden="1" customHeight="1">
      <c r="A764" s="1156">
        <f t="shared" si="57"/>
        <v>0</v>
      </c>
      <c r="B764" s="1332" t="s">
        <v>1584</v>
      </c>
      <c r="C764" s="1332"/>
      <c r="D764" s="1169"/>
      <c r="E764" s="1082">
        <f>VLOOKUP($B764,DG!A:D,DG!$B$2,)</f>
        <v>0</v>
      </c>
      <c r="F764" s="1083" t="str">
        <f>VLOOKUP($B764,DG!A:D,DG!$C$2,)</f>
        <v>Kẹp ép WR cỡ dây 50mm2</v>
      </c>
      <c r="G764" s="1082" t="str">
        <f>VLOOKUP($B764,DG!A:D,DG!$D$2,)</f>
        <v>cái</v>
      </c>
      <c r="H764" s="1878">
        <f>H759*2</f>
        <v>0</v>
      </c>
      <c r="I764" s="1262">
        <f t="shared" si="58"/>
        <v>0</v>
      </c>
      <c r="J764" s="1111"/>
      <c r="K764" s="1111"/>
      <c r="L764" s="1085"/>
      <c r="M764" s="977" t="s">
        <v>1266</v>
      </c>
    </row>
    <row r="765" spans="1:13" s="1086" customFormat="1" ht="25.15" hidden="1" customHeight="1">
      <c r="A765" s="1156">
        <f t="shared" si="57"/>
        <v>0</v>
      </c>
      <c r="B765" s="1333" t="s">
        <v>1064</v>
      </c>
      <c r="C765" s="1333"/>
      <c r="D765" s="1169"/>
      <c r="E765" s="1082" t="str">
        <f>VLOOKUP($B765,DG!A:D,DG!$B$2,)</f>
        <v>04.3107</v>
      </c>
      <c r="F765" s="1083" t="str">
        <f>VLOOKUP($B765,DG!A:D,DG!$C$2,)</f>
        <v>Ốc siết cáp cỡ 25mm2</v>
      </c>
      <c r="G765" s="1082" t="str">
        <f>VLOOKUP($B765,DG!A:D,DG!$D$2,)</f>
        <v>cái</v>
      </c>
      <c r="H765" s="1878">
        <f>2*H759</f>
        <v>0</v>
      </c>
      <c r="I765" s="1262">
        <f t="shared" si="58"/>
        <v>0</v>
      </c>
      <c r="J765" s="1111"/>
      <c r="K765" s="1111"/>
      <c r="L765" s="1085"/>
      <c r="M765" s="977" t="s">
        <v>1266</v>
      </c>
    </row>
    <row r="766" spans="1:13" s="1086" customFormat="1" ht="25.15" hidden="1" customHeight="1">
      <c r="A766" s="1156">
        <f t="shared" si="57"/>
        <v>0</v>
      </c>
      <c r="B766" s="1157" t="s">
        <v>525</v>
      </c>
      <c r="C766" s="1157"/>
      <c r="D766" s="1169"/>
      <c r="E766" s="1082" t="str">
        <f>VLOOKUP($B766,DG!A:D,DG!$B$2,)</f>
        <v>06.3231</v>
      </c>
      <c r="F766" s="1083" t="str">
        <f>VLOOKUP($B766,DG!A:D,DG!$C$2,)</f>
        <v>Cổ dê kẹp ống PVC  21</v>
      </c>
      <c r="G766" s="1082" t="str">
        <f>VLOOKUP($B766,DG!A:D,DG!$D$2,)</f>
        <v>bộ</v>
      </c>
      <c r="H766" s="1878">
        <f>3*H759*0</f>
        <v>0</v>
      </c>
      <c r="I766" s="1262">
        <f t="shared" si="58"/>
        <v>0</v>
      </c>
      <c r="J766" s="1111"/>
      <c r="K766" s="1111"/>
      <c r="L766" s="1085"/>
      <c r="M766" s="977" t="s">
        <v>1266</v>
      </c>
    </row>
    <row r="767" spans="1:13" s="1086" customFormat="1" ht="25.15" hidden="1" customHeight="1">
      <c r="A767" s="1156">
        <f t="shared" si="57"/>
        <v>0</v>
      </c>
      <c r="B767" s="1332" t="s">
        <v>2191</v>
      </c>
      <c r="C767" s="1332"/>
      <c r="D767" s="1113"/>
      <c r="E767" s="1082" t="str">
        <f>VLOOKUP($B767,DG!A:D,DG!$B$2,)</f>
        <v>04.7002</v>
      </c>
      <c r="F767" s="1165" t="str">
        <f>VLOOKUP($B767,DG!A:D,DG!$C$2,)</f>
        <v>Kéo dây tiếp địa trong TBA</v>
      </c>
      <c r="G767" s="1082" t="str">
        <f>VLOOKUP($B767,DG!A:D,DG!$D$2,)</f>
        <v>mét</v>
      </c>
      <c r="H767" s="1881">
        <f>H759*$I$3</f>
        <v>0</v>
      </c>
      <c r="I767" s="1262">
        <f t="shared" si="58"/>
        <v>0</v>
      </c>
      <c r="J767" s="1111"/>
      <c r="K767" s="1111"/>
      <c r="L767" s="1085"/>
      <c r="M767" s="977" t="s">
        <v>1266</v>
      </c>
    </row>
    <row r="768" spans="1:13" s="1086" customFormat="1" ht="25.15" hidden="1" customHeight="1">
      <c r="A768" s="1156">
        <f t="shared" si="57"/>
        <v>0</v>
      </c>
      <c r="B768" s="1157" t="s">
        <v>904</v>
      </c>
      <c r="C768" s="1157"/>
      <c r="D768" s="1113"/>
      <c r="E768" s="1082" t="str">
        <f>VLOOKUP($B768,DG!A:D,DG!$B$2,)</f>
        <v>04.7001</v>
      </c>
      <c r="F768" s="1165" t="str">
        <f>VLOOKUP($B768,DG!A:D,DG!$C$2,)</f>
        <v>Đóng cọc tiếp địa trong TBA</v>
      </c>
      <c r="G768" s="1082" t="str">
        <f>VLOOKUP($B768,DG!A:D,DG!$D$2,)</f>
        <v>cọc</v>
      </c>
      <c r="H768" s="1881"/>
      <c r="I768" s="1262">
        <f t="shared" si="58"/>
        <v>0</v>
      </c>
      <c r="J768" s="1111"/>
      <c r="K768" s="1111"/>
      <c r="L768" s="1085"/>
      <c r="M768" s="977" t="s">
        <v>1266</v>
      </c>
    </row>
    <row r="769" spans="1:16" s="1086" customFormat="1" ht="25.15" hidden="1" customHeight="1">
      <c r="A769" s="1156">
        <f t="shared" si="57"/>
        <v>0</v>
      </c>
      <c r="B769" s="1157" t="s">
        <v>1590</v>
      </c>
      <c r="C769" s="1157"/>
      <c r="D769" s="1113"/>
      <c r="E769" s="1082">
        <f>VLOOKUP($B769,DG!A:D,DG!$B$2,)</f>
        <v>0</v>
      </c>
      <c r="F769" s="1083" t="str">
        <f>VLOOKUP($B769,DG!A:D,DG!$C$2,)</f>
        <v>Giếng tiếp địa khoan đất</v>
      </c>
      <c r="G769" s="1082" t="str">
        <f>VLOOKUP($B769,DG!A:D,DG!$D$2,)</f>
        <v>Cái</v>
      </c>
      <c r="H769" s="1881"/>
      <c r="I769" s="1262">
        <f t="shared" si="58"/>
        <v>0</v>
      </c>
      <c r="J769" s="1111"/>
      <c r="K769" s="1111"/>
      <c r="L769" s="1085"/>
      <c r="M769" s="977" t="s">
        <v>1266</v>
      </c>
    </row>
    <row r="770" spans="1:16" s="1086" customFormat="1" ht="25.15" hidden="1" customHeight="1">
      <c r="A770" s="1156">
        <f t="shared" si="57"/>
        <v>0</v>
      </c>
      <c r="B770" s="1332" t="s">
        <v>1057</v>
      </c>
      <c r="C770" s="1332"/>
      <c r="D770" s="1113"/>
      <c r="E770" s="1082" t="str">
        <f>VLOOKUP($B770,DG!A:D,DG!$B$2,)</f>
        <v>03.3123</v>
      </c>
      <c r="F770" s="1165" t="str">
        <f>VLOOKUP($B770,DG!A:D,DG!$C$2,)</f>
        <v>Đào rãnh tiếp địa đất cấp 3</v>
      </c>
      <c r="G770" s="1082" t="str">
        <f>VLOOKUP($B770,DG!A:D,DG!$D$2,)</f>
        <v>m3</v>
      </c>
      <c r="H770" s="1170"/>
      <c r="I770" s="1262">
        <f t="shared" si="58"/>
        <v>0</v>
      </c>
      <c r="J770" s="1111"/>
      <c r="K770" s="1111"/>
      <c r="L770" s="1085"/>
      <c r="M770" s="977" t="s">
        <v>1266</v>
      </c>
    </row>
    <row r="771" spans="1:16" s="1086" customFormat="1" ht="25.15" hidden="1" customHeight="1">
      <c r="A771" s="1156">
        <f t="shared" si="57"/>
        <v>0</v>
      </c>
      <c r="B771" s="1157" t="s">
        <v>1058</v>
      </c>
      <c r="C771" s="1157"/>
      <c r="D771" s="1175"/>
      <c r="E771" s="1099" t="str">
        <f>VLOOKUP($B771,DG!A:D,DG!$B$2,)</f>
        <v>03.4123</v>
      </c>
      <c r="F771" s="1165" t="str">
        <f>VLOOKUP($B771,DG!A:D,DG!$C$2,)</f>
        <v>Đắp đất rãnh tiếp độ chặt k=0,85</v>
      </c>
      <c r="G771" s="1099" t="str">
        <f>VLOOKUP($B771,DG!A:D,DG!$D$2,)</f>
        <v>m3</v>
      </c>
      <c r="H771" s="1875"/>
      <c r="I771" s="1262">
        <f t="shared" si="58"/>
        <v>0</v>
      </c>
      <c r="J771" s="1174"/>
      <c r="K771" s="1174"/>
      <c r="L771" s="1101"/>
      <c r="M771" s="977" t="s">
        <v>1266</v>
      </c>
    </row>
    <row r="772" spans="1:16" s="1086" customFormat="1" ht="25.15" hidden="1" customHeight="1">
      <c r="A772" s="1156">
        <f t="shared" si="57"/>
        <v>0</v>
      </c>
      <c r="B772" s="1327"/>
      <c r="C772" s="1327"/>
      <c r="D772" s="1073">
        <f>IF(H772&gt;0,D759+1,D759)</f>
        <v>0</v>
      </c>
      <c r="E772" s="1074"/>
      <c r="F772" s="1075" t="s">
        <v>3721</v>
      </c>
      <c r="G772" s="1073" t="s">
        <v>2394</v>
      </c>
      <c r="H772" s="1263"/>
      <c r="I772" s="1263">
        <f t="shared" si="58"/>
        <v>0</v>
      </c>
      <c r="J772" s="1076"/>
      <c r="K772" s="1076"/>
      <c r="L772" s="1076"/>
      <c r="M772" s="977" t="s">
        <v>1266</v>
      </c>
    </row>
    <row r="773" spans="1:16" s="1086" customFormat="1" ht="25.15" hidden="1" customHeight="1">
      <c r="A773" s="1156">
        <f>IF(A772&gt;0,1,0)</f>
        <v>0</v>
      </c>
      <c r="B773" s="1327"/>
      <c r="C773" s="1327"/>
      <c r="D773" s="1231"/>
      <c r="E773" s="1238"/>
      <c r="F773" s="1369" t="s">
        <v>2287</v>
      </c>
      <c r="G773" s="1233"/>
      <c r="H773" s="1878"/>
      <c r="I773" s="1262">
        <f t="shared" si="58"/>
        <v>0</v>
      </c>
      <c r="J773" s="1234"/>
      <c r="K773" s="1234"/>
      <c r="L773" s="1199"/>
      <c r="M773" s="977" t="s">
        <v>1266</v>
      </c>
    </row>
    <row r="774" spans="1:16" s="1086" customFormat="1" ht="25.15" hidden="1" customHeight="1">
      <c r="A774" s="1156">
        <f t="shared" si="57"/>
        <v>0</v>
      </c>
      <c r="B774" s="1334" t="s">
        <v>617</v>
      </c>
      <c r="C774" s="1334"/>
      <c r="D774" s="1169"/>
      <c r="E774" s="1082" t="str">
        <f>VLOOKUP($B774,DG!A:D,DG!$B$2,)</f>
        <v>05.1102</v>
      </c>
      <c r="F774" s="1083" t="str">
        <f>VLOOKUP($B774,DG!A:D,DG!$C$2,)</f>
        <v>Vỏ tủ + khóa tủ</v>
      </c>
      <c r="G774" s="1082" t="str">
        <f>VLOOKUP($B774,DG!A:D,DG!$D$2,)</f>
        <v>cái</v>
      </c>
      <c r="H774" s="1878">
        <f>H772*0</f>
        <v>0</v>
      </c>
      <c r="I774" s="1262">
        <f t="shared" si="58"/>
        <v>0</v>
      </c>
      <c r="J774" s="1111"/>
      <c r="K774" s="1111"/>
      <c r="L774" s="1085"/>
      <c r="M774" s="977" t="s">
        <v>1266</v>
      </c>
    </row>
    <row r="775" spans="1:16" s="1086" customFormat="1" ht="25.15" hidden="1" customHeight="1">
      <c r="A775" s="1156">
        <f t="shared" si="57"/>
        <v>0</v>
      </c>
      <c r="B775" s="1327" t="s">
        <v>588</v>
      </c>
      <c r="C775" s="1327"/>
      <c r="D775" s="1169"/>
      <c r="E775" s="1170"/>
      <c r="F775" s="1083" t="str">
        <f>VLOOKUP($B775,DG!A:D,DG!$C$2,)</f>
        <v>Cổ dê bắt tủ</v>
      </c>
      <c r="G775" s="1082" t="str">
        <f>VLOOKUP($B775,DG!A:D,DG!$D$2,)</f>
        <v>bộ</v>
      </c>
      <c r="H775" s="1878">
        <f>2*H772*0</f>
        <v>0</v>
      </c>
      <c r="I775" s="1262">
        <f t="shared" si="58"/>
        <v>0</v>
      </c>
      <c r="J775" s="1111"/>
      <c r="K775" s="1111"/>
      <c r="L775" s="1085"/>
      <c r="M775" s="977" t="s">
        <v>1266</v>
      </c>
    </row>
    <row r="776" spans="1:16" s="1086" customFormat="1" ht="25.15" hidden="1" customHeight="1">
      <c r="A776" s="1156">
        <f t="shared" si="57"/>
        <v>0</v>
      </c>
      <c r="B776" s="1327" t="s">
        <v>2025</v>
      </c>
      <c r="C776" s="1327"/>
      <c r="D776" s="1169"/>
      <c r="E776" s="1170"/>
      <c r="F776" s="1083" t="str">
        <f>VLOOKUP($B776,DG!A:D,DG!$C$2,)</f>
        <v>Boulon 12x40+ 2 long đền vuông D14-50x50x3/Zn</v>
      </c>
      <c r="G776" s="1082" t="str">
        <f>VLOOKUP($B776,DG!A:D,DG!$D$2,)</f>
        <v>bộ</v>
      </c>
      <c r="H776" s="1878">
        <f>H772*4</f>
        <v>0</v>
      </c>
      <c r="I776" s="1262">
        <f t="shared" si="58"/>
        <v>0</v>
      </c>
      <c r="J776" s="1111"/>
      <c r="K776" s="1111"/>
      <c r="L776" s="1085"/>
      <c r="M776" s="977" t="s">
        <v>1266</v>
      </c>
    </row>
    <row r="777" spans="1:16" s="1086" customFormat="1" ht="25.15" hidden="1" customHeight="1">
      <c r="A777" s="1156">
        <f t="shared" si="57"/>
        <v>0</v>
      </c>
      <c r="B777" s="1327" t="s">
        <v>882</v>
      </c>
      <c r="C777" s="1327"/>
      <c r="D777" s="1169"/>
      <c r="E777" s="1170"/>
      <c r="F777" s="1083" t="str">
        <f>VLOOKUP($B777,DG!A:D,DG!$C$2,)</f>
        <v xml:space="preserve">Bakelit 550x450 dầy 10mm </v>
      </c>
      <c r="G777" s="1082" t="str">
        <f>VLOOKUP($B777,DG!A:D,DG!$D$2,)</f>
        <v>cái</v>
      </c>
      <c r="H777" s="1873"/>
      <c r="I777" s="1262">
        <f t="shared" si="58"/>
        <v>0</v>
      </c>
      <c r="J777" s="1111"/>
      <c r="K777" s="1111"/>
      <c r="L777" s="1085"/>
      <c r="M777" s="977" t="s">
        <v>1266</v>
      </c>
    </row>
    <row r="778" spans="1:16" s="1086" customFormat="1" ht="25.15" hidden="1" customHeight="1">
      <c r="A778" s="1156">
        <f t="shared" si="57"/>
        <v>0</v>
      </c>
      <c r="B778" s="1327"/>
      <c r="C778" s="1327"/>
      <c r="D778" s="1087">
        <f>IF(H778&gt;0,D772+1,D772)</f>
        <v>0</v>
      </c>
      <c r="E778" s="1088"/>
      <c r="F778" s="1089" t="s">
        <v>3728</v>
      </c>
      <c r="G778" s="1087" t="s">
        <v>2394</v>
      </c>
      <c r="H778" s="1889"/>
      <c r="I778" s="1263">
        <f t="shared" si="58"/>
        <v>0</v>
      </c>
      <c r="J778" s="1239"/>
      <c r="K778" s="1239"/>
      <c r="L778" s="1239"/>
      <c r="M778" s="977" t="s">
        <v>1266</v>
      </c>
    </row>
    <row r="779" spans="1:16" s="1086" customFormat="1" ht="25.15" hidden="1" customHeight="1">
      <c r="A779" s="1156">
        <f>IF(A778&gt;0,1,0)</f>
        <v>0</v>
      </c>
      <c r="B779" s="1327"/>
      <c r="C779" s="1327"/>
      <c r="D779" s="1081"/>
      <c r="E779" s="1091"/>
      <c r="F779" s="1370" t="s">
        <v>2287</v>
      </c>
      <c r="G779" s="1093"/>
      <c r="H779" s="1873"/>
      <c r="I779" s="1262">
        <f t="shared" si="58"/>
        <v>0</v>
      </c>
      <c r="J779" s="1111"/>
      <c r="K779" s="1111"/>
      <c r="L779" s="1085"/>
      <c r="M779" s="977" t="s">
        <v>1266</v>
      </c>
    </row>
    <row r="780" spans="1:16" s="1086" customFormat="1" ht="25.15" hidden="1" customHeight="1">
      <c r="A780" s="1156">
        <f t="shared" si="57"/>
        <v>0</v>
      </c>
      <c r="B780" s="1327" t="s">
        <v>653</v>
      </c>
      <c r="C780" s="1327"/>
      <c r="D780" s="1093"/>
      <c r="E780" s="1094">
        <f>VLOOKUP($B780,DG!A:D,DG!$B$2,)</f>
        <v>0</v>
      </c>
      <c r="F780" s="1095" t="str">
        <f>VLOOKUP($B780,DG!A:D,DG!$C$2,)</f>
        <v>Ximăng (PC40)</v>
      </c>
      <c r="G780" s="1094" t="str">
        <f>VLOOKUP($B780,DG!A:D,DG!$D$2,)</f>
        <v>kg</v>
      </c>
      <c r="H780" s="1873"/>
      <c r="I780" s="1262">
        <f t="shared" si="58"/>
        <v>0</v>
      </c>
      <c r="J780" s="1111"/>
      <c r="K780" s="1111"/>
      <c r="L780" s="1085"/>
      <c r="M780" s="977" t="s">
        <v>1266</v>
      </c>
    </row>
    <row r="781" spans="1:16" s="1086" customFormat="1" ht="25.15" hidden="1" customHeight="1">
      <c r="A781" s="1156">
        <f t="shared" si="57"/>
        <v>0</v>
      </c>
      <c r="B781" s="1327" t="s">
        <v>754</v>
      </c>
      <c r="C781" s="1327"/>
      <c r="D781" s="1081"/>
      <c r="E781" s="1094" t="e">
        <f>VLOOKUP($B781,DG!A:D,DG!$B$2,)</f>
        <v>#N/A</v>
      </c>
      <c r="F781" s="1095" t="e">
        <f>VLOOKUP($B781,DG!A:D,DG!$C$2,)</f>
        <v>#N/A</v>
      </c>
      <c r="G781" s="1094" t="e">
        <f>VLOOKUP($B781,DG!A:D,DG!$D$2,)</f>
        <v>#N/A</v>
      </c>
      <c r="H781" s="1890"/>
      <c r="I781" s="1262">
        <f t="shared" si="58"/>
        <v>0</v>
      </c>
      <c r="J781" s="1111"/>
      <c r="K781" s="1111"/>
      <c r="L781" s="1085"/>
      <c r="M781" s="977" t="s">
        <v>1266</v>
      </c>
    </row>
    <row r="782" spans="1:16" s="1086" customFormat="1" ht="25.15" hidden="1" customHeight="1">
      <c r="A782" s="1156">
        <f t="shared" si="57"/>
        <v>0</v>
      </c>
      <c r="B782" s="1327" t="s">
        <v>216</v>
      </c>
      <c r="C782" s="1327"/>
      <c r="D782" s="1081"/>
      <c r="E782" s="1094">
        <f>VLOOKUP($B782,DG!A:D,DG!$B$2,)</f>
        <v>0</v>
      </c>
      <c r="F782" s="1095" t="str">
        <f>VLOOKUP($B782,DG!A:D,DG!$C$2,)</f>
        <v>Đá 1x2</v>
      </c>
      <c r="G782" s="1094" t="str">
        <f>VLOOKUP($B782,DG!A:D,DG!$D$2,)</f>
        <v>m3</v>
      </c>
      <c r="H782" s="1890"/>
      <c r="I782" s="1262">
        <f t="shared" si="58"/>
        <v>0</v>
      </c>
      <c r="J782" s="1111"/>
      <c r="K782" s="1111"/>
      <c r="L782" s="1085"/>
      <c r="M782" s="977" t="s">
        <v>1266</v>
      </c>
    </row>
    <row r="783" spans="1:16" s="1086" customFormat="1" ht="25.15" hidden="1" customHeight="1">
      <c r="A783" s="1156">
        <f t="shared" si="57"/>
        <v>0</v>
      </c>
      <c r="B783" s="1327" t="s">
        <v>654</v>
      </c>
      <c r="C783" s="1327"/>
      <c r="D783" s="1093"/>
      <c r="E783" s="1094" t="str">
        <f>VLOOKUP($B783,DG!A:D,DG!$B$2,)</f>
        <v>04.1203c</v>
      </c>
      <c r="F783" s="1095" t="str">
        <f>VLOOKUP($B783,DG!A:D,DG!$C$2,)</f>
        <v>Đổ bê tông móng trụ &lt;=250cm-M200 đá 1x2</v>
      </c>
      <c r="G783" s="1094" t="str">
        <f>VLOOKUP($B783,DG!A:D,DG!$D$2,)</f>
        <v>m3</v>
      </c>
      <c r="H783" s="1873"/>
      <c r="I783" s="1262">
        <f t="shared" si="58"/>
        <v>0</v>
      </c>
      <c r="J783" s="1111"/>
      <c r="K783" s="1111"/>
      <c r="L783" s="1085"/>
      <c r="M783" s="977" t="s">
        <v>1266</v>
      </c>
      <c r="N783" s="1096">
        <f>1.025*0.45</f>
        <v>0.46124999999999999</v>
      </c>
      <c r="O783" s="1096">
        <f>1.025*0.866</f>
        <v>0.88764999999999994</v>
      </c>
      <c r="P783" s="1240"/>
    </row>
    <row r="784" spans="1:16" s="1086" customFormat="1" ht="25.15" hidden="1" customHeight="1">
      <c r="A784" s="1156">
        <f t="shared" si="57"/>
        <v>0</v>
      </c>
      <c r="B784" s="1327"/>
      <c r="C784" s="1327"/>
      <c r="D784" s="1087">
        <f>IF(H784&gt;0,D778+1,D778)</f>
        <v>0</v>
      </c>
      <c r="E784" s="1088"/>
      <c r="F784" s="1097" t="s">
        <v>3729</v>
      </c>
      <c r="G784" s="1087" t="s">
        <v>2394</v>
      </c>
      <c r="H784" s="1889"/>
      <c r="I784" s="1263">
        <f t="shared" si="58"/>
        <v>0</v>
      </c>
      <c r="J784" s="1239"/>
      <c r="K784" s="1239"/>
      <c r="L784" s="1239"/>
      <c r="M784" s="977" t="s">
        <v>1266</v>
      </c>
    </row>
    <row r="785" spans="1:13" s="1086" customFormat="1" ht="25.15" hidden="1" customHeight="1">
      <c r="A785" s="1156">
        <f>IF(A784&gt;0,1,0)</f>
        <v>0</v>
      </c>
      <c r="B785" s="1327"/>
      <c r="C785" s="1327"/>
      <c r="D785" s="1081"/>
      <c r="E785" s="1091"/>
      <c r="F785" s="1371" t="s">
        <v>2287</v>
      </c>
      <c r="G785" s="1081"/>
      <c r="H785" s="1890"/>
      <c r="I785" s="1262">
        <f t="shared" si="58"/>
        <v>0</v>
      </c>
      <c r="J785" s="1111"/>
      <c r="K785" s="1111"/>
      <c r="L785" s="1085"/>
      <c r="M785" s="977" t="s">
        <v>1266</v>
      </c>
    </row>
    <row r="786" spans="1:13" s="1086" customFormat="1" ht="25.15" hidden="1" customHeight="1">
      <c r="A786" s="1156">
        <f t="shared" si="57"/>
        <v>0</v>
      </c>
      <c r="B786" s="1327" t="s">
        <v>1494</v>
      </c>
      <c r="C786" s="1327"/>
      <c r="D786" s="1093"/>
      <c r="E786" s="1082" t="str">
        <f>VLOOKUP($B786,DG!A:D,DG!$B$2,)</f>
        <v>04.8003</v>
      </c>
      <c r="F786" s="1083" t="str">
        <f>VLOOKUP($B786,DG!A:D,DG!$C$2,)</f>
        <v xml:space="preserve">Ống PVC D90x3,8mm </v>
      </c>
      <c r="G786" s="1082" t="str">
        <f>VLOOKUP($B786,DG!A:D,DG!$D$2,)</f>
        <v>m</v>
      </c>
      <c r="H786" s="1873"/>
      <c r="I786" s="1262">
        <f t="shared" si="58"/>
        <v>0</v>
      </c>
      <c r="J786" s="1111"/>
      <c r="K786" s="1111"/>
      <c r="L786" s="1085"/>
      <c r="M786" s="977" t="s">
        <v>1266</v>
      </c>
    </row>
    <row r="787" spans="1:13" s="1086" customFormat="1" ht="25.15" hidden="1" customHeight="1">
      <c r="A787" s="1156">
        <f t="shared" si="57"/>
        <v>0</v>
      </c>
      <c r="B787" s="1327" t="s">
        <v>86</v>
      </c>
      <c r="C787" s="1327"/>
      <c r="D787" s="1098"/>
      <c r="E787" s="1099">
        <f>VLOOKUP($B787,DG!A:D,DG!$B$2,)</f>
        <v>0</v>
      </c>
      <c r="F787" s="1100" t="str">
        <f>VLOOKUP($B787,DG!A:D,DG!$C$2,)</f>
        <v>Co  90 độ PVC 90</v>
      </c>
      <c r="G787" s="1099" t="str">
        <f>VLOOKUP($B787,DG!A:D,DG!$D$2,)</f>
        <v>cái</v>
      </c>
      <c r="H787" s="1891"/>
      <c r="I787" s="1262">
        <f t="shared" si="58"/>
        <v>0</v>
      </c>
      <c r="J787" s="1174"/>
      <c r="K787" s="1174"/>
      <c r="L787" s="1101"/>
      <c r="M787" s="977" t="s">
        <v>1266</v>
      </c>
    </row>
    <row r="788" spans="1:13" s="1086" customFormat="1" ht="25.15" hidden="1" customHeight="1">
      <c r="A788" s="1156">
        <f t="shared" si="57"/>
        <v>0</v>
      </c>
      <c r="B788" s="1327"/>
      <c r="C788" s="1327"/>
      <c r="D788" s="1166">
        <f>IF(H788&gt;0,D784+1,D784)</f>
        <v>0</v>
      </c>
      <c r="E788" s="1167"/>
      <c r="F788" s="1168" t="s">
        <v>3722</v>
      </c>
      <c r="G788" s="1076" t="s">
        <v>2394</v>
      </c>
      <c r="H788" s="1263"/>
      <c r="I788" s="1263">
        <f t="shared" si="58"/>
        <v>0</v>
      </c>
      <c r="J788" s="1076"/>
      <c r="K788" s="1076"/>
      <c r="L788" s="1076"/>
      <c r="M788" s="977" t="s">
        <v>1266</v>
      </c>
    </row>
    <row r="789" spans="1:13" s="1086" customFormat="1" ht="25.15" hidden="1" customHeight="1">
      <c r="A789" s="1156">
        <f>IF(A788&gt;0,1,0)</f>
        <v>0</v>
      </c>
      <c r="B789" s="1327"/>
      <c r="C789" s="1327"/>
      <c r="D789" s="1231"/>
      <c r="E789" s="1238"/>
      <c r="F789" s="1369" t="s">
        <v>2287</v>
      </c>
      <c r="G789" s="1233"/>
      <c r="H789" s="1885"/>
      <c r="I789" s="1262">
        <f t="shared" si="58"/>
        <v>0</v>
      </c>
      <c r="J789" s="1234"/>
      <c r="K789" s="1234"/>
      <c r="L789" s="1199"/>
      <c r="M789" s="977" t="s">
        <v>1266</v>
      </c>
    </row>
    <row r="790" spans="1:13" s="1086" customFormat="1" ht="25.15" hidden="1" customHeight="1">
      <c r="A790" s="1156">
        <f t="shared" si="57"/>
        <v>0</v>
      </c>
      <c r="B790" s="1330" t="s">
        <v>699</v>
      </c>
      <c r="C790" s="1330"/>
      <c r="D790" s="1169"/>
      <c r="E790" s="1082">
        <f>VLOOKUP($B790,DG!A:D,DG!$B$2,)</f>
        <v>0</v>
      </c>
      <c r="F790" s="1083" t="str">
        <f>VLOOKUP($B790,DG!A:D,DG!$C$2,)</f>
        <v>Cáp 24KV CX-25mm2</v>
      </c>
      <c r="G790" s="1082" t="str">
        <f>VLOOKUP($B790,DG!A:D,DG!$D$2,)</f>
        <v>mét</v>
      </c>
      <c r="H790" s="1878">
        <f>9*H788</f>
        <v>0</v>
      </c>
      <c r="I790" s="1262">
        <f t="shared" si="58"/>
        <v>0</v>
      </c>
      <c r="J790" s="1111"/>
      <c r="K790" s="1111"/>
      <c r="L790" s="1085"/>
      <c r="M790" s="977" t="s">
        <v>1266</v>
      </c>
    </row>
    <row r="791" spans="1:13" s="1086" customFormat="1" ht="25.15" hidden="1" customHeight="1">
      <c r="A791" s="1156">
        <f t="shared" si="57"/>
        <v>0</v>
      </c>
      <c r="B791" s="1157" t="s">
        <v>1484</v>
      </c>
      <c r="C791" s="1157"/>
      <c r="D791" s="1169"/>
      <c r="E791" s="1082" t="str">
        <f>VLOOKUP($B791,DG!A:D,DG!$B$2,)</f>
        <v>04.3007</v>
      </c>
      <c r="F791" s="1083" t="str">
        <f>VLOOKUP($B791,DG!A:D,DG!$C$2,)</f>
        <v>Kẹp quai 2/0</v>
      </c>
      <c r="G791" s="1082" t="str">
        <f>VLOOKUP($B791,DG!A:D,DG!$D$2,)</f>
        <v>cái</v>
      </c>
      <c r="H791" s="1878">
        <f>H788*2</f>
        <v>0</v>
      </c>
      <c r="I791" s="1262">
        <f t="shared" si="58"/>
        <v>0</v>
      </c>
      <c r="J791" s="1111"/>
      <c r="K791" s="1111"/>
      <c r="L791" s="1085"/>
      <c r="M791" s="977" t="s">
        <v>1266</v>
      </c>
    </row>
    <row r="792" spans="1:13" s="1086" customFormat="1" ht="25.15" hidden="1" customHeight="1">
      <c r="A792" s="1156">
        <f t="shared" si="57"/>
        <v>0</v>
      </c>
      <c r="B792" s="1157" t="s">
        <v>1482</v>
      </c>
      <c r="C792" s="1157"/>
      <c r="D792" s="1169"/>
      <c r="E792" s="1082" t="str">
        <f>VLOOKUP($B792,DG!A:D,DG!$B$2,)</f>
        <v>04.3007</v>
      </c>
      <c r="F792" s="1083" t="str">
        <f>VLOOKUP($B792,DG!A:D,DG!$C$2,)</f>
        <v>Kẹp hotline 2/0</v>
      </c>
      <c r="G792" s="1082" t="str">
        <f>VLOOKUP($B792,DG!A:D,DG!$D$2,)</f>
        <v>cái</v>
      </c>
      <c r="H792" s="1878">
        <f>H791</f>
        <v>0</v>
      </c>
      <c r="I792" s="1262">
        <f t="shared" si="58"/>
        <v>0</v>
      </c>
      <c r="J792" s="1111"/>
      <c r="K792" s="1111"/>
      <c r="L792" s="1085"/>
      <c r="M792" s="977" t="s">
        <v>1266</v>
      </c>
    </row>
    <row r="793" spans="1:13" s="1086" customFormat="1" ht="25.15" hidden="1" customHeight="1">
      <c r="A793" s="1156">
        <f t="shared" si="57"/>
        <v>0</v>
      </c>
      <c r="B793" s="1157" t="s">
        <v>1530</v>
      </c>
      <c r="C793" s="1157"/>
      <c r="D793" s="1173"/>
      <c r="E793" s="1099" t="str">
        <f>VLOOKUP($B793,DG!A:D,DG!$B$2,)</f>
        <v>04.4201</v>
      </c>
      <c r="F793" s="1165" t="str">
        <f>VLOOKUP($B793,DG!A:D,DG!$C$2,)</f>
        <v>Lắp cáp đồng xuống thiết bị D ≤ 95mm2</v>
      </c>
      <c r="G793" s="1099" t="str">
        <f>VLOOKUP($B793,DG!A:D,DG!$D$2,)</f>
        <v>m</v>
      </c>
      <c r="H793" s="1878">
        <f>H790</f>
        <v>0</v>
      </c>
      <c r="I793" s="1262">
        <f t="shared" si="58"/>
        <v>0</v>
      </c>
      <c r="J793" s="1174"/>
      <c r="K793" s="1174"/>
      <c r="L793" s="1101"/>
      <c r="M793" s="977" t="s">
        <v>1266</v>
      </c>
    </row>
    <row r="794" spans="1:13" s="1086" customFormat="1" ht="25.15" hidden="1" customHeight="1">
      <c r="A794" s="1156">
        <f t="shared" si="57"/>
        <v>0</v>
      </c>
      <c r="B794" s="1327"/>
      <c r="C794" s="1327"/>
      <c r="D794" s="1166">
        <f>IF(H794&gt;0,D788+1,D788)</f>
        <v>0</v>
      </c>
      <c r="E794" s="1167"/>
      <c r="F794" s="1176" t="s">
        <v>3730</v>
      </c>
      <c r="G794" s="1076" t="s">
        <v>2394</v>
      </c>
      <c r="H794" s="1263">
        <f>H734</f>
        <v>0</v>
      </c>
      <c r="I794" s="1263">
        <f t="shared" si="58"/>
        <v>0</v>
      </c>
      <c r="J794" s="1076"/>
      <c r="K794" s="1076"/>
      <c r="L794" s="1076"/>
      <c r="M794" s="977" t="s">
        <v>1266</v>
      </c>
    </row>
    <row r="795" spans="1:13" s="1086" customFormat="1" ht="25.15" hidden="1" customHeight="1">
      <c r="A795" s="1156">
        <f>IF(A794&gt;0,1,0)</f>
        <v>0</v>
      </c>
      <c r="B795" s="1327"/>
      <c r="C795" s="1327"/>
      <c r="D795" s="1231"/>
      <c r="E795" s="1238"/>
      <c r="F795" s="1372" t="s">
        <v>2287</v>
      </c>
      <c r="G795" s="1241"/>
      <c r="H795" s="1892"/>
      <c r="I795" s="1262">
        <f t="shared" si="58"/>
        <v>0</v>
      </c>
      <c r="J795" s="1234"/>
      <c r="K795" s="1234"/>
      <c r="L795" s="1199"/>
      <c r="M795" s="977" t="s">
        <v>1266</v>
      </c>
    </row>
    <row r="796" spans="1:13" s="1086" customFormat="1" ht="25.15" hidden="1" customHeight="1">
      <c r="A796" s="1156">
        <f t="shared" si="57"/>
        <v>0</v>
      </c>
      <c r="B796" s="1327" t="s">
        <v>83</v>
      </c>
      <c r="C796" s="1327"/>
      <c r="D796" s="1113"/>
      <c r="E796" s="1082">
        <f>VLOOKUP($B796,DG!A:D,DG!$B$2,)</f>
        <v>0</v>
      </c>
      <c r="F796" s="1083" t="str">
        <f>VLOOKUP($B796,DG!A:D,DG!$C$2,)&amp;" 9m/pha"</f>
        <v>Cáp đồng bọc CV95 9m/pha</v>
      </c>
      <c r="G796" s="1082" t="str">
        <f>VLOOKUP($B796,DG!A:D,DG!$D$2,)</f>
        <v>mét</v>
      </c>
      <c r="H796" s="1878">
        <v>0</v>
      </c>
      <c r="I796" s="1262">
        <f t="shared" si="58"/>
        <v>0</v>
      </c>
      <c r="J796" s="1111"/>
      <c r="K796" s="1111"/>
      <c r="L796" s="1085"/>
      <c r="M796" s="977" t="s">
        <v>1266</v>
      </c>
    </row>
    <row r="797" spans="1:13" s="1086" customFormat="1" ht="25.15" hidden="1" customHeight="1">
      <c r="A797" s="1156">
        <f t="shared" ref="A797:A861" si="59">IF(I797&gt;0,1,0)</f>
        <v>0</v>
      </c>
      <c r="B797" s="1327" t="s">
        <v>237</v>
      </c>
      <c r="C797" s="1327"/>
      <c r="D797" s="1113"/>
      <c r="E797" s="1082">
        <f>VLOOKUP($B797,DG!A:D,DG!$B$2,)</f>
        <v>0</v>
      </c>
      <c r="F797" s="1083" t="str">
        <f>VLOOKUP($B797,DG!A:D,DG!$C$2,)&amp;" 11m/trung hòa"</f>
        <v>Cáp đồng bọc CV70 11m/trung hòa</v>
      </c>
      <c r="G797" s="1082" t="str">
        <f>VLOOKUP($B797,DG!A:D,DG!$D$2,)</f>
        <v>mét</v>
      </c>
      <c r="H797" s="1878">
        <v>0</v>
      </c>
      <c r="I797" s="1262">
        <f t="shared" si="58"/>
        <v>0</v>
      </c>
      <c r="J797" s="1111"/>
      <c r="K797" s="1111"/>
      <c r="L797" s="1085"/>
      <c r="M797" s="977" t="s">
        <v>1266</v>
      </c>
    </row>
    <row r="798" spans="1:13" s="1086" customFormat="1" ht="25.15" hidden="1" customHeight="1">
      <c r="A798" s="1156">
        <f t="shared" si="59"/>
        <v>0</v>
      </c>
      <c r="B798" s="1327" t="s">
        <v>2284</v>
      </c>
      <c r="C798" s="1327"/>
      <c r="D798" s="1113"/>
      <c r="E798" s="1082" t="str">
        <f>VLOOKUP($B798,DG!A:D,DG!$B$2,)</f>
        <v>03.1401</v>
      </c>
      <c r="F798" s="1083" t="str">
        <f>VLOOKUP($B798,DG!A:D,DG!$C$2,)</f>
        <v xml:space="preserve">Cáp CVV 4x4mm2  </v>
      </c>
      <c r="G798" s="1082" t="str">
        <f>VLOOKUP($B798,DG!A:D,DG!$D$2,)</f>
        <v>mét</v>
      </c>
      <c r="H798" s="1878">
        <v>0</v>
      </c>
      <c r="I798" s="1262">
        <f t="shared" si="58"/>
        <v>0</v>
      </c>
      <c r="J798" s="1111"/>
      <c r="K798" s="1111"/>
      <c r="L798" s="1085"/>
      <c r="M798" s="977" t="s">
        <v>1266</v>
      </c>
    </row>
    <row r="799" spans="1:13" s="1086" customFormat="1" ht="25.15" hidden="1" customHeight="1">
      <c r="A799" s="1156">
        <f t="shared" si="59"/>
        <v>0</v>
      </c>
      <c r="B799" s="1327" t="s">
        <v>1309</v>
      </c>
      <c r="C799" s="1327"/>
      <c r="D799" s="1113"/>
      <c r="E799" s="1082" t="str">
        <f>VLOOKUP($B799,DG!A:D,DG!$B$2,)</f>
        <v>03.4004</v>
      </c>
      <c r="F799" s="1083" t="str">
        <f>VLOOKUP($B799,DG!A:D,DG!$C$2,)</f>
        <v>Đầu cosse ép Cu 95mm2</v>
      </c>
      <c r="G799" s="1082" t="str">
        <f>VLOOKUP($B799,DG!A:D,DG!$D$2,)</f>
        <v>cái</v>
      </c>
      <c r="H799" s="1878">
        <v>0</v>
      </c>
      <c r="I799" s="1262">
        <f t="shared" si="58"/>
        <v>0</v>
      </c>
      <c r="J799" s="1111"/>
      <c r="K799" s="1111"/>
      <c r="L799" s="1085"/>
      <c r="M799" s="977" t="s">
        <v>1266</v>
      </c>
    </row>
    <row r="800" spans="1:13" s="1086" customFormat="1" ht="25.15" hidden="1" customHeight="1">
      <c r="A800" s="1156">
        <f t="shared" si="59"/>
        <v>0</v>
      </c>
      <c r="B800" s="1327" t="s">
        <v>1308</v>
      </c>
      <c r="C800" s="1327"/>
      <c r="D800" s="1113"/>
      <c r="E800" s="1082" t="str">
        <f>VLOOKUP($B800,DG!A:D,DG!$B$2,)</f>
        <v>03.4003</v>
      </c>
      <c r="F800" s="1083" t="str">
        <f>VLOOKUP($B800,DG!A:D,DG!$C$2,)</f>
        <v>Đầu cosse ép Cu 70mm2</v>
      </c>
      <c r="G800" s="1082" t="str">
        <f>VLOOKUP($B800,DG!A:D,DG!$D$2,)</f>
        <v>cái</v>
      </c>
      <c r="H800" s="1878">
        <v>0</v>
      </c>
      <c r="I800" s="1262">
        <f t="shared" si="58"/>
        <v>0</v>
      </c>
      <c r="J800" s="1111"/>
      <c r="K800" s="1111"/>
      <c r="L800" s="1085"/>
      <c r="M800" s="977" t="s">
        <v>1266</v>
      </c>
    </row>
    <row r="801" spans="1:13" s="1086" customFormat="1" ht="25.15" hidden="1" customHeight="1">
      <c r="A801" s="1156">
        <f t="shared" si="59"/>
        <v>0</v>
      </c>
      <c r="B801" s="1327" t="s">
        <v>93</v>
      </c>
      <c r="C801" s="1327"/>
      <c r="D801" s="1113"/>
      <c r="E801" s="1082">
        <f>VLOOKUP($B801,DG!A:D,DG!$B$2,)</f>
        <v>0</v>
      </c>
      <c r="F801" s="1083" t="str">
        <f>VLOOKUP($B801,DG!A:D,DG!$C$2,)</f>
        <v>Chụp đầu cosse  120mm2</v>
      </c>
      <c r="G801" s="1082" t="str">
        <f>VLOOKUP($B801,DG!A:D,DG!$D$2,)</f>
        <v>cái</v>
      </c>
      <c r="H801" s="1878">
        <f>H799</f>
        <v>0</v>
      </c>
      <c r="I801" s="1262">
        <f t="shared" si="58"/>
        <v>0</v>
      </c>
      <c r="J801" s="1111"/>
      <c r="K801" s="1111"/>
      <c r="L801" s="1085"/>
      <c r="M801" s="977" t="s">
        <v>1266</v>
      </c>
    </row>
    <row r="802" spans="1:13" s="1086" customFormat="1" ht="25.15" hidden="1" customHeight="1">
      <c r="A802" s="1156">
        <f t="shared" si="59"/>
        <v>0</v>
      </c>
      <c r="B802" s="1327" t="s">
        <v>94</v>
      </c>
      <c r="C802" s="1327"/>
      <c r="D802" s="1113"/>
      <c r="E802" s="1082">
        <f>VLOOKUP($B802,DG!A:D,DG!$B$2,)</f>
        <v>0</v>
      </c>
      <c r="F802" s="1083" t="str">
        <f>VLOOKUP($B802,DG!A:D,DG!$C$2,)</f>
        <v>Chụp đầu cosse  95mm2</v>
      </c>
      <c r="G802" s="1082" t="str">
        <f>VLOOKUP($B802,DG!A:D,DG!$D$2,)</f>
        <v>cái</v>
      </c>
      <c r="H802" s="1878">
        <f>H800</f>
        <v>0</v>
      </c>
      <c r="I802" s="1262">
        <f t="shared" si="58"/>
        <v>0</v>
      </c>
      <c r="J802" s="1111"/>
      <c r="K802" s="1111"/>
      <c r="L802" s="1085"/>
      <c r="M802" s="977" t="s">
        <v>1266</v>
      </c>
    </row>
    <row r="803" spans="1:13" s="1086" customFormat="1" ht="25.15" hidden="1" customHeight="1">
      <c r="A803" s="1156">
        <f t="shared" si="59"/>
        <v>0</v>
      </c>
      <c r="B803" s="1327" t="s">
        <v>282</v>
      </c>
      <c r="C803" s="1327"/>
      <c r="D803" s="1113"/>
      <c r="E803" s="1082" t="str">
        <f>VLOOKUP($B803,DG!A:D,DG!$B$2,)</f>
        <v>04.8003</v>
      </c>
      <c r="F803" s="1083" t="str">
        <f>VLOOKUP($B803,DG!A:D,DG!$C$2,)</f>
        <v xml:space="preserve">Ống PVC D90x3,8mm </v>
      </c>
      <c r="G803" s="1082" t="str">
        <f>VLOOKUP($B803,DG!A:D,DG!$D$2,)</f>
        <v>m</v>
      </c>
      <c r="H803" s="1878">
        <v>0</v>
      </c>
      <c r="I803" s="1262">
        <f t="shared" si="58"/>
        <v>0</v>
      </c>
      <c r="J803" s="1111"/>
      <c r="K803" s="1111"/>
      <c r="L803" s="1085"/>
      <c r="M803" s="977" t="s">
        <v>1266</v>
      </c>
    </row>
    <row r="804" spans="1:13" s="1086" customFormat="1" ht="25.15" hidden="1" customHeight="1">
      <c r="A804" s="1156">
        <f t="shared" si="59"/>
        <v>0</v>
      </c>
      <c r="B804" s="1157" t="s">
        <v>276</v>
      </c>
      <c r="C804" s="1157"/>
      <c r="D804" s="1113"/>
      <c r="E804" s="1082" t="str">
        <f>VLOOKUP($B804,DG!A:D,DG!$B$2,)</f>
        <v>06.3231</v>
      </c>
      <c r="F804" s="1083" t="str">
        <f>VLOOKUP($B804,DG!A:D,DG!$C$2,)</f>
        <v>Cổ dê kẹp ống PVC Ø 90</v>
      </c>
      <c r="G804" s="1082" t="str">
        <f>VLOOKUP($B804,DG!A:D,DG!$D$2,)</f>
        <v>bộ</v>
      </c>
      <c r="H804" s="1878">
        <f>H794*2*0</f>
        <v>0</v>
      </c>
      <c r="I804" s="1262">
        <f t="shared" si="58"/>
        <v>0</v>
      </c>
      <c r="J804" s="1111"/>
      <c r="K804" s="1111"/>
      <c r="L804" s="1085"/>
      <c r="M804" s="977" t="s">
        <v>1266</v>
      </c>
    </row>
    <row r="805" spans="1:13" s="1086" customFormat="1" ht="25.15" hidden="1" customHeight="1">
      <c r="A805" s="1156">
        <f t="shared" si="59"/>
        <v>0</v>
      </c>
      <c r="B805" s="1327" t="s">
        <v>283</v>
      </c>
      <c r="C805" s="1327"/>
      <c r="D805" s="1113"/>
      <c r="E805" s="1082">
        <f>VLOOKUP($B805,DG!A:D,DG!$B$2,)</f>
        <v>0</v>
      </c>
      <c r="F805" s="1083" t="str">
        <f>VLOOKUP($B805,DG!A:D,DG!$C$2,)</f>
        <v>Co sừng 90 độ PVC 90</v>
      </c>
      <c r="G805" s="1082" t="str">
        <f>VLOOKUP($B805,DG!A:D,DG!$D$2,)</f>
        <v>cái</v>
      </c>
      <c r="H805" s="1878">
        <f>H794*2*0</f>
        <v>0</v>
      </c>
      <c r="I805" s="1262">
        <f t="shared" si="58"/>
        <v>0</v>
      </c>
      <c r="J805" s="1111"/>
      <c r="K805" s="1111"/>
      <c r="L805" s="1085"/>
      <c r="M805" s="977" t="s">
        <v>1266</v>
      </c>
    </row>
    <row r="806" spans="1:13" s="1086" customFormat="1" ht="25.15" hidden="1" customHeight="1">
      <c r="A806" s="1156">
        <f t="shared" si="59"/>
        <v>0</v>
      </c>
      <c r="B806" s="1327" t="s">
        <v>4376</v>
      </c>
      <c r="C806" s="1327"/>
      <c r="D806" s="1113"/>
      <c r="E806" s="1082">
        <f>VLOOKUP($B806,DG!A:D,DG!$B$2,)</f>
        <v>0</v>
      </c>
      <c r="F806" s="1083" t="str">
        <f>VLOOKUP($B806,DG!A:D,DG!$C$2,)</f>
        <v>Nối ống PVC 114 - 90</v>
      </c>
      <c r="G806" s="1082" t="str">
        <f>VLOOKUP($B806,DG!A:D,DG!$D$2,)</f>
        <v>cái</v>
      </c>
      <c r="H806" s="1878">
        <f>H794*0</f>
        <v>0</v>
      </c>
      <c r="I806" s="1262">
        <f t="shared" si="58"/>
        <v>0</v>
      </c>
      <c r="J806" s="1111"/>
      <c r="K806" s="1111"/>
      <c r="L806" s="1085"/>
      <c r="M806" s="977" t="s">
        <v>1266</v>
      </c>
    </row>
    <row r="807" spans="1:13" s="1086" customFormat="1" ht="25.15" hidden="1" customHeight="1">
      <c r="A807" s="1156">
        <f t="shared" si="59"/>
        <v>0</v>
      </c>
      <c r="B807" s="1327" t="s">
        <v>70</v>
      </c>
      <c r="C807" s="1327"/>
      <c r="D807" s="1113"/>
      <c r="E807" s="1082">
        <f>VLOOKUP($B807,DG!A:D,DG!$B$2,)</f>
        <v>0</v>
      </c>
      <c r="F807" s="1083" t="str">
        <f>VLOOKUP($B807,DG!A:D,DG!$C$2,)</f>
        <v>Co  90 độ PVC 90</v>
      </c>
      <c r="G807" s="1082" t="str">
        <f>VLOOKUP($B807,DG!A:D,DG!$D$2,)</f>
        <v>cái</v>
      </c>
      <c r="H807" s="1873"/>
      <c r="I807" s="1262">
        <f t="shared" si="58"/>
        <v>0</v>
      </c>
      <c r="J807" s="1111"/>
      <c r="K807" s="1111"/>
      <c r="L807" s="1085"/>
      <c r="M807" s="977" t="s">
        <v>1266</v>
      </c>
    </row>
    <row r="808" spans="1:13" s="1086" customFormat="1" ht="25.15" hidden="1" customHeight="1">
      <c r="A808" s="1156">
        <f t="shared" si="59"/>
        <v>0</v>
      </c>
      <c r="B808" s="1327" t="s">
        <v>419</v>
      </c>
      <c r="C808" s="1327"/>
      <c r="D808" s="1113"/>
      <c r="E808" s="1082">
        <f>VLOOKUP($B808,DG!A:D,DG!$B$2,)</f>
        <v>0</v>
      </c>
      <c r="F808" s="1083" t="str">
        <f>VLOOKUP($B808,DG!A:D,DG!$C$2,)</f>
        <v>Keo dán ống PVC (100gr)</v>
      </c>
      <c r="G808" s="1082" t="str">
        <f>VLOOKUP($B808,DG!A:D,DG!$D$2,)</f>
        <v>tuýp</v>
      </c>
      <c r="H808" s="1878">
        <f>H794*0</f>
        <v>0</v>
      </c>
      <c r="I808" s="1262">
        <f t="shared" si="58"/>
        <v>0</v>
      </c>
      <c r="J808" s="1111"/>
      <c r="K808" s="1111"/>
      <c r="L808" s="1085"/>
      <c r="M808" s="977" t="s">
        <v>1266</v>
      </c>
    </row>
    <row r="809" spans="1:13" s="1086" customFormat="1" ht="25.15" hidden="1" customHeight="1">
      <c r="A809" s="1156">
        <f t="shared" si="59"/>
        <v>0</v>
      </c>
      <c r="B809" s="1327" t="s">
        <v>1181</v>
      </c>
      <c r="C809" s="1327"/>
      <c r="D809" s="1113"/>
      <c r="E809" s="1082">
        <f>VLOOKUP($B809,DG!A:D,DG!$B$2,)</f>
        <v>0</v>
      </c>
      <c r="F809" s="1083" t="str">
        <f>VLOOKUP($B809,DG!A:D,DG!$C$2,)</f>
        <v>Keo silicon bít miệng ống</v>
      </c>
      <c r="G809" s="1082" t="str">
        <f>VLOOKUP($B809,DG!A:D,DG!$D$2,)</f>
        <v>ống</v>
      </c>
      <c r="H809" s="1873"/>
      <c r="I809" s="1262">
        <f t="shared" si="58"/>
        <v>0</v>
      </c>
      <c r="J809" s="1111"/>
      <c r="K809" s="1111"/>
      <c r="L809" s="1085"/>
      <c r="M809" s="977" t="s">
        <v>1266</v>
      </c>
    </row>
    <row r="810" spans="1:13" s="1086" customFormat="1" ht="25.15" hidden="1" customHeight="1">
      <c r="A810" s="1156">
        <f t="shared" si="59"/>
        <v>0</v>
      </c>
      <c r="B810" s="1157" t="s">
        <v>672</v>
      </c>
      <c r="C810" s="1157"/>
      <c r="D810" s="1113"/>
      <c r="E810" s="1082">
        <f>VLOOKUP($B810,DG!A:D,DG!$B$2,)</f>
        <v>0</v>
      </c>
      <c r="F810" s="1083" t="str">
        <f>VLOOKUP($B810,DG!A:D,DG!$C$2,)</f>
        <v>Băng keo cách điện</v>
      </c>
      <c r="G810" s="1082" t="str">
        <f>VLOOKUP($B810,DG!A:D,DG!$D$2,)</f>
        <v>cuộn</v>
      </c>
      <c r="H810" s="1873"/>
      <c r="I810" s="1262">
        <f t="shared" si="58"/>
        <v>0</v>
      </c>
      <c r="J810" s="1111"/>
      <c r="K810" s="1111"/>
      <c r="L810" s="1085"/>
      <c r="M810" s="977" t="s">
        <v>1266</v>
      </c>
    </row>
    <row r="811" spans="1:13" s="1086" customFormat="1" ht="25.15" hidden="1" customHeight="1">
      <c r="A811" s="1156">
        <f t="shared" si="59"/>
        <v>0</v>
      </c>
      <c r="B811" s="1332" t="s">
        <v>4378</v>
      </c>
      <c r="C811" s="1332"/>
      <c r="D811" s="1113"/>
      <c r="E811" s="1082">
        <f>VLOOKUP($B811,DG!A:D,DG!$B$2,)</f>
        <v>0</v>
      </c>
      <c r="F811" s="1083" t="str">
        <f>VLOOKUP($B811,DG!A:D,DG!$C$2,)</f>
        <v>Chụp cách điện đầu cực MBA</v>
      </c>
      <c r="G811" s="1082" t="str">
        <f>VLOOKUP($B811,DG!A:D,DG!$D$2,)</f>
        <v>cái</v>
      </c>
      <c r="H811" s="1170"/>
      <c r="I811" s="1262">
        <f t="shared" si="58"/>
        <v>0</v>
      </c>
      <c r="J811" s="1111"/>
      <c r="K811" s="1111"/>
      <c r="L811" s="1085"/>
      <c r="M811" s="977" t="s">
        <v>1266</v>
      </c>
    </row>
    <row r="812" spans="1:13" s="1086" customFormat="1" ht="25.15" hidden="1" customHeight="1">
      <c r="A812" s="1156">
        <f t="shared" si="59"/>
        <v>0</v>
      </c>
      <c r="B812" s="1332" t="s">
        <v>4372</v>
      </c>
      <c r="C812" s="1332"/>
      <c r="D812" s="1113"/>
      <c r="E812" s="1082">
        <f>VLOOKUP($B812,DG!A:D,DG!$B$2,)</f>
        <v>0</v>
      </c>
      <c r="F812" s="1083" t="str">
        <f>VLOOKUP($B812,DG!A:D,DG!$C$2,)</f>
        <v>Chụp cách điện đầu cực FCO (trên + dưới)</v>
      </c>
      <c r="G812" s="1082" t="str">
        <f>VLOOKUP($B812,DG!A:D,DG!$D$2,)</f>
        <v>bộ</v>
      </c>
      <c r="H812" s="1170"/>
      <c r="I812" s="1262">
        <f t="shared" si="58"/>
        <v>0</v>
      </c>
      <c r="J812" s="1111"/>
      <c r="K812" s="1111"/>
      <c r="L812" s="1085"/>
      <c r="M812" s="977" t="s">
        <v>1266</v>
      </c>
    </row>
    <row r="813" spans="1:13" s="1086" customFormat="1" ht="25.15" hidden="1" customHeight="1">
      <c r="A813" s="1156">
        <f t="shared" si="59"/>
        <v>0</v>
      </c>
      <c r="B813" s="1332" t="s">
        <v>4380</v>
      </c>
      <c r="C813" s="1332"/>
      <c r="D813" s="1113"/>
      <c r="E813" s="1082">
        <f>VLOOKUP($B813,DG!A:D,DG!$B$2,)</f>
        <v>0</v>
      </c>
      <c r="F813" s="1083" t="str">
        <f>VLOOKUP($B813,DG!A:D,DG!$C$2,)</f>
        <v>Chụp cách điện đầu cực LA</v>
      </c>
      <c r="G813" s="1082" t="str">
        <f>VLOOKUP($B813,DG!A:D,DG!$D$2,)</f>
        <v>cái</v>
      </c>
      <c r="H813" s="1170"/>
      <c r="I813" s="1262">
        <f t="shared" ref="I813:I880" si="60">IF(M813=$M$23,H813+J813-K813,0)</f>
        <v>0</v>
      </c>
      <c r="J813" s="1111"/>
      <c r="K813" s="1111"/>
      <c r="L813" s="1085"/>
      <c r="M813" s="977" t="s">
        <v>1266</v>
      </c>
    </row>
    <row r="814" spans="1:13" s="1086" customFormat="1" ht="25.15" hidden="1" customHeight="1">
      <c r="A814" s="1156">
        <f t="shared" si="59"/>
        <v>0</v>
      </c>
      <c r="B814" s="1332" t="s">
        <v>2190</v>
      </c>
      <c r="C814" s="1332"/>
      <c r="D814" s="1113"/>
      <c r="E814" s="1082" t="str">
        <f>VLOOKUP($B814,DG!A:D,DG!$B$2,)</f>
        <v>07.2415</v>
      </c>
      <c r="F814" s="1165" t="str">
        <f>VLOOKUP($B814,DG!A:D,DG!$C$2,)</f>
        <v>Lắp ống nhựa PVC D90</v>
      </c>
      <c r="G814" s="1082" t="str">
        <f>VLOOKUP($B814,DG!A:D,DG!$D$2,)</f>
        <v>mét</v>
      </c>
      <c r="H814" s="1170"/>
      <c r="I814" s="1262">
        <f t="shared" si="60"/>
        <v>0</v>
      </c>
      <c r="J814" s="1111"/>
      <c r="K814" s="1111"/>
      <c r="L814" s="1085"/>
      <c r="M814" s="977" t="s">
        <v>1266</v>
      </c>
    </row>
    <row r="815" spans="1:13" s="1086" customFormat="1" ht="25.15" hidden="1" customHeight="1">
      <c r="A815" s="1156">
        <f t="shared" si="59"/>
        <v>0</v>
      </c>
      <c r="B815" s="1157" t="s">
        <v>1530</v>
      </c>
      <c r="C815" s="1157"/>
      <c r="D815" s="1113"/>
      <c r="E815" s="1082" t="str">
        <f>VLOOKUP($B815,DG!A:D,DG!$B$2,)</f>
        <v>04.4201</v>
      </c>
      <c r="F815" s="1165" t="str">
        <f>VLOOKUP($B815,DG!A:D,DG!$C$2,)</f>
        <v>Lắp cáp đồng xuống thiết bị D ≤ 95mm2</v>
      </c>
      <c r="G815" s="1082" t="str">
        <f>VLOOKUP($B815,DG!A:D,DG!$D$2,)</f>
        <v>m</v>
      </c>
      <c r="H815" s="1170"/>
      <c r="I815" s="1262">
        <f t="shared" si="60"/>
        <v>0</v>
      </c>
      <c r="J815" s="1111"/>
      <c r="K815" s="1111"/>
      <c r="L815" s="1085"/>
      <c r="M815" s="977" t="s">
        <v>1266</v>
      </c>
    </row>
    <row r="816" spans="1:13" s="1086" customFormat="1" ht="25.15" hidden="1" customHeight="1">
      <c r="A816" s="1156">
        <f t="shared" si="59"/>
        <v>0</v>
      </c>
      <c r="B816" s="1327" t="s">
        <v>289</v>
      </c>
      <c r="C816" s="1327"/>
      <c r="D816" s="1173">
        <f>IF(H816&gt;0,D794+1,D794)</f>
        <v>0</v>
      </c>
      <c r="E816" s="1177"/>
      <c r="F816" s="1083" t="str">
        <f>VLOOKUP($B816,DG!A:D,DG!$C$2,)</f>
        <v>Bảng tên trạm, bảng báo nguy hiểm + đinh vít</v>
      </c>
      <c r="G816" s="1082" t="str">
        <f>VLOOKUP($B816,DG!A:D,DG!$D$2,)</f>
        <v>bộ</v>
      </c>
      <c r="H816" s="1891"/>
      <c r="I816" s="1262">
        <f t="shared" si="60"/>
        <v>0</v>
      </c>
      <c r="J816" s="1111"/>
      <c r="K816" s="1111"/>
      <c r="L816" s="1085"/>
      <c r="M816" s="977" t="s">
        <v>1266</v>
      </c>
    </row>
    <row r="817" spans="1:13" s="1086" customFormat="1" ht="25.15" hidden="1" customHeight="1">
      <c r="A817" s="1156">
        <f t="shared" si="59"/>
        <v>0</v>
      </c>
      <c r="B817" s="1327" t="s">
        <v>1631</v>
      </c>
      <c r="C817" s="1327"/>
      <c r="D817" s="1173">
        <f>IF(H817&gt;0,D795+1,D795)</f>
        <v>0</v>
      </c>
      <c r="E817" s="1177"/>
      <c r="F817" s="1100" t="str">
        <f>VLOOKUP($B817,DG!A:D,DG!$C$2,)</f>
        <v>Móng đặt tủ bù (0,2x0,2x0,4)x4 móng</v>
      </c>
      <c r="G817" s="1099" t="str">
        <f>VLOOKUP($B817,DG!A:D,DG!$D$2,)</f>
        <v>Trọn bộ</v>
      </c>
      <c r="H817" s="1928"/>
      <c r="I817" s="1262">
        <f t="shared" si="60"/>
        <v>0</v>
      </c>
      <c r="J817" s="1174"/>
      <c r="K817" s="1174"/>
      <c r="L817" s="1174"/>
      <c r="M817" s="977" t="s">
        <v>1266</v>
      </c>
    </row>
    <row r="818" spans="1:13" s="1086" customFormat="1" ht="25.15" hidden="1" customHeight="1">
      <c r="A818" s="1156">
        <f t="shared" si="59"/>
        <v>0</v>
      </c>
      <c r="B818" s="1351"/>
      <c r="C818" s="1351"/>
      <c r="D818" s="1110"/>
      <c r="E818" s="1182"/>
      <c r="F818" s="1080"/>
      <c r="G818" s="1227"/>
      <c r="H818" s="1883"/>
      <c r="I818" s="1262">
        <f t="shared" si="60"/>
        <v>0</v>
      </c>
      <c r="J818" s="1242"/>
      <c r="K818" s="1243"/>
      <c r="L818" s="1139"/>
      <c r="M818" s="977" t="s">
        <v>1266</v>
      </c>
    </row>
    <row r="819" spans="1:13" s="1145" customFormat="1" ht="25.15" hidden="1" customHeight="1">
      <c r="A819" s="1156">
        <f t="shared" si="59"/>
        <v>0</v>
      </c>
      <c r="B819" s="1352"/>
      <c r="C819" s="1352"/>
      <c r="D819" s="1190"/>
      <c r="E819" s="1244"/>
      <c r="F819" s="1245"/>
      <c r="G819" s="1246"/>
      <c r="H819" s="1893"/>
      <c r="I819" s="1262">
        <f t="shared" si="60"/>
        <v>0</v>
      </c>
      <c r="J819" s="1245"/>
      <c r="K819" s="1245"/>
      <c r="M819" s="1190"/>
    </row>
    <row r="820" spans="1:13" s="1086" customFormat="1" ht="25.15" hidden="1" customHeight="1">
      <c r="A820" s="1156">
        <f t="shared" si="59"/>
        <v>0</v>
      </c>
      <c r="B820" s="1353"/>
      <c r="C820" s="1353"/>
      <c r="D820" s="983" t="e">
        <f>"BAÛNG TOÅNG HÔÏP VAÄT LIEÄU, NHAÂN COÂNG, MAÙY THI COÂNG : "&amp;#REF!&amp;" TRAÏM 3P_3x50KVA"</f>
        <v>#REF!</v>
      </c>
      <c r="E820" s="983"/>
      <c r="F820" s="983"/>
      <c r="G820" s="983"/>
      <c r="H820" s="1894"/>
      <c r="I820" s="1262">
        <f t="shared" si="60"/>
        <v>0</v>
      </c>
      <c r="J820" s="983"/>
      <c r="K820" s="983"/>
      <c r="M820" s="977"/>
    </row>
    <row r="821" spans="1:13" s="1086" customFormat="1" ht="25.15" hidden="1" customHeight="1">
      <c r="A821" s="1156">
        <f t="shared" si="59"/>
        <v>0</v>
      </c>
      <c r="B821" s="1327"/>
      <c r="C821" s="1327"/>
      <c r="D821" s="1106"/>
      <c r="E821" s="1107"/>
      <c r="F821" s="1108" t="s">
        <v>3693</v>
      </c>
      <c r="G821" s="1109"/>
      <c r="H821" s="1929"/>
      <c r="I821" s="1262">
        <f t="shared" si="60"/>
        <v>0</v>
      </c>
      <c r="J821" s="1109"/>
      <c r="K821" s="1109"/>
      <c r="L821" s="1158"/>
      <c r="M821" s="977" t="s">
        <v>1267</v>
      </c>
    </row>
    <row r="822" spans="1:13" s="1086" customFormat="1" ht="25.15" customHeight="1">
      <c r="A822" s="1156">
        <f t="shared" si="59"/>
        <v>1</v>
      </c>
      <c r="B822" s="1328" t="s">
        <v>4423</v>
      </c>
      <c r="C822" s="1328"/>
      <c r="D822" s="1093">
        <f>IF(H822&gt;0,1,0)</f>
        <v>1</v>
      </c>
      <c r="E822" s="1082" t="str">
        <f>VLOOKUP($B822,DG!A:D,DG!$B$2,)</f>
        <v>01.1162</v>
      </c>
      <c r="F822" s="1083" t="str">
        <f>VLOOKUP($B822,DG!A:D,DG!$C$2,)</f>
        <v>Máy biến áp 12,7/0,23-0,46kV 50kVA</v>
      </c>
      <c r="G822" s="1082" t="str">
        <f>VLOOKUP($B822,DG!A:D,DG!$D$2,)</f>
        <v>máy</v>
      </c>
      <c r="H822" s="1895">
        <f>L9*3</f>
        <v>3</v>
      </c>
      <c r="I822" s="1262">
        <f t="shared" si="60"/>
        <v>3</v>
      </c>
      <c r="J822" s="1111"/>
      <c r="K822" s="1111"/>
      <c r="L822" s="1199"/>
      <c r="M822" s="977" t="s">
        <v>1267</v>
      </c>
    </row>
    <row r="823" spans="1:13" s="1086" customFormat="1" ht="25.15" customHeight="1">
      <c r="A823" s="1156">
        <f t="shared" si="59"/>
        <v>1</v>
      </c>
      <c r="B823" s="1328" t="s">
        <v>1657</v>
      </c>
      <c r="C823" s="1328"/>
      <c r="D823" s="1093">
        <f t="shared" ref="D823:D830" si="61">IF(H823&gt;0,D822+1,D822)</f>
        <v>2</v>
      </c>
      <c r="E823" s="1082" t="str">
        <f>VLOOKUP($B823,DG!A:D,DG!$B$2,)</f>
        <v>02.3155</v>
      </c>
      <c r="F823" s="1083" t="str">
        <f>VLOOKUP($B823,DG!A:D,DG!$C$2,)</f>
        <v>FCO 27kV - 100A</v>
      </c>
      <c r="G823" s="1082" t="str">
        <f>VLOOKUP($B823,DG!A:D,DG!$D$2,)</f>
        <v>cái</v>
      </c>
      <c r="H823" s="1873">
        <f>+H822</f>
        <v>3</v>
      </c>
      <c r="I823" s="1262">
        <f t="shared" si="60"/>
        <v>3</v>
      </c>
      <c r="J823" s="1111"/>
      <c r="K823" s="1111"/>
      <c r="L823" s="1085"/>
      <c r="M823" s="977" t="s">
        <v>1267</v>
      </c>
    </row>
    <row r="824" spans="1:13" s="1086" customFormat="1" ht="25.15" customHeight="1">
      <c r="A824" s="1156">
        <f t="shared" si="59"/>
        <v>1</v>
      </c>
      <c r="B824" s="1327" t="s">
        <v>367</v>
      </c>
      <c r="C824" s="1327"/>
      <c r="D824" s="1093">
        <f t="shared" si="61"/>
        <v>3</v>
      </c>
      <c r="E824" s="1082">
        <f>VLOOKUP($B824,DG!A:D,DG!$B$2,)</f>
        <v>0</v>
      </c>
      <c r="F824" s="1083" t="str">
        <f>VLOOKUP($B824,DG!A:D,DG!$C$2,)</f>
        <v>Dây chảy 6K</v>
      </c>
      <c r="G824" s="1082" t="str">
        <f>VLOOKUP($B824,DG!A:D,DG!$D$2,)</f>
        <v>Sợi</v>
      </c>
      <c r="H824" s="1873">
        <v>3</v>
      </c>
      <c r="I824" s="1262">
        <f t="shared" si="60"/>
        <v>3</v>
      </c>
      <c r="J824" s="1111"/>
      <c r="K824" s="1111"/>
      <c r="L824" s="1085"/>
      <c r="M824" s="977" t="s">
        <v>1267</v>
      </c>
    </row>
    <row r="825" spans="1:13" s="1086" customFormat="1" ht="25.15" customHeight="1">
      <c r="A825" s="1156">
        <f t="shared" si="59"/>
        <v>1</v>
      </c>
      <c r="B825" s="1327" t="str">
        <f>IF(RIGHT(B823,2)=12,"LA12","LA18")</f>
        <v>LA18</v>
      </c>
      <c r="C825" s="1327"/>
      <c r="D825" s="1093">
        <f t="shared" si="61"/>
        <v>4</v>
      </c>
      <c r="E825" s="1082" t="str">
        <f>VLOOKUP($B825,DG!A:D,DG!$B$2,)</f>
        <v>02.5114</v>
      </c>
      <c r="F825" s="1083" t="str">
        <f>VLOOKUP($B825,DG!A:D,DG!$C$2,)</f>
        <v>Chống sét van LA-18KV-10KA</v>
      </c>
      <c r="G825" s="1082" t="str">
        <f>VLOOKUP($B825,DG!A:D,DG!$D$2,)</f>
        <v>cái</v>
      </c>
      <c r="H825" s="1873">
        <f>H823</f>
        <v>3</v>
      </c>
      <c r="I825" s="1262">
        <f t="shared" si="60"/>
        <v>3</v>
      </c>
      <c r="J825" s="1111"/>
      <c r="K825" s="1111"/>
      <c r="L825" s="1085"/>
      <c r="M825" s="977" t="s">
        <v>1267</v>
      </c>
    </row>
    <row r="826" spans="1:13" s="1086" customFormat="1" ht="25.15" customHeight="1">
      <c r="A826" s="1156">
        <f t="shared" si="59"/>
        <v>1</v>
      </c>
      <c r="B826" s="1328" t="s">
        <v>5194</v>
      </c>
      <c r="C826" s="1328"/>
      <c r="D826" s="1093">
        <f t="shared" si="61"/>
        <v>5</v>
      </c>
      <c r="E826" s="1082" t="str">
        <f>VLOOKUP($B826,DG!A:D,DG!$B$2,)</f>
        <v>02.8401</v>
      </c>
      <c r="F826" s="1083" t="str">
        <f>VLOOKUP($B826,DG!A:D,DG!$C$2,)</f>
        <v>MCCB 3 cực 400V -200A - 35KA</v>
      </c>
      <c r="G826" s="1082" t="str">
        <f>VLOOKUP($B826,DG!A:D,DG!$D$2,)</f>
        <v>cái</v>
      </c>
      <c r="H826" s="1896">
        <f>H822/3</f>
        <v>1</v>
      </c>
      <c r="I826" s="1262">
        <f t="shared" si="60"/>
        <v>1</v>
      </c>
      <c r="J826" s="1111"/>
      <c r="K826" s="1111"/>
      <c r="L826" s="1085"/>
      <c r="M826" s="977" t="s">
        <v>1267</v>
      </c>
    </row>
    <row r="827" spans="1:13" s="1086" customFormat="1" ht="25.15" hidden="1" customHeight="1">
      <c r="A827" s="1156">
        <f t="shared" si="59"/>
        <v>0</v>
      </c>
      <c r="B827" s="1328" t="s">
        <v>2200</v>
      </c>
      <c r="C827" s="1328"/>
      <c r="D827" s="1093">
        <f t="shared" si="61"/>
        <v>5</v>
      </c>
      <c r="E827" s="1082" t="str">
        <f>VLOOKUP($B827,DG!A:D,DG!$B$2,)</f>
        <v>02.8534</v>
      </c>
      <c r="F827" s="1083" t="str">
        <f>VLOOKUP($B827,DG!A:D,DG!$C$2,)</f>
        <v>Tủ tụ bù hạ thế 60kVAr</v>
      </c>
      <c r="G827" s="1082" t="str">
        <f>VLOOKUP($B827,DG!A:D,DG!$D$2,)</f>
        <v>tủ</v>
      </c>
      <c r="H827" s="1896">
        <f>H822/3*0</f>
        <v>0</v>
      </c>
      <c r="I827" s="1262">
        <f t="shared" si="60"/>
        <v>0</v>
      </c>
      <c r="J827" s="1111"/>
      <c r="K827" s="1111"/>
      <c r="L827" s="1085"/>
      <c r="M827" s="977" t="s">
        <v>1267</v>
      </c>
    </row>
    <row r="828" spans="1:13" s="1086" customFormat="1" ht="25.15" hidden="1" customHeight="1">
      <c r="A828" s="1156">
        <f t="shared" ref="A828" si="62">IF(I828&gt;0,1,0)</f>
        <v>0</v>
      </c>
      <c r="B828" s="1330" t="s">
        <v>367</v>
      </c>
      <c r="C828" s="1330"/>
      <c r="D828" s="1093">
        <f>IF(H828&gt;0,D826+1,D826)</f>
        <v>5</v>
      </c>
      <c r="E828" s="1082">
        <f>VLOOKUP($B828,DG!A:D,DG!$B$2,)</f>
        <v>0</v>
      </c>
      <c r="F828" s="1083" t="str">
        <f>VLOOKUP($B828,DG!A:D,DG!$C$2,)</f>
        <v>Dây chảy 6K</v>
      </c>
      <c r="G828" s="1082" t="str">
        <f>VLOOKUP($B828,DG!A:D,DG!$D$2,)</f>
        <v>Sợi</v>
      </c>
      <c r="H828" s="1873">
        <f>H821</f>
        <v>0</v>
      </c>
      <c r="I828" s="1262">
        <f t="shared" ref="I828" si="63">IF(M828=$M$23,H828+J828-K828,0)</f>
        <v>0</v>
      </c>
      <c r="J828" s="1111"/>
      <c r="K828" s="1111"/>
      <c r="L828" s="1113" t="s">
        <v>2612</v>
      </c>
      <c r="M828" s="977" t="s">
        <v>1267</v>
      </c>
    </row>
    <row r="829" spans="1:13" s="1086" customFormat="1" ht="25.15" customHeight="1">
      <c r="A829" s="1156">
        <f t="shared" si="59"/>
        <v>1</v>
      </c>
      <c r="B829" s="1330" t="s">
        <v>1118</v>
      </c>
      <c r="C829" s="1330"/>
      <c r="D829" s="1093">
        <f>IF(H829&gt;0,D827+1,D827)</f>
        <v>6</v>
      </c>
      <c r="E829" s="1082">
        <f>VLOOKUP($B829,DG!A:D,DG!$B$2,)</f>
        <v>0</v>
      </c>
      <c r="F829" s="1083" t="str">
        <f>VLOOKUP($B829,DG!A:D,DG!$C$2,)</f>
        <v xml:space="preserve">Biến dòng 600V - 200/5A </v>
      </c>
      <c r="G829" s="1082" t="str">
        <f>VLOOKUP($B829,DG!A:D,DG!$D$2,)</f>
        <v>cái</v>
      </c>
      <c r="H829" s="1873">
        <f>H822</f>
        <v>3</v>
      </c>
      <c r="I829" s="1262">
        <f t="shared" si="60"/>
        <v>3</v>
      </c>
      <c r="J829" s="1111"/>
      <c r="K829" s="1111"/>
      <c r="L829" s="1113" t="s">
        <v>2612</v>
      </c>
      <c r="M829" s="977" t="s">
        <v>1267</v>
      </c>
    </row>
    <row r="830" spans="1:13" s="1086" customFormat="1" ht="25.15" customHeight="1">
      <c r="A830" s="1156">
        <f t="shared" si="59"/>
        <v>1</v>
      </c>
      <c r="B830" s="1334" t="s">
        <v>288</v>
      </c>
      <c r="C830" s="1334"/>
      <c r="D830" s="1093">
        <f t="shared" si="61"/>
        <v>7</v>
      </c>
      <c r="E830" s="1082" t="str">
        <f>VLOOKUP($B830,DG!A:D,DG!$B$2,)</f>
        <v>05.5104</v>
      </c>
      <c r="F830" s="1083" t="str">
        <f>VLOOKUP($B830,DG!A:D,DG!$C$2,)</f>
        <v>Điện kế 3 pha 4 dây 220/380V-5A</v>
      </c>
      <c r="G830" s="1082" t="str">
        <f>VLOOKUP($B830,DG!A:D,DG!$D$2,)</f>
        <v>cái</v>
      </c>
      <c r="H830" s="1873">
        <f>H824/3</f>
        <v>1</v>
      </c>
      <c r="I830" s="1262">
        <f t="shared" si="60"/>
        <v>1</v>
      </c>
      <c r="J830" s="1111"/>
      <c r="K830" s="1111"/>
      <c r="L830" s="1113" t="s">
        <v>2612</v>
      </c>
      <c r="M830" s="977" t="s">
        <v>1267</v>
      </c>
    </row>
    <row r="831" spans="1:13" s="1086" customFormat="1" ht="25.15" hidden="1" customHeight="1">
      <c r="A831" s="1156">
        <f t="shared" si="59"/>
        <v>0</v>
      </c>
      <c r="B831" s="1327"/>
      <c r="C831" s="1327"/>
      <c r="D831" s="1116"/>
      <c r="E831" s="1117"/>
      <c r="F831" s="1079"/>
      <c r="G831" s="1116"/>
      <c r="H831" s="1883"/>
      <c r="I831" s="1262">
        <f t="shared" si="60"/>
        <v>0</v>
      </c>
      <c r="J831" s="1079"/>
      <c r="K831" s="1116"/>
      <c r="L831" s="1247"/>
      <c r="M831" s="977" t="s">
        <v>1267</v>
      </c>
    </row>
    <row r="832" spans="1:13" s="1086" customFormat="1" ht="25.15" hidden="1" customHeight="1">
      <c r="A832" s="1156">
        <f t="shared" si="59"/>
        <v>0</v>
      </c>
      <c r="B832" s="1327"/>
      <c r="C832" s="1327"/>
      <c r="D832" s="1118"/>
      <c r="E832" s="1119"/>
      <c r="F832" s="1108" t="s">
        <v>3694</v>
      </c>
      <c r="G832" s="1108"/>
      <c r="H832" s="1897"/>
      <c r="I832" s="1262">
        <f t="shared" si="60"/>
        <v>0</v>
      </c>
      <c r="J832" s="1108"/>
      <c r="K832" s="1108"/>
      <c r="L832" s="1139"/>
      <c r="M832" s="977" t="s">
        <v>1267</v>
      </c>
    </row>
    <row r="833" spans="1:14" s="1086" customFormat="1" ht="25.15" customHeight="1">
      <c r="A833" s="1156">
        <f t="shared" si="59"/>
        <v>1</v>
      </c>
      <c r="B833" s="1327"/>
      <c r="C833" s="1327"/>
      <c r="D833" s="1186">
        <f>IF(H833&gt;0,1,0)</f>
        <v>1</v>
      </c>
      <c r="E833" s="1248"/>
      <c r="F833" s="1249" t="s">
        <v>3713</v>
      </c>
      <c r="G833" s="1186" t="s">
        <v>2394</v>
      </c>
      <c r="H833" s="1898">
        <f>H822/3</f>
        <v>1</v>
      </c>
      <c r="I833" s="1262">
        <f t="shared" si="60"/>
        <v>1</v>
      </c>
      <c r="J833" s="1250"/>
      <c r="K833" s="1250"/>
      <c r="L833" s="1199"/>
      <c r="M833" s="977" t="s">
        <v>1267</v>
      </c>
    </row>
    <row r="834" spans="1:14" s="1086" customFormat="1" ht="25.15" customHeight="1">
      <c r="A834" s="1156">
        <f>IF(A833&gt;0,1,0)</f>
        <v>1</v>
      </c>
      <c r="B834" s="1327"/>
      <c r="C834" s="1327"/>
      <c r="D834" s="1081"/>
      <c r="E834" s="1091"/>
      <c r="F834" s="1370" t="s">
        <v>2287</v>
      </c>
      <c r="G834" s="1093"/>
      <c r="H834" s="1873"/>
      <c r="I834" s="1262">
        <f t="shared" si="60"/>
        <v>0</v>
      </c>
      <c r="J834" s="1132"/>
      <c r="K834" s="1132"/>
      <c r="L834" s="1085"/>
      <c r="M834" s="977" t="s">
        <v>1267</v>
      </c>
    </row>
    <row r="835" spans="1:14" s="1086" customFormat="1" ht="25.15" customHeight="1">
      <c r="A835" s="1156">
        <f t="shared" si="59"/>
        <v>1</v>
      </c>
      <c r="B835" s="1157" t="s">
        <v>1043</v>
      </c>
      <c r="C835" s="1157"/>
      <c r="D835" s="1081"/>
      <c r="E835" s="1082" t="str">
        <f>VLOOKUP($B835,DG!A:D,DG!$B$2,)</f>
        <v>05.6100</v>
      </c>
      <c r="F835" s="1083" t="str">
        <f>VLOOKUP($B835,DG!A:D,DG!$C$2,)</f>
        <v>Giá chùm treo máy biến áp 3x50</v>
      </c>
      <c r="G835" s="1082" t="str">
        <f>VLOOKUP($B835,DG!A:D,DG!$D$2,)</f>
        <v>cái</v>
      </c>
      <c r="H835" s="1873">
        <f>H833</f>
        <v>1</v>
      </c>
      <c r="I835" s="1262">
        <f t="shared" si="60"/>
        <v>1</v>
      </c>
      <c r="J835" s="1111"/>
      <c r="K835" s="1111"/>
      <c r="L835" s="1085"/>
      <c r="M835" s="977" t="s">
        <v>1267</v>
      </c>
    </row>
    <row r="836" spans="1:14" s="1086" customFormat="1" ht="25.15" customHeight="1">
      <c r="A836" s="1156">
        <f t="shared" si="59"/>
        <v>1</v>
      </c>
      <c r="B836" s="1327" t="s">
        <v>1792</v>
      </c>
      <c r="C836" s="1327"/>
      <c r="D836" s="1081"/>
      <c r="E836" s="1082">
        <f>VLOOKUP($B836,DG!A:D,DG!$B$2,)</f>
        <v>0</v>
      </c>
      <c r="F836" s="1083" t="str">
        <f>VLOOKUP($B836,DG!A:D,DG!$C$2,)</f>
        <v>Boulon 16x50+ 2 long đền vuông D18-50x50x3/Zn</v>
      </c>
      <c r="G836" s="1082" t="str">
        <f>VLOOKUP($B836,DG!A:D,DG!$D$2,)</f>
        <v>bộ</v>
      </c>
      <c r="H836" s="1873">
        <f>6*H833</f>
        <v>6</v>
      </c>
      <c r="I836" s="1262">
        <f t="shared" si="60"/>
        <v>6</v>
      </c>
      <c r="J836" s="1111"/>
      <c r="K836" s="1111"/>
      <c r="L836" s="1085"/>
      <c r="M836" s="977" t="s">
        <v>1267</v>
      </c>
    </row>
    <row r="837" spans="1:14" s="1086" customFormat="1" ht="25.15" customHeight="1">
      <c r="A837" s="1156">
        <f t="shared" ref="A837" si="64">IF(I837&gt;0,1,0)</f>
        <v>1</v>
      </c>
      <c r="B837" s="1327" t="s">
        <v>1615</v>
      </c>
      <c r="C837" s="1327"/>
      <c r="D837" s="1081"/>
      <c r="E837" s="1082">
        <f>VLOOKUP($B837,DG!A:D,DG!$B$2,)</f>
        <v>0</v>
      </c>
      <c r="F837" s="1083" t="str">
        <f>VLOOKUP($B837,DG!A:D,DG!$C$2,)</f>
        <v>Boulon 16x300+ 2 long đền vuông D18-50x50x3/Zn</v>
      </c>
      <c r="G837" s="1082" t="str">
        <f>VLOOKUP($B837,DG!A:D,DG!$D$2,)</f>
        <v>bộ</v>
      </c>
      <c r="H837" s="1873">
        <f>2*H833</f>
        <v>2</v>
      </c>
      <c r="I837" s="1262">
        <f t="shared" ref="I837" si="65">IF(M837=$M$23,H837+J837-K837,0)</f>
        <v>2</v>
      </c>
      <c r="J837" s="1111"/>
      <c r="K837" s="1111"/>
      <c r="L837" s="1085"/>
      <c r="M837" s="977" t="s">
        <v>1267</v>
      </c>
    </row>
    <row r="838" spans="1:14" s="1086" customFormat="1" ht="25.15" hidden="1" customHeight="1">
      <c r="A838" s="1156">
        <f t="shared" si="59"/>
        <v>0</v>
      </c>
      <c r="B838" s="1327" t="s">
        <v>4811</v>
      </c>
      <c r="C838" s="1327"/>
      <c r="D838" s="1081"/>
      <c r="E838" s="1082" t="str">
        <f>VLOOKUP($B838,DG!A:D,DG!$B$2,)</f>
        <v>05.6100</v>
      </c>
      <c r="F838" s="1083" t="str">
        <f>VLOOKUP($B838,DG!A:D,DG!$C$2,)</f>
        <v>Lắp giá treo máy biến áp</v>
      </c>
      <c r="G838" s="1082" t="str">
        <f>VLOOKUP($B838,DG!A:D,DG!$D$2,)</f>
        <v>tấn</v>
      </c>
      <c r="H838" s="1873"/>
      <c r="I838" s="1262">
        <f t="shared" si="60"/>
        <v>0</v>
      </c>
      <c r="J838" s="1111"/>
      <c r="K838" s="1111"/>
      <c r="L838" s="1085"/>
      <c r="M838" s="977" t="s">
        <v>1267</v>
      </c>
    </row>
    <row r="839" spans="1:14" s="1086" customFormat="1" ht="25.15" hidden="1" customHeight="1">
      <c r="A839" s="1156">
        <f t="shared" si="59"/>
        <v>0</v>
      </c>
      <c r="B839" s="1327"/>
      <c r="C839" s="1327"/>
      <c r="D839" s="1081">
        <f>IF(H839&gt;0,D833+1,D833)</f>
        <v>1</v>
      </c>
      <c r="E839" s="1188"/>
      <c r="F839" s="1189" t="s">
        <v>3695</v>
      </c>
      <c r="G839" s="1169" t="s">
        <v>2394</v>
      </c>
      <c r="H839" s="1867">
        <f>H833*0</f>
        <v>0</v>
      </c>
      <c r="I839" s="1262">
        <f t="shared" si="60"/>
        <v>0</v>
      </c>
      <c r="J839" s="1134"/>
      <c r="K839" s="1134"/>
      <c r="L839" s="1113"/>
      <c r="M839" s="977" t="s">
        <v>1267</v>
      </c>
    </row>
    <row r="840" spans="1:14" s="1086" customFormat="1" ht="25.15" hidden="1" customHeight="1">
      <c r="A840" s="1156">
        <f>IF(A839&gt;0,1,0)</f>
        <v>0</v>
      </c>
      <c r="B840" s="1327"/>
      <c r="C840" s="1327"/>
      <c r="D840" s="1169"/>
      <c r="E840" s="1188"/>
      <c r="F840" s="1367" t="s">
        <v>2287</v>
      </c>
      <c r="G840" s="1113"/>
      <c r="H840" s="1170"/>
      <c r="I840" s="1262">
        <f t="shared" si="60"/>
        <v>0</v>
      </c>
      <c r="J840" s="1134"/>
      <c r="K840" s="1134"/>
      <c r="L840" s="1113"/>
      <c r="M840" s="977" t="s">
        <v>1267</v>
      </c>
      <c r="N840" s="1190"/>
    </row>
    <row r="841" spans="1:14" s="1086" customFormat="1" ht="25.15" hidden="1" customHeight="1">
      <c r="A841" s="1156">
        <f t="shared" si="59"/>
        <v>0</v>
      </c>
      <c r="B841" s="1157" t="s">
        <v>115</v>
      </c>
      <c r="C841" s="1157"/>
      <c r="D841" s="1113"/>
      <c r="E841" s="1082">
        <f>VLOOKUP($B841,DG!A:D,DG!$B$2,)</f>
        <v>0</v>
      </c>
      <c r="F841" s="1083" t="str">
        <f>VLOOKUP($B841,DG!A:D,DG!$C$2,)</f>
        <v>Trụ BTLT 12m F350 dự ứng lực</v>
      </c>
      <c r="G841" s="1082" t="str">
        <f>VLOOKUP($B841,DG!A:D,DG!$D$2,)</f>
        <v>trụ</v>
      </c>
      <c r="H841" s="1170">
        <f>1*H839</f>
        <v>0</v>
      </c>
      <c r="I841" s="1262">
        <f t="shared" si="60"/>
        <v>0</v>
      </c>
      <c r="J841" s="1111"/>
      <c r="K841" s="1111"/>
      <c r="L841" s="1113"/>
      <c r="M841" s="977" t="s">
        <v>1267</v>
      </c>
      <c r="N841" s="1190"/>
    </row>
    <row r="842" spans="1:14" s="1086" customFormat="1" ht="25.15" hidden="1" customHeight="1">
      <c r="A842" s="1156">
        <f t="shared" si="59"/>
        <v>0</v>
      </c>
      <c r="B842" s="1157" t="s">
        <v>1820</v>
      </c>
      <c r="C842" s="1157"/>
      <c r="D842" s="1113"/>
      <c r="E842" s="1191"/>
      <c r="F842" s="1083" t="str">
        <f>VLOOKUP($B842,DG!A:D,DG!$C$2,)</f>
        <v>Vật liệu dựng trụ</v>
      </c>
      <c r="G842" s="1082" t="str">
        <f>VLOOKUP($B842,DG!A:D,DG!$D$2,)</f>
        <v>trụ</v>
      </c>
      <c r="H842" s="1170">
        <f>H841</f>
        <v>0</v>
      </c>
      <c r="I842" s="1262">
        <f t="shared" si="60"/>
        <v>0</v>
      </c>
      <c r="J842" s="1111"/>
      <c r="K842" s="1111"/>
      <c r="L842" s="1113"/>
      <c r="M842" s="977" t="s">
        <v>1267</v>
      </c>
      <c r="N842" s="1190"/>
    </row>
    <row r="843" spans="1:14" s="1086" customFormat="1" ht="25.15" hidden="1" customHeight="1">
      <c r="A843" s="1156">
        <f t="shared" si="59"/>
        <v>0</v>
      </c>
      <c r="B843" s="1157" t="s">
        <v>2134</v>
      </c>
      <c r="C843" s="1157"/>
      <c r="D843" s="1113"/>
      <c r="E843" s="1191"/>
      <c r="F843" s="1083" t="str">
        <f>VLOOKUP($B843,DG!A:D,DG!$C$2,)</f>
        <v>Dựng trụ BTLT 12m trong TBA bằng thủ công + cơ giới</v>
      </c>
      <c r="G843" s="1082" t="str">
        <f>VLOOKUP($B843,DG!A:D,DG!$D$2,)</f>
        <v>trụ</v>
      </c>
      <c r="H843" s="1170">
        <f>H841</f>
        <v>0</v>
      </c>
      <c r="I843" s="1262">
        <f t="shared" si="60"/>
        <v>0</v>
      </c>
      <c r="J843" s="1111"/>
      <c r="K843" s="1111"/>
      <c r="L843" s="1113"/>
      <c r="M843" s="977" t="s">
        <v>1267</v>
      </c>
      <c r="N843" s="1190"/>
    </row>
    <row r="844" spans="1:14" s="1086" customFormat="1" ht="25.15" hidden="1" customHeight="1">
      <c r="A844" s="1156">
        <f t="shared" si="59"/>
        <v>0</v>
      </c>
      <c r="B844" s="1327"/>
      <c r="C844" s="1327"/>
      <c r="D844" s="1081">
        <f>IF(H844&gt;0,D839+1,D839)</f>
        <v>1</v>
      </c>
      <c r="E844" s="1188"/>
      <c r="F844" s="1189" t="s">
        <v>2361</v>
      </c>
      <c r="G844" s="1169" t="s">
        <v>2394</v>
      </c>
      <c r="H844" s="1867">
        <f>H839</f>
        <v>0</v>
      </c>
      <c r="I844" s="1262">
        <f t="shared" si="60"/>
        <v>0</v>
      </c>
      <c r="J844" s="1134"/>
      <c r="K844" s="1134"/>
      <c r="L844" s="1113"/>
      <c r="M844" s="977" t="s">
        <v>1267</v>
      </c>
    </row>
    <row r="845" spans="1:14" s="1086" customFormat="1" ht="25.15" hidden="1" customHeight="1">
      <c r="A845" s="1156">
        <f>IF(A844&gt;0,1,0)</f>
        <v>0</v>
      </c>
      <c r="B845" s="1327"/>
      <c r="C845" s="1327"/>
      <c r="D845" s="1169"/>
      <c r="E845" s="1188"/>
      <c r="F845" s="1367" t="s">
        <v>2287</v>
      </c>
      <c r="G845" s="1113"/>
      <c r="H845" s="1170"/>
      <c r="I845" s="1262">
        <f t="shared" si="60"/>
        <v>0</v>
      </c>
      <c r="J845" s="1134"/>
      <c r="K845" s="1134"/>
      <c r="L845" s="1113"/>
      <c r="M845" s="977" t="s">
        <v>1267</v>
      </c>
      <c r="N845" s="1190"/>
    </row>
    <row r="846" spans="1:14" s="1086" customFormat="1" ht="25.15" hidden="1" customHeight="1">
      <c r="A846" s="1156">
        <f t="shared" si="59"/>
        <v>0</v>
      </c>
      <c r="B846" s="1334" t="s">
        <v>636</v>
      </c>
      <c r="C846" s="1334"/>
      <c r="D846" s="1113"/>
      <c r="E846" s="1082" t="str">
        <f>VLOOKUP($B846,DG!A:D,DG!$B$2,)</f>
        <v>04.4001</v>
      </c>
      <c r="F846" s="1083" t="str">
        <f>VLOOKUP($B846,DG!A:D,DG!$C$2,)</f>
        <v>Đà cản BTCT 1,2m</v>
      </c>
      <c r="G846" s="1082" t="str">
        <f>VLOOKUP($B846,DG!A:D,DG!$D$2,)</f>
        <v>cái</v>
      </c>
      <c r="H846" s="1170">
        <f>1*H844</f>
        <v>0</v>
      </c>
      <c r="I846" s="1262">
        <f t="shared" si="60"/>
        <v>0</v>
      </c>
      <c r="J846" s="1111"/>
      <c r="K846" s="1111"/>
      <c r="L846" s="1113"/>
      <c r="M846" s="977" t="s">
        <v>1267</v>
      </c>
      <c r="N846" s="1190"/>
    </row>
    <row r="847" spans="1:14" s="1086" customFormat="1" ht="25.15" hidden="1" customHeight="1">
      <c r="A847" s="1156">
        <f t="shared" si="59"/>
        <v>0</v>
      </c>
      <c r="B847" s="1334" t="s">
        <v>566</v>
      </c>
      <c r="C847" s="1334"/>
      <c r="D847" s="1113"/>
      <c r="E847" s="1082">
        <f>VLOOKUP($B847,DG!A:D,DG!$B$2,)</f>
        <v>0</v>
      </c>
      <c r="F847" s="1083" t="str">
        <f>VLOOKUP($B847,DG!A:D,DG!$C$2,)</f>
        <v>Boulon 22x650+ 2 long đền vuông D24-50x50x3/Zn</v>
      </c>
      <c r="G847" s="1082" t="str">
        <f>VLOOKUP($B847,DG!A:D,DG!$D$2,)</f>
        <v>bộ</v>
      </c>
      <c r="H847" s="1170">
        <f>H844</f>
        <v>0</v>
      </c>
      <c r="I847" s="1262">
        <f t="shared" si="60"/>
        <v>0</v>
      </c>
      <c r="J847" s="1111"/>
      <c r="K847" s="1111"/>
      <c r="L847" s="1113"/>
      <c r="M847" s="977" t="s">
        <v>1267</v>
      </c>
      <c r="N847" s="1190"/>
    </row>
    <row r="848" spans="1:14" s="1086" customFormat="1" ht="25.15" hidden="1" customHeight="1">
      <c r="A848" s="1156">
        <f t="shared" si="59"/>
        <v>0</v>
      </c>
      <c r="B848" s="1334" t="str">
        <f>IF(chitiet!G5=1,"MDD1",IF(chitiet!G5=2,"MDD2",IF(chitiet!G5=3,"MDD3",IF(chitiet!G5=4,"MDD4"))))</f>
        <v>MDD3</v>
      </c>
      <c r="C848" s="1334"/>
      <c r="D848" s="1113"/>
      <c r="E848" s="1082" t="str">
        <f>VLOOKUP($B848,DG!A:D,DG!$B$2,)</f>
        <v>03.1013</v>
      </c>
      <c r="F848" s="1083" t="str">
        <f>VLOOKUP($B848,DG!A:D,DG!$C$2,)</f>
        <v>Đào hố móng đất cấp 3 sâu &gt;1m</v>
      </c>
      <c r="G848" s="1082" t="str">
        <f>VLOOKUP($B848,DG!A:D,DG!$D$2,)</f>
        <v>m3</v>
      </c>
      <c r="H848" s="1170">
        <f>H844*0.87</f>
        <v>0</v>
      </c>
      <c r="I848" s="1262">
        <f t="shared" si="60"/>
        <v>0</v>
      </c>
      <c r="J848" s="1111"/>
      <c r="K848" s="1111"/>
      <c r="L848" s="1113"/>
      <c r="M848" s="977" t="s">
        <v>1267</v>
      </c>
      <c r="N848" s="1190"/>
    </row>
    <row r="849" spans="1:14" s="1086" customFormat="1" ht="25.15" hidden="1" customHeight="1">
      <c r="A849" s="1156">
        <f t="shared" si="59"/>
        <v>0</v>
      </c>
      <c r="B849" s="1334" t="str">
        <f>IF(chitiet!G5=1,"MDAP1",IF(chitiet!G5=2,"MDAP2",IF(chitiet!G5=3,"MDAP3",IF(chitiet!G5=4,"MDAP4"))))</f>
        <v>MDAP3</v>
      </c>
      <c r="C849" s="1334"/>
      <c r="D849" s="1113"/>
      <c r="E849" s="1082" t="str">
        <f>VLOOKUP($B849,DG!A:D,DG!$B$2,)</f>
        <v>03.4113</v>
      </c>
      <c r="F849" s="1083" t="str">
        <f>VLOOKUP($B849,DG!A:D,DG!$C$2,)</f>
        <v>Đắp đất hố móng, độ chặt k=0,95</v>
      </c>
      <c r="G849" s="1082" t="str">
        <f>VLOOKUP($B849,DG!A:D,DG!$D$2,)</f>
        <v>m3</v>
      </c>
      <c r="H849" s="1170">
        <f>H844*0.79</f>
        <v>0</v>
      </c>
      <c r="I849" s="1262">
        <f t="shared" si="60"/>
        <v>0</v>
      </c>
      <c r="J849" s="1111"/>
      <c r="K849" s="1111"/>
      <c r="L849" s="1113"/>
      <c r="M849" s="977" t="s">
        <v>1267</v>
      </c>
      <c r="N849" s="1190"/>
    </row>
    <row r="850" spans="1:14" s="1086" customFormat="1" ht="25.15" customHeight="1">
      <c r="A850" s="1156">
        <f t="shared" si="59"/>
        <v>1</v>
      </c>
      <c r="B850" s="1327"/>
      <c r="C850" s="1327"/>
      <c r="D850" s="1169">
        <f>IF(H850&gt;0,D844+1,D844)</f>
        <v>2</v>
      </c>
      <c r="E850" s="1212"/>
      <c r="F850" s="1200" t="s">
        <v>3720</v>
      </c>
      <c r="G850" s="1169" t="s">
        <v>2394</v>
      </c>
      <c r="H850" s="1867">
        <f>H833</f>
        <v>1</v>
      </c>
      <c r="I850" s="1262">
        <f t="shared" si="60"/>
        <v>1</v>
      </c>
      <c r="J850" s="1134"/>
      <c r="K850" s="1134"/>
      <c r="L850" s="1085"/>
      <c r="M850" s="977" t="s">
        <v>1267</v>
      </c>
    </row>
    <row r="851" spans="1:14" s="1086" customFormat="1" ht="25.15" customHeight="1">
      <c r="A851" s="1156">
        <f>IF(A850&gt;0,1,0)</f>
        <v>1</v>
      </c>
      <c r="B851" s="1327"/>
      <c r="C851" s="1327"/>
      <c r="D851" s="1169"/>
      <c r="E851" s="1212"/>
      <c r="F851" s="1368" t="s">
        <v>2287</v>
      </c>
      <c r="G851" s="1113"/>
      <c r="H851" s="1170"/>
      <c r="I851" s="1262">
        <f t="shared" si="60"/>
        <v>0</v>
      </c>
      <c r="J851" s="1134"/>
      <c r="K851" s="1134"/>
      <c r="L851" s="1085"/>
      <c r="M851" s="977" t="s">
        <v>1267</v>
      </c>
    </row>
    <row r="852" spans="1:14" s="1086" customFormat="1" ht="25.15" customHeight="1">
      <c r="A852" s="1156">
        <f t="shared" si="59"/>
        <v>1</v>
      </c>
      <c r="B852" s="1334" t="s">
        <v>4357</v>
      </c>
      <c r="C852" s="1334"/>
      <c r="D852" s="1169"/>
      <c r="E852" s="1082">
        <f>VLOOKUP($B852,DG!A:D,DG!$B$2,)</f>
        <v>0</v>
      </c>
      <c r="F852" s="1083" t="str">
        <f>VLOOKUP($B852,DG!A:D,DG!$C$2,)</f>
        <v>Xà composite 110x800x5 dài 2,4m</v>
      </c>
      <c r="G852" s="1082" t="str">
        <f>VLOOKUP($B852,DG!A:D,DG!$D$2,)</f>
        <v>cái</v>
      </c>
      <c r="H852" s="1170">
        <v>1</v>
      </c>
      <c r="I852" s="1262">
        <f t="shared" si="60"/>
        <v>1</v>
      </c>
      <c r="J852" s="1111"/>
      <c r="K852" s="1111"/>
      <c r="L852" s="1085"/>
      <c r="M852" s="977" t="s">
        <v>1267</v>
      </c>
    </row>
    <row r="853" spans="1:14" s="1086" customFormat="1" ht="25.15" customHeight="1">
      <c r="A853" s="1156">
        <f t="shared" si="59"/>
        <v>1</v>
      </c>
      <c r="B853" s="1327" t="s">
        <v>365</v>
      </c>
      <c r="C853" s="1327"/>
      <c r="D853" s="1169"/>
      <c r="E853" s="1082">
        <f>VLOOKUP($B853,DG!A:D,DG!$B$2,)</f>
        <v>0</v>
      </c>
      <c r="F853" s="1083" t="str">
        <f>VLOOKUP($B853,DG!A:D,DG!$C$2,)</f>
        <v>Chống composite 40x10x920</v>
      </c>
      <c r="G853" s="1082" t="str">
        <f>VLOOKUP($B853,DG!A:D,DG!$D$2,)</f>
        <v>cái</v>
      </c>
      <c r="H853" s="1170">
        <v>2</v>
      </c>
      <c r="I853" s="1262">
        <f t="shared" si="60"/>
        <v>2</v>
      </c>
      <c r="J853" s="1111"/>
      <c r="K853" s="1111"/>
      <c r="L853" s="1085"/>
      <c r="M853" s="977" t="s">
        <v>1267</v>
      </c>
    </row>
    <row r="854" spans="1:14" s="1086" customFormat="1" ht="25.15" customHeight="1">
      <c r="A854" s="1156">
        <f t="shared" si="59"/>
        <v>1</v>
      </c>
      <c r="B854" s="1327" t="s">
        <v>488</v>
      </c>
      <c r="C854" s="1327"/>
      <c r="D854" s="1169"/>
      <c r="E854" s="1082">
        <f>VLOOKUP($B854,DG!A:D,DG!$B$2,)</f>
        <v>0</v>
      </c>
      <c r="F854" s="1083" t="str">
        <f>VLOOKUP($B854,DG!A:D,DG!$C$2,)</f>
        <v>Bass LL bắt FCO, LA</v>
      </c>
      <c r="G854" s="1082" t="str">
        <f>VLOOKUP($B854,DG!A:D,DG!$D$2,)</f>
        <v>bộ</v>
      </c>
      <c r="H854" s="1170">
        <f>H850*3</f>
        <v>3</v>
      </c>
      <c r="I854" s="1262">
        <f t="shared" si="60"/>
        <v>3</v>
      </c>
      <c r="J854" s="1111"/>
      <c r="K854" s="1111"/>
      <c r="L854" s="1085"/>
      <c r="M854" s="977" t="s">
        <v>1267</v>
      </c>
    </row>
    <row r="855" spans="1:14" s="1086" customFormat="1" ht="25.15" customHeight="1">
      <c r="A855" s="1156">
        <f t="shared" si="59"/>
        <v>1</v>
      </c>
      <c r="B855" s="1327" t="s">
        <v>244</v>
      </c>
      <c r="C855" s="1327"/>
      <c r="D855" s="1169"/>
      <c r="E855" s="1082">
        <f>VLOOKUP($B855,DG!A:D,DG!$B$2,)</f>
        <v>0</v>
      </c>
      <c r="F855" s="1083" t="str">
        <f>VLOOKUP($B855,DG!A:D,DG!$C$2,)</f>
        <v>Boulon 16x150+ 2 long đền vuông D18-50x50x3/Zn</v>
      </c>
      <c r="G855" s="1082" t="str">
        <f>VLOOKUP($B855,DG!A:D,DG!$D$2,)</f>
        <v>bộ</v>
      </c>
      <c r="H855" s="1170">
        <f>2*H850</f>
        <v>2</v>
      </c>
      <c r="I855" s="1262">
        <f t="shared" si="60"/>
        <v>2</v>
      </c>
      <c r="J855" s="1111"/>
      <c r="K855" s="1111"/>
      <c r="L855" s="1085"/>
      <c r="M855" s="977" t="s">
        <v>1267</v>
      </c>
    </row>
    <row r="856" spans="1:14" s="1086" customFormat="1" ht="25.15" customHeight="1">
      <c r="A856" s="1156">
        <f t="shared" ref="A856" si="66">IF(I856&gt;0,1,0)</f>
        <v>1</v>
      </c>
      <c r="B856" s="1327" t="s">
        <v>1615</v>
      </c>
      <c r="C856" s="1327"/>
      <c r="D856" s="1169"/>
      <c r="E856" s="1082">
        <f>VLOOKUP($B856,DG!A:D,DG!$B$2,)</f>
        <v>0</v>
      </c>
      <c r="F856" s="1083" t="str">
        <f>VLOOKUP($B856,DG!A:D,DG!$C$2,)</f>
        <v>Boulon 16x300+ 2 long đền vuông D18-50x50x3/Zn</v>
      </c>
      <c r="G856" s="1082" t="str">
        <f>VLOOKUP($B856,DG!A:D,DG!$D$2,)</f>
        <v>bộ</v>
      </c>
      <c r="H856" s="1170">
        <v>1</v>
      </c>
      <c r="I856" s="1262">
        <f t="shared" ref="I856" si="67">IF(M856=$M$23,H856+J856-K856,0)</f>
        <v>1</v>
      </c>
      <c r="J856" s="1111"/>
      <c r="K856" s="1111"/>
      <c r="L856" s="1085"/>
      <c r="M856" s="977" t="s">
        <v>1267</v>
      </c>
    </row>
    <row r="857" spans="1:14" s="1086" customFormat="1" ht="25.15" customHeight="1">
      <c r="A857" s="1156">
        <f t="shared" si="59"/>
        <v>1</v>
      </c>
      <c r="B857" s="1327" t="s">
        <v>1085</v>
      </c>
      <c r="C857" s="1327"/>
      <c r="D857" s="1169"/>
      <c r="E857" s="1082">
        <f>VLOOKUP($B857,DG!A:D,DG!$B$2,)</f>
        <v>0</v>
      </c>
      <c r="F857" s="1083" t="str">
        <f>VLOOKUP($B857,DG!A:D,DG!$C$2,)</f>
        <v>Boulon 16x400+ 2 long đền vuông D18-50x50x3/Zn</v>
      </c>
      <c r="G857" s="1082" t="str">
        <f>VLOOKUP($B857,DG!A:D,DG!$D$2,)</f>
        <v>bộ</v>
      </c>
      <c r="H857" s="1170">
        <v>1</v>
      </c>
      <c r="I857" s="1262">
        <f t="shared" si="60"/>
        <v>1</v>
      </c>
      <c r="J857" s="1111"/>
      <c r="K857" s="1111"/>
      <c r="L857" s="1085"/>
      <c r="M857" s="977" t="s">
        <v>1267</v>
      </c>
    </row>
    <row r="858" spans="1:14" s="1086" customFormat="1" ht="25.15" customHeight="1">
      <c r="A858" s="1156">
        <f t="shared" si="59"/>
        <v>1</v>
      </c>
      <c r="B858" s="1327" t="s">
        <v>420</v>
      </c>
      <c r="C858" s="1327"/>
      <c r="D858" s="1169"/>
      <c r="E858" s="1082" t="str">
        <f>VLOOKUP($B858,DG!A:D,DG!$B$2,)</f>
        <v>05.6102</v>
      </c>
      <c r="F858" s="1083" t="str">
        <f>VLOOKUP($B858,DG!A:D,DG!$C$2,)</f>
        <v>Lắp xà đỡ ≤ 50kg</v>
      </c>
      <c r="G858" s="1082" t="str">
        <f>VLOOKUP($B858,DG!A:D,DG!$D$2,)</f>
        <v>bộ</v>
      </c>
      <c r="H858" s="1170">
        <f>H850</f>
        <v>1</v>
      </c>
      <c r="I858" s="1262">
        <f t="shared" si="60"/>
        <v>1</v>
      </c>
      <c r="J858" s="1111"/>
      <c r="K858" s="1111"/>
      <c r="L858" s="1085"/>
      <c r="M858" s="977" t="s">
        <v>1267</v>
      </c>
    </row>
    <row r="859" spans="1:14" s="1086" customFormat="1" ht="25.15" customHeight="1">
      <c r="A859" s="1156">
        <f t="shared" si="59"/>
        <v>1</v>
      </c>
      <c r="B859" s="1327"/>
      <c r="C859" s="1327"/>
      <c r="D859" s="1081">
        <f>IF(H859&gt;0,D850+1,D850)</f>
        <v>3</v>
      </c>
      <c r="E859" s="1091"/>
      <c r="F859" s="1251" t="s">
        <v>3715</v>
      </c>
      <c r="G859" s="1081" t="s">
        <v>2394</v>
      </c>
      <c r="H859" s="1890">
        <f>H833</f>
        <v>1</v>
      </c>
      <c r="I859" s="1262">
        <f t="shared" si="60"/>
        <v>1</v>
      </c>
      <c r="J859" s="1134"/>
      <c r="K859" s="1134"/>
      <c r="L859" s="1085"/>
      <c r="M859" s="977" t="s">
        <v>1267</v>
      </c>
    </row>
    <row r="860" spans="1:14" s="1086" customFormat="1" ht="25.15" customHeight="1">
      <c r="A860" s="1156">
        <f>IF(A859&gt;0,1,0)</f>
        <v>1</v>
      </c>
      <c r="B860" s="1327"/>
      <c r="C860" s="1327"/>
      <c r="D860" s="1081"/>
      <c r="E860" s="1091"/>
      <c r="F860" s="1370" t="s">
        <v>2287</v>
      </c>
      <c r="G860" s="1082"/>
      <c r="H860" s="1873"/>
      <c r="I860" s="1262">
        <f t="shared" si="60"/>
        <v>0</v>
      </c>
      <c r="J860" s="1134"/>
      <c r="K860" s="1134"/>
      <c r="L860" s="1085"/>
      <c r="M860" s="977" t="s">
        <v>1267</v>
      </c>
    </row>
    <row r="861" spans="1:14" s="1086" customFormat="1" ht="25.15" customHeight="1">
      <c r="A861" s="1156">
        <f t="shared" si="59"/>
        <v>1</v>
      </c>
      <c r="B861" s="1327" t="s">
        <v>103</v>
      </c>
      <c r="C861" s="1327"/>
      <c r="D861" s="1113"/>
      <c r="E861" s="1082">
        <f>VLOOKUP($B861,DG!A:D,DG!$B$2,)</f>
        <v>0</v>
      </c>
      <c r="F861" s="1083" t="str">
        <f>VLOOKUP($B861,DG!A:D,DG!$C$2,)</f>
        <v>Cáp đồng trần M25mm2</v>
      </c>
      <c r="G861" s="1082" t="str">
        <f>VLOOKUP($B861,DG!A:D,DG!$D$2,)</f>
        <v>kg</v>
      </c>
      <c r="H861" s="1170">
        <v>11.9</v>
      </c>
      <c r="I861" s="1262">
        <f t="shared" si="60"/>
        <v>11.9</v>
      </c>
      <c r="J861" s="1111"/>
      <c r="K861" s="1111"/>
      <c r="L861" s="1085"/>
      <c r="M861" s="977" t="s">
        <v>1267</v>
      </c>
    </row>
    <row r="862" spans="1:14" s="1086" customFormat="1" ht="25.15" customHeight="1">
      <c r="A862" s="1156">
        <f t="shared" ref="A862" si="68">IF(I862&gt;0,1,0)</f>
        <v>1</v>
      </c>
      <c r="B862" s="1327" t="s">
        <v>2115</v>
      </c>
      <c r="C862" s="1327"/>
      <c r="D862" s="1113"/>
      <c r="E862" s="1082" t="str">
        <f>VLOOKUP($B862,DG!A:D,DG!$B$2,)</f>
        <v>04.4201</v>
      </c>
      <c r="F862" s="1083" t="str">
        <f>VLOOKUP($B862,DG!A:D,DG!$C$2,)</f>
        <v>Cáp đồng bọc CV11</v>
      </c>
      <c r="G862" s="1082" t="str">
        <f>VLOOKUP($B862,DG!A:D,DG!$D$2,)</f>
        <v>mét</v>
      </c>
      <c r="H862" s="1170">
        <v>2</v>
      </c>
      <c r="I862" s="1262">
        <f t="shared" ref="I862" si="69">IF(M862=$M$23,H862+J862-K862,0)</f>
        <v>2</v>
      </c>
      <c r="J862" s="1111"/>
      <c r="K862" s="1111"/>
      <c r="L862" s="1085"/>
      <c r="M862" s="977" t="s">
        <v>1267</v>
      </c>
    </row>
    <row r="863" spans="1:14" s="1086" customFormat="1" ht="25.15" customHeight="1">
      <c r="A863" s="1156">
        <f t="shared" ref="A863:A951" si="70">IF(I863&gt;0,1,0)</f>
        <v>1</v>
      </c>
      <c r="B863" s="1157" t="s">
        <v>1513</v>
      </c>
      <c r="C863" s="1157"/>
      <c r="D863" s="1113"/>
      <c r="E863" s="1082">
        <f>VLOOKUP($B863,DG!A:D,DG!$B$2,)</f>
        <v>0</v>
      </c>
      <c r="F863" s="1083" t="str">
        <f>VLOOKUP($B863,DG!A:D,DG!$C$2,)</f>
        <v>Cọc tiếp đất Þ 16- 2,4m + kẹp cọc mạ đồng</v>
      </c>
      <c r="G863" s="1082" t="str">
        <f>VLOOKUP($B863,DG!A:D,DG!$D$2,)</f>
        <v>bộ</v>
      </c>
      <c r="H863" s="1170">
        <v>10</v>
      </c>
      <c r="I863" s="1262">
        <f t="shared" si="60"/>
        <v>10</v>
      </c>
      <c r="J863" s="1111"/>
      <c r="K863" s="1111"/>
      <c r="L863" s="1085"/>
      <c r="M863" s="977" t="s">
        <v>1267</v>
      </c>
    </row>
    <row r="864" spans="1:14" s="1086" customFormat="1" ht="25.15" hidden="1" customHeight="1">
      <c r="A864" s="1156">
        <f t="shared" si="70"/>
        <v>0</v>
      </c>
      <c r="B864" s="1157" t="s">
        <v>997</v>
      </c>
      <c r="C864" s="1157"/>
      <c r="D864" s="1113"/>
      <c r="E864" s="1082">
        <f>VLOOKUP($B864,DG!A:D,DG!$B$2,)</f>
        <v>0</v>
      </c>
      <c r="F864" s="1083" t="str">
        <f>VLOOKUP($B864,DG!A:D,DG!$C$2,)</f>
        <v>Sắt Ø10</v>
      </c>
      <c r="G864" s="1082" t="str">
        <f>VLOOKUP($B864,DG!A:D,DG!$D$2,)</f>
        <v>kg</v>
      </c>
      <c r="H864" s="1170"/>
      <c r="I864" s="1262">
        <f t="shared" si="60"/>
        <v>0</v>
      </c>
      <c r="J864" s="1111"/>
      <c r="K864" s="1111"/>
      <c r="L864" s="1085"/>
      <c r="M864" s="977" t="s">
        <v>1267</v>
      </c>
    </row>
    <row r="865" spans="1:13" s="1086" customFormat="1" ht="25.15" hidden="1" customHeight="1">
      <c r="A865" s="1156">
        <f t="shared" si="70"/>
        <v>0</v>
      </c>
      <c r="B865" s="1157" t="s">
        <v>372</v>
      </c>
      <c r="C865" s="1157"/>
      <c r="D865" s="1113"/>
      <c r="E865" s="1082">
        <f>VLOOKUP($B865,DG!A:D,DG!$B$2,)</f>
        <v>0</v>
      </c>
      <c r="F865" s="1083" t="str">
        <f>VLOOKUP($B865,DG!A:D,DG!$C$2,)</f>
        <v>Bake D16 - 200x200</v>
      </c>
      <c r="G865" s="1082" t="str">
        <f>VLOOKUP($B865,DG!A:D,DG!$D$2,)</f>
        <v>cái</v>
      </c>
      <c r="H865" s="1170"/>
      <c r="I865" s="1262">
        <f t="shared" si="60"/>
        <v>0</v>
      </c>
      <c r="J865" s="1111"/>
      <c r="K865" s="1111"/>
      <c r="L865" s="1085"/>
      <c r="M865" s="977" t="s">
        <v>1267</v>
      </c>
    </row>
    <row r="866" spans="1:13" s="1086" customFormat="1" ht="25.15" customHeight="1">
      <c r="A866" s="1156">
        <f t="shared" si="70"/>
        <v>1</v>
      </c>
      <c r="B866" s="1332" t="s">
        <v>1064</v>
      </c>
      <c r="C866" s="1332"/>
      <c r="D866" s="1113"/>
      <c r="E866" s="1082" t="str">
        <f>VLOOKUP($B866,DG!A:D,DG!$B$2,)</f>
        <v>04.3107</v>
      </c>
      <c r="F866" s="1083" t="str">
        <f>VLOOKUP($B866,DG!A:D,DG!$C$2,)</f>
        <v>Ốc siết cáp cỡ 25mm2</v>
      </c>
      <c r="G866" s="1082" t="str">
        <f>VLOOKUP($B866,DG!A:D,DG!$D$2,)</f>
        <v>cái</v>
      </c>
      <c r="H866" s="1170">
        <v>6</v>
      </c>
      <c r="I866" s="1262">
        <f t="shared" si="60"/>
        <v>6</v>
      </c>
      <c r="J866" s="1111"/>
      <c r="K866" s="1111"/>
      <c r="L866" s="1085"/>
      <c r="M866" s="977" t="s">
        <v>1267</v>
      </c>
    </row>
    <row r="867" spans="1:13" s="1086" customFormat="1" ht="25.15" customHeight="1">
      <c r="A867" s="1156">
        <f t="shared" si="70"/>
        <v>1</v>
      </c>
      <c r="B867" s="1332" t="s">
        <v>1117</v>
      </c>
      <c r="C867" s="1332"/>
      <c r="D867" s="1113"/>
      <c r="E867" s="1082">
        <f>VLOOKUP($B867,DG!A:D,DG!$B$2,)</f>
        <v>0</v>
      </c>
      <c r="F867" s="1083" t="str">
        <f>VLOOKUP($B867,DG!A:D,DG!$C$2,)</f>
        <v>Kẹp ép cỡ dây 25mm2</v>
      </c>
      <c r="G867" s="1082" t="str">
        <f>VLOOKUP($B867,DG!A:D,DG!$D$2,)</f>
        <v>cái</v>
      </c>
      <c r="H867" s="1170">
        <v>2</v>
      </c>
      <c r="I867" s="1262">
        <f t="shared" si="60"/>
        <v>2</v>
      </c>
      <c r="J867" s="1111"/>
      <c r="K867" s="1111"/>
      <c r="L867" s="1085"/>
      <c r="M867" s="977" t="s">
        <v>1267</v>
      </c>
    </row>
    <row r="868" spans="1:13" s="1086" customFormat="1" ht="25.15" hidden="1" customHeight="1">
      <c r="A868" s="1156">
        <f t="shared" si="70"/>
        <v>0</v>
      </c>
      <c r="B868" s="1332" t="s">
        <v>377</v>
      </c>
      <c r="C868" s="1332"/>
      <c r="D868" s="1113"/>
      <c r="E868" s="1082" t="str">
        <f>VLOOKUP($B868,DG!A:D,DG!$B$2,)</f>
        <v>03.4002</v>
      </c>
      <c r="F868" s="1083" t="str">
        <f>VLOOKUP($B868,DG!A:D,DG!$C$2,)</f>
        <v>Đầu cosse ép Cu 35mm2</v>
      </c>
      <c r="G868" s="1082" t="str">
        <f>VLOOKUP($B868,DG!A:D,DG!$D$2,)</f>
        <v>cái</v>
      </c>
      <c r="H868" s="1170"/>
      <c r="I868" s="1262">
        <f t="shared" si="60"/>
        <v>0</v>
      </c>
      <c r="J868" s="1111"/>
      <c r="K868" s="1111"/>
      <c r="L868" s="1085"/>
      <c r="M868" s="977" t="s">
        <v>1267</v>
      </c>
    </row>
    <row r="869" spans="1:13" s="1086" customFormat="1" ht="25.15" hidden="1" customHeight="1">
      <c r="A869" s="1156">
        <f t="shared" si="70"/>
        <v>0</v>
      </c>
      <c r="B869" s="1332" t="s">
        <v>371</v>
      </c>
      <c r="C869" s="1332"/>
      <c r="D869" s="1113"/>
      <c r="E869" s="1082" t="str">
        <f>VLOOKUP($B869,DG!A:D,DG!$B$2,)</f>
        <v>03.4003</v>
      </c>
      <c r="F869" s="1083" t="str">
        <f>VLOOKUP($B869,DG!A:D,DG!$C$2,)</f>
        <v>Đầu cosse ép Cu 70mm2</v>
      </c>
      <c r="G869" s="1082" t="str">
        <f>VLOOKUP($B869,DG!A:D,DG!$D$2,)</f>
        <v>cái</v>
      </c>
      <c r="H869" s="1170"/>
      <c r="I869" s="1262">
        <f t="shared" si="60"/>
        <v>0</v>
      </c>
      <c r="J869" s="1111"/>
      <c r="K869" s="1111"/>
      <c r="L869" s="1085"/>
      <c r="M869" s="977" t="s">
        <v>1267</v>
      </c>
    </row>
    <row r="870" spans="1:13" s="1086" customFormat="1" ht="25.15" hidden="1" customHeight="1">
      <c r="A870" s="1156">
        <f t="shared" si="70"/>
        <v>0</v>
      </c>
      <c r="B870" s="1157" t="s">
        <v>375</v>
      </c>
      <c r="C870" s="1157"/>
      <c r="D870" s="1113"/>
      <c r="E870" s="1082" t="str">
        <f>VLOOKUP($B870,DG!A:D,DG!$B$2,)</f>
        <v>06.3231</v>
      </c>
      <c r="F870" s="1083" t="str">
        <f>VLOOKUP($B870,DG!A:D,DG!$C$2,)</f>
        <v>Cổ dê kẹp sắt Ø 10</v>
      </c>
      <c r="G870" s="1082" t="str">
        <f>VLOOKUP($B870,DG!A:D,DG!$D$2,)</f>
        <v>bộ</v>
      </c>
      <c r="H870" s="1170"/>
      <c r="I870" s="1262">
        <f t="shared" si="60"/>
        <v>0</v>
      </c>
      <c r="J870" s="1111"/>
      <c r="K870" s="1111"/>
      <c r="L870" s="1085"/>
      <c r="M870" s="977" t="s">
        <v>1267</v>
      </c>
    </row>
    <row r="871" spans="1:13" s="1086" customFormat="1" ht="25.15" hidden="1" customHeight="1">
      <c r="A871" s="1156">
        <f t="shared" si="70"/>
        <v>0</v>
      </c>
      <c r="B871" s="1157" t="s">
        <v>1355</v>
      </c>
      <c r="C871" s="1157"/>
      <c r="D871" s="1113"/>
      <c r="E871" s="1082">
        <f>VLOOKUP($B871,DG!A:D,DG!$B$2,)</f>
        <v>0</v>
      </c>
      <c r="F871" s="1083" t="s">
        <v>823</v>
      </c>
      <c r="G871" s="1082" t="str">
        <f>VLOOKUP($B871,DG!A:D,DG!$D$2,)</f>
        <v>bộ</v>
      </c>
      <c r="H871" s="1170"/>
      <c r="I871" s="1262">
        <f t="shared" si="60"/>
        <v>0</v>
      </c>
      <c r="J871" s="1111"/>
      <c r="K871" s="1111"/>
      <c r="L871" s="1085"/>
      <c r="M871" s="977" t="s">
        <v>1267</v>
      </c>
    </row>
    <row r="872" spans="1:13" s="1086" customFormat="1" ht="25.15" customHeight="1">
      <c r="A872" s="1156">
        <f t="shared" si="70"/>
        <v>1</v>
      </c>
      <c r="B872" s="1332" t="s">
        <v>2191</v>
      </c>
      <c r="C872" s="1332"/>
      <c r="D872" s="1113"/>
      <c r="E872" s="1082" t="str">
        <f>VLOOKUP($B872,DG!A:D,DG!$B$2,)</f>
        <v>04.7002</v>
      </c>
      <c r="F872" s="1083" t="str">
        <f>VLOOKUP($B872,DG!A:D,DG!$C$2,)</f>
        <v>Kéo dây tiếp địa trong TBA</v>
      </c>
      <c r="G872" s="1082" t="str">
        <f>VLOOKUP($B872,DG!A:D,DG!$D$2,)</f>
        <v>mét</v>
      </c>
      <c r="H872" s="1170">
        <v>53</v>
      </c>
      <c r="I872" s="1262">
        <f t="shared" si="60"/>
        <v>53</v>
      </c>
      <c r="J872" s="1111"/>
      <c r="K872" s="1111"/>
      <c r="L872" s="1085"/>
      <c r="M872" s="977" t="s">
        <v>1267</v>
      </c>
    </row>
    <row r="873" spans="1:13" s="1086" customFormat="1" ht="25.15" customHeight="1">
      <c r="A873" s="1156">
        <f t="shared" si="70"/>
        <v>1</v>
      </c>
      <c r="B873" s="1157" t="s">
        <v>904</v>
      </c>
      <c r="C873" s="1157"/>
      <c r="D873" s="1113"/>
      <c r="E873" s="1082" t="str">
        <f>VLOOKUP($B873,DG!A:D,DG!$B$2,)</f>
        <v>04.7001</v>
      </c>
      <c r="F873" s="1083" t="str">
        <f>VLOOKUP($B873,DG!A:D,DG!$C$2,)</f>
        <v>Đóng cọc tiếp địa trong TBA</v>
      </c>
      <c r="G873" s="1082" t="str">
        <f>VLOOKUP($B873,DG!A:D,DG!$D$2,)</f>
        <v>cọc</v>
      </c>
      <c r="H873" s="1170">
        <f>H863</f>
        <v>10</v>
      </c>
      <c r="I873" s="1262">
        <f t="shared" si="60"/>
        <v>10</v>
      </c>
      <c r="J873" s="1111"/>
      <c r="K873" s="1111"/>
      <c r="L873" s="1085"/>
      <c r="M873" s="977" t="s">
        <v>1267</v>
      </c>
    </row>
    <row r="874" spans="1:13" s="1086" customFormat="1" ht="25.15" customHeight="1">
      <c r="A874" s="1156">
        <f t="shared" si="70"/>
        <v>1</v>
      </c>
      <c r="B874" s="1332" t="str">
        <f>"dtd"&amp;chitiet!G5</f>
        <v>dtd3</v>
      </c>
      <c r="C874" s="1332"/>
      <c r="D874" s="1113"/>
      <c r="E874" s="1082" t="str">
        <f>VLOOKUP($B874,DG!A:D,DG!$B$2,)</f>
        <v>03.3123</v>
      </c>
      <c r="F874" s="1083" t="str">
        <f>VLOOKUP($B874,DG!A:D,DG!$C$2,)</f>
        <v>Đào rãnh tiếp địa đất cấp 3</v>
      </c>
      <c r="G874" s="1082" t="str">
        <f>VLOOKUP($B874,DG!A:D,DG!$D$2,)</f>
        <v>m3</v>
      </c>
      <c r="H874" s="1170">
        <v>4.0999999999999996</v>
      </c>
      <c r="I874" s="1262">
        <f t="shared" si="60"/>
        <v>4.0999999999999996</v>
      </c>
      <c r="J874" s="1111"/>
      <c r="K874" s="1111"/>
      <c r="L874" s="1085"/>
      <c r="M874" s="977" t="s">
        <v>1267</v>
      </c>
    </row>
    <row r="875" spans="1:13" s="1086" customFormat="1" ht="25.15" customHeight="1">
      <c r="A875" s="1156">
        <f t="shared" si="70"/>
        <v>1</v>
      </c>
      <c r="B875" s="1157" t="str">
        <f>"datd"&amp;chitiet!G5</f>
        <v>datd3</v>
      </c>
      <c r="C875" s="1157"/>
      <c r="D875" s="1113"/>
      <c r="E875" s="1082" t="str">
        <f>VLOOKUP($B875,DG!A:D,DG!$B$2,)</f>
        <v>03.4123</v>
      </c>
      <c r="F875" s="1083" t="str">
        <f>VLOOKUP($B875,DG!A:D,DG!$C$2,)</f>
        <v>Đắp đất rãnh tiếp độ chặt k=0,85</v>
      </c>
      <c r="G875" s="1082" t="str">
        <f>VLOOKUP($B875,DG!A:D,DG!$D$2,)</f>
        <v>m3</v>
      </c>
      <c r="H875" s="1170">
        <f>H874</f>
        <v>4.0999999999999996</v>
      </c>
      <c r="I875" s="1262">
        <f t="shared" si="60"/>
        <v>4.0999999999999996</v>
      </c>
      <c r="J875" s="1111"/>
      <c r="K875" s="1111"/>
      <c r="L875" s="1085"/>
      <c r="M875" s="977" t="s">
        <v>1267</v>
      </c>
    </row>
    <row r="876" spans="1:13" s="1086" customFormat="1" ht="25.15" customHeight="1">
      <c r="A876" s="1156">
        <f t="shared" si="70"/>
        <v>1</v>
      </c>
      <c r="B876" s="1327"/>
      <c r="C876" s="1327"/>
      <c r="D876" s="1251">
        <f>IF(H876&gt;0,D859+1,D859)</f>
        <v>4</v>
      </c>
      <c r="E876" s="1252"/>
      <c r="F876" s="1253" t="s">
        <v>3721</v>
      </c>
      <c r="G876" s="1081" t="s">
        <v>2394</v>
      </c>
      <c r="H876" s="1890">
        <f>H833</f>
        <v>1</v>
      </c>
      <c r="I876" s="1262">
        <f t="shared" si="60"/>
        <v>1</v>
      </c>
      <c r="J876" s="1254"/>
      <c r="K876" s="1254"/>
      <c r="L876" s="1085"/>
      <c r="M876" s="977" t="s">
        <v>1267</v>
      </c>
    </row>
    <row r="877" spans="1:13" s="1086" customFormat="1" ht="25.15" customHeight="1">
      <c r="A877" s="1156">
        <f>IF(A876&gt;0,1,0)</f>
        <v>1</v>
      </c>
      <c r="B877" s="1327"/>
      <c r="C877" s="1327"/>
      <c r="D877" s="1081"/>
      <c r="E877" s="1091"/>
      <c r="F877" s="1370" t="s">
        <v>2287</v>
      </c>
      <c r="G877" s="1082"/>
      <c r="H877" s="1873"/>
      <c r="I877" s="1262">
        <f t="shared" si="60"/>
        <v>0</v>
      </c>
      <c r="J877" s="1134"/>
      <c r="K877" s="1134"/>
      <c r="L877" s="1085"/>
      <c r="M877" s="977" t="s">
        <v>1267</v>
      </c>
    </row>
    <row r="878" spans="1:13" s="1086" customFormat="1" ht="25.15" customHeight="1">
      <c r="A878" s="1156">
        <f t="shared" si="70"/>
        <v>1</v>
      </c>
      <c r="B878" s="1354" t="s">
        <v>617</v>
      </c>
      <c r="C878" s="1354"/>
      <c r="D878" s="1255"/>
      <c r="E878" s="1082" t="str">
        <f>VLOOKUP($B878,DG!A:D,DG!$B$2,)</f>
        <v>05.1102</v>
      </c>
      <c r="F878" s="1083" t="str">
        <f>VLOOKUP($B878,DG!A:D,DG!$C$2,)</f>
        <v>Vỏ tủ + khóa tủ</v>
      </c>
      <c r="G878" s="1082" t="str">
        <f>VLOOKUP($B878,DG!A:D,DG!$D$2,)</f>
        <v>cái</v>
      </c>
      <c r="H878" s="1873">
        <f>H876</f>
        <v>1</v>
      </c>
      <c r="I878" s="1262">
        <f t="shared" si="60"/>
        <v>1</v>
      </c>
      <c r="J878" s="1111"/>
      <c r="K878" s="1111"/>
      <c r="L878" s="1085"/>
      <c r="M878" s="977" t="s">
        <v>1267</v>
      </c>
    </row>
    <row r="879" spans="1:13" s="1086" customFormat="1" ht="25.15" customHeight="1">
      <c r="A879" s="1156">
        <f t="shared" si="70"/>
        <v>1</v>
      </c>
      <c r="B879" s="1327" t="s">
        <v>319</v>
      </c>
      <c r="C879" s="1327"/>
      <c r="D879" s="1093"/>
      <c r="E879" s="1082" t="str">
        <f>VLOOKUP($B879,DG!A:D,DG!$B$2,)</f>
        <v>06.3231</v>
      </c>
      <c r="F879" s="1083" t="str">
        <f>VLOOKUP($B879,DG!A:D,DG!$C$2,)</f>
        <v>Cổ dê CDĐKĐT( bắt thùng điện kế)</v>
      </c>
      <c r="G879" s="1082" t="str">
        <f>VLOOKUP($B879,DG!A:D,DG!$D$2,)</f>
        <v>bộ</v>
      </c>
      <c r="H879" s="1873">
        <f>2*H876</f>
        <v>2</v>
      </c>
      <c r="I879" s="1262">
        <f t="shared" si="60"/>
        <v>2</v>
      </c>
      <c r="J879" s="1111"/>
      <c r="K879" s="1111"/>
      <c r="L879" s="1085"/>
      <c r="M879" s="977" t="s">
        <v>1267</v>
      </c>
    </row>
    <row r="880" spans="1:13" s="1086" customFormat="1" ht="25.15" customHeight="1">
      <c r="A880" s="1156">
        <f t="shared" si="70"/>
        <v>1</v>
      </c>
      <c r="B880" s="1327" t="s">
        <v>882</v>
      </c>
      <c r="C880" s="1327"/>
      <c r="D880" s="1093"/>
      <c r="E880" s="1256"/>
      <c r="F880" s="1083" t="str">
        <f>VLOOKUP($B880,DG!A:D,DG!$C$2,)</f>
        <v xml:space="preserve">Bakelit 550x450 dầy 10mm </v>
      </c>
      <c r="G880" s="1082" t="str">
        <f>VLOOKUP($B880,DG!A:D,DG!$D$2,)</f>
        <v>cái</v>
      </c>
      <c r="H880" s="1873">
        <f>H876</f>
        <v>1</v>
      </c>
      <c r="I880" s="1262">
        <f t="shared" si="60"/>
        <v>1</v>
      </c>
      <c r="J880" s="1111"/>
      <c r="K880" s="1111"/>
      <c r="L880" s="1085"/>
      <c r="M880" s="977" t="s">
        <v>1267</v>
      </c>
    </row>
    <row r="881" spans="1:13" s="1086" customFormat="1" ht="25.15" customHeight="1">
      <c r="A881" s="1156">
        <f t="shared" si="70"/>
        <v>1</v>
      </c>
      <c r="B881" s="1327"/>
      <c r="C881" s="1327"/>
      <c r="D881" s="1081">
        <f>IF(H881&gt;0,D876+1,D876)</f>
        <v>5</v>
      </c>
      <c r="E881" s="1091"/>
      <c r="F881" s="1251" t="s">
        <v>3722</v>
      </c>
      <c r="G881" s="1081" t="s">
        <v>2394</v>
      </c>
      <c r="H881" s="1890">
        <f>H833</f>
        <v>1</v>
      </c>
      <c r="I881" s="1262">
        <f t="shared" ref="I881:I972" si="71">IF(M881=$M$23,H881+J881-K881,0)</f>
        <v>1</v>
      </c>
      <c r="J881" s="1134"/>
      <c r="K881" s="1134"/>
      <c r="L881" s="1085"/>
      <c r="M881" s="977" t="s">
        <v>1267</v>
      </c>
    </row>
    <row r="882" spans="1:13" s="1086" customFormat="1" ht="25.15" customHeight="1">
      <c r="A882" s="1156">
        <f>IF(A881&gt;0,1,0)</f>
        <v>1</v>
      </c>
      <c r="B882" s="1327"/>
      <c r="C882" s="1327"/>
      <c r="D882" s="1081"/>
      <c r="E882" s="1091"/>
      <c r="F882" s="1370" t="s">
        <v>2287</v>
      </c>
      <c r="G882" s="1082"/>
      <c r="H882" s="1873"/>
      <c r="I882" s="1262">
        <f t="shared" si="71"/>
        <v>0</v>
      </c>
      <c r="J882" s="1134"/>
      <c r="K882" s="1134"/>
      <c r="L882" s="1085"/>
      <c r="M882" s="977" t="s">
        <v>1267</v>
      </c>
    </row>
    <row r="883" spans="1:13" s="1086" customFormat="1" ht="25.15" customHeight="1">
      <c r="A883" s="1156">
        <f t="shared" si="70"/>
        <v>1</v>
      </c>
      <c r="B883" s="1157" t="s">
        <v>699</v>
      </c>
      <c r="C883" s="1157"/>
      <c r="D883" s="1093"/>
      <c r="E883" s="1082">
        <f>VLOOKUP($B883,DG!A:D,DG!$B$2,)</f>
        <v>0</v>
      </c>
      <c r="F883" s="1083" t="str">
        <f>VLOOKUP($B883,DG!A:D,DG!$C$2,)</f>
        <v>Cáp 24KV CX-25mm2</v>
      </c>
      <c r="G883" s="1082" t="str">
        <f>VLOOKUP($B883,DG!A:D,DG!$D$2,)</f>
        <v>mét</v>
      </c>
      <c r="H883" s="1873">
        <v>12</v>
      </c>
      <c r="I883" s="1262">
        <f t="shared" si="71"/>
        <v>12</v>
      </c>
      <c r="J883" s="1111"/>
      <c r="K883" s="1111"/>
      <c r="L883" s="1085"/>
      <c r="M883" s="977" t="s">
        <v>1267</v>
      </c>
    </row>
    <row r="884" spans="1:13" s="1086" customFormat="1" ht="25.15" customHeight="1">
      <c r="A884" s="1156">
        <f t="shared" si="70"/>
        <v>1</v>
      </c>
      <c r="B884" s="1157" t="s">
        <v>1484</v>
      </c>
      <c r="C884" s="1157"/>
      <c r="D884" s="1093"/>
      <c r="E884" s="1082" t="str">
        <f>VLOOKUP($B884,DG!A:D,DG!$B$2,)</f>
        <v>04.3007</v>
      </c>
      <c r="F884" s="1083" t="str">
        <f>VLOOKUP($B884,DG!A:D,DG!$C$2,)</f>
        <v>Kẹp quai 2/0</v>
      </c>
      <c r="G884" s="1082" t="str">
        <f>VLOOKUP($B884,DG!A:D,DG!$D$2,)</f>
        <v>cái</v>
      </c>
      <c r="H884" s="1873">
        <f>3*H881</f>
        <v>3</v>
      </c>
      <c r="I884" s="1262">
        <f t="shared" si="71"/>
        <v>3</v>
      </c>
      <c r="J884" s="1111"/>
      <c r="K884" s="1111"/>
      <c r="L884" s="1085"/>
      <c r="M884" s="977" t="s">
        <v>1267</v>
      </c>
    </row>
    <row r="885" spans="1:13" s="1086" customFormat="1" ht="25.15" customHeight="1">
      <c r="A885" s="1156">
        <f t="shared" ref="A885" si="72">IF(I885&gt;0,1,0)</f>
        <v>1</v>
      </c>
      <c r="B885" s="1157" t="s">
        <v>1482</v>
      </c>
      <c r="C885" s="1157"/>
      <c r="D885" s="1093"/>
      <c r="E885" s="1082" t="str">
        <f>VLOOKUP($B885,DG!A:D,DG!$B$2,)</f>
        <v>04.3007</v>
      </c>
      <c r="F885" s="1083" t="str">
        <f>VLOOKUP($B885,DG!A:D,DG!$C$2,)</f>
        <v>Kẹp hotline 2/0</v>
      </c>
      <c r="G885" s="1082" t="str">
        <f>VLOOKUP($B885,DG!A:D,DG!$D$2,)</f>
        <v>cái</v>
      </c>
      <c r="H885" s="1873">
        <f>3*H880</f>
        <v>3</v>
      </c>
      <c r="I885" s="1262">
        <f t="shared" ref="I885" si="73">IF(M885=$M$23,H885+J885-K885,0)</f>
        <v>3</v>
      </c>
      <c r="J885" s="1111"/>
      <c r="K885" s="1111"/>
      <c r="L885" s="1085"/>
      <c r="M885" s="977" t="s">
        <v>1267</v>
      </c>
    </row>
    <row r="886" spans="1:13" s="1086" customFormat="1" ht="25.15" customHeight="1">
      <c r="A886" s="1156">
        <f t="shared" si="70"/>
        <v>1</v>
      </c>
      <c r="B886" s="1157" t="s">
        <v>488</v>
      </c>
      <c r="C886" s="1157"/>
      <c r="D886" s="1093"/>
      <c r="E886" s="1082">
        <f>VLOOKUP($B886,DG!A:D,DG!$B$2,)</f>
        <v>0</v>
      </c>
      <c r="F886" s="1083" t="str">
        <f>VLOOKUP($B886,DG!A:D,DG!$C$2,)</f>
        <v>Bass LL bắt FCO, LA</v>
      </c>
      <c r="G886" s="1082" t="str">
        <f>VLOOKUP($B886,DG!A:D,DG!$D$2,)</f>
        <v>bộ</v>
      </c>
      <c r="H886" s="1873">
        <f>3*H881</f>
        <v>3</v>
      </c>
      <c r="I886" s="1262">
        <f t="shared" si="71"/>
        <v>3</v>
      </c>
      <c r="J886" s="1111"/>
      <c r="K886" s="1111"/>
      <c r="L886" s="1085"/>
      <c r="M886" s="977" t="s">
        <v>1267</v>
      </c>
    </row>
    <row r="887" spans="1:13" s="1086" customFormat="1" ht="25.15" customHeight="1">
      <c r="A887" s="1156">
        <f t="shared" si="70"/>
        <v>1</v>
      </c>
      <c r="B887" s="1157" t="s">
        <v>382</v>
      </c>
      <c r="C887" s="1157"/>
      <c r="D887" s="1093"/>
      <c r="E887" s="1082">
        <f>VLOOKUP($B887,DG!A:D,DG!$B$2,)</f>
        <v>0</v>
      </c>
      <c r="F887" s="1083" t="str">
        <f>VLOOKUP($B887,DG!A:D,DG!$C$2,)</f>
        <v>Chụp đầu cực FCO (bộ 2 cái)</v>
      </c>
      <c r="G887" s="1082" t="str">
        <f>VLOOKUP($B887,DG!A:D,DG!$D$2,)</f>
        <v>bộ</v>
      </c>
      <c r="H887" s="1873">
        <f>H823</f>
        <v>3</v>
      </c>
      <c r="I887" s="1262">
        <f t="shared" si="71"/>
        <v>3</v>
      </c>
      <c r="J887" s="1111"/>
      <c r="K887" s="1111"/>
      <c r="L887" s="1085"/>
      <c r="M887" s="977" t="s">
        <v>1267</v>
      </c>
    </row>
    <row r="888" spans="1:13" s="1086" customFormat="1" ht="25.15" customHeight="1">
      <c r="A888" s="1156">
        <f t="shared" si="70"/>
        <v>1</v>
      </c>
      <c r="B888" s="1157" t="s">
        <v>383</v>
      </c>
      <c r="C888" s="1157"/>
      <c r="D888" s="1093"/>
      <c r="E888" s="1082">
        <f>VLOOKUP($B888,DG!A:D,DG!$B$2,)</f>
        <v>0</v>
      </c>
      <c r="F888" s="1083" t="str">
        <f>VLOOKUP($B888,DG!A:D,DG!$C$2,)</f>
        <v>Chụp đầu cực LA</v>
      </c>
      <c r="G888" s="1082" t="str">
        <f>VLOOKUP($B888,DG!A:D,DG!$D$2,)</f>
        <v>cái</v>
      </c>
      <c r="H888" s="1873">
        <f>H825</f>
        <v>3</v>
      </c>
      <c r="I888" s="1262">
        <f t="shared" si="71"/>
        <v>3</v>
      </c>
      <c r="J888" s="1111"/>
      <c r="K888" s="1111"/>
      <c r="L888" s="1085"/>
      <c r="M888" s="977" t="s">
        <v>1267</v>
      </c>
    </row>
    <row r="889" spans="1:13" s="1086" customFormat="1" ht="25.15" customHeight="1">
      <c r="A889" s="1156">
        <f t="shared" si="70"/>
        <v>1</v>
      </c>
      <c r="B889" s="1157" t="s">
        <v>384</v>
      </c>
      <c r="C889" s="1157"/>
      <c r="D889" s="1093"/>
      <c r="E889" s="1082">
        <f>VLOOKUP($B889,DG!A:D,DG!$B$2,)</f>
        <v>0</v>
      </c>
      <c r="F889" s="1083" t="str">
        <f>VLOOKUP($B889,DG!A:D,DG!$C$2,)</f>
        <v>Chụp đầu MBA</v>
      </c>
      <c r="G889" s="1082" t="str">
        <f>VLOOKUP($B889,DG!A:D,DG!$D$2,)</f>
        <v>cái</v>
      </c>
      <c r="H889" s="1873">
        <f>H822</f>
        <v>3</v>
      </c>
      <c r="I889" s="1262">
        <f t="shared" si="71"/>
        <v>3</v>
      </c>
      <c r="J889" s="1111"/>
      <c r="K889" s="1111"/>
      <c r="L889" s="1085"/>
      <c r="M889" s="977" t="s">
        <v>1267</v>
      </c>
    </row>
    <row r="890" spans="1:13" s="1086" customFormat="1" ht="25.15" customHeight="1">
      <c r="A890" s="1156">
        <f t="shared" si="70"/>
        <v>1</v>
      </c>
      <c r="B890" s="1157" t="s">
        <v>1530</v>
      </c>
      <c r="C890" s="1157"/>
      <c r="D890" s="1093"/>
      <c r="E890" s="1082" t="str">
        <f>VLOOKUP($B890,DG!A:D,DG!$B$2,)</f>
        <v>04.4201</v>
      </c>
      <c r="F890" s="1083" t="str">
        <f>VLOOKUP($B890,DG!A:D,DG!$C$2,)</f>
        <v>Lắp cáp đồng xuống thiết bị D ≤ 95mm2</v>
      </c>
      <c r="G890" s="1082" t="str">
        <f>VLOOKUP($B890,DG!A:D,DG!$D$2,)</f>
        <v>m</v>
      </c>
      <c r="H890" s="1873">
        <f>H883</f>
        <v>12</v>
      </c>
      <c r="I890" s="1262">
        <f t="shared" si="71"/>
        <v>12</v>
      </c>
      <c r="J890" s="1111"/>
      <c r="K890" s="1111"/>
      <c r="L890" s="1085"/>
      <c r="M890" s="977" t="s">
        <v>1267</v>
      </c>
    </row>
    <row r="891" spans="1:13" s="1086" customFormat="1" ht="25.15" customHeight="1">
      <c r="A891" s="1156">
        <f t="shared" si="70"/>
        <v>1</v>
      </c>
      <c r="B891" s="1327"/>
      <c r="C891" s="1327"/>
      <c r="D891" s="1081">
        <f>IF(H891&gt;0,D881+1,D881)</f>
        <v>6</v>
      </c>
      <c r="E891" s="1091"/>
      <c r="F891" s="1253" t="s">
        <v>3731</v>
      </c>
      <c r="G891" s="1081" t="s">
        <v>2394</v>
      </c>
      <c r="H891" s="1890">
        <f>H833</f>
        <v>1</v>
      </c>
      <c r="I891" s="1262">
        <f t="shared" si="71"/>
        <v>1</v>
      </c>
      <c r="J891" s="1134"/>
      <c r="K891" s="1134"/>
      <c r="L891" s="1085"/>
      <c r="M891" s="977" t="s">
        <v>1267</v>
      </c>
    </row>
    <row r="892" spans="1:13" s="1086" customFormat="1" ht="25.15" customHeight="1">
      <c r="A892" s="1156">
        <f>IF(A891&gt;0,1,0)</f>
        <v>1</v>
      </c>
      <c r="B892" s="1327"/>
      <c r="C892" s="1327"/>
      <c r="D892" s="1081"/>
      <c r="E892" s="1091"/>
      <c r="F892" s="1371" t="s">
        <v>2287</v>
      </c>
      <c r="G892" s="1082"/>
      <c r="H892" s="1890"/>
      <c r="I892" s="1262">
        <f t="shared" si="71"/>
        <v>0</v>
      </c>
      <c r="J892" s="1134"/>
      <c r="K892" s="1134"/>
      <c r="L892" s="1085"/>
      <c r="M892" s="977" t="s">
        <v>1267</v>
      </c>
    </row>
    <row r="893" spans="1:13" s="1086" customFormat="1" ht="25.15" hidden="1" customHeight="1">
      <c r="A893" s="1156">
        <f t="shared" si="70"/>
        <v>0</v>
      </c>
      <c r="B893" s="1327" t="s">
        <v>34</v>
      </c>
      <c r="C893" s="1327"/>
      <c r="D893" s="1093"/>
      <c r="E893" s="1082">
        <f>VLOOKUP($B893,DG!A:D,DG!$B$2,)</f>
        <v>0</v>
      </c>
      <c r="F893" s="1083" t="str">
        <f>VLOOKUP($B893,DG!A:D,DG!$C$2,)</f>
        <v>Cáp đồng bọc CV150</v>
      </c>
      <c r="G893" s="1082" t="str">
        <f>VLOOKUP($B893,DG!A:D,DG!$D$2,)</f>
        <v>mét</v>
      </c>
      <c r="H893" s="1873"/>
      <c r="I893" s="1262">
        <f t="shared" si="71"/>
        <v>0</v>
      </c>
      <c r="J893" s="1111"/>
      <c r="K893" s="1111"/>
      <c r="L893" s="1085"/>
      <c r="M893" s="977" t="s">
        <v>1267</v>
      </c>
    </row>
    <row r="894" spans="1:13" s="1086" customFormat="1" ht="25.15" customHeight="1">
      <c r="A894" s="1156">
        <f t="shared" ref="A894" si="74">IF(I894&gt;0,1,0)</f>
        <v>1</v>
      </c>
      <c r="B894" s="1327" t="s">
        <v>274</v>
      </c>
      <c r="C894" s="1327"/>
      <c r="D894" s="1093"/>
      <c r="E894" s="1082">
        <f>VLOOKUP($B894,DG!A:D,DG!$B$2,)</f>
        <v>0</v>
      </c>
      <c r="F894" s="1083" t="str">
        <f>VLOOKUP($B894,DG!A:D,DG!$C$2,)</f>
        <v>Cáp đồng bọc CV95</v>
      </c>
      <c r="G894" s="1082" t="str">
        <f>VLOOKUP($B894,DG!A:D,DG!$D$2,)</f>
        <v>mét</v>
      </c>
      <c r="H894" s="1873">
        <v>30</v>
      </c>
      <c r="I894" s="1262">
        <f t="shared" ref="I894" si="75">IF(M894=$M$23,H894+J894-K894,0)</f>
        <v>30</v>
      </c>
      <c r="J894" s="1111"/>
      <c r="K894" s="1111"/>
      <c r="L894" s="1085"/>
      <c r="M894" s="977" t="s">
        <v>1267</v>
      </c>
    </row>
    <row r="895" spans="1:13" s="1086" customFormat="1" ht="25.15" customHeight="1">
      <c r="A895" s="1156">
        <f t="shared" si="70"/>
        <v>1</v>
      </c>
      <c r="B895" s="1327" t="s">
        <v>2115</v>
      </c>
      <c r="C895" s="1327"/>
      <c r="D895" s="1093"/>
      <c r="E895" s="1082" t="str">
        <f>VLOOKUP($B895,DG!A:D,DG!$B$2,)</f>
        <v>04.4201</v>
      </c>
      <c r="F895" s="1083" t="str">
        <f>VLOOKUP($B895,DG!A:D,DG!$C$2,)</f>
        <v>Cáp đồng bọc CV11</v>
      </c>
      <c r="G895" s="1082" t="str">
        <f>VLOOKUP($B895,DG!A:D,DG!$D$2,)</f>
        <v>mét</v>
      </c>
      <c r="H895" s="1873">
        <v>3</v>
      </c>
      <c r="I895" s="1262">
        <f t="shared" si="71"/>
        <v>3</v>
      </c>
      <c r="J895" s="1111"/>
      <c r="K895" s="1111"/>
      <c r="L895" s="1085"/>
      <c r="M895" s="977" t="s">
        <v>1267</v>
      </c>
    </row>
    <row r="896" spans="1:13" s="1086" customFormat="1" ht="25.15" customHeight="1">
      <c r="A896" s="1156">
        <f t="shared" si="70"/>
        <v>1</v>
      </c>
      <c r="B896" s="1327" t="s">
        <v>2284</v>
      </c>
      <c r="C896" s="1327"/>
      <c r="D896" s="1113"/>
      <c r="E896" s="1082" t="str">
        <f>VLOOKUP($B896,DG!A:D,DG!$B$2,)</f>
        <v>03.1401</v>
      </c>
      <c r="F896" s="1083" t="str">
        <f>VLOOKUP($B896,DG!A:D,DG!$C$2,)</f>
        <v xml:space="preserve">Cáp CVV 4x4mm2  </v>
      </c>
      <c r="G896" s="1082" t="str">
        <f>VLOOKUP($B896,DG!A:D,DG!$D$2,)</f>
        <v>mét</v>
      </c>
      <c r="H896" s="1873">
        <v>2.5</v>
      </c>
      <c r="I896" s="1262">
        <f t="shared" si="71"/>
        <v>2.5</v>
      </c>
      <c r="J896" s="1111"/>
      <c r="K896" s="1111"/>
      <c r="L896" s="1085"/>
      <c r="M896" s="977" t="s">
        <v>1267</v>
      </c>
    </row>
    <row r="897" spans="1:13" s="1086" customFormat="1" ht="25.15" customHeight="1">
      <c r="A897" s="1156">
        <f t="shared" ref="A897" si="76">IF(I897&gt;0,1,0)</f>
        <v>1</v>
      </c>
      <c r="B897" s="1327" t="s">
        <v>5195</v>
      </c>
      <c r="C897" s="1327"/>
      <c r="D897" s="1093"/>
      <c r="E897" s="1082" t="str">
        <f>VLOOKUP($B897,DG!A:D,DG!$B$2,)</f>
        <v>03.4001</v>
      </c>
      <c r="F897" s="1083" t="str">
        <f>VLOOKUP($B897,DG!A:D,DG!$C$2,)</f>
        <v>Đầu cosse ép Cu 5mm2</v>
      </c>
      <c r="G897" s="1082" t="str">
        <f>VLOOKUP($B897,DG!A:D,DG!$D$2,)</f>
        <v>cái</v>
      </c>
      <c r="H897" s="1873">
        <v>6</v>
      </c>
      <c r="I897" s="1262">
        <f t="shared" ref="I897" si="77">IF(M897=$M$23,H897+J897-K897,0)</f>
        <v>6</v>
      </c>
      <c r="J897" s="1111"/>
      <c r="K897" s="1111"/>
      <c r="L897" s="1085"/>
      <c r="M897" s="977" t="s">
        <v>1267</v>
      </c>
    </row>
    <row r="898" spans="1:13" s="1086" customFormat="1" ht="25.15" hidden="1" customHeight="1">
      <c r="A898" s="1156">
        <f t="shared" si="70"/>
        <v>0</v>
      </c>
      <c r="B898" s="1327" t="str">
        <f>REPLACE(B893,1,2,"cos")</f>
        <v>cos150</v>
      </c>
      <c r="C898" s="1327"/>
      <c r="D898" s="1093"/>
      <c r="E898" s="1082" t="str">
        <f>VLOOKUP($B898,DG!A:D,DG!$B$2,)</f>
        <v>03.4006</v>
      </c>
      <c r="F898" s="1083" t="str">
        <f>VLOOKUP($B898,DG!A:D,DG!$C$2,)</f>
        <v>Đầu cosse ép Cu 150mm2</v>
      </c>
      <c r="G898" s="1082" t="str">
        <f>VLOOKUP($B898,DG!A:D,DG!$D$2,)</f>
        <v>cái</v>
      </c>
      <c r="H898" s="1873"/>
      <c r="I898" s="1262">
        <f t="shared" si="71"/>
        <v>0</v>
      </c>
      <c r="J898" s="1111"/>
      <c r="K898" s="1111"/>
      <c r="L898" s="1085"/>
      <c r="M898" s="977" t="s">
        <v>1267</v>
      </c>
    </row>
    <row r="899" spans="1:13" s="1086" customFormat="1" ht="25.15" customHeight="1">
      <c r="A899" s="1156">
        <f t="shared" si="70"/>
        <v>1</v>
      </c>
      <c r="B899" s="1327" t="str">
        <f>REPLACE(B894,1,2,"cos")</f>
        <v>cos95</v>
      </c>
      <c r="C899" s="1327"/>
      <c r="D899" s="1093"/>
      <c r="E899" s="1082" t="str">
        <f>VLOOKUP($B899,DG!A:D,DG!$B$2,)</f>
        <v>03.4004</v>
      </c>
      <c r="F899" s="1083" t="str">
        <f>VLOOKUP($B899,DG!A:D,DG!$C$2,)</f>
        <v>Đầu cosse ép Cu 95mm2</v>
      </c>
      <c r="G899" s="1082" t="str">
        <f>VLOOKUP($B899,DG!A:D,DG!$D$2,)</f>
        <v>cái</v>
      </c>
      <c r="H899" s="1873">
        <f>H891*1</f>
        <v>1</v>
      </c>
      <c r="I899" s="1262">
        <f t="shared" si="71"/>
        <v>1</v>
      </c>
      <c r="J899" s="1111"/>
      <c r="K899" s="1111"/>
      <c r="L899" s="1085"/>
      <c r="M899" s="977" t="s">
        <v>1267</v>
      </c>
    </row>
    <row r="900" spans="1:13" s="1086" customFormat="1" ht="25.15" hidden="1" customHeight="1">
      <c r="A900" s="1156">
        <f t="shared" si="70"/>
        <v>0</v>
      </c>
      <c r="B900" s="1327" t="str">
        <f>REPLACE(B893,1,2,"chcos")</f>
        <v>chcos150</v>
      </c>
      <c r="C900" s="1327"/>
      <c r="D900" s="1093"/>
      <c r="E900" s="1082">
        <f>VLOOKUP($B900,DG!A:D,DG!$B$2,)</f>
        <v>0</v>
      </c>
      <c r="F900" s="1083" t="str">
        <f>VLOOKUP($B900,DG!A:D,DG!$C$2,)</f>
        <v>Chụp đầu cosse  150mm2</v>
      </c>
      <c r="G900" s="1082" t="str">
        <f>VLOOKUP($B900,DG!A:D,DG!$D$2,)</f>
        <v>cái</v>
      </c>
      <c r="H900" s="1873"/>
      <c r="I900" s="1262">
        <f t="shared" si="71"/>
        <v>0</v>
      </c>
      <c r="J900" s="1111"/>
      <c r="K900" s="1111"/>
      <c r="L900" s="1085"/>
      <c r="M900" s="977" t="s">
        <v>1267</v>
      </c>
    </row>
    <row r="901" spans="1:13" s="1086" customFormat="1" ht="25.15" customHeight="1">
      <c r="A901" s="1156">
        <f t="shared" si="70"/>
        <v>1</v>
      </c>
      <c r="B901" s="1327" t="str">
        <f>REPLACE(B894,1,2,"chcos")</f>
        <v>chcos95</v>
      </c>
      <c r="C901" s="1327"/>
      <c r="D901" s="1093"/>
      <c r="E901" s="1082">
        <f>VLOOKUP($B901,DG!A:D,DG!$B$2,)</f>
        <v>0</v>
      </c>
      <c r="F901" s="1083" t="str">
        <f>VLOOKUP($B901,DG!A:D,DG!$C$2,)</f>
        <v>Chụp đầu cosse  95mm2</v>
      </c>
      <c r="G901" s="1082" t="str">
        <f>VLOOKUP($B901,DG!A:D,DG!$D$2,)</f>
        <v>cái</v>
      </c>
      <c r="H901" s="1873">
        <f>H899</f>
        <v>1</v>
      </c>
      <c r="I901" s="1262">
        <f t="shared" si="71"/>
        <v>1</v>
      </c>
      <c r="J901" s="1111"/>
      <c r="K901" s="1111"/>
      <c r="L901" s="1085"/>
      <c r="M901" s="977" t="s">
        <v>1267</v>
      </c>
    </row>
    <row r="902" spans="1:13" s="1086" customFormat="1" ht="25.15" hidden="1" customHeight="1">
      <c r="A902" s="1156">
        <f t="shared" si="70"/>
        <v>0</v>
      </c>
      <c r="B902" s="1327" t="s">
        <v>490</v>
      </c>
      <c r="C902" s="1327"/>
      <c r="D902" s="1093"/>
      <c r="E902" s="1082">
        <f>VLOOKUP($B902,DG!A:D,DG!$B$2,)</f>
        <v>0</v>
      </c>
      <c r="F902" s="1083" t="str">
        <f>VLOOKUP($B902,DG!A:D,DG!$C$2,)</f>
        <v>Dây đồng trần mềm dẹt</v>
      </c>
      <c r="G902" s="1082" t="str">
        <f>VLOOKUP($B902,DG!A:D,DG!$D$2,)</f>
        <v>mét</v>
      </c>
      <c r="H902" s="1873"/>
      <c r="I902" s="1262">
        <f t="shared" si="71"/>
        <v>0</v>
      </c>
      <c r="J902" s="1111"/>
      <c r="K902" s="1111"/>
      <c r="L902" s="1085"/>
      <c r="M902" s="977" t="s">
        <v>1267</v>
      </c>
    </row>
    <row r="903" spans="1:13" s="1086" customFormat="1" ht="25.15" customHeight="1">
      <c r="A903" s="1156">
        <f t="shared" si="70"/>
        <v>1</v>
      </c>
      <c r="B903" s="1327" t="s">
        <v>1044</v>
      </c>
      <c r="C903" s="1327"/>
      <c r="D903" s="1093"/>
      <c r="E903" s="1082">
        <f>VLOOKUP($B903,DG!A:D,DG!$B$2,)</f>
        <v>0</v>
      </c>
      <c r="F903" s="1083" t="str">
        <f>VLOOKUP($B903,DG!A:D,DG!$C$2,)</f>
        <v xml:space="preserve">Ống PVC D114x4,9mm </v>
      </c>
      <c r="G903" s="1082" t="str">
        <f>VLOOKUP($B903,DG!A:D,DG!$D$2,)</f>
        <v>m</v>
      </c>
      <c r="H903" s="1873">
        <v>11</v>
      </c>
      <c r="I903" s="1262">
        <f t="shared" si="71"/>
        <v>11</v>
      </c>
      <c r="J903" s="1111"/>
      <c r="K903" s="1111"/>
      <c r="L903" s="1085"/>
      <c r="M903" s="977" t="s">
        <v>1267</v>
      </c>
    </row>
    <row r="904" spans="1:13" s="1086" customFormat="1" ht="25.15" customHeight="1">
      <c r="A904" s="1156">
        <f t="shared" ref="A904" si="78">IF(I904&gt;0,1,0)</f>
        <v>1</v>
      </c>
      <c r="B904" s="1327" t="s">
        <v>1868</v>
      </c>
      <c r="C904" s="1157"/>
      <c r="D904" s="1093"/>
      <c r="E904" s="1082" t="str">
        <f>VLOOKUP($B904,DG!A:D,DG!$B$2,)</f>
        <v>06.3231</v>
      </c>
      <c r="F904" s="1083" t="str">
        <f>VLOOKUP($B904,DG!A:D,DG!$C$2,)&amp;" trụ đôi D280"</f>
        <v>Cổ dê kẹp ống PVC Ø 114 trụ đôi D280</v>
      </c>
      <c r="G904" s="1082" t="str">
        <f>VLOOKUP($B904,DG!A:D,DG!$D$2,)</f>
        <v>bộ</v>
      </c>
      <c r="H904" s="1873">
        <v>2</v>
      </c>
      <c r="I904" s="1262">
        <f t="shared" ref="I904" si="79">IF(M904=$M$23,H904+J904-K904,0)</f>
        <v>2</v>
      </c>
      <c r="J904" s="1111"/>
      <c r="K904" s="1111"/>
      <c r="L904" s="1085"/>
      <c r="M904" s="977" t="s">
        <v>1267</v>
      </c>
    </row>
    <row r="905" spans="1:13" s="1086" customFormat="1" ht="25.15" customHeight="1">
      <c r="A905" s="1156">
        <f t="shared" si="70"/>
        <v>1</v>
      </c>
      <c r="B905" s="1327" t="str">
        <f>REPLACE(B903,1,3,"cd")</f>
        <v>cd114</v>
      </c>
      <c r="C905" s="1157"/>
      <c r="D905" s="1093"/>
      <c r="E905" s="1082" t="str">
        <f>VLOOKUP($B905,DG!A:D,DG!$B$2,)</f>
        <v>06.3231</v>
      </c>
      <c r="F905" s="1083" t="str">
        <f>VLOOKUP($B905,DG!A:D,DG!$C$2,)&amp;" trụ đôi D230"</f>
        <v>Cổ dê kẹp ống PVC Ø 114 trụ đôi D230</v>
      </c>
      <c r="G905" s="1082" t="str">
        <f>VLOOKUP($B905,DG!A:D,DG!$D$2,)</f>
        <v>bộ</v>
      </c>
      <c r="H905" s="1873">
        <v>4</v>
      </c>
      <c r="I905" s="1262">
        <f t="shared" si="71"/>
        <v>4</v>
      </c>
      <c r="J905" s="1111"/>
      <c r="K905" s="1111"/>
      <c r="L905" s="1085"/>
      <c r="M905" s="977" t="s">
        <v>1267</v>
      </c>
    </row>
    <row r="906" spans="1:13" s="1086" customFormat="1" ht="25.15" customHeight="1">
      <c r="A906" s="1156">
        <f t="shared" ref="A906" si="80">IF(I906&gt;0,1,0)</f>
        <v>1</v>
      </c>
      <c r="B906" s="1327" t="str">
        <f>REPLACE(B903,1,3,"cut")&amp;"t"</f>
        <v>cut114t</v>
      </c>
      <c r="C906" s="1327"/>
      <c r="D906" s="1093"/>
      <c r="E906" s="1082">
        <f>VLOOKUP($B906,DG!A:D,DG!$B$2,)</f>
        <v>0</v>
      </c>
      <c r="F906" s="1083" t="str">
        <f>VLOOKUP($B906,DG!A:D,DG!$C$2,)</f>
        <v>Co  90 độ PVC 114</v>
      </c>
      <c r="G906" s="1082" t="str">
        <f>VLOOKUP($B906,DG!A:D,DG!$D$2,)</f>
        <v>cái</v>
      </c>
      <c r="H906" s="1873">
        <v>2</v>
      </c>
      <c r="I906" s="1262">
        <f t="shared" ref="I906" si="81">IF(M906=$M$23,H906+J906-K906,0)</f>
        <v>2</v>
      </c>
      <c r="J906" s="1111"/>
      <c r="K906" s="1111"/>
      <c r="L906" s="1085"/>
      <c r="M906" s="977" t="s">
        <v>1267</v>
      </c>
    </row>
    <row r="907" spans="1:13" s="1086" customFormat="1" ht="25.15" customHeight="1">
      <c r="A907" s="1156">
        <f t="shared" si="70"/>
        <v>1</v>
      </c>
      <c r="B907" s="1327" t="str">
        <f>REPLACE(B903,1,3,"cut")&amp;"l"</f>
        <v>cut114l</v>
      </c>
      <c r="C907" s="1327"/>
      <c r="D907" s="1093"/>
      <c r="E907" s="1082">
        <f>VLOOKUP($B907,DG!A:D,DG!$B$2,)</f>
        <v>0</v>
      </c>
      <c r="F907" s="1083" t="str">
        <f>VLOOKUP($B907,DG!A:D,DG!$C$2,)</f>
        <v>Co 135 độ PVC 114</v>
      </c>
      <c r="G907" s="1082" t="str">
        <f>VLOOKUP($B907,DG!A:D,DG!$D$2,)</f>
        <v>cái</v>
      </c>
      <c r="H907" s="1873">
        <v>2</v>
      </c>
      <c r="I907" s="1262">
        <f t="shared" si="71"/>
        <v>2</v>
      </c>
      <c r="J907" s="1111"/>
      <c r="K907" s="1111"/>
      <c r="L907" s="1085"/>
      <c r="M907" s="977" t="s">
        <v>1267</v>
      </c>
    </row>
    <row r="908" spans="1:13" s="1086" customFormat="1" ht="25.15" customHeight="1">
      <c r="A908" s="1156">
        <f t="shared" ref="A908:A909" si="82">IF(I908&gt;0,1,0)</f>
        <v>1</v>
      </c>
      <c r="B908" s="1327" t="s">
        <v>1970</v>
      </c>
      <c r="C908" s="1327"/>
      <c r="D908" s="1093"/>
      <c r="E908" s="1082">
        <f>VLOOKUP($B908,DG!A:D,DG!$B$2,)</f>
        <v>0</v>
      </c>
      <c r="F908" s="1083" t="str">
        <f>VLOOKUP($B908,DG!A:D,DG!$C$2,)</f>
        <v>Khâu ven răng trong D114</v>
      </c>
      <c r="G908" s="1082" t="str">
        <f>VLOOKUP($B908,DG!A:D,DG!$D$2,)</f>
        <v>cái</v>
      </c>
      <c r="H908" s="1873">
        <v>1</v>
      </c>
      <c r="I908" s="1262">
        <f t="shared" ref="I908:I909" si="83">IF(M908=$M$23,H908+J908-K908,0)</f>
        <v>1</v>
      </c>
      <c r="J908" s="1111"/>
      <c r="K908" s="1111"/>
      <c r="L908" s="1085"/>
      <c r="M908" s="977" t="s">
        <v>1267</v>
      </c>
    </row>
    <row r="909" spans="1:13" s="1086" customFormat="1" ht="25.15" customHeight="1">
      <c r="A909" s="1156">
        <f t="shared" si="82"/>
        <v>1</v>
      </c>
      <c r="B909" s="1327" t="s">
        <v>1971</v>
      </c>
      <c r="C909" s="1327"/>
      <c r="D909" s="1093"/>
      <c r="E909" s="1082">
        <f>VLOOKUP($B909,DG!A:D,DG!$B$2,)</f>
        <v>0</v>
      </c>
      <c r="F909" s="1083" t="str">
        <f>VLOOKUP($B909,DG!A:D,DG!$C$2,)</f>
        <v>Khâu ven răng ngoài D114</v>
      </c>
      <c r="G909" s="1082" t="str">
        <f>VLOOKUP($B909,DG!A:D,DG!$D$2,)</f>
        <v>cái</v>
      </c>
      <c r="H909" s="1873">
        <v>1</v>
      </c>
      <c r="I909" s="1262">
        <f t="shared" si="83"/>
        <v>1</v>
      </c>
      <c r="J909" s="1111"/>
      <c r="K909" s="1111"/>
      <c r="L909" s="1085"/>
      <c r="M909" s="977" t="s">
        <v>1267</v>
      </c>
    </row>
    <row r="910" spans="1:13" s="1086" customFormat="1" ht="25.15" customHeight="1">
      <c r="A910" s="1156">
        <f t="shared" si="70"/>
        <v>1</v>
      </c>
      <c r="B910" s="1327" t="s">
        <v>907</v>
      </c>
      <c r="C910" s="1327"/>
      <c r="D910" s="1093"/>
      <c r="E910" s="1082">
        <f>VLOOKUP($B910,DG!A:D,DG!$B$2,)</f>
        <v>0</v>
      </c>
      <c r="F910" s="1083" t="str">
        <f>VLOOKUP($B910,DG!A:D,DG!$C$2,)</f>
        <v>Kẹp ép WR cỡ dây 50mm2</v>
      </c>
      <c r="G910" s="1082" t="str">
        <f>VLOOKUP($B910,DG!A:D,DG!$D$2,)</f>
        <v>cái</v>
      </c>
      <c r="H910" s="1873">
        <v>2</v>
      </c>
      <c r="I910" s="1262">
        <f t="shared" si="71"/>
        <v>2</v>
      </c>
      <c r="J910" s="1111"/>
      <c r="K910" s="1111"/>
      <c r="L910" s="1085"/>
      <c r="M910" s="977" t="s">
        <v>1267</v>
      </c>
    </row>
    <row r="911" spans="1:13" s="1086" customFormat="1" ht="25.15" customHeight="1">
      <c r="A911" s="1156">
        <f t="shared" ref="A911" si="84">IF(I911&gt;0,1,0)</f>
        <v>1</v>
      </c>
      <c r="B911" s="1327" t="s">
        <v>142</v>
      </c>
      <c r="C911" s="1327"/>
      <c r="D911" s="1093"/>
      <c r="E911" s="1082">
        <f>VLOOKUP($B911,DG!A:D,DG!$B$2,)</f>
        <v>0</v>
      </c>
      <c r="F911" s="1083" t="str">
        <f>VLOOKUP($B911,DG!A:D,DG!$C$2,)</f>
        <v>Kẹp ép WR cỡ dây 150mm2</v>
      </c>
      <c r="G911" s="1082" t="str">
        <f>VLOOKUP($B911,DG!A:D,DG!$D$2,)</f>
        <v>cái</v>
      </c>
      <c r="H911" s="1873">
        <v>6</v>
      </c>
      <c r="I911" s="1262">
        <f t="shared" ref="I911" si="85">IF(M911=$M$23,H911+J911-K911,0)</f>
        <v>6</v>
      </c>
      <c r="J911" s="1111"/>
      <c r="K911" s="1111"/>
      <c r="L911" s="1085"/>
      <c r="M911" s="977" t="s">
        <v>1267</v>
      </c>
    </row>
    <row r="912" spans="1:13" s="1086" customFormat="1" ht="25.15" hidden="1" customHeight="1">
      <c r="A912" s="1156">
        <f t="shared" si="70"/>
        <v>0</v>
      </c>
      <c r="B912" s="1327" t="str">
        <f>REPLACE(B903,1,3,"npvc")</f>
        <v>npvc114</v>
      </c>
      <c r="C912" s="1327"/>
      <c r="D912" s="1093"/>
      <c r="E912" s="1082">
        <f>VLOOKUP($B912,DG!A:D,DG!$B$2,)</f>
        <v>0</v>
      </c>
      <c r="F912" s="1083" t="str">
        <f>VLOOKUP($B912,DG!A:D,DG!$C$2,)</f>
        <v>Nối ống PVC 114</v>
      </c>
      <c r="G912" s="1082" t="str">
        <f>VLOOKUP($B912,DG!A:D,DG!$D$2,)</f>
        <v>cái</v>
      </c>
      <c r="H912" s="1873">
        <f>1*H891*0</f>
        <v>0</v>
      </c>
      <c r="I912" s="1262">
        <f t="shared" si="71"/>
        <v>0</v>
      </c>
      <c r="J912" s="1111"/>
      <c r="K912" s="1111"/>
      <c r="L912" s="1085"/>
      <c r="M912" s="977" t="s">
        <v>1267</v>
      </c>
    </row>
    <row r="913" spans="1:13" s="1086" customFormat="1" ht="25.15" customHeight="1">
      <c r="A913" s="1156">
        <f t="shared" si="70"/>
        <v>1</v>
      </c>
      <c r="B913" s="1327" t="s">
        <v>419</v>
      </c>
      <c r="C913" s="1327"/>
      <c r="D913" s="1093"/>
      <c r="E913" s="1082">
        <f>VLOOKUP($B913,DG!A:D,DG!$B$2,)</f>
        <v>0</v>
      </c>
      <c r="F913" s="1083" t="str">
        <f>VLOOKUP($B913,DG!A:D,DG!$C$2,)</f>
        <v>Keo dán ống PVC (100gr)</v>
      </c>
      <c r="G913" s="1082" t="str">
        <f>VLOOKUP($B913,DG!A:D,DG!$D$2,)</f>
        <v>tuýp</v>
      </c>
      <c r="H913" s="1873">
        <f>H891*1</f>
        <v>1</v>
      </c>
      <c r="I913" s="1262">
        <f t="shared" si="71"/>
        <v>1</v>
      </c>
      <c r="J913" s="1111"/>
      <c r="K913" s="1111"/>
      <c r="L913" s="1085"/>
      <c r="M913" s="977" t="s">
        <v>1267</v>
      </c>
    </row>
    <row r="914" spans="1:13" s="1086" customFormat="1" ht="25.15" customHeight="1">
      <c r="A914" s="1156">
        <f t="shared" si="70"/>
        <v>1</v>
      </c>
      <c r="B914" s="1327" t="s">
        <v>489</v>
      </c>
      <c r="C914" s="1327"/>
      <c r="D914" s="1093"/>
      <c r="E914" s="1082">
        <f>VLOOKUP($B914,DG!A:D,DG!$B$2,)</f>
        <v>0</v>
      </c>
      <c r="F914" s="1083" t="str">
        <f>VLOOKUP($B914,DG!A:D,DG!$C$2,)</f>
        <v>Keo silicon bít miệng ống</v>
      </c>
      <c r="G914" s="1082" t="str">
        <f>VLOOKUP($B914,DG!A:D,DG!$D$2,)</f>
        <v>ống</v>
      </c>
      <c r="H914" s="1873">
        <v>5</v>
      </c>
      <c r="I914" s="1262">
        <f t="shared" si="71"/>
        <v>5</v>
      </c>
      <c r="J914" s="1111"/>
      <c r="K914" s="1111"/>
      <c r="L914" s="1085"/>
      <c r="M914" s="977" t="s">
        <v>1267</v>
      </c>
    </row>
    <row r="915" spans="1:13" s="1086" customFormat="1" ht="25.15" customHeight="1">
      <c r="A915" s="1156">
        <f t="shared" si="70"/>
        <v>1</v>
      </c>
      <c r="B915" s="1157" t="s">
        <v>672</v>
      </c>
      <c r="C915" s="1157"/>
      <c r="D915" s="1093"/>
      <c r="E915" s="1082">
        <f>VLOOKUP($B915,DG!A:D,DG!$B$2,)</f>
        <v>0</v>
      </c>
      <c r="F915" s="1083" t="str">
        <f>VLOOKUP($B915,DG!A:D,DG!$C$2,)</f>
        <v>Băng keo cách điện</v>
      </c>
      <c r="G915" s="1082" t="str">
        <f>VLOOKUP($B915,DG!A:D,DG!$D$2,)</f>
        <v>cuộn</v>
      </c>
      <c r="H915" s="1873">
        <v>3</v>
      </c>
      <c r="I915" s="1262">
        <f t="shared" si="71"/>
        <v>3</v>
      </c>
      <c r="J915" s="1111"/>
      <c r="K915" s="1111"/>
      <c r="L915" s="1085"/>
      <c r="M915" s="977" t="s">
        <v>1267</v>
      </c>
    </row>
    <row r="916" spans="1:13" s="1086" customFormat="1" ht="25.15" customHeight="1">
      <c r="A916" s="1156">
        <f t="shared" si="70"/>
        <v>1</v>
      </c>
      <c r="B916" s="1332" t="s">
        <v>1869</v>
      </c>
      <c r="C916" s="1332"/>
      <c r="D916" s="1113"/>
      <c r="E916" s="1082" t="str">
        <f>VLOOKUP($B916,DG!A:D,DG!$B$2,)</f>
        <v>07,2407</v>
      </c>
      <c r="F916" s="1083" t="str">
        <f>VLOOKUP($B916,DG!A:D,DG!$C$2,)</f>
        <v>Lắp ống nhựa PVC D114</v>
      </c>
      <c r="G916" s="1082" t="str">
        <f>VLOOKUP($B916,DG!A:D,DG!$D$2,)</f>
        <v>mét</v>
      </c>
      <c r="H916" s="1170">
        <f>H903</f>
        <v>11</v>
      </c>
      <c r="I916" s="1262">
        <f t="shared" si="71"/>
        <v>11</v>
      </c>
      <c r="J916" s="1111"/>
      <c r="K916" s="1111"/>
      <c r="L916" s="1085"/>
      <c r="M916" s="977" t="s">
        <v>1267</v>
      </c>
    </row>
    <row r="917" spans="1:13" s="1086" customFormat="1" ht="25.15" customHeight="1">
      <c r="A917" s="1156">
        <f t="shared" si="70"/>
        <v>1</v>
      </c>
      <c r="B917" s="1157" t="s">
        <v>2012</v>
      </c>
      <c r="C917" s="1157"/>
      <c r="D917" s="1113"/>
      <c r="E917" s="1082" t="str">
        <f>VLOOKUP($B917,DG!A:D,DG!$B$2,)</f>
        <v>04.4202</v>
      </c>
      <c r="F917" s="1083" t="str">
        <f>VLOOKUP($B917,DG!A:D,DG!$C$2,)</f>
        <v>Lắp cáp đồng xuống thiết bị D ≤ 150mm2</v>
      </c>
      <c r="G917" s="1082" t="str">
        <f>VLOOKUP($B917,DG!A:D,DG!$D$2,)</f>
        <v>m</v>
      </c>
      <c r="H917" s="1170">
        <f>H893+H894</f>
        <v>30</v>
      </c>
      <c r="I917" s="1262">
        <f t="shared" si="71"/>
        <v>30</v>
      </c>
      <c r="J917" s="1111"/>
      <c r="K917" s="1111"/>
      <c r="L917" s="1085"/>
      <c r="M917" s="977" t="s">
        <v>1267</v>
      </c>
    </row>
    <row r="918" spans="1:13" s="1086" customFormat="1" ht="25.15" customHeight="1">
      <c r="A918" s="1156">
        <f t="shared" ref="A918:A937" si="86">IF(I918&gt;0,1,0)</f>
        <v>1</v>
      </c>
      <c r="B918" s="1327" t="s">
        <v>289</v>
      </c>
      <c r="C918" s="1327"/>
      <c r="D918" s="1257">
        <f>IF(H918&gt;0,D891+1,D875)</f>
        <v>7</v>
      </c>
      <c r="E918" s="1258"/>
      <c r="F918" s="1083" t="str">
        <f>VLOOKUP($B918,DG!A:D,DG!$C$2,)</f>
        <v>Bảng tên trạm, bảng báo nguy hiểm + đinh vít</v>
      </c>
      <c r="G918" s="1082" t="str">
        <f>VLOOKUP($B918,DG!A:D,DG!$D$2,)</f>
        <v>bộ</v>
      </c>
      <c r="H918" s="1899">
        <f>H835</f>
        <v>1</v>
      </c>
      <c r="I918" s="1262">
        <f t="shared" ref="I918:I937" si="87">IF(M918=$M$23,H918+J918-K918,0)</f>
        <v>1</v>
      </c>
      <c r="J918" s="1111"/>
      <c r="K918" s="1111"/>
      <c r="L918" s="1085"/>
      <c r="M918" s="977" t="s">
        <v>1267</v>
      </c>
    </row>
    <row r="919" spans="1:13" s="1086" customFormat="1" ht="25.15" hidden="1" customHeight="1">
      <c r="A919" s="1156">
        <f t="shared" si="86"/>
        <v>0</v>
      </c>
      <c r="B919" s="1327" t="s">
        <v>289</v>
      </c>
      <c r="C919" s="1327"/>
      <c r="D919" s="1257">
        <v>8</v>
      </c>
      <c r="E919" s="1258"/>
      <c r="F919" s="2159" t="s">
        <v>4815</v>
      </c>
      <c r="G919" s="2160" t="str">
        <f>VLOOKUP($B919,DG!A:D,DG!$D$2,)</f>
        <v>bộ</v>
      </c>
      <c r="H919" s="1899"/>
      <c r="I919" s="1262">
        <f t="shared" si="87"/>
        <v>0</v>
      </c>
      <c r="J919" s="1111"/>
      <c r="K919" s="1111"/>
      <c r="L919" s="1085"/>
      <c r="M919" s="977" t="s">
        <v>1267</v>
      </c>
    </row>
    <row r="920" spans="1:13" s="1086" customFormat="1" ht="25.15" hidden="1" customHeight="1">
      <c r="A920" s="1156">
        <f t="shared" si="86"/>
        <v>0</v>
      </c>
      <c r="B920" s="1327" t="s">
        <v>34</v>
      </c>
      <c r="C920" s="1327"/>
      <c r="D920" s="1257"/>
      <c r="E920" s="1258"/>
      <c r="F920" s="1083" t="str">
        <f>VLOOKUP($B920,DG!A:D,DG!$C$2,)</f>
        <v>Cáp đồng bọc CV150</v>
      </c>
      <c r="G920" s="1082" t="str">
        <f>VLOOKUP($B920,DG!A:D,DG!$D$2,)</f>
        <v>mét</v>
      </c>
      <c r="H920" s="1891"/>
      <c r="I920" s="1262">
        <f t="shared" si="87"/>
        <v>0</v>
      </c>
      <c r="J920" s="1111"/>
      <c r="K920" s="1111"/>
      <c r="L920" s="1085"/>
      <c r="M920" s="977" t="s">
        <v>1267</v>
      </c>
    </row>
    <row r="921" spans="1:13" s="1086" customFormat="1" ht="25.15" hidden="1" customHeight="1">
      <c r="A921" s="1156">
        <f t="shared" si="86"/>
        <v>0</v>
      </c>
      <c r="B921" s="1327" t="s">
        <v>274</v>
      </c>
      <c r="C921" s="1327"/>
      <c r="D921" s="1257"/>
      <c r="E921" s="1258"/>
      <c r="F921" s="1083" t="str">
        <f>VLOOKUP($B921,DG!A:D,DG!$C$2,)</f>
        <v>Cáp đồng bọc CV95</v>
      </c>
      <c r="G921" s="1082" t="str">
        <f>VLOOKUP($B921,DG!A:D,DG!$D$2,)</f>
        <v>mét</v>
      </c>
      <c r="H921" s="1891"/>
      <c r="I921" s="1262">
        <f t="shared" si="87"/>
        <v>0</v>
      </c>
      <c r="J921" s="1111"/>
      <c r="K921" s="1111"/>
      <c r="L921" s="1085"/>
      <c r="M921" s="977" t="s">
        <v>1267</v>
      </c>
    </row>
    <row r="922" spans="1:13" s="1086" customFormat="1" ht="25.15" hidden="1" customHeight="1">
      <c r="A922" s="1156">
        <f t="shared" si="86"/>
        <v>0</v>
      </c>
      <c r="B922" s="1327" t="str">
        <f>REPLACE(B920,1,2,"cos")</f>
        <v>cos150</v>
      </c>
      <c r="C922" s="1327"/>
      <c r="D922" s="1257"/>
      <c r="E922" s="1258"/>
      <c r="F922" s="1083" t="str">
        <f>VLOOKUP($B922,DG!A:D,DG!$C$2,)</f>
        <v>Đầu cosse ép Cu 150mm2</v>
      </c>
      <c r="G922" s="1082" t="str">
        <f>VLOOKUP($B922,DG!A:D,DG!$D$2,)</f>
        <v>cái</v>
      </c>
      <c r="H922" s="1891"/>
      <c r="I922" s="1262">
        <f t="shared" si="87"/>
        <v>0</v>
      </c>
      <c r="J922" s="1111"/>
      <c r="K922" s="1111"/>
      <c r="L922" s="1085"/>
      <c r="M922" s="977" t="s">
        <v>1267</v>
      </c>
    </row>
    <row r="923" spans="1:13" s="1086" customFormat="1" ht="25.15" hidden="1" customHeight="1">
      <c r="A923" s="1156">
        <f t="shared" si="86"/>
        <v>0</v>
      </c>
      <c r="B923" s="1327" t="str">
        <f>REPLACE(B921,1,2,"cos")</f>
        <v>cos95</v>
      </c>
      <c r="C923" s="1327"/>
      <c r="D923" s="1257"/>
      <c r="E923" s="1258"/>
      <c r="F923" s="1083" t="str">
        <f>VLOOKUP($B923,DG!A:D,DG!$C$2,)</f>
        <v>Đầu cosse ép Cu 95mm2</v>
      </c>
      <c r="G923" s="1082" t="str">
        <f>VLOOKUP($B923,DG!A:D,DG!$D$2,)</f>
        <v>cái</v>
      </c>
      <c r="H923" s="1891"/>
      <c r="I923" s="1262">
        <f t="shared" si="87"/>
        <v>0</v>
      </c>
      <c r="J923" s="1111"/>
      <c r="K923" s="1111"/>
      <c r="L923" s="1085"/>
      <c r="M923" s="977" t="s">
        <v>1267</v>
      </c>
    </row>
    <row r="924" spans="1:13" s="1086" customFormat="1" ht="25.15" hidden="1" customHeight="1">
      <c r="A924" s="1156">
        <f t="shared" si="86"/>
        <v>0</v>
      </c>
      <c r="B924" s="1327" t="str">
        <f>REPLACE(B920,1,2,"chcos")</f>
        <v>chcos150</v>
      </c>
      <c r="C924" s="1327"/>
      <c r="D924" s="1257"/>
      <c r="E924" s="1258"/>
      <c r="F924" s="1083" t="str">
        <f>VLOOKUP($B924,DG!A:D,DG!$C$2,)</f>
        <v>Chụp đầu cosse  150mm2</v>
      </c>
      <c r="G924" s="1082" t="str">
        <f>VLOOKUP($B924,DG!A:D,DG!$D$2,)</f>
        <v>cái</v>
      </c>
      <c r="H924" s="1891"/>
      <c r="I924" s="1262">
        <f t="shared" si="87"/>
        <v>0</v>
      </c>
      <c r="J924" s="1111"/>
      <c r="K924" s="1111"/>
      <c r="L924" s="1085"/>
      <c r="M924" s="977" t="s">
        <v>1267</v>
      </c>
    </row>
    <row r="925" spans="1:13" s="1086" customFormat="1" ht="25.15" hidden="1" customHeight="1">
      <c r="A925" s="1156">
        <f t="shared" si="86"/>
        <v>0</v>
      </c>
      <c r="B925" s="1327" t="str">
        <f>REPLACE(B921,1,2,"chcos")</f>
        <v>chcos95</v>
      </c>
      <c r="C925" s="1327"/>
      <c r="D925" s="1257"/>
      <c r="E925" s="1258"/>
      <c r="F925" s="1083" t="str">
        <f>VLOOKUP($B925,DG!A:D,DG!$C$2,)</f>
        <v>Chụp đầu cosse  95mm2</v>
      </c>
      <c r="G925" s="1082" t="str">
        <f>VLOOKUP($B925,DG!A:D,DG!$D$2,)</f>
        <v>cái</v>
      </c>
      <c r="H925" s="1891"/>
      <c r="I925" s="1262">
        <f t="shared" si="87"/>
        <v>0</v>
      </c>
      <c r="J925" s="1111"/>
      <c r="K925" s="1111"/>
      <c r="L925" s="1085"/>
      <c r="M925" s="977" t="s">
        <v>1267</v>
      </c>
    </row>
    <row r="926" spans="1:13" s="1086" customFormat="1" ht="25.15" hidden="1" customHeight="1">
      <c r="A926" s="1156">
        <f t="shared" si="86"/>
        <v>0</v>
      </c>
      <c r="B926" s="1327" t="s">
        <v>1044</v>
      </c>
      <c r="C926" s="1327"/>
      <c r="D926" s="1257"/>
      <c r="E926" s="1258"/>
      <c r="F926" s="1083" t="str">
        <f>VLOOKUP($B926,DG!A:D,DG!$C$2,)</f>
        <v xml:space="preserve">Ống PVC D114x4,9mm </v>
      </c>
      <c r="G926" s="1082" t="str">
        <f>VLOOKUP($B926,DG!A:D,DG!$D$2,)</f>
        <v>m</v>
      </c>
      <c r="H926" s="1891"/>
      <c r="I926" s="1262">
        <f t="shared" si="87"/>
        <v>0</v>
      </c>
      <c r="J926" s="1111"/>
      <c r="K926" s="1111"/>
      <c r="L926" s="1085"/>
      <c r="M926" s="977" t="s">
        <v>1267</v>
      </c>
    </row>
    <row r="927" spans="1:13" s="1086" customFormat="1" ht="25.15" hidden="1" customHeight="1">
      <c r="A927" s="1156">
        <f t="shared" si="86"/>
        <v>0</v>
      </c>
      <c r="B927" s="1327" t="str">
        <f>REPLACE(B926,1,3,"cd")</f>
        <v>cd114</v>
      </c>
      <c r="C927" s="1327"/>
      <c r="D927" s="1257"/>
      <c r="E927" s="1258"/>
      <c r="F927" s="1083" t="str">
        <f>VLOOKUP($B927,DG!A:D,DG!$C$2,)</f>
        <v>Cổ dê kẹp ống PVC Ø 114</v>
      </c>
      <c r="G927" s="1082" t="str">
        <f>VLOOKUP($B927,DG!A:D,DG!$D$2,)</f>
        <v>bộ</v>
      </c>
      <c r="H927" s="1891"/>
      <c r="I927" s="1262">
        <f t="shared" si="87"/>
        <v>0</v>
      </c>
      <c r="J927" s="1111"/>
      <c r="K927" s="1111"/>
      <c r="L927" s="1085"/>
      <c r="M927" s="977" t="s">
        <v>1267</v>
      </c>
    </row>
    <row r="928" spans="1:13" s="1086" customFormat="1" ht="25.15" hidden="1" customHeight="1">
      <c r="A928" s="1156">
        <f t="shared" si="86"/>
        <v>0</v>
      </c>
      <c r="B928" s="1327" t="str">
        <f>REPLACE(B926,1,3,"cut")&amp;"t"</f>
        <v>cut114t</v>
      </c>
      <c r="C928" s="1327"/>
      <c r="D928" s="1257"/>
      <c r="E928" s="1258"/>
      <c r="F928" s="1083" t="str">
        <f>VLOOKUP($B928,DG!A:D,DG!$C$2,)</f>
        <v>Co  90 độ PVC 114</v>
      </c>
      <c r="G928" s="1082" t="str">
        <f>VLOOKUP($B928,DG!A:D,DG!$D$2,)</f>
        <v>cái</v>
      </c>
      <c r="H928" s="1891"/>
      <c r="I928" s="1262">
        <f t="shared" si="87"/>
        <v>0</v>
      </c>
      <c r="J928" s="1111"/>
      <c r="K928" s="1111"/>
      <c r="L928" s="1085"/>
      <c r="M928" s="977" t="s">
        <v>1267</v>
      </c>
    </row>
    <row r="929" spans="1:13" s="1086" customFormat="1" ht="25.15" hidden="1" customHeight="1">
      <c r="A929" s="1156">
        <f t="shared" si="86"/>
        <v>0</v>
      </c>
      <c r="B929" s="1327" t="str">
        <f>REPLACE(B926,1,3,"cut")&amp;"l"</f>
        <v>cut114l</v>
      </c>
      <c r="C929" s="1327"/>
      <c r="D929" s="1257"/>
      <c r="E929" s="1258"/>
      <c r="F929" s="1083" t="str">
        <f>VLOOKUP($B929,DG!A:D,DG!$C$2,)</f>
        <v>Co 135 độ PVC 114</v>
      </c>
      <c r="G929" s="1082" t="str">
        <f>VLOOKUP($B929,DG!A:D,DG!$D$2,)</f>
        <v>cái</v>
      </c>
      <c r="H929" s="1891"/>
      <c r="I929" s="1262">
        <f t="shared" si="87"/>
        <v>0</v>
      </c>
      <c r="J929" s="1111"/>
      <c r="K929" s="1111"/>
      <c r="L929" s="1085"/>
      <c r="M929" s="977" t="s">
        <v>1267</v>
      </c>
    </row>
    <row r="930" spans="1:13" s="1086" customFormat="1" ht="25.15" hidden="1" customHeight="1">
      <c r="A930" s="1156">
        <f t="shared" si="86"/>
        <v>0</v>
      </c>
      <c r="B930" s="1327" t="s">
        <v>1970</v>
      </c>
      <c r="C930" s="1327"/>
      <c r="D930" s="1257"/>
      <c r="E930" s="1258"/>
      <c r="F930" s="1083" t="str">
        <f>VLOOKUP($B930,DG!A:D,DG!$C$2,)</f>
        <v>Khâu ven răng trong D114</v>
      </c>
      <c r="G930" s="1082" t="str">
        <f>VLOOKUP($B930,DG!A:D,DG!$D$2,)</f>
        <v>cái</v>
      </c>
      <c r="H930" s="1891"/>
      <c r="I930" s="1262">
        <f t="shared" si="87"/>
        <v>0</v>
      </c>
      <c r="J930" s="1111"/>
      <c r="K930" s="1111"/>
      <c r="L930" s="1085"/>
      <c r="M930" s="977" t="s">
        <v>1267</v>
      </c>
    </row>
    <row r="931" spans="1:13" s="1086" customFormat="1" ht="25.15" hidden="1" customHeight="1">
      <c r="A931" s="1156">
        <f t="shared" si="86"/>
        <v>0</v>
      </c>
      <c r="B931" s="1327" t="s">
        <v>1971</v>
      </c>
      <c r="C931" s="1327"/>
      <c r="D931" s="1257"/>
      <c r="E931" s="1258"/>
      <c r="F931" s="1083" t="str">
        <f>VLOOKUP($B931,DG!A:D,DG!$C$2,)</f>
        <v>Khâu ven răng ngoài D114</v>
      </c>
      <c r="G931" s="1082" t="str">
        <f>VLOOKUP($B931,DG!A:D,DG!$D$2,)</f>
        <v>cái</v>
      </c>
      <c r="H931" s="1891"/>
      <c r="I931" s="1262">
        <f t="shared" si="87"/>
        <v>0</v>
      </c>
      <c r="J931" s="1111"/>
      <c r="K931" s="1111"/>
      <c r="L931" s="1085"/>
      <c r="M931" s="977" t="s">
        <v>1267</v>
      </c>
    </row>
    <row r="932" spans="1:13" s="1086" customFormat="1" ht="25.15" hidden="1" customHeight="1">
      <c r="A932" s="1156">
        <f t="shared" si="86"/>
        <v>0</v>
      </c>
      <c r="B932" s="1327" t="s">
        <v>419</v>
      </c>
      <c r="C932" s="1327"/>
      <c r="D932" s="1093"/>
      <c r="E932" s="1082">
        <f>VLOOKUP($B932,DG!A:D,DG!$B$2,)</f>
        <v>0</v>
      </c>
      <c r="F932" s="1083" t="str">
        <f>VLOOKUP($B932,DG!A:D,DG!$C$2,)</f>
        <v>Keo dán ống PVC (100gr)</v>
      </c>
      <c r="G932" s="1082" t="str">
        <f>VLOOKUP($B932,DG!A:D,DG!$D$2,)</f>
        <v>tuýp</v>
      </c>
      <c r="H932" s="1873"/>
      <c r="I932" s="1262">
        <f t="shared" si="87"/>
        <v>0</v>
      </c>
      <c r="J932" s="1111"/>
      <c r="K932" s="1111"/>
      <c r="L932" s="1085"/>
      <c r="M932" s="977" t="s">
        <v>1267</v>
      </c>
    </row>
    <row r="933" spans="1:13" s="1086" customFormat="1" ht="25.15" hidden="1" customHeight="1">
      <c r="A933" s="1156">
        <f t="shared" si="86"/>
        <v>0</v>
      </c>
      <c r="B933" s="1327" t="s">
        <v>489</v>
      </c>
      <c r="C933" s="1327"/>
      <c r="D933" s="1093"/>
      <c r="E933" s="1082">
        <f>VLOOKUP($B933,DG!A:D,DG!$B$2,)</f>
        <v>0</v>
      </c>
      <c r="F933" s="1083" t="str">
        <f>VLOOKUP($B933,DG!A:D,DG!$C$2,)</f>
        <v>Keo silicon bít miệng ống</v>
      </c>
      <c r="G933" s="1082" t="str">
        <f>VLOOKUP($B933,DG!A:D,DG!$D$2,)</f>
        <v>ống</v>
      </c>
      <c r="H933" s="1873"/>
      <c r="I933" s="1262">
        <f t="shared" si="87"/>
        <v>0</v>
      </c>
      <c r="J933" s="1111"/>
      <c r="K933" s="1111"/>
      <c r="L933" s="1085"/>
      <c r="M933" s="977" t="s">
        <v>1267</v>
      </c>
    </row>
    <row r="934" spans="1:13" s="1086" customFormat="1" ht="25.15" hidden="1" customHeight="1">
      <c r="A934" s="1156">
        <f t="shared" si="86"/>
        <v>0</v>
      </c>
      <c r="B934" s="1327" t="s">
        <v>142</v>
      </c>
      <c r="C934" s="1327"/>
      <c r="D934" s="1093"/>
      <c r="E934" s="1082">
        <f>VLOOKUP($B934,DG!A:D,DG!$B$2,)</f>
        <v>0</v>
      </c>
      <c r="F934" s="1083" t="str">
        <f>VLOOKUP($B934,DG!A:D,DG!$C$2,)</f>
        <v>Kẹp ép WR cỡ dây 150mm2</v>
      </c>
      <c r="G934" s="1082" t="str">
        <f>VLOOKUP($B934,DG!A:D,DG!$D$2,)</f>
        <v>cái</v>
      </c>
      <c r="H934" s="1873"/>
      <c r="I934" s="1262">
        <f t="shared" si="87"/>
        <v>0</v>
      </c>
      <c r="J934" s="1111"/>
      <c r="K934" s="1111"/>
      <c r="L934" s="1085"/>
      <c r="M934" s="977" t="s">
        <v>1267</v>
      </c>
    </row>
    <row r="935" spans="1:13" s="1086" customFormat="1" ht="25.15" hidden="1" customHeight="1">
      <c r="A935" s="1156">
        <f t="shared" si="86"/>
        <v>0</v>
      </c>
      <c r="B935" s="1157" t="s">
        <v>672</v>
      </c>
      <c r="C935" s="1157"/>
      <c r="D935" s="1093"/>
      <c r="E935" s="1082">
        <f>VLOOKUP($B935,DG!A:D,DG!$B$2,)</f>
        <v>0</v>
      </c>
      <c r="F935" s="1083" t="str">
        <f>VLOOKUP($B935,DG!A:D,DG!$C$2,)</f>
        <v>Băng keo cách điện</v>
      </c>
      <c r="G935" s="1082" t="str">
        <f>VLOOKUP($B935,DG!A:D,DG!$D$2,)</f>
        <v>cuộn</v>
      </c>
      <c r="H935" s="1873"/>
      <c r="I935" s="1262">
        <f t="shared" si="87"/>
        <v>0</v>
      </c>
      <c r="J935" s="1111"/>
      <c r="K935" s="1111"/>
      <c r="L935" s="1085"/>
      <c r="M935" s="977" t="s">
        <v>1267</v>
      </c>
    </row>
    <row r="936" spans="1:13" s="1086" customFormat="1" ht="25.15" hidden="1" customHeight="1">
      <c r="A936" s="1156">
        <f t="shared" si="86"/>
        <v>0</v>
      </c>
      <c r="B936" s="1332" t="s">
        <v>1869</v>
      </c>
      <c r="C936" s="1332"/>
      <c r="D936" s="1113"/>
      <c r="E936" s="1082" t="str">
        <f>VLOOKUP($B936,DG!A:D,DG!$B$2,)</f>
        <v>07,2407</v>
      </c>
      <c r="F936" s="1083" t="str">
        <f>VLOOKUP($B936,DG!A:D,DG!$C$2,)</f>
        <v>Lắp ống nhựa PVC D114</v>
      </c>
      <c r="G936" s="1082" t="str">
        <f>VLOOKUP($B936,DG!A:D,DG!$D$2,)</f>
        <v>mét</v>
      </c>
      <c r="H936" s="1170"/>
      <c r="I936" s="1262">
        <f t="shared" si="87"/>
        <v>0</v>
      </c>
      <c r="J936" s="1111"/>
      <c r="K936" s="1111"/>
      <c r="L936" s="1085"/>
      <c r="M936" s="977" t="s">
        <v>1267</v>
      </c>
    </row>
    <row r="937" spans="1:13" s="1086" customFormat="1" ht="25.15" hidden="1" customHeight="1">
      <c r="A937" s="1156">
        <f t="shared" si="86"/>
        <v>0</v>
      </c>
      <c r="B937" s="1157" t="s">
        <v>2012</v>
      </c>
      <c r="C937" s="1157"/>
      <c r="D937" s="1113"/>
      <c r="E937" s="1082" t="str">
        <f>VLOOKUP($B937,DG!A:D,DG!$B$2,)</f>
        <v>04.4202</v>
      </c>
      <c r="F937" s="1083" t="str">
        <f>VLOOKUP($B937,DG!A:D,DG!$C$2,)</f>
        <v>Lắp cáp đồng xuống thiết bị D ≤ 150mm2</v>
      </c>
      <c r="G937" s="1082" t="str">
        <f>VLOOKUP($B937,DG!A:D,DG!$D$2,)</f>
        <v>m</v>
      </c>
      <c r="H937" s="1170"/>
      <c r="I937" s="1262">
        <f t="shared" si="87"/>
        <v>0</v>
      </c>
      <c r="J937" s="1111"/>
      <c r="K937" s="1111"/>
      <c r="L937" s="1085"/>
      <c r="M937" s="977" t="s">
        <v>1267</v>
      </c>
    </row>
    <row r="938" spans="1:13" s="1086" customFormat="1" ht="25.15" hidden="1" customHeight="1">
      <c r="A938" s="1156">
        <f t="shared" si="70"/>
        <v>0</v>
      </c>
      <c r="B938" s="1327"/>
      <c r="C938" s="1327"/>
      <c r="D938" s="1152"/>
      <c r="E938" s="1141"/>
      <c r="F938" s="1108"/>
      <c r="G938" s="1142"/>
      <c r="H938" s="1900"/>
      <c r="I938" s="1900"/>
      <c r="J938" s="1900"/>
      <c r="K938" s="1900"/>
      <c r="L938" s="1900"/>
      <c r="M938" s="977"/>
    </row>
    <row r="939" spans="1:13" s="1086" customFormat="1" ht="25.15" hidden="1" customHeight="1">
      <c r="A939" s="1156">
        <f t="shared" si="70"/>
        <v>0</v>
      </c>
      <c r="B939" s="1327"/>
      <c r="C939" s="1327"/>
      <c r="D939" s="1259"/>
      <c r="E939" s="1259"/>
      <c r="F939" s="1260"/>
      <c r="G939" s="1261"/>
      <c r="H939" s="1901"/>
      <c r="I939" s="1262">
        <f t="shared" si="71"/>
        <v>0</v>
      </c>
      <c r="J939" s="1260"/>
      <c r="K939" s="1260"/>
      <c r="L939" s="1145"/>
      <c r="M939" s="977"/>
    </row>
    <row r="940" spans="1:13" s="1086" customFormat="1" ht="25.15" hidden="1" customHeight="1">
      <c r="A940" s="1156">
        <f t="shared" si="70"/>
        <v>0</v>
      </c>
      <c r="B940" s="1322"/>
      <c r="C940" s="1322"/>
      <c r="D940" s="1103"/>
      <c r="E940" s="977"/>
      <c r="F940" s="1104"/>
      <c r="G940" s="977"/>
      <c r="H940" s="1902"/>
      <c r="I940" s="1262">
        <f t="shared" si="71"/>
        <v>0</v>
      </c>
      <c r="L940" s="977"/>
      <c r="M940" s="977"/>
    </row>
    <row r="941" spans="1:13" s="1086" customFormat="1" ht="25.15" hidden="1" customHeight="1">
      <c r="A941" s="1156">
        <f t="shared" si="70"/>
        <v>0</v>
      </c>
      <c r="B941" s="1353"/>
      <c r="C941" s="1353"/>
      <c r="D941" s="1366" t="str">
        <f>"BAÛNG TOÅNG HÔÏP VAÄT LIEÄU, NHAÂN COÂNG, MAÙY THI COÂNG : "&amp;L10&amp;" TRAÏM 3P_160KVA ÑO ÑEÁM HAÏ THEÁ"</f>
        <v>BAÛNG TOÅNG HÔÏP VAÄT LIEÄU, NHAÂN COÂNG, MAÙY THI COÂNG :  TRAÏM 3P_160KVA ÑO ÑEÁM HAÏ THEÁ</v>
      </c>
      <c r="E941" s="982"/>
      <c r="F941" s="982"/>
      <c r="G941" s="982"/>
      <c r="H941" s="1903"/>
      <c r="I941" s="1262">
        <f t="shared" si="71"/>
        <v>0</v>
      </c>
      <c r="J941" s="1105"/>
      <c r="K941" s="1105"/>
      <c r="L941" s="977"/>
      <c r="M941" s="977"/>
    </row>
    <row r="942" spans="1:13" s="1086" customFormat="1" ht="25.15" hidden="1" customHeight="1">
      <c r="A942" s="1156">
        <f t="shared" si="70"/>
        <v>0</v>
      </c>
      <c r="B942" s="1327"/>
      <c r="C942" s="1327"/>
      <c r="D942" s="1106"/>
      <c r="E942" s="1107"/>
      <c r="F942" s="1108" t="s">
        <v>3693</v>
      </c>
      <c r="G942" s="1109"/>
      <c r="H942" s="1930"/>
      <c r="I942" s="1262">
        <f t="shared" si="71"/>
        <v>0</v>
      </c>
      <c r="J942" s="1109"/>
      <c r="K942" s="1109"/>
      <c r="L942" s="1110"/>
      <c r="M942" s="977">
        <v>160</v>
      </c>
    </row>
    <row r="943" spans="1:13" s="1086" customFormat="1" ht="25.15" hidden="1" customHeight="1">
      <c r="A943" s="1156">
        <f t="shared" si="70"/>
        <v>0</v>
      </c>
      <c r="B943" s="1328" t="s">
        <v>1383</v>
      </c>
      <c r="C943" s="1328"/>
      <c r="D943" s="1093">
        <f>IF(H943&gt;0,1,0)</f>
        <v>0</v>
      </c>
      <c r="E943" s="1082" t="str">
        <f>VLOOKUP($B943,DG!A:D,DG!$B$2,)</f>
        <v>01.1144</v>
      </c>
      <c r="F943" s="1083" t="str">
        <f>VLOOKUP($B943,DG!A:D,DG!$C$2,)</f>
        <v>Máy biến áp 22/0,4kV  160kVA</v>
      </c>
      <c r="G943" s="1082" t="str">
        <f>VLOOKUP($B943,DG!A:D,DG!$D$2,)</f>
        <v>máy</v>
      </c>
      <c r="H943" s="1904">
        <f>L10</f>
        <v>0</v>
      </c>
      <c r="I943" s="1262">
        <f t="shared" si="71"/>
        <v>0</v>
      </c>
      <c r="J943" s="1111"/>
      <c r="K943" s="1111"/>
      <c r="L943" s="1112"/>
      <c r="M943" s="977">
        <v>160</v>
      </c>
    </row>
    <row r="944" spans="1:13" s="1086" customFormat="1" ht="25.15" hidden="1" customHeight="1">
      <c r="A944" s="1156">
        <f t="shared" si="70"/>
        <v>0</v>
      </c>
      <c r="B944" s="1328" t="s">
        <v>1657</v>
      </c>
      <c r="C944" s="1328"/>
      <c r="D944" s="1093">
        <f>IF(H944&gt;0,D943+1,D943)</f>
        <v>0</v>
      </c>
      <c r="E944" s="1082" t="str">
        <f>VLOOKUP($B944,DG!A:D,DG!$B$2,)</f>
        <v>02.3155</v>
      </c>
      <c r="F944" s="1083" t="str">
        <f>VLOOKUP($B944,DG!A:D,DG!$C$2,)</f>
        <v>FCO 27kV - 100A</v>
      </c>
      <c r="G944" s="1082" t="str">
        <f>VLOOKUP($B944,DG!A:D,DG!$D$2,)</f>
        <v>cái</v>
      </c>
      <c r="H944" s="1873">
        <f>$H$943*3</f>
        <v>0</v>
      </c>
      <c r="I944" s="1262">
        <f t="shared" si="71"/>
        <v>0</v>
      </c>
      <c r="J944" s="1084"/>
      <c r="K944" s="1084"/>
      <c r="L944" s="1113"/>
      <c r="M944" s="977">
        <v>160</v>
      </c>
    </row>
    <row r="945" spans="1:13" s="1086" customFormat="1" ht="25.15" hidden="1" customHeight="1">
      <c r="A945" s="1156">
        <f t="shared" si="70"/>
        <v>0</v>
      </c>
      <c r="B945" s="1328" t="str">
        <f>IF(14=15,"chi10","chi6k")</f>
        <v>chi6k</v>
      </c>
      <c r="C945" s="1328"/>
      <c r="D945" s="1093">
        <f t="shared" ref="D945:D950" si="88">IF(H945&gt;0,D944+1,D944)</f>
        <v>0</v>
      </c>
      <c r="E945" s="1082">
        <f>VLOOKUP($B945,DG!A:D,DG!$B$2,)</f>
        <v>0</v>
      </c>
      <c r="F945" s="1083" t="str">
        <f>VLOOKUP($B945,DG!A:D,DG!$C$2,)</f>
        <v>Dây chảy 6K</v>
      </c>
      <c r="G945" s="1082" t="str">
        <f>VLOOKUP($B945,DG!A:D,DG!$D$2,)</f>
        <v>Sợi</v>
      </c>
      <c r="H945" s="1873">
        <f>H944</f>
        <v>0</v>
      </c>
      <c r="I945" s="1262">
        <f t="shared" si="71"/>
        <v>0</v>
      </c>
      <c r="J945" s="1084"/>
      <c r="K945" s="1084"/>
      <c r="L945" s="1113"/>
      <c r="M945" s="977">
        <v>160</v>
      </c>
    </row>
    <row r="946" spans="1:13" s="1086" customFormat="1" ht="25.15" hidden="1" customHeight="1">
      <c r="A946" s="1156">
        <f t="shared" si="70"/>
        <v>0</v>
      </c>
      <c r="B946" s="1327" t="s">
        <v>1378</v>
      </c>
      <c r="C946" s="1327"/>
      <c r="D946" s="1093">
        <f t="shared" si="88"/>
        <v>0</v>
      </c>
      <c r="E946" s="1082" t="str">
        <f>VLOOKUP($B946,DG!A:D,DG!$B$2,)</f>
        <v>02.5114</v>
      </c>
      <c r="F946" s="1083" t="str">
        <f>VLOOKUP($B946,DG!A:D,DG!$C$2,)</f>
        <v>Chống sét van LA-18KV-10KA</v>
      </c>
      <c r="G946" s="1082" t="str">
        <f>VLOOKUP($B946,DG!A:D,DG!$D$2,)</f>
        <v>cái</v>
      </c>
      <c r="H946" s="1873">
        <f>H944</f>
        <v>0</v>
      </c>
      <c r="I946" s="1262">
        <f t="shared" si="71"/>
        <v>0</v>
      </c>
      <c r="J946" s="1084"/>
      <c r="K946" s="1084"/>
      <c r="L946" s="1113"/>
      <c r="M946" s="977">
        <v>160</v>
      </c>
    </row>
    <row r="947" spans="1:13" s="1086" customFormat="1" ht="25.15" hidden="1" customHeight="1">
      <c r="A947" s="1156">
        <f t="shared" si="70"/>
        <v>0</v>
      </c>
      <c r="B947" s="1328" t="s">
        <v>712</v>
      </c>
      <c r="C947" s="1328"/>
      <c r="D947" s="1093">
        <f t="shared" si="88"/>
        <v>0</v>
      </c>
      <c r="E947" s="1082" t="str">
        <f>VLOOKUP($B947,DG!A:D,DG!$B$2,)</f>
        <v>02.8401</v>
      </c>
      <c r="F947" s="1083" t="str">
        <f>VLOOKUP($B947,DG!A:D,DG!$C$2,)</f>
        <v xml:space="preserve">MCCB 3 cực 600V -250A - 36KA </v>
      </c>
      <c r="G947" s="1082" t="str">
        <f>VLOOKUP($B947,DG!A:D,DG!$D$2,)</f>
        <v>cái</v>
      </c>
      <c r="H947" s="1873">
        <f>$H$943</f>
        <v>0</v>
      </c>
      <c r="I947" s="1262">
        <f t="shared" si="71"/>
        <v>0</v>
      </c>
      <c r="J947" s="1084"/>
      <c r="K947" s="1084"/>
      <c r="L947" s="1113"/>
      <c r="M947" s="977">
        <v>160</v>
      </c>
    </row>
    <row r="948" spans="1:13" s="1086" customFormat="1" ht="25.15" hidden="1" customHeight="1">
      <c r="A948" s="1156">
        <f t="shared" si="70"/>
        <v>0</v>
      </c>
      <c r="B948" s="1328" t="s">
        <v>685</v>
      </c>
      <c r="C948" s="1328"/>
      <c r="D948" s="1093">
        <f t="shared" si="88"/>
        <v>0</v>
      </c>
      <c r="E948" s="1082" t="str">
        <f>VLOOKUP($B948,DG!A:D,DG!$B$2,)</f>
        <v>02.8534</v>
      </c>
      <c r="F948" s="1083" t="str">
        <f>VLOOKUP($B948,DG!A:D,DG!$C$2,)</f>
        <v>Tủ tụ bù hạ thế 80kVAr</v>
      </c>
      <c r="G948" s="1082" t="str">
        <f>VLOOKUP($B948,DG!A:D,DG!$D$2,)</f>
        <v>tủ</v>
      </c>
      <c r="H948" s="1873">
        <f>$H$943</f>
        <v>0</v>
      </c>
      <c r="I948" s="1262">
        <f t="shared" si="71"/>
        <v>0</v>
      </c>
      <c r="J948" s="1084"/>
      <c r="K948" s="1084"/>
      <c r="L948" s="1113"/>
      <c r="M948" s="977">
        <v>160</v>
      </c>
    </row>
    <row r="949" spans="1:13" s="1086" customFormat="1" ht="25.15" hidden="1" customHeight="1">
      <c r="A949" s="1156">
        <f t="shared" si="70"/>
        <v>0</v>
      </c>
      <c r="B949" s="1157" t="s">
        <v>1674</v>
      </c>
      <c r="C949" s="1157"/>
      <c r="D949" s="1093">
        <f t="shared" si="88"/>
        <v>1</v>
      </c>
      <c r="E949" s="1082">
        <f>VLOOKUP($B949,DG!A:D,DG!$B$2,)</f>
        <v>0</v>
      </c>
      <c r="F949" s="1165" t="str">
        <f>VLOOKUP($B949,DG!A:D,DG!$C$2,)</f>
        <v>Biến dòng 600V - 250/5A</v>
      </c>
      <c r="G949" s="1082" t="str">
        <f>VLOOKUP($B949,DG!A:D,DG!$D$2,)</f>
        <v>cái</v>
      </c>
      <c r="H949" s="1905">
        <v>3</v>
      </c>
      <c r="I949" s="1262">
        <f t="shared" si="71"/>
        <v>0</v>
      </c>
      <c r="J949" s="1084"/>
      <c r="K949" s="1084"/>
      <c r="L949" s="1114" t="s">
        <v>2612</v>
      </c>
      <c r="M949" s="977">
        <v>160</v>
      </c>
    </row>
    <row r="950" spans="1:13" s="1086" customFormat="1" ht="25.15" hidden="1" customHeight="1">
      <c r="A950" s="1156">
        <f t="shared" si="70"/>
        <v>0</v>
      </c>
      <c r="B950" s="1355" t="s">
        <v>1465</v>
      </c>
      <c r="C950" s="1355"/>
      <c r="D950" s="1093">
        <f t="shared" si="88"/>
        <v>1</v>
      </c>
      <c r="E950" s="1082" t="str">
        <f>VLOOKUP($B950,DG!A:D,DG!$B$2,)</f>
        <v>05.5104</v>
      </c>
      <c r="F950" s="1165" t="str">
        <f>VLOOKUP($B950,DG!A:D,DG!$C$2,)</f>
        <v>Điện kế 3 pha 4 dây 220/380V-5A</v>
      </c>
      <c r="G950" s="1082" t="str">
        <f>VLOOKUP($B950,DG!A:D,DG!$D$2,)</f>
        <v>cái</v>
      </c>
      <c r="H950" s="1905">
        <f>$H$943</f>
        <v>0</v>
      </c>
      <c r="I950" s="1262">
        <f t="shared" si="71"/>
        <v>0</v>
      </c>
      <c r="J950" s="1084"/>
      <c r="K950" s="1084"/>
      <c r="L950" s="1115" t="s">
        <v>2612</v>
      </c>
      <c r="M950" s="977">
        <v>160</v>
      </c>
    </row>
    <row r="951" spans="1:13" s="1086" customFormat="1" ht="25.15" hidden="1" customHeight="1">
      <c r="A951" s="1156">
        <f t="shared" si="70"/>
        <v>0</v>
      </c>
      <c r="B951" s="1327"/>
      <c r="C951" s="1327"/>
      <c r="D951" s="1116"/>
      <c r="E951" s="1117"/>
      <c r="F951" s="1079"/>
      <c r="G951" s="1116"/>
      <c r="H951" s="1883"/>
      <c r="I951" s="1262">
        <f t="shared" si="71"/>
        <v>0</v>
      </c>
      <c r="J951" s="1079"/>
      <c r="K951" s="1116"/>
      <c r="L951" s="1110"/>
      <c r="M951" s="977">
        <v>160</v>
      </c>
    </row>
    <row r="952" spans="1:13" s="1086" customFormat="1" ht="25.15" hidden="1" customHeight="1">
      <c r="A952" s="1156">
        <f>IF(M952=$M$23,1,0)</f>
        <v>0</v>
      </c>
      <c r="B952" s="1327"/>
      <c r="C952" s="1327"/>
      <c r="D952" s="1118"/>
      <c r="E952" s="1119"/>
      <c r="F952" s="1429" t="s">
        <v>3694</v>
      </c>
      <c r="G952" s="1108"/>
      <c r="H952" s="1897"/>
      <c r="I952" s="1897">
        <f t="shared" si="71"/>
        <v>0</v>
      </c>
      <c r="J952" s="1108"/>
      <c r="K952" s="1108"/>
      <c r="L952" s="1110"/>
      <c r="M952" s="977">
        <v>160</v>
      </c>
    </row>
    <row r="953" spans="1:13" s="1086" customFormat="1" ht="25.15" hidden="1" customHeight="1">
      <c r="A953" s="1156">
        <f t="shared" ref="A953:A1038" si="89">IF(I953&gt;0,1,0)</f>
        <v>0</v>
      </c>
      <c r="B953" s="1356"/>
      <c r="C953" s="1356"/>
      <c r="D953" s="1120">
        <f>IF(H953&gt;0,1,0)</f>
        <v>0</v>
      </c>
      <c r="E953" s="1121"/>
      <c r="F953" s="1122" t="s">
        <v>3732</v>
      </c>
      <c r="G953" s="1123" t="s">
        <v>2285</v>
      </c>
      <c r="H953" s="1906">
        <f>H943*2*0</f>
        <v>0</v>
      </c>
      <c r="I953" s="1262">
        <f t="shared" si="71"/>
        <v>0</v>
      </c>
      <c r="J953" s="1124"/>
      <c r="K953" s="1124"/>
      <c r="L953" s="1113"/>
      <c r="M953" s="977">
        <v>160</v>
      </c>
    </row>
    <row r="954" spans="1:13" s="1086" customFormat="1" ht="25.15" hidden="1" customHeight="1">
      <c r="A954" s="1156">
        <f t="shared" si="89"/>
        <v>0</v>
      </c>
      <c r="B954" s="1157" t="s">
        <v>115</v>
      </c>
      <c r="C954" s="1157"/>
      <c r="D954" s="1125"/>
      <c r="E954" s="1082"/>
      <c r="F954" s="1126" t="str">
        <f>VLOOKUP($B954,DG!A:D,DG!$C$2,)</f>
        <v>Trụ BTLT 12m F350 dự ứng lực</v>
      </c>
      <c r="G954" s="1082" t="str">
        <f>VLOOKUP($B954,DG!A:D,DG!$D$2,)</f>
        <v>trụ</v>
      </c>
      <c r="H954" s="1907">
        <f>H953</f>
        <v>0</v>
      </c>
      <c r="I954" s="1262">
        <f t="shared" si="71"/>
        <v>0</v>
      </c>
      <c r="J954" s="1111"/>
      <c r="K954" s="1081"/>
      <c r="L954" s="1113"/>
      <c r="M954" s="977">
        <v>160</v>
      </c>
    </row>
    <row r="955" spans="1:13" s="1086" customFormat="1" ht="25.15" hidden="1" customHeight="1">
      <c r="A955" s="1156">
        <f t="shared" si="89"/>
        <v>0</v>
      </c>
      <c r="B955" s="1157" t="s">
        <v>1820</v>
      </c>
      <c r="C955" s="1157"/>
      <c r="D955" s="1125"/>
      <c r="E955" s="1082"/>
      <c r="F955" s="1126" t="str">
        <f>VLOOKUP($B955,DG!A:D,DG!$C$2,)</f>
        <v>Vật liệu dựng trụ</v>
      </c>
      <c r="G955" s="1082" t="str">
        <f>VLOOKUP($B955,DG!A:D,DG!$D$2,)</f>
        <v>trụ</v>
      </c>
      <c r="H955" s="1907">
        <f>H954</f>
        <v>0</v>
      </c>
      <c r="I955" s="1262">
        <f t="shared" si="71"/>
        <v>0</v>
      </c>
      <c r="J955" s="1081"/>
      <c r="K955" s="1081"/>
      <c r="L955" s="1113"/>
      <c r="M955" s="977">
        <v>160</v>
      </c>
    </row>
    <row r="956" spans="1:13" s="1086" customFormat="1" ht="25.15" hidden="1" customHeight="1">
      <c r="A956" s="1156">
        <f t="shared" si="89"/>
        <v>0</v>
      </c>
      <c r="B956" s="1157" t="s">
        <v>643</v>
      </c>
      <c r="C956" s="1157"/>
      <c r="D956" s="1125"/>
      <c r="E956" s="1082" t="str">
        <f>VLOOKUP($B956,DG!A:D,DG!$B$2,)</f>
        <v>04.9203</v>
      </c>
      <c r="F956" s="1126" t="str">
        <f>VLOOKUP($B956,DG!A:D,DG!$C$2,)</f>
        <v>Dựng trụ BTLT 12m trong TBA bằng thủ công + cơ giới</v>
      </c>
      <c r="G956" s="1082" t="str">
        <f>VLOOKUP($B956,DG!A:D,DG!$D$2,)</f>
        <v>trụ</v>
      </c>
      <c r="H956" s="1907">
        <f>H954</f>
        <v>0</v>
      </c>
      <c r="I956" s="1262">
        <f t="shared" si="71"/>
        <v>0</v>
      </c>
      <c r="J956" s="1111"/>
      <c r="K956" s="1111"/>
      <c r="L956" s="1113"/>
      <c r="M956" s="977">
        <v>160</v>
      </c>
    </row>
    <row r="957" spans="1:13" s="1086" customFormat="1" ht="25.15" hidden="1" customHeight="1">
      <c r="A957" s="1156">
        <f t="shared" si="89"/>
        <v>0</v>
      </c>
      <c r="B957" s="1356"/>
      <c r="C957" s="1356"/>
      <c r="D957" s="1120">
        <f>IF(H957&gt;0,1,0)</f>
        <v>0</v>
      </c>
      <c r="E957" s="1121"/>
      <c r="F957" s="1122" t="s">
        <v>3733</v>
      </c>
      <c r="G957" s="1123" t="s">
        <v>2285</v>
      </c>
      <c r="H957" s="1906">
        <f>H943*2*0</f>
        <v>0</v>
      </c>
      <c r="I957" s="1262">
        <f t="shared" si="71"/>
        <v>0</v>
      </c>
      <c r="J957" s="1124"/>
      <c r="K957" s="1124"/>
      <c r="L957" s="1085"/>
      <c r="M957" s="977">
        <v>160</v>
      </c>
    </row>
    <row r="958" spans="1:13" s="1086" customFormat="1" ht="25.15" hidden="1" customHeight="1">
      <c r="A958" s="1156">
        <f t="shared" si="89"/>
        <v>0</v>
      </c>
      <c r="B958" s="1157" t="s">
        <v>114</v>
      </c>
      <c r="C958" s="1157"/>
      <c r="D958" s="1125"/>
      <c r="E958" s="1082"/>
      <c r="F958" s="1126" t="str">
        <f>VLOOKUP($B958,DG!A:D,DG!$C$2,)</f>
        <v>Trụ BTLT 10,5m F350 dự ứng lực</v>
      </c>
      <c r="G958" s="1082" t="str">
        <f>VLOOKUP($B958,DG!A:D,DG!$D$2,)</f>
        <v>trụ</v>
      </c>
      <c r="H958" s="1907">
        <f>H957</f>
        <v>0</v>
      </c>
      <c r="I958" s="1262">
        <f t="shared" si="71"/>
        <v>0</v>
      </c>
      <c r="J958" s="1111"/>
      <c r="K958" s="1081"/>
      <c r="L958" s="1085"/>
      <c r="M958" s="977">
        <v>160</v>
      </c>
    </row>
    <row r="959" spans="1:13" s="1086" customFormat="1" ht="25.15" hidden="1" customHeight="1">
      <c r="A959" s="1156">
        <f t="shared" si="89"/>
        <v>0</v>
      </c>
      <c r="B959" s="1157" t="s">
        <v>1820</v>
      </c>
      <c r="C959" s="1157"/>
      <c r="D959" s="1125"/>
      <c r="E959" s="1082"/>
      <c r="F959" s="1126" t="str">
        <f>VLOOKUP($B959,DG!A:D,DG!$C$2,)</f>
        <v>Vật liệu dựng trụ</v>
      </c>
      <c r="G959" s="1082" t="str">
        <f>VLOOKUP($B959,DG!A:D,DG!$D$2,)</f>
        <v>trụ</v>
      </c>
      <c r="H959" s="1907">
        <f>H958</f>
        <v>0</v>
      </c>
      <c r="I959" s="1262">
        <f t="shared" si="71"/>
        <v>0</v>
      </c>
      <c r="J959" s="1081"/>
      <c r="K959" s="1081"/>
      <c r="L959" s="1085"/>
      <c r="M959" s="977">
        <v>160</v>
      </c>
    </row>
    <row r="960" spans="1:13" s="1086" customFormat="1" ht="25.15" hidden="1" customHeight="1">
      <c r="A960" s="1156">
        <f t="shared" si="89"/>
        <v>0</v>
      </c>
      <c r="B960" s="1157" t="s">
        <v>644</v>
      </c>
      <c r="C960" s="1157"/>
      <c r="D960" s="1125"/>
      <c r="E960" s="1082" t="str">
        <f>VLOOKUP($B960,DG!A:D,DG!$B$2,)</f>
        <v>04.9203</v>
      </c>
      <c r="F960" s="1126" t="str">
        <f>VLOOKUP($B960,DG!A:D,DG!$C$2,)</f>
        <v>Dựng trụ BTLT 10,5m trong TBA bằng thủ công + cơ giới</v>
      </c>
      <c r="G960" s="1082" t="str">
        <f>VLOOKUP($B960,DG!A:D,DG!$D$2,)</f>
        <v>trụ</v>
      </c>
      <c r="H960" s="1907">
        <f>H958</f>
        <v>0</v>
      </c>
      <c r="I960" s="1262">
        <f t="shared" si="71"/>
        <v>0</v>
      </c>
      <c r="J960" s="1111"/>
      <c r="K960" s="1111"/>
      <c r="L960" s="1085"/>
      <c r="M960" s="977">
        <v>160</v>
      </c>
    </row>
    <row r="961" spans="1:13" s="1086" customFormat="1" ht="25.15" hidden="1" customHeight="1">
      <c r="A961" s="1156">
        <f t="shared" si="89"/>
        <v>0</v>
      </c>
      <c r="B961" s="1357"/>
      <c r="C961" s="1357"/>
      <c r="D961" s="1087">
        <f>IF(H961&gt;0,D953+1,D953)</f>
        <v>0</v>
      </c>
      <c r="E961" s="1121"/>
      <c r="F961" s="1122" t="s">
        <v>2361</v>
      </c>
      <c r="G961" s="1123" t="s">
        <v>2336</v>
      </c>
      <c r="H961" s="1906">
        <f>H953</f>
        <v>0</v>
      </c>
      <c r="I961" s="1262">
        <f t="shared" si="71"/>
        <v>0</v>
      </c>
      <c r="J961" s="1081"/>
      <c r="K961" s="1081"/>
      <c r="L961" s="1113"/>
      <c r="M961" s="977">
        <v>160</v>
      </c>
    </row>
    <row r="962" spans="1:13" s="1086" customFormat="1" ht="25.15" hidden="1" customHeight="1">
      <c r="A962" s="1156">
        <f t="shared" si="89"/>
        <v>0</v>
      </c>
      <c r="B962" s="1334" t="s">
        <v>636</v>
      </c>
      <c r="C962" s="1334"/>
      <c r="D962" s="1125"/>
      <c r="E962" s="1082" t="str">
        <f>VLOOKUP($B962,DG!A:D,DG!$B$2,)</f>
        <v>04.4001</v>
      </c>
      <c r="F962" s="1127" t="str">
        <f>VLOOKUP($B962,DG!A:D,DG!$C$2,)</f>
        <v>Đà cản BTCT 1,2m</v>
      </c>
      <c r="G962" s="1094" t="str">
        <f>VLOOKUP($B962,DG!A:D,DG!$D$2,)</f>
        <v>cái</v>
      </c>
      <c r="H962" s="1907">
        <f>H961</f>
        <v>0</v>
      </c>
      <c r="I962" s="1262">
        <f t="shared" si="71"/>
        <v>0</v>
      </c>
      <c r="J962" s="1111"/>
      <c r="K962" s="1081"/>
      <c r="L962" s="1113"/>
      <c r="M962" s="977">
        <v>160</v>
      </c>
    </row>
    <row r="963" spans="1:13" s="1086" customFormat="1" ht="25.15" hidden="1" customHeight="1">
      <c r="A963" s="1156">
        <f t="shared" si="89"/>
        <v>0</v>
      </c>
      <c r="B963" s="1334" t="s">
        <v>566</v>
      </c>
      <c r="C963" s="1334"/>
      <c r="D963" s="1125"/>
      <c r="E963" s="1094"/>
      <c r="F963" s="1127" t="str">
        <f>VLOOKUP($B963,DG!A:D,DG!$C$2,)</f>
        <v>Boulon 22x650+ 2 long đền vuông D24-50x50x3/Zn</v>
      </c>
      <c r="G963" s="1094" t="str">
        <f>VLOOKUP($B963,DG!A:D,DG!$D$2,)</f>
        <v>bộ</v>
      </c>
      <c r="H963" s="1907">
        <f>H962</f>
        <v>0</v>
      </c>
      <c r="I963" s="1262">
        <f t="shared" si="71"/>
        <v>0</v>
      </c>
      <c r="J963" s="1127"/>
      <c r="K963" s="1081"/>
      <c r="L963" s="1113"/>
      <c r="M963" s="977">
        <v>160</v>
      </c>
    </row>
    <row r="964" spans="1:13" s="1086" customFormat="1" ht="25.15" hidden="1" customHeight="1">
      <c r="A964" s="1156">
        <f t="shared" si="89"/>
        <v>0</v>
      </c>
      <c r="B964" s="1334" t="str">
        <f>IF(chitiet!G5=1,"MDD1",IF(chitiet!G5=2,"MDD2",IF(chitiet!G5=3,"MDD3",IF(chitiet!G5=4,"MDD4"))))</f>
        <v>MDD3</v>
      </c>
      <c r="C964" s="1334"/>
      <c r="D964" s="1125"/>
      <c r="E964" s="1094" t="str">
        <f>VLOOKUP($B964,DG!A:D,DG!$B$2,)</f>
        <v>03.1013</v>
      </c>
      <c r="F964" s="1127" t="str">
        <f>VLOOKUP($B964,DG!A:D,DG!$C$2,)</f>
        <v>Đào hố móng đất cấp 3 sâu &gt;1m</v>
      </c>
      <c r="G964" s="1094" t="str">
        <f>VLOOKUP($B964,DG!A:D,DG!$D$2,)</f>
        <v>m3</v>
      </c>
      <c r="H964" s="1908">
        <f>1.45*H962</f>
        <v>0</v>
      </c>
      <c r="I964" s="1262">
        <f t="shared" si="71"/>
        <v>0</v>
      </c>
      <c r="J964" s="1128"/>
      <c r="K964" s="1081"/>
      <c r="L964" s="1113"/>
      <c r="M964" s="977">
        <v>160</v>
      </c>
    </row>
    <row r="965" spans="1:13" s="1086" customFormat="1" ht="25.15" hidden="1" customHeight="1">
      <c r="A965" s="1156">
        <f t="shared" si="89"/>
        <v>0</v>
      </c>
      <c r="B965" s="1334" t="str">
        <f>IF(chitiet!G5=1,"MDAP1",IF(chitiet!G5=2,"MDAP2",IF(chitiet!G5=3,"MDAP3",IF(chitiet!G5=4,"MDAP4"))))</f>
        <v>MDAP3</v>
      </c>
      <c r="C965" s="1334"/>
      <c r="D965" s="1125"/>
      <c r="E965" s="1094" t="str">
        <f>VLOOKUP($B965,DG!A:D,DG!$B$2,)</f>
        <v>03.4113</v>
      </c>
      <c r="F965" s="1127" t="str">
        <f>VLOOKUP($B965,DG!A:D,DG!$C$2,)</f>
        <v>Đắp đất hố móng, độ chặt k=0,95</v>
      </c>
      <c r="G965" s="1094" t="str">
        <f>VLOOKUP($B965,DG!A:D,DG!$D$2,)</f>
        <v>m3</v>
      </c>
      <c r="H965" s="1908">
        <f>1.37*H961</f>
        <v>0</v>
      </c>
      <c r="I965" s="1262">
        <f t="shared" si="71"/>
        <v>0</v>
      </c>
      <c r="J965" s="1128"/>
      <c r="K965" s="1081"/>
      <c r="L965" s="1113"/>
      <c r="M965" s="977">
        <v>160</v>
      </c>
    </row>
    <row r="966" spans="1:13" s="1086" customFormat="1" ht="25.15" hidden="1" customHeight="1">
      <c r="A966" s="1156">
        <f t="shared" si="89"/>
        <v>0</v>
      </c>
      <c r="B966" s="1357"/>
      <c r="C966" s="1357"/>
      <c r="D966" s="1087">
        <f>IF(H966&gt;0,D958+1,D958)</f>
        <v>0</v>
      </c>
      <c r="E966" s="1121"/>
      <c r="F966" s="1122" t="s">
        <v>3734</v>
      </c>
      <c r="G966" s="1123" t="s">
        <v>2336</v>
      </c>
      <c r="H966" s="1906">
        <f>H957*0</f>
        <v>0</v>
      </c>
      <c r="I966" s="1262">
        <f t="shared" si="71"/>
        <v>0</v>
      </c>
      <c r="J966" s="1081"/>
      <c r="K966" s="1081"/>
      <c r="L966" s="1085"/>
      <c r="M966" s="977">
        <v>160</v>
      </c>
    </row>
    <row r="967" spans="1:13" s="1086" customFormat="1" ht="25.15" hidden="1" customHeight="1">
      <c r="A967" s="1156">
        <f t="shared" si="89"/>
        <v>0</v>
      </c>
      <c r="B967" s="1334" t="s">
        <v>636</v>
      </c>
      <c r="C967" s="1334"/>
      <c r="D967" s="1125"/>
      <c r="E967" s="1082" t="str">
        <f>VLOOKUP($B967,DG!A:D,DG!$B$2,)</f>
        <v>04.4001</v>
      </c>
      <c r="F967" s="1127" t="str">
        <f>VLOOKUP($B967,DG!A:D,DG!$C$2,)</f>
        <v>Đà cản BTCT 1,2m</v>
      </c>
      <c r="G967" s="1094" t="str">
        <f>VLOOKUP($B967,DG!A:D,DG!$D$2,)</f>
        <v>cái</v>
      </c>
      <c r="H967" s="1907">
        <f>H966</f>
        <v>0</v>
      </c>
      <c r="I967" s="1262">
        <f t="shared" si="71"/>
        <v>0</v>
      </c>
      <c r="J967" s="1111"/>
      <c r="K967" s="1081"/>
      <c r="L967" s="1085"/>
      <c r="M967" s="977">
        <v>160</v>
      </c>
    </row>
    <row r="968" spans="1:13" s="1086" customFormat="1" ht="25.15" hidden="1" customHeight="1">
      <c r="A968" s="1156">
        <f t="shared" si="89"/>
        <v>0</v>
      </c>
      <c r="B968" s="1334" t="s">
        <v>566</v>
      </c>
      <c r="C968" s="1334"/>
      <c r="D968" s="1125"/>
      <c r="E968" s="1094"/>
      <c r="F968" s="1127" t="str">
        <f>VLOOKUP($B968,DG!A:D,DG!$C$2,)</f>
        <v>Boulon 22x650+ 2 long đền vuông D24-50x50x3/Zn</v>
      </c>
      <c r="G968" s="1094" t="str">
        <f>VLOOKUP($B968,DG!A:D,DG!$D$2,)</f>
        <v>bộ</v>
      </c>
      <c r="H968" s="1907">
        <f>H967</f>
        <v>0</v>
      </c>
      <c r="I968" s="1262">
        <f t="shared" si="71"/>
        <v>0</v>
      </c>
      <c r="J968" s="1127"/>
      <c r="K968" s="1081"/>
      <c r="L968" s="1085"/>
      <c r="M968" s="977">
        <v>160</v>
      </c>
    </row>
    <row r="969" spans="1:13" s="1086" customFormat="1" ht="25.15" hidden="1" customHeight="1">
      <c r="A969" s="1156">
        <f t="shared" si="89"/>
        <v>0</v>
      </c>
      <c r="B969" s="1334" t="str">
        <f>IF(chitiet!G5=1,"MDD1",IF(chitiet!G5=2,"MDD2",IF(chitiet!G5=3,"MDD3",IF(chitiet!G5=4,"MDD4"))))</f>
        <v>MDD3</v>
      </c>
      <c r="C969" s="1334"/>
      <c r="D969" s="1125"/>
      <c r="E969" s="1094" t="str">
        <f>VLOOKUP($B969,DG!A:D,DG!$B$2,)</f>
        <v>03.1013</v>
      </c>
      <c r="F969" s="1127" t="str">
        <f>VLOOKUP($B969,DG!A:D,DG!$C$2,)</f>
        <v>Đào hố móng đất cấp 3 sâu &gt;1m</v>
      </c>
      <c r="G969" s="1094" t="str">
        <f>VLOOKUP($B969,DG!A:D,DG!$D$2,)</f>
        <v>m3</v>
      </c>
      <c r="H969" s="1908">
        <f>1.48*H967</f>
        <v>0</v>
      </c>
      <c r="I969" s="1262">
        <f t="shared" si="71"/>
        <v>0</v>
      </c>
      <c r="J969" s="1128"/>
      <c r="K969" s="1081"/>
      <c r="L969" s="1085"/>
      <c r="M969" s="977">
        <v>160</v>
      </c>
    </row>
    <row r="970" spans="1:13" s="1086" customFormat="1" ht="25.15" hidden="1" customHeight="1">
      <c r="A970" s="1156">
        <f t="shared" si="89"/>
        <v>0</v>
      </c>
      <c r="B970" s="1334" t="str">
        <f>IF(chitiet!G5=1,"MDAP1",IF(chitiet!G5=2,"MDAP2",IF(chitiet!G5=3,"MDAP3",IF(chitiet!G5=4,"MDAP4"))))</f>
        <v>MDAP3</v>
      </c>
      <c r="C970" s="1334"/>
      <c r="D970" s="1125"/>
      <c r="E970" s="1094" t="str">
        <f>VLOOKUP($B970,DG!A:D,DG!$B$2,)</f>
        <v>03.4113</v>
      </c>
      <c r="F970" s="1127" t="str">
        <f>VLOOKUP($B970,DG!A:D,DG!$C$2,)</f>
        <v>Đắp đất hố móng, độ chặt k=0,95</v>
      </c>
      <c r="G970" s="1094" t="str">
        <f>VLOOKUP($B970,DG!A:D,DG!$D$2,)</f>
        <v>m3</v>
      </c>
      <c r="H970" s="1908">
        <f>1.39*H966</f>
        <v>0</v>
      </c>
      <c r="I970" s="1262">
        <f t="shared" si="71"/>
        <v>0</v>
      </c>
      <c r="J970" s="1128"/>
      <c r="K970" s="1081"/>
      <c r="L970" s="1085"/>
      <c r="M970" s="977">
        <v>160</v>
      </c>
    </row>
    <row r="971" spans="1:13" s="1086" customFormat="1" ht="25.15" hidden="1" customHeight="1">
      <c r="A971" s="1156">
        <f t="shared" si="89"/>
        <v>0</v>
      </c>
      <c r="B971" s="1327"/>
      <c r="C971" s="1327"/>
      <c r="D971" s="1087">
        <f>IF(H971&gt;0,D961+1,D961)</f>
        <v>0</v>
      </c>
      <c r="E971" s="1129"/>
      <c r="F971" s="1122" t="s">
        <v>4875</v>
      </c>
      <c r="G971" s="1120" t="s">
        <v>2394</v>
      </c>
      <c r="H971" s="1909"/>
      <c r="I971" s="1262">
        <f t="shared" si="71"/>
        <v>0</v>
      </c>
      <c r="J971" s="1130"/>
      <c r="K971" s="1130"/>
      <c r="L971" s="1085"/>
      <c r="M971" s="977">
        <v>160</v>
      </c>
    </row>
    <row r="972" spans="1:13" s="1086" customFormat="1" ht="25.15" hidden="1" customHeight="1">
      <c r="A972" s="1156">
        <f>IF(A971&gt;0,1,0)</f>
        <v>0</v>
      </c>
      <c r="B972" s="1327"/>
      <c r="C972" s="1327"/>
      <c r="D972" s="1081"/>
      <c r="E972" s="1131"/>
      <c r="F972" s="1370" t="s">
        <v>2287</v>
      </c>
      <c r="G972" s="1093"/>
      <c r="H972" s="1873"/>
      <c r="I972" s="1262">
        <f t="shared" si="71"/>
        <v>0</v>
      </c>
      <c r="J972" s="1132"/>
      <c r="K972" s="1132"/>
      <c r="L972" s="1085"/>
      <c r="M972" s="977">
        <v>160</v>
      </c>
    </row>
    <row r="973" spans="1:13" s="1086" customFormat="1" ht="25.15" hidden="1" customHeight="1">
      <c r="A973" s="1156">
        <f t="shared" si="89"/>
        <v>0</v>
      </c>
      <c r="B973" s="1157" t="s">
        <v>1138</v>
      </c>
      <c r="C973" s="1157"/>
      <c r="D973" s="1081"/>
      <c r="E973" s="1094" t="str">
        <f>VLOOKUP($B973,DG!A:D,DG!$B$2,)</f>
        <v>05.6105</v>
      </c>
      <c r="F973" s="1083" t="str">
        <f>VLOOKUP($B973,DG!A:D,DG!$C$2,)&amp;": 2 cái"</f>
        <v>Đà U160x68x5x2800 đỡ MBA: 2 cái</v>
      </c>
      <c r="G973" s="1082" t="str">
        <f>VLOOKUP($B973,DG!A:D,DG!$D$2,)</f>
        <v>cái</v>
      </c>
      <c r="H973" s="1873">
        <f>52.049*$H$971*2</f>
        <v>0</v>
      </c>
      <c r="I973" s="1262">
        <f t="shared" ref="I973:I1059" si="90">IF(M973=$M$23,H973+J973-K973,0)</f>
        <v>0</v>
      </c>
      <c r="J973" s="1111"/>
      <c r="K973" s="1111"/>
      <c r="L973" s="1085"/>
      <c r="M973" s="977">
        <v>160</v>
      </c>
    </row>
    <row r="974" spans="1:13" s="1086" customFormat="1" ht="25.15" hidden="1" customHeight="1">
      <c r="A974" s="1156">
        <f t="shared" si="89"/>
        <v>0</v>
      </c>
      <c r="B974" s="1157" t="s">
        <v>1139</v>
      </c>
      <c r="C974" s="1157"/>
      <c r="D974" s="1081"/>
      <c r="E974" s="1094" t="str">
        <f>VLOOKUP($B974,DG!A:D,DG!$B$2,)</f>
        <v>05.6101</v>
      </c>
      <c r="F974" s="1083" t="str">
        <f>VLOOKUP($B974,DG!A:D,DG!$C$2,)&amp;": 4 cái"</f>
        <v>Đà U100x46x4.5x400 : 4 cái</v>
      </c>
      <c r="G974" s="1082" t="str">
        <f>VLOOKUP($B974,DG!A:D,DG!$D$2,)</f>
        <v>cái</v>
      </c>
      <c r="H974" s="1873">
        <f>$H$971*2.713*4</f>
        <v>0</v>
      </c>
      <c r="I974" s="1262">
        <f t="shared" si="90"/>
        <v>0</v>
      </c>
      <c r="J974" s="1111"/>
      <c r="K974" s="1111"/>
      <c r="L974" s="1085"/>
      <c r="M974" s="977">
        <v>160</v>
      </c>
    </row>
    <row r="975" spans="1:13" s="1086" customFormat="1" ht="25.15" hidden="1" customHeight="1">
      <c r="A975" s="1156">
        <f t="shared" si="89"/>
        <v>0</v>
      </c>
      <c r="B975" s="1157" t="s">
        <v>1140</v>
      </c>
      <c r="C975" s="1157"/>
      <c r="D975" s="1081"/>
      <c r="E975" s="1094" t="str">
        <f>VLOOKUP($B975,DG!A:D,DG!$B$2,)</f>
        <v>05.6101</v>
      </c>
      <c r="F975" s="1083" t="str">
        <f>VLOOKUP($B975,DG!A:D,DG!$C$2,)&amp;": 2 cái"</f>
        <v>Đà U100x46x5x800 : 2 cái</v>
      </c>
      <c r="G975" s="1082" t="str">
        <f>VLOOKUP($B975,DG!A:D,DG!$D$2,)</f>
        <v>cái</v>
      </c>
      <c r="H975" s="1873">
        <f>$H$971*5.426*2</f>
        <v>0</v>
      </c>
      <c r="I975" s="1262">
        <f t="shared" si="90"/>
        <v>0</v>
      </c>
      <c r="J975" s="1111"/>
      <c r="K975" s="1111"/>
      <c r="L975" s="1085"/>
      <c r="M975" s="977">
        <v>160</v>
      </c>
    </row>
    <row r="976" spans="1:13" s="1086" customFormat="1" ht="25.15" hidden="1" customHeight="1">
      <c r="A976" s="1156">
        <f t="shared" si="89"/>
        <v>0</v>
      </c>
      <c r="B976" s="1327" t="s">
        <v>1787</v>
      </c>
      <c r="C976" s="1327"/>
      <c r="D976" s="1081"/>
      <c r="E976" s="1094">
        <f>VLOOKUP($B976,DG!A:D,DG!$B$2,)</f>
        <v>0</v>
      </c>
      <c r="F976" s="1083" t="str">
        <f>VLOOKUP($B976,DG!A:D,DG!$C$2,)</f>
        <v>Boulon 16x400VRS+ 4 long đền vuông D18-50x50x3/Zn</v>
      </c>
      <c r="G976" s="1082" t="str">
        <f>VLOOKUP($B976,DG!A:D,DG!$D$2,)</f>
        <v>bộ</v>
      </c>
      <c r="H976" s="1873">
        <f>$H$971*10</f>
        <v>0</v>
      </c>
      <c r="I976" s="1262">
        <f t="shared" si="90"/>
        <v>0</v>
      </c>
      <c r="J976" s="1111"/>
      <c r="K976" s="1111"/>
      <c r="L976" s="1085"/>
      <c r="M976" s="977">
        <v>160</v>
      </c>
    </row>
    <row r="977" spans="1:13" s="1086" customFormat="1" ht="25.15" hidden="1" customHeight="1">
      <c r="A977" s="1156">
        <f t="shared" si="89"/>
        <v>0</v>
      </c>
      <c r="B977" s="1327" t="s">
        <v>1085</v>
      </c>
      <c r="C977" s="1327"/>
      <c r="D977" s="1081"/>
      <c r="E977" s="1094">
        <f>VLOOKUP($B977,DG!A:D,DG!$B$2,)</f>
        <v>0</v>
      </c>
      <c r="F977" s="1083" t="str">
        <f>VLOOKUP($B977,DG!A:D,DG!$C$2,)</f>
        <v>Boulon 16x400+ 2 long đền vuông D18-50x50x3/Zn</v>
      </c>
      <c r="G977" s="1082" t="str">
        <f>VLOOKUP($B977,DG!A:D,DG!$D$2,)</f>
        <v>bộ</v>
      </c>
      <c r="H977" s="1873">
        <f>$H$971*2</f>
        <v>0</v>
      </c>
      <c r="I977" s="1262">
        <f t="shared" si="90"/>
        <v>0</v>
      </c>
      <c r="J977" s="1111"/>
      <c r="K977" s="1111"/>
      <c r="L977" s="1085"/>
      <c r="M977" s="977">
        <v>160</v>
      </c>
    </row>
    <row r="978" spans="1:13" s="1086" customFormat="1" ht="25.15" hidden="1" customHeight="1">
      <c r="A978" s="1156">
        <f t="shared" si="89"/>
        <v>0</v>
      </c>
      <c r="B978" s="1327" t="s">
        <v>1081</v>
      </c>
      <c r="C978" s="1327"/>
      <c r="D978" s="1081"/>
      <c r="E978" s="1094">
        <f>VLOOKUP($B978,DG!A:D,DG!$B$2,)</f>
        <v>0</v>
      </c>
      <c r="F978" s="1083" t="str">
        <f>VLOOKUP($B978,DG!A:D,DG!$C$2,)</f>
        <v>Boulon 16x350+ 2 long đền vuông D18-50x50x3/Zn</v>
      </c>
      <c r="G978" s="1082" t="str">
        <f>VLOOKUP($B978,DG!A:D,DG!$D$2,)</f>
        <v>bộ</v>
      </c>
      <c r="H978" s="1873">
        <f>$H$971*12</f>
        <v>0</v>
      </c>
      <c r="I978" s="1262">
        <f t="shared" si="90"/>
        <v>0</v>
      </c>
      <c r="J978" s="1111"/>
      <c r="K978" s="1111"/>
      <c r="L978" s="1085"/>
      <c r="M978" s="977">
        <v>160</v>
      </c>
    </row>
    <row r="979" spans="1:13" s="1086" customFormat="1" ht="25.15" hidden="1" customHeight="1">
      <c r="A979" s="1156">
        <f t="shared" ref="A979" si="91">IF(I979&gt;0,1,0)</f>
        <v>0</v>
      </c>
      <c r="B979" s="1327"/>
      <c r="C979" s="1327"/>
      <c r="D979" s="1087">
        <f>IF(H979&gt;0,D969+1,D969)</f>
        <v>1</v>
      </c>
      <c r="E979" s="1129"/>
      <c r="F979" s="1122" t="s">
        <v>4876</v>
      </c>
      <c r="G979" s="1120" t="s">
        <v>2394</v>
      </c>
      <c r="H979" s="1909">
        <v>1</v>
      </c>
      <c r="I979" s="1262">
        <f t="shared" si="90"/>
        <v>0</v>
      </c>
      <c r="J979" s="1130"/>
      <c r="K979" s="1130"/>
      <c r="L979" s="1085"/>
      <c r="M979" s="977">
        <v>160</v>
      </c>
    </row>
    <row r="980" spans="1:13" s="1086" customFormat="1" ht="25.15" hidden="1" customHeight="1">
      <c r="A980" s="1156">
        <f>IF(A979&gt;0,1,0)</f>
        <v>0</v>
      </c>
      <c r="B980" s="1327"/>
      <c r="C980" s="1327"/>
      <c r="D980" s="1081"/>
      <c r="E980" s="1131"/>
      <c r="F980" s="1370" t="s">
        <v>2287</v>
      </c>
      <c r="G980" s="1093"/>
      <c r="H980" s="1873"/>
      <c r="I980" s="1262">
        <f t="shared" si="90"/>
        <v>0</v>
      </c>
      <c r="J980" s="1132"/>
      <c r="K980" s="1132"/>
      <c r="L980" s="1085"/>
      <c r="M980" s="977">
        <v>160</v>
      </c>
    </row>
    <row r="981" spans="1:13" s="1086" customFormat="1" ht="25.15" hidden="1" customHeight="1">
      <c r="A981" s="1156">
        <f t="shared" ref="A981:A994" si="92">IF(I981&gt;0,1,0)</f>
        <v>0</v>
      </c>
      <c r="B981" s="1157" t="s">
        <v>4879</v>
      </c>
      <c r="C981" s="1157"/>
      <c r="D981" s="1081"/>
      <c r="E981" s="1094">
        <f>VLOOKUP($B981,DG!A:D,DG!$B$2,)</f>
        <v>0</v>
      </c>
      <c r="F981" s="1083" t="str">
        <f>VLOOKUP($B981,DG!A:D,DG!$C$2,)</f>
        <v>Đà U100x46x4.5x500</v>
      </c>
      <c r="G981" s="1082" t="str">
        <f>VLOOKUP($B981,DG!A:D,DG!$D$2,)</f>
        <v>cái</v>
      </c>
      <c r="H981" s="1873">
        <v>2</v>
      </c>
      <c r="I981" s="1262">
        <f t="shared" ref="I981:I994" si="93">IF(M981=$M$23,H981+J981-K981,0)</f>
        <v>0</v>
      </c>
      <c r="J981" s="1111"/>
      <c r="K981" s="1111"/>
      <c r="L981" s="1085"/>
      <c r="M981" s="977">
        <v>160</v>
      </c>
    </row>
    <row r="982" spans="1:13" s="1086" customFormat="1" ht="25.15" hidden="1" customHeight="1">
      <c r="A982" s="1156">
        <f t="shared" si="92"/>
        <v>0</v>
      </c>
      <c r="B982" s="1157" t="s">
        <v>4880</v>
      </c>
      <c r="C982" s="1157"/>
      <c r="D982" s="1081"/>
      <c r="E982" s="1094">
        <f>VLOOKUP($B982,DG!A:D,DG!$B$2,)</f>
        <v>0</v>
      </c>
      <c r="F982" s="1083" t="str">
        <f>VLOOKUP($B982,DG!A:D,DG!$C$2,)</f>
        <v>Đà U100x46x4.5x700</v>
      </c>
      <c r="G982" s="1082" t="str">
        <f>VLOOKUP($B982,DG!A:D,DG!$D$2,)</f>
        <v>cái</v>
      </c>
      <c r="H982" s="1873">
        <v>3</v>
      </c>
      <c r="I982" s="1262">
        <f t="shared" si="93"/>
        <v>0</v>
      </c>
      <c r="J982" s="1111"/>
      <c r="K982" s="1111"/>
      <c r="L982" s="1085"/>
      <c r="M982" s="977">
        <v>160</v>
      </c>
    </row>
    <row r="983" spans="1:13" s="1086" customFormat="1" ht="25.15" hidden="1" customHeight="1">
      <c r="A983" s="1156">
        <f t="shared" ref="A983:A986" si="94">IF(I983&gt;0,1,0)</f>
        <v>0</v>
      </c>
      <c r="B983" s="1157" t="s">
        <v>4881</v>
      </c>
      <c r="C983" s="1157"/>
      <c r="D983" s="1081"/>
      <c r="E983" s="1094">
        <f>VLOOKUP($B983,DG!A:D,DG!$B$2,)</f>
        <v>0</v>
      </c>
      <c r="F983" s="1083" t="str">
        <f>VLOOKUP($B983,DG!A:D,DG!$C$2,)</f>
        <v>Đà U100x68x5x740</v>
      </c>
      <c r="G983" s="1082" t="str">
        <f>VLOOKUP($B983,DG!A:D,DG!$D$2,)</f>
        <v>cái</v>
      </c>
      <c r="H983" s="1873">
        <v>1</v>
      </c>
      <c r="I983" s="1262">
        <f t="shared" ref="I983:I986" si="95">IF(M983=$M$23,H983+J983-K983,0)</f>
        <v>0</v>
      </c>
      <c r="J983" s="1111"/>
      <c r="K983" s="1111"/>
      <c r="L983" s="1085"/>
      <c r="M983" s="977">
        <v>160</v>
      </c>
    </row>
    <row r="984" spans="1:13" s="1086" customFormat="1" ht="25.15" hidden="1" customHeight="1">
      <c r="A984" s="1156">
        <f t="shared" si="94"/>
        <v>0</v>
      </c>
      <c r="B984" s="1157" t="s">
        <v>4882</v>
      </c>
      <c r="C984" s="1157"/>
      <c r="D984" s="1081"/>
      <c r="E984" s="1094">
        <f>VLOOKUP($B984,DG!A:D,DG!$B$2,)</f>
        <v>0</v>
      </c>
      <c r="F984" s="1083" t="str">
        <f>VLOOKUP($B984,DG!A:D,DG!$C$2,)</f>
        <v>Đà U100x68x5x1100</v>
      </c>
      <c r="G984" s="1082" t="str">
        <f>VLOOKUP($B984,DG!A:D,DG!$D$2,)</f>
        <v>cái</v>
      </c>
      <c r="H984" s="1873">
        <v>2</v>
      </c>
      <c r="I984" s="1262">
        <f t="shared" si="95"/>
        <v>0</v>
      </c>
      <c r="J984" s="1111"/>
      <c r="K984" s="1111"/>
      <c r="L984" s="1085"/>
      <c r="M984" s="977">
        <v>160</v>
      </c>
    </row>
    <row r="985" spans="1:13" s="1086" customFormat="1" ht="25.15" hidden="1" customHeight="1">
      <c r="A985" s="1156">
        <f t="shared" si="94"/>
        <v>0</v>
      </c>
      <c r="B985" s="1157" t="s">
        <v>4883</v>
      </c>
      <c r="C985" s="1157"/>
      <c r="D985" s="1081"/>
      <c r="E985" s="1094">
        <f>VLOOKUP($B985,DG!A:D,DG!$B$2,)</f>
        <v>0</v>
      </c>
      <c r="F985" s="1083" t="str">
        <f>VLOOKUP($B985,DG!A:D,DG!$C$2,)</f>
        <v>Đà U100x68x5x1449</v>
      </c>
      <c r="G985" s="1082" t="str">
        <f>VLOOKUP($B985,DG!A:D,DG!$D$2,)</f>
        <v>cái</v>
      </c>
      <c r="H985" s="1873">
        <v>1</v>
      </c>
      <c r="I985" s="1262">
        <f t="shared" si="95"/>
        <v>0</v>
      </c>
      <c r="J985" s="1111"/>
      <c r="K985" s="1111"/>
      <c r="L985" s="1085"/>
      <c r="M985" s="977">
        <v>160</v>
      </c>
    </row>
    <row r="986" spans="1:13" s="1086" customFormat="1" ht="25.15" hidden="1" customHeight="1">
      <c r="A986" s="1156">
        <f t="shared" si="94"/>
        <v>0</v>
      </c>
      <c r="B986" s="1157" t="s">
        <v>4884</v>
      </c>
      <c r="C986" s="1157"/>
      <c r="D986" s="1081"/>
      <c r="E986" s="1094">
        <f>VLOOKUP($B986,DG!A:D,DG!$B$2,)</f>
        <v>0</v>
      </c>
      <c r="F986" s="1083" t="str">
        <f>VLOOKUP($B986,DG!A:D,DG!$C$2,)</f>
        <v>Đà U100x68x5x1700</v>
      </c>
      <c r="G986" s="1082" t="str">
        <f>VLOOKUP($B986,DG!A:D,DG!$D$2,)</f>
        <v>cái</v>
      </c>
      <c r="H986" s="1873">
        <v>2</v>
      </c>
      <c r="I986" s="1262">
        <f t="shared" si="95"/>
        <v>0</v>
      </c>
      <c r="J986" s="1111"/>
      <c r="K986" s="1111"/>
      <c r="L986" s="1085"/>
      <c r="M986" s="977">
        <v>160</v>
      </c>
    </row>
    <row r="987" spans="1:13" s="1086" customFormat="1" ht="25.15" hidden="1" customHeight="1">
      <c r="A987" s="1156">
        <f t="shared" si="92"/>
        <v>0</v>
      </c>
      <c r="B987" s="1157" t="s">
        <v>4885</v>
      </c>
      <c r="C987" s="1157"/>
      <c r="D987" s="1081"/>
      <c r="E987" s="1094">
        <f>VLOOKUP($B987,DG!A:D,DG!$B$2,)</f>
        <v>0</v>
      </c>
      <c r="F987" s="1083" t="str">
        <f>VLOOKUP($B987,DG!A:D,DG!$C$2,)</f>
        <v>Đà U100x68x5x2100</v>
      </c>
      <c r="G987" s="1082" t="str">
        <f>VLOOKUP($B987,DG!A:D,DG!$D$2,)</f>
        <v>cái</v>
      </c>
      <c r="H987" s="1873">
        <v>2</v>
      </c>
      <c r="I987" s="1262">
        <f t="shared" si="93"/>
        <v>0</v>
      </c>
      <c r="J987" s="1111"/>
      <c r="K987" s="1111"/>
      <c r="L987" s="1085"/>
      <c r="M987" s="977">
        <v>160</v>
      </c>
    </row>
    <row r="988" spans="1:13" s="1086" customFormat="1" ht="25.15" hidden="1" customHeight="1">
      <c r="A988" s="1156">
        <f t="shared" ref="A988" si="96">IF(I988&gt;0,1,0)</f>
        <v>0</v>
      </c>
      <c r="B988" s="1327" t="s">
        <v>1792</v>
      </c>
      <c r="C988" s="1327"/>
      <c r="D988" s="1081"/>
      <c r="E988" s="1094">
        <f>VLOOKUP($B988,DG!A:D,DG!$B$2,)</f>
        <v>0</v>
      </c>
      <c r="F988" s="1083" t="str">
        <f>VLOOKUP($B988,DG!A:D,DG!$C$2,)</f>
        <v>Boulon 16x50+ 2 long đền vuông D18-50x50x3/Zn</v>
      </c>
      <c r="G988" s="1082" t="str">
        <f>VLOOKUP($B988,DG!A:D,DG!$D$2,)</f>
        <v>bộ</v>
      </c>
      <c r="H988" s="1873">
        <v>24</v>
      </c>
      <c r="I988" s="1262">
        <f t="shared" ref="I988" si="97">IF(M988=$M$23,H988+J988-K988,0)</f>
        <v>0</v>
      </c>
      <c r="J988" s="1111"/>
      <c r="K988" s="1111"/>
      <c r="L988" s="1085"/>
      <c r="M988" s="977">
        <v>160</v>
      </c>
    </row>
    <row r="989" spans="1:13" s="1086" customFormat="1" ht="25.15" hidden="1" customHeight="1">
      <c r="A989" s="1156">
        <f t="shared" si="92"/>
        <v>0</v>
      </c>
      <c r="B989" s="1327" t="s">
        <v>137</v>
      </c>
      <c r="C989" s="1327"/>
      <c r="D989" s="1081"/>
      <c r="E989" s="1094">
        <f>VLOOKUP($B989,DG!A:D,DG!$B$2,)</f>
        <v>0</v>
      </c>
      <c r="F989" s="1083" t="str">
        <f>VLOOKUP($B989,DG!A:D,DG!$C$2,)</f>
        <v>Boulon 16x200+ 2 long đền vuông D18-50x50x3/Zn</v>
      </c>
      <c r="G989" s="1082" t="str">
        <f>VLOOKUP($B989,DG!A:D,DG!$D$2,)</f>
        <v>bộ</v>
      </c>
      <c r="H989" s="1873">
        <v>4</v>
      </c>
      <c r="I989" s="1262">
        <f t="shared" si="93"/>
        <v>0</v>
      </c>
      <c r="J989" s="1111"/>
      <c r="K989" s="1111"/>
      <c r="L989" s="1085"/>
      <c r="M989" s="977">
        <v>160</v>
      </c>
    </row>
    <row r="990" spans="1:13" s="1086" customFormat="1" ht="25.15" hidden="1" customHeight="1">
      <c r="A990" s="1156">
        <f t="shared" si="92"/>
        <v>0</v>
      </c>
      <c r="B990" s="1327" t="s">
        <v>4887</v>
      </c>
      <c r="C990" s="1327"/>
      <c r="D990" s="1081"/>
      <c r="E990" s="1094">
        <f>VLOOKUP($B990,DG!A:D,DG!$B$2,)</f>
        <v>0</v>
      </c>
      <c r="F990" s="1083" t="str">
        <f>VLOOKUP($B990,DG!A:D,DG!$C$2,)</f>
        <v>Boulon 16x350VRS+ 4 long đền vuông D18-50x50x3/Zn</v>
      </c>
      <c r="G990" s="1082" t="str">
        <f>VLOOKUP($B990,DG!A:D,DG!$D$2,)</f>
        <v>bộ</v>
      </c>
      <c r="H990" s="1873">
        <v>4</v>
      </c>
      <c r="I990" s="1262">
        <f t="shared" si="93"/>
        <v>0</v>
      </c>
      <c r="J990" s="1111"/>
      <c r="K990" s="1111"/>
      <c r="L990" s="1085"/>
      <c r="M990" s="977">
        <v>160</v>
      </c>
    </row>
    <row r="991" spans="1:13" s="1086" customFormat="1" ht="25.15" hidden="1" customHeight="1">
      <c r="A991" s="1156">
        <f t="shared" ref="A991" si="98">IF(I991&gt;0,1,0)</f>
        <v>0</v>
      </c>
      <c r="B991" s="1327" t="s">
        <v>4886</v>
      </c>
      <c r="C991" s="1327"/>
      <c r="D991" s="1081"/>
      <c r="E991" s="1094">
        <f>VLOOKUP($B991,DG!A:D,DG!$B$2,)</f>
        <v>0</v>
      </c>
      <c r="F991" s="1083" t="str">
        <f>VLOOKUP($B991,DG!A:D,DG!$C$2,)</f>
        <v>Boulon 16x750VRS+ 4 long đền vuông D18-50x50x3/Zn</v>
      </c>
      <c r="G991" s="1082" t="str">
        <f>VLOOKUP($B991,DG!A:D,DG!$D$2,)</f>
        <v>bộ</v>
      </c>
      <c r="H991" s="1873">
        <v>6</v>
      </c>
      <c r="I991" s="1262">
        <f t="shared" ref="I991" si="99">IF(M991=$M$23,H991+J991-K991,0)</f>
        <v>0</v>
      </c>
      <c r="J991" s="1111"/>
      <c r="K991" s="1111"/>
      <c r="L991" s="1085"/>
      <c r="M991" s="977">
        <v>160</v>
      </c>
    </row>
    <row r="992" spans="1:13" s="1086" customFormat="1" ht="25.15" hidden="1" customHeight="1">
      <c r="A992" s="1156">
        <f t="shared" si="92"/>
        <v>0</v>
      </c>
      <c r="B992" s="1327" t="s">
        <v>4888</v>
      </c>
      <c r="C992" s="1327"/>
      <c r="D992" s="1081"/>
      <c r="E992" s="1094">
        <f>VLOOKUP($B992,DG!A:D,DG!$B$2,)</f>
        <v>0</v>
      </c>
      <c r="F992" s="1083" t="str">
        <f>VLOOKUP($B992,DG!A:D,DG!$C$2,)</f>
        <v>Boulon 16x800VRS+ 4 long đền vuông D18-50x50x3/Zn</v>
      </c>
      <c r="G992" s="1082" t="str">
        <f>VLOOKUP($B992,DG!A:D,DG!$D$2,)</f>
        <v>bộ</v>
      </c>
      <c r="H992" s="1873">
        <v>4</v>
      </c>
      <c r="I992" s="1262">
        <f t="shared" si="93"/>
        <v>0</v>
      </c>
      <c r="J992" s="1111"/>
      <c r="K992" s="1111"/>
      <c r="L992" s="1085"/>
      <c r="M992" s="977">
        <v>160</v>
      </c>
    </row>
    <row r="993" spans="1:13" s="1086" customFormat="1" ht="25.15" hidden="1" customHeight="1">
      <c r="A993" s="1156">
        <f t="shared" si="92"/>
        <v>0</v>
      </c>
      <c r="B993" s="1327" t="s">
        <v>2250</v>
      </c>
      <c r="C993" s="1327"/>
      <c r="D993" s="1081"/>
      <c r="E993" s="1094" t="str">
        <f>VLOOKUP($B993,DG!A:D,DG!$B$2,)</f>
        <v>05.6044</v>
      </c>
      <c r="F993" s="1083" t="s">
        <v>4891</v>
      </c>
      <c r="G993" s="1094" t="s">
        <v>2451</v>
      </c>
      <c r="H993" s="1873">
        <v>0.24</v>
      </c>
      <c r="I993" s="1262">
        <f t="shared" si="93"/>
        <v>0</v>
      </c>
      <c r="J993" s="1111"/>
      <c r="K993" s="1111"/>
      <c r="L993" s="1085"/>
      <c r="M993" s="977">
        <v>160</v>
      </c>
    </row>
    <row r="994" spans="1:13" s="1086" customFormat="1" ht="25.15" hidden="1" customHeight="1">
      <c r="A994" s="1156">
        <f t="shared" si="92"/>
        <v>0</v>
      </c>
      <c r="B994" s="1327" t="s">
        <v>2250</v>
      </c>
      <c r="C994" s="1327"/>
      <c r="D994" s="1081"/>
      <c r="E994" s="1094" t="str">
        <f>VLOOKUP($B994,DG!A:D,DG!$B$2,)</f>
        <v>05.6044</v>
      </c>
      <c r="F994" s="1083" t="str">
        <f>VLOOKUP($B994,DG!A:D,DG!$C$2,)</f>
        <v>Lắp xà cột Pi loại ≤140kg/xà</v>
      </c>
      <c r="G994" s="1094" t="str">
        <f>VLOOKUP($B994,DG!A:D,DG!$D$2,)</f>
        <v>bộ</v>
      </c>
      <c r="H994" s="1873">
        <v>1</v>
      </c>
      <c r="I994" s="1262">
        <f t="shared" si="93"/>
        <v>0</v>
      </c>
      <c r="J994" s="1111"/>
      <c r="K994" s="1111"/>
      <c r="L994" s="1085"/>
      <c r="M994" s="977">
        <v>160</v>
      </c>
    </row>
    <row r="995" spans="1:13" s="1086" customFormat="1" ht="25.15" hidden="1" customHeight="1">
      <c r="A995" s="1156">
        <f t="shared" si="89"/>
        <v>0</v>
      </c>
      <c r="B995" s="1327"/>
      <c r="C995" s="1327"/>
      <c r="D995" s="1087">
        <f>IF(H995&gt;0,D971+1,D971)</f>
        <v>0</v>
      </c>
      <c r="E995" s="1088"/>
      <c r="F995" s="1133" t="s">
        <v>3736</v>
      </c>
      <c r="G995" s="1087" t="s">
        <v>2394</v>
      </c>
      <c r="H995" s="1889">
        <f>$H$971*2*0</f>
        <v>0</v>
      </c>
      <c r="I995" s="1262">
        <f t="shared" si="90"/>
        <v>0</v>
      </c>
      <c r="J995" s="1134"/>
      <c r="K995" s="1134"/>
      <c r="L995" s="1085"/>
      <c r="M995" s="977">
        <v>160</v>
      </c>
    </row>
    <row r="996" spans="1:13" s="1086" customFormat="1" ht="25.15" hidden="1" customHeight="1">
      <c r="A996" s="1156">
        <f>IF(A995&gt;0,1,0)</f>
        <v>0</v>
      </c>
      <c r="B996" s="1327"/>
      <c r="C996" s="1327"/>
      <c r="D996" s="1081"/>
      <c r="E996" s="1094"/>
      <c r="F996" s="1370" t="s">
        <v>2287</v>
      </c>
      <c r="G996" s="1093"/>
      <c r="H996" s="1873"/>
      <c r="I996" s="1262">
        <f t="shared" si="90"/>
        <v>0</v>
      </c>
      <c r="J996" s="1134"/>
      <c r="K996" s="1134"/>
      <c r="L996" s="1085"/>
      <c r="M996" s="977">
        <v>160</v>
      </c>
    </row>
    <row r="997" spans="1:13" s="1086" customFormat="1" ht="25.15" hidden="1" customHeight="1">
      <c r="A997" s="1156">
        <f t="shared" si="89"/>
        <v>0</v>
      </c>
      <c r="B997" s="1334" t="s">
        <v>2028</v>
      </c>
      <c r="C997" s="1334"/>
      <c r="D997" s="1081"/>
      <c r="E997" s="1094">
        <f>VLOOKUP($B997,DG!A:D,DG!$B$2,)</f>
        <v>0</v>
      </c>
      <c r="F997" s="1083" t="str">
        <f>VLOOKUP($B997,DG!A:D,DG!$C$2,)</f>
        <v>Sắt góc L75 x75 x8</v>
      </c>
      <c r="G997" s="1094" t="str">
        <f>VLOOKUP($B997,DG!A:D,DG!$D$2,)</f>
        <v>kg</v>
      </c>
      <c r="H997" s="1873">
        <f>H995*9.02*(2.6+3*0.07)*2</f>
        <v>0</v>
      </c>
      <c r="I997" s="1262">
        <f t="shared" si="90"/>
        <v>0</v>
      </c>
      <c r="J997" s="1111"/>
      <c r="K997" s="1111"/>
      <c r="L997" s="1085"/>
      <c r="M997" s="977">
        <v>160</v>
      </c>
    </row>
    <row r="998" spans="1:13" s="1086" customFormat="1" ht="25.15" hidden="1" customHeight="1">
      <c r="A998" s="1156">
        <f t="shared" si="89"/>
        <v>0</v>
      </c>
      <c r="B998" s="1327" t="s">
        <v>1790</v>
      </c>
      <c r="C998" s="1327"/>
      <c r="D998" s="1081"/>
      <c r="E998" s="1094">
        <f>VLOOKUP($B998,DG!A:D,DG!$B$2,)</f>
        <v>0</v>
      </c>
      <c r="F998" s="1083" t="str">
        <f>VLOOKUP($B998,DG!A:D,DG!$C$2,)</f>
        <v>Boulon 16x300VRS+ 4 long đền vuông D18-50x50x3/Zn</v>
      </c>
      <c r="G998" s="1094" t="str">
        <f>VLOOKUP($B998,DG!A:D,DG!$D$2,)</f>
        <v>bộ</v>
      </c>
      <c r="H998" s="1873">
        <f>H995*2</f>
        <v>0</v>
      </c>
      <c r="I998" s="1262">
        <f t="shared" si="90"/>
        <v>0</v>
      </c>
      <c r="J998" s="1111"/>
      <c r="K998" s="1111"/>
      <c r="L998" s="1085"/>
      <c r="M998" s="977">
        <v>160</v>
      </c>
    </row>
    <row r="999" spans="1:13" s="1086" customFormat="1" ht="25.15" hidden="1" customHeight="1">
      <c r="A999" s="1156">
        <f t="shared" si="89"/>
        <v>0</v>
      </c>
      <c r="B999" s="1327" t="s">
        <v>1615</v>
      </c>
      <c r="C999" s="1327"/>
      <c r="D999" s="1081"/>
      <c r="E999" s="1094">
        <f>VLOOKUP($B999,DG!A:D,DG!$B$2,)</f>
        <v>0</v>
      </c>
      <c r="F999" s="1083" t="str">
        <f>VLOOKUP($B999,DG!A:D,DG!$C$2,)</f>
        <v>Boulon 16x300+ 2 long đền vuông D18-50x50x3/Zn</v>
      </c>
      <c r="G999" s="1094" t="str">
        <f>VLOOKUP($B999,DG!A:D,DG!$D$2,)</f>
        <v>bộ</v>
      </c>
      <c r="H999" s="1873">
        <f>H995*2</f>
        <v>0</v>
      </c>
      <c r="I999" s="1262">
        <f t="shared" si="90"/>
        <v>0</v>
      </c>
      <c r="J999" s="1111"/>
      <c r="K999" s="1111"/>
      <c r="L999" s="1085"/>
      <c r="M999" s="977">
        <v>160</v>
      </c>
    </row>
    <row r="1000" spans="1:13" s="1086" customFormat="1" ht="25.15" hidden="1" customHeight="1">
      <c r="A1000" s="1156">
        <f t="shared" si="89"/>
        <v>0</v>
      </c>
      <c r="B1000" s="1327" t="s">
        <v>1614</v>
      </c>
      <c r="C1000" s="1327"/>
      <c r="D1000" s="1081"/>
      <c r="E1000" s="1094">
        <f>VLOOKUP($B1000,DG!A:D,DG!$B$2,)</f>
        <v>0</v>
      </c>
      <c r="F1000" s="1083" t="str">
        <f>VLOOKUP($B1000,DG!A:D,DG!$C$2,)</f>
        <v>Boulon 16x250+ 2 long đền vuông D18-50x50x3/Zn</v>
      </c>
      <c r="G1000" s="1094" t="str">
        <f>VLOOKUP($B1000,DG!A:D,DG!$D$2,)</f>
        <v>bộ</v>
      </c>
      <c r="H1000" s="1873">
        <f>H999</f>
        <v>0</v>
      </c>
      <c r="I1000" s="1262">
        <f t="shared" si="90"/>
        <v>0</v>
      </c>
      <c r="J1000" s="1111"/>
      <c r="K1000" s="1111"/>
      <c r="L1000" s="1085"/>
      <c r="M1000" s="977">
        <v>160</v>
      </c>
    </row>
    <row r="1001" spans="1:13" s="1086" customFormat="1" ht="25.15" hidden="1" customHeight="1">
      <c r="A1001" s="1156">
        <f t="shared" si="89"/>
        <v>0</v>
      </c>
      <c r="B1001" s="1327" t="s">
        <v>2250</v>
      </c>
      <c r="C1001" s="1327"/>
      <c r="D1001" s="1081"/>
      <c r="E1001" s="1094" t="str">
        <f>VLOOKUP($B1001,DG!A:D,DG!$B$2,)</f>
        <v>05.6044</v>
      </c>
      <c r="F1001" s="1083" t="str">
        <f>VLOOKUP($B1001,DG!A:D,DG!$C$2,)</f>
        <v>Lắp xà cột Pi loại ≤140kg/xà</v>
      </c>
      <c r="G1001" s="1094" t="str">
        <f>VLOOKUP($B1001,DG!A:D,DG!$D$2,)</f>
        <v>bộ</v>
      </c>
      <c r="H1001" s="1873">
        <f>H995</f>
        <v>0</v>
      </c>
      <c r="I1001" s="1262">
        <f t="shared" si="90"/>
        <v>0</v>
      </c>
      <c r="J1001" s="1111"/>
      <c r="K1001" s="1111"/>
      <c r="L1001" s="1085"/>
      <c r="M1001" s="977">
        <v>160</v>
      </c>
    </row>
    <row r="1002" spans="1:13" s="1086" customFormat="1" ht="25.15" hidden="1" customHeight="1">
      <c r="A1002" s="1156">
        <f t="shared" si="89"/>
        <v>0</v>
      </c>
      <c r="B1002" s="1327"/>
      <c r="C1002" s="1327"/>
      <c r="D1002" s="1087">
        <f>IF(H1002&gt;0,D995+1,D995)</f>
        <v>0</v>
      </c>
      <c r="E1002" s="1088"/>
      <c r="F1002" s="1133" t="s">
        <v>4485</v>
      </c>
      <c r="G1002" s="1087" t="s">
        <v>2394</v>
      </c>
      <c r="H1002" s="1889">
        <f>$H$971*2</f>
        <v>0</v>
      </c>
      <c r="I1002" s="1262">
        <f t="shared" si="90"/>
        <v>0</v>
      </c>
      <c r="J1002" s="1134"/>
      <c r="K1002" s="1134"/>
      <c r="L1002" s="1085"/>
      <c r="M1002" s="977">
        <v>160</v>
      </c>
    </row>
    <row r="1003" spans="1:13" s="1086" customFormat="1" ht="25.15" hidden="1" customHeight="1">
      <c r="A1003" s="1156">
        <f>IF(A1002&gt;0,1,0)</f>
        <v>0</v>
      </c>
      <c r="B1003" s="1327"/>
      <c r="C1003" s="1327"/>
      <c r="D1003" s="1081"/>
      <c r="E1003" s="1091"/>
      <c r="F1003" s="1370" t="s">
        <v>2287</v>
      </c>
      <c r="G1003" s="1093"/>
      <c r="H1003" s="1873"/>
      <c r="I1003" s="1262">
        <f t="shared" si="90"/>
        <v>0</v>
      </c>
      <c r="J1003" s="1134"/>
      <c r="K1003" s="1134"/>
      <c r="L1003" s="1085"/>
      <c r="M1003" s="977">
        <v>160</v>
      </c>
    </row>
    <row r="1004" spans="1:13" s="1086" customFormat="1" ht="25.15" hidden="1" customHeight="1">
      <c r="A1004" s="1156">
        <f t="shared" si="89"/>
        <v>0</v>
      </c>
      <c r="B1004" s="1334" t="s">
        <v>2028</v>
      </c>
      <c r="C1004" s="1334"/>
      <c r="D1004" s="1081"/>
      <c r="E1004" s="1094">
        <f>VLOOKUP($B1004,DG!A:D,DG!$B$2,)</f>
        <v>0</v>
      </c>
      <c r="F1004" s="1083" t="str">
        <f>VLOOKUP($B1004,DG!A:D,DG!$C$2,)</f>
        <v>Sắt góc L75 x75 x8</v>
      </c>
      <c r="G1004" s="1094" t="str">
        <f>VLOOKUP($B1004,DG!A:D,DG!$D$2,)</f>
        <v>kg</v>
      </c>
      <c r="H1004" s="1873">
        <f>$H$1002*9.42*(2.6+3*0.07)</f>
        <v>0</v>
      </c>
      <c r="I1004" s="1262">
        <f t="shared" si="90"/>
        <v>0</v>
      </c>
      <c r="J1004" s="1111"/>
      <c r="K1004" s="1111"/>
      <c r="L1004" s="1085"/>
      <c r="M1004" s="977">
        <v>160</v>
      </c>
    </row>
    <row r="1005" spans="1:13" s="1086" customFormat="1" ht="25.15" hidden="1" customHeight="1">
      <c r="A1005" s="1156">
        <f t="shared" si="89"/>
        <v>0</v>
      </c>
      <c r="B1005" s="1327" t="s">
        <v>1614</v>
      </c>
      <c r="C1005" s="1327"/>
      <c r="D1005" s="1081"/>
      <c r="E1005" s="1094">
        <f>VLOOKUP($B1005,DG!A:D,DG!$B$2,)</f>
        <v>0</v>
      </c>
      <c r="F1005" s="1083" t="str">
        <f>VLOOKUP($B1005,DG!A:D,DG!$C$2,)</f>
        <v>Boulon 16x250+ 2 long đền vuông D18-50x50x3/Zn</v>
      </c>
      <c r="G1005" s="1094" t="str">
        <f>VLOOKUP($B1005,DG!A:D,DG!$D$2,)</f>
        <v>bộ</v>
      </c>
      <c r="H1005" s="1873">
        <f>IF($H$1002=0,0,2)</f>
        <v>0</v>
      </c>
      <c r="I1005" s="1262">
        <f t="shared" si="90"/>
        <v>0</v>
      </c>
      <c r="J1005" s="1111"/>
      <c r="K1005" s="1111"/>
      <c r="L1005" s="1085"/>
      <c r="M1005" s="977">
        <v>160</v>
      </c>
    </row>
    <row r="1006" spans="1:13" s="1086" customFormat="1" ht="25.15" hidden="1" customHeight="1">
      <c r="A1006" s="1156">
        <f t="shared" si="89"/>
        <v>0</v>
      </c>
      <c r="B1006" s="1327" t="s">
        <v>1615</v>
      </c>
      <c r="C1006" s="1327"/>
      <c r="D1006" s="1081"/>
      <c r="E1006" s="1094">
        <f>VLOOKUP($B1006,DG!A:D,DG!$B$2,)</f>
        <v>0</v>
      </c>
      <c r="F1006" s="1083" t="str">
        <f>VLOOKUP($B1006,DG!A:D,DG!$C$2,)</f>
        <v>Boulon 16x300+ 2 long đền vuông D18-50x50x3/Zn</v>
      </c>
      <c r="G1006" s="1094" t="str">
        <f>VLOOKUP($B1006,DG!A:D,DG!$D$2,)</f>
        <v>bộ</v>
      </c>
      <c r="H1006" s="1873">
        <f>IF($H$1002=0,0,2)</f>
        <v>0</v>
      </c>
      <c r="I1006" s="1262">
        <f t="shared" si="90"/>
        <v>0</v>
      </c>
      <c r="J1006" s="1111"/>
      <c r="K1006" s="1111"/>
      <c r="L1006" s="1085"/>
      <c r="M1006" s="977">
        <v>160</v>
      </c>
    </row>
    <row r="1007" spans="1:13" s="1086" customFormat="1" ht="25.15" hidden="1" customHeight="1">
      <c r="A1007" s="1156">
        <f t="shared" si="89"/>
        <v>0</v>
      </c>
      <c r="B1007" s="1327" t="s">
        <v>30</v>
      </c>
      <c r="C1007" s="1327"/>
      <c r="D1007" s="1081"/>
      <c r="E1007" s="1094">
        <f>VLOOKUP($B1007,DG!A:D,DG!$B$2,)</f>
        <v>0</v>
      </c>
      <c r="F1007" s="1083" t="str">
        <f>VLOOKUP($B1007,DG!A:D,DG!$C$2,)</f>
        <v>Bass LI bắt FCO</v>
      </c>
      <c r="G1007" s="1094" t="str">
        <f>VLOOKUP($B1007,DG!A:D,DG!$D$2,)</f>
        <v>Bộ</v>
      </c>
      <c r="H1007" s="1873"/>
      <c r="I1007" s="1262">
        <f t="shared" si="90"/>
        <v>0</v>
      </c>
      <c r="J1007" s="1111"/>
      <c r="K1007" s="1111"/>
      <c r="L1007" s="1085"/>
      <c r="M1007" s="977">
        <v>160</v>
      </c>
    </row>
    <row r="1008" spans="1:13" s="1086" customFormat="1" ht="25.15" hidden="1" customHeight="1">
      <c r="A1008" s="1156">
        <f t="shared" si="89"/>
        <v>0</v>
      </c>
      <c r="B1008" s="1327" t="s">
        <v>2250</v>
      </c>
      <c r="C1008" s="1327"/>
      <c r="D1008" s="1081"/>
      <c r="E1008" s="1094" t="str">
        <f>VLOOKUP($B1008,DG!A:D,DG!$B$2,)</f>
        <v>05.6044</v>
      </c>
      <c r="F1008" s="1165" t="str">
        <f>VLOOKUP($B1008,DG!A:D,DG!$C$2,)</f>
        <v>Lắp xà cột Pi loại ≤140kg/xà</v>
      </c>
      <c r="G1008" s="1094" t="str">
        <f>VLOOKUP($B1008,DG!A:D,DG!$D$2,)</f>
        <v>bộ</v>
      </c>
      <c r="H1008" s="1873">
        <f>$H$1002/2</f>
        <v>0</v>
      </c>
      <c r="I1008" s="1262">
        <f t="shared" si="90"/>
        <v>0</v>
      </c>
      <c r="J1008" s="1111"/>
      <c r="K1008" s="1111"/>
      <c r="L1008" s="1085"/>
      <c r="M1008" s="977">
        <v>160</v>
      </c>
    </row>
    <row r="1009" spans="1:13" s="1086" customFormat="1" ht="25.15" hidden="1" customHeight="1">
      <c r="A1009" s="1156">
        <f t="shared" ref="A1009:A1014" si="100">IF(I1009&gt;0,1,0)</f>
        <v>0</v>
      </c>
      <c r="B1009" s="1327"/>
      <c r="C1009" s="1327"/>
      <c r="D1009" s="1087">
        <f>IF(H1009&gt;0,D1002+1,D1002)</f>
        <v>0</v>
      </c>
      <c r="E1009" s="1088"/>
      <c r="F1009" s="1133" t="s">
        <v>4492</v>
      </c>
      <c r="G1009" s="1087" t="s">
        <v>2394</v>
      </c>
      <c r="H1009" s="1889">
        <f>$H$971*1</f>
        <v>0</v>
      </c>
      <c r="I1009" s="1262">
        <f t="shared" ref="I1009:I1014" si="101">IF(M1009=$M$23,H1009+J1009-K1009,0)</f>
        <v>0</v>
      </c>
      <c r="J1009" s="1134"/>
      <c r="K1009" s="1134"/>
      <c r="L1009" s="1085"/>
      <c r="M1009" s="977">
        <v>160</v>
      </c>
    </row>
    <row r="1010" spans="1:13" s="1086" customFormat="1" ht="25.15" hidden="1" customHeight="1">
      <c r="A1010" s="1156">
        <f>IF(A1009&gt;0,1,0)</f>
        <v>0</v>
      </c>
      <c r="B1010" s="1327"/>
      <c r="C1010" s="1327"/>
      <c r="D1010" s="1081"/>
      <c r="E1010" s="1091"/>
      <c r="F1010" s="1370" t="s">
        <v>2287</v>
      </c>
      <c r="G1010" s="1093"/>
      <c r="H1010" s="1873"/>
      <c r="I1010" s="1262">
        <f t="shared" si="101"/>
        <v>0</v>
      </c>
      <c r="J1010" s="1134"/>
      <c r="K1010" s="1134"/>
      <c r="L1010" s="1085"/>
      <c r="M1010" s="977">
        <v>160</v>
      </c>
    </row>
    <row r="1011" spans="1:13" s="1086" customFormat="1" ht="25.15" hidden="1" customHeight="1">
      <c r="A1011" s="1156">
        <f t="shared" si="100"/>
        <v>0</v>
      </c>
      <c r="B1011" s="1334" t="s">
        <v>4486</v>
      </c>
      <c r="C1011" s="1334"/>
      <c r="D1011" s="1081"/>
      <c r="E1011" s="1094">
        <f>VLOOKUP($B1011,DG!A:D,DG!$B$2,)</f>
        <v>0</v>
      </c>
      <c r="F1011" s="1083" t="str">
        <f>VLOOKUP($B1011,DG!A:D,DG!$C$2,)</f>
        <v>Xà composite 110x800x5 dài 2,6m</v>
      </c>
      <c r="G1011" s="1094" t="str">
        <f>VLOOKUP($B1011,DG!A:D,DG!$D$2,)</f>
        <v>cái</v>
      </c>
      <c r="H1011" s="1873">
        <f>H1009</f>
        <v>0</v>
      </c>
      <c r="I1011" s="1262">
        <f t="shared" si="101"/>
        <v>0</v>
      </c>
      <c r="J1011" s="1111"/>
      <c r="K1011" s="1111"/>
      <c r="L1011" s="1085"/>
      <c r="M1011" s="977">
        <v>160</v>
      </c>
    </row>
    <row r="1012" spans="1:13" s="1086" customFormat="1" ht="25.15" hidden="1" customHeight="1">
      <c r="A1012" s="1156">
        <f t="shared" si="100"/>
        <v>0</v>
      </c>
      <c r="B1012" s="1327" t="s">
        <v>1081</v>
      </c>
      <c r="C1012" s="1327"/>
      <c r="D1012" s="1081"/>
      <c r="E1012" s="1094">
        <f>VLOOKUP($B1012,DG!A:D,DG!$B$2,)</f>
        <v>0</v>
      </c>
      <c r="F1012" s="1083" t="str">
        <f>VLOOKUP($B1012,DG!A:D,DG!$C$2,)</f>
        <v>Boulon 16x350+ 2 long đền vuông D18-50x50x3/Zn</v>
      </c>
      <c r="G1012" s="1094" t="str">
        <f>VLOOKUP($B1012,DG!A:D,DG!$D$2,)</f>
        <v>bộ</v>
      </c>
      <c r="H1012" s="1873">
        <f>IF($H$1002=0,0,2)</f>
        <v>0</v>
      </c>
      <c r="I1012" s="1262">
        <f t="shared" si="101"/>
        <v>0</v>
      </c>
      <c r="J1012" s="1111"/>
      <c r="K1012" s="1111"/>
      <c r="L1012" s="1085"/>
      <c r="M1012" s="977">
        <v>160</v>
      </c>
    </row>
    <row r="1013" spans="1:13" s="1086" customFormat="1" ht="25.15" hidden="1" customHeight="1">
      <c r="A1013" s="1156">
        <f t="shared" si="100"/>
        <v>0</v>
      </c>
      <c r="B1013" s="1327" t="s">
        <v>30</v>
      </c>
      <c r="C1013" s="1327"/>
      <c r="D1013" s="1081"/>
      <c r="E1013" s="1094">
        <f>VLOOKUP($B1013,DG!A:D,DG!$B$2,)</f>
        <v>0</v>
      </c>
      <c r="F1013" s="1083" t="str">
        <f>VLOOKUP($B1013,DG!A:D,DG!$C$2,)</f>
        <v>Bass LI bắt FCO</v>
      </c>
      <c r="G1013" s="1094" t="str">
        <f>VLOOKUP($B1013,DG!A:D,DG!$D$2,)</f>
        <v>Bộ</v>
      </c>
      <c r="H1013" s="1873"/>
      <c r="I1013" s="1262">
        <f t="shared" si="101"/>
        <v>0</v>
      </c>
      <c r="J1013" s="1111"/>
      <c r="K1013" s="1111"/>
      <c r="L1013" s="1085"/>
      <c r="M1013" s="977">
        <v>160</v>
      </c>
    </row>
    <row r="1014" spans="1:13" s="1086" customFormat="1" ht="25.15" hidden="1" customHeight="1">
      <c r="A1014" s="1156">
        <f t="shared" si="100"/>
        <v>0</v>
      </c>
      <c r="B1014" s="1327" t="s">
        <v>2001</v>
      </c>
      <c r="C1014" s="1327"/>
      <c r="D1014" s="1081"/>
      <c r="E1014" s="1094" t="str">
        <f>VLOOKUP($B1014,DG!A:D,DG!$B$2,)</f>
        <v>05.6401</v>
      </c>
      <c r="F1014" s="1165" t="str">
        <f>VLOOKUP($B1014,DG!A:D,DG!$C$2,)</f>
        <v>Lắp xà đỡ ≤ 25kg</v>
      </c>
      <c r="G1014" s="1094" t="str">
        <f>VLOOKUP($B1014,DG!A:D,DG!$D$2,)</f>
        <v>bộ</v>
      </c>
      <c r="H1014" s="1873">
        <f>$H$1002/2</f>
        <v>0</v>
      </c>
      <c r="I1014" s="1262">
        <f t="shared" si="101"/>
        <v>0</v>
      </c>
      <c r="J1014" s="1111"/>
      <c r="K1014" s="1111"/>
      <c r="L1014" s="1085"/>
      <c r="M1014" s="977">
        <v>160</v>
      </c>
    </row>
    <row r="1015" spans="1:13" s="1086" customFormat="1" ht="25.15" hidden="1" customHeight="1">
      <c r="A1015" s="1156">
        <f t="shared" si="89"/>
        <v>0</v>
      </c>
      <c r="B1015" s="1327"/>
      <c r="C1015" s="1327"/>
      <c r="D1015" s="1087">
        <f>IF(H1015&gt;0,D1009+1,D1002)</f>
        <v>0</v>
      </c>
      <c r="E1015" s="1088"/>
      <c r="F1015" s="1133" t="s">
        <v>3738</v>
      </c>
      <c r="G1015" s="1087" t="s">
        <v>2394</v>
      </c>
      <c r="H1015" s="1889">
        <f>$H$971*2</f>
        <v>0</v>
      </c>
      <c r="I1015" s="1262">
        <f t="shared" si="90"/>
        <v>0</v>
      </c>
      <c r="J1015" s="1134"/>
      <c r="K1015" s="1134"/>
      <c r="L1015" s="1085"/>
      <c r="M1015" s="977">
        <v>160</v>
      </c>
    </row>
    <row r="1016" spans="1:13" s="1086" customFormat="1" ht="25.15" hidden="1" customHeight="1">
      <c r="A1016" s="1156">
        <f>IF(A1015&gt;0,1,0)</f>
        <v>0</v>
      </c>
      <c r="B1016" s="1327"/>
      <c r="C1016" s="1327"/>
      <c r="D1016" s="1081"/>
      <c r="E1016" s="1091"/>
      <c r="F1016" s="1370" t="s">
        <v>2287</v>
      </c>
      <c r="G1016" s="1093"/>
      <c r="H1016" s="1873"/>
      <c r="I1016" s="1262">
        <f t="shared" si="90"/>
        <v>0</v>
      </c>
      <c r="J1016" s="1134"/>
      <c r="K1016" s="1134"/>
      <c r="L1016" s="1085"/>
      <c r="M1016" s="977">
        <v>160</v>
      </c>
    </row>
    <row r="1017" spans="1:13" s="1086" customFormat="1" ht="25.15" hidden="1" customHeight="1">
      <c r="A1017" s="1156">
        <f t="shared" si="89"/>
        <v>0</v>
      </c>
      <c r="B1017" s="1327" t="s">
        <v>2028</v>
      </c>
      <c r="C1017" s="1327"/>
      <c r="D1017" s="1081"/>
      <c r="E1017" s="1094">
        <f>VLOOKUP($B1017,DG!A:D,DG!$B$2,)</f>
        <v>0</v>
      </c>
      <c r="F1017" s="1083" t="str">
        <f>VLOOKUP($B1017,DG!A:D,DG!$C$2,)</f>
        <v>Sắt góc L75 x75 x8</v>
      </c>
      <c r="G1017" s="1094" t="str">
        <f>VLOOKUP($B1017,DG!A:D,DG!$D$2,)</f>
        <v>kg</v>
      </c>
      <c r="H1017" s="1873">
        <f>$H$1015*9.42*2.6</f>
        <v>0</v>
      </c>
      <c r="I1017" s="1262">
        <f t="shared" si="90"/>
        <v>0</v>
      </c>
      <c r="J1017" s="1111"/>
      <c r="K1017" s="1111"/>
      <c r="L1017" s="1085"/>
      <c r="M1017" s="977">
        <v>160</v>
      </c>
    </row>
    <row r="1018" spans="1:13" s="1086" customFormat="1" ht="25.15" hidden="1" customHeight="1">
      <c r="A1018" s="1156">
        <f t="shared" si="89"/>
        <v>0</v>
      </c>
      <c r="B1018" s="1327" t="s">
        <v>1085</v>
      </c>
      <c r="C1018" s="1327"/>
      <c r="D1018" s="1081"/>
      <c r="E1018" s="1094">
        <f>VLOOKUP($B1018,DG!A:D,DG!$B$2,)</f>
        <v>0</v>
      </c>
      <c r="F1018" s="1083" t="str">
        <f>VLOOKUP($B1018,DG!A:D,DG!$C$2,)</f>
        <v>Boulon 16x400+ 2 long đền vuông D18-50x50x3/Zn</v>
      </c>
      <c r="G1018" s="1094" t="str">
        <f>VLOOKUP($B1018,DG!A:D,DG!$D$2,)</f>
        <v>bộ</v>
      </c>
      <c r="H1018" s="1873">
        <f>$H$1015*2</f>
        <v>0</v>
      </c>
      <c r="I1018" s="1262">
        <f t="shared" si="90"/>
        <v>0</v>
      </c>
      <c r="J1018" s="1111"/>
      <c r="K1018" s="1111"/>
      <c r="L1018" s="1085"/>
      <c r="M1018" s="977">
        <v>160</v>
      </c>
    </row>
    <row r="1019" spans="1:13" s="1086" customFormat="1" ht="25.15" hidden="1" customHeight="1">
      <c r="A1019" s="1156">
        <f t="shared" si="89"/>
        <v>0</v>
      </c>
      <c r="B1019" s="1327" t="s">
        <v>138</v>
      </c>
      <c r="C1019" s="1327"/>
      <c r="D1019" s="1081"/>
      <c r="E1019" s="1094">
        <f>VLOOKUP($B1019,DG!A:D,DG!$B$2,)</f>
        <v>0</v>
      </c>
      <c r="F1019" s="1083" t="str">
        <f>VLOOKUP($B1019,DG!A:D,DG!$C$2,)</f>
        <v>Boulon 12x40+ 2 long đền vuông D14-50x50x3/Zn</v>
      </c>
      <c r="G1019" s="1094" t="str">
        <f>VLOOKUP($B1019,DG!A:D,DG!$D$2,)</f>
        <v>bộ</v>
      </c>
      <c r="H1019" s="1873">
        <f>$H$1015*2</f>
        <v>0</v>
      </c>
      <c r="I1019" s="1262">
        <f t="shared" si="90"/>
        <v>0</v>
      </c>
      <c r="J1019" s="1111"/>
      <c r="K1019" s="1111"/>
      <c r="L1019" s="1085"/>
      <c r="M1019" s="977">
        <v>160</v>
      </c>
    </row>
    <row r="1020" spans="1:13" s="1086" customFormat="1" ht="25.15" hidden="1" customHeight="1">
      <c r="A1020" s="1156">
        <f t="shared" si="89"/>
        <v>0</v>
      </c>
      <c r="B1020" s="1327" t="s">
        <v>2250</v>
      </c>
      <c r="C1020" s="1327"/>
      <c r="D1020" s="1081"/>
      <c r="E1020" s="1094" t="str">
        <f>VLOOKUP($B1020,DG!A:D,DG!$B$2,)</f>
        <v>05.6044</v>
      </c>
      <c r="F1020" s="1165" t="str">
        <f>VLOOKUP($B1020,DG!A:D,DG!$C$2,)</f>
        <v>Lắp xà cột Pi loại ≤140kg/xà</v>
      </c>
      <c r="G1020" s="1094" t="str">
        <f>VLOOKUP($B1020,DG!A:D,DG!$D$2,)</f>
        <v>bộ</v>
      </c>
      <c r="H1020" s="1873">
        <f>$H$1015/2</f>
        <v>0</v>
      </c>
      <c r="I1020" s="1262">
        <f t="shared" si="90"/>
        <v>0</v>
      </c>
      <c r="J1020" s="1111"/>
      <c r="K1020" s="1111"/>
      <c r="L1020" s="1085"/>
      <c r="M1020" s="977">
        <v>160</v>
      </c>
    </row>
    <row r="1021" spans="1:13" s="1086" customFormat="1" ht="25.15" hidden="1" customHeight="1">
      <c r="A1021" s="1156">
        <f t="shared" si="89"/>
        <v>0</v>
      </c>
      <c r="B1021" s="1327" t="s">
        <v>217</v>
      </c>
      <c r="C1021" s="1327"/>
      <c r="D1021" s="1081"/>
      <c r="E1021" s="1094" t="str">
        <f>VLOOKUP($B1021,DG!A:D,DG!$B$2,)</f>
        <v>02.1115</v>
      </c>
      <c r="F1021" s="1083" t="str">
        <f>VLOOKUP($B1021,DG!A:D,DG!$C$2,)</f>
        <v>Bốc dỡ xà, thép thanh</v>
      </c>
      <c r="G1021" s="1094" t="str">
        <f>VLOOKUP($B1021,DG!A:D,DG!$D$2,)</f>
        <v>tấn</v>
      </c>
      <c r="H1021" s="1873">
        <f>0.05*0</f>
        <v>0</v>
      </c>
      <c r="I1021" s="1262">
        <f t="shared" si="90"/>
        <v>0</v>
      </c>
      <c r="J1021" s="1111"/>
      <c r="K1021" s="1111"/>
      <c r="L1021" s="1085"/>
      <c r="M1021" s="977">
        <v>160</v>
      </c>
    </row>
    <row r="1022" spans="1:13" s="1086" customFormat="1" ht="25.15" hidden="1" customHeight="1">
      <c r="A1022" s="1156">
        <f t="shared" si="89"/>
        <v>0</v>
      </c>
      <c r="B1022" s="1327" t="s">
        <v>1615</v>
      </c>
      <c r="C1022" s="1327"/>
      <c r="D1022" s="1081"/>
      <c r="E1022" s="1094">
        <f>VLOOKUP($B1022,DG!A:D,DG!$B$2,)</f>
        <v>0</v>
      </c>
      <c r="F1022" s="1083" t="str">
        <f>VLOOKUP($B1022,DG!A:D,DG!$C$2,)</f>
        <v>Boulon 16x300+ 2 long đền vuông D18-50x50x3/Zn</v>
      </c>
      <c r="G1022" s="1082" t="s">
        <v>2448</v>
      </c>
      <c r="H1022" s="1873">
        <f>H1015*2*0</f>
        <v>0</v>
      </c>
      <c r="I1022" s="1262">
        <f t="shared" si="90"/>
        <v>0</v>
      </c>
      <c r="J1022" s="1111"/>
      <c r="K1022" s="1111"/>
      <c r="L1022" s="1085"/>
      <c r="M1022" s="977">
        <v>160</v>
      </c>
    </row>
    <row r="1023" spans="1:13" s="1086" customFormat="1" ht="25.15" hidden="1" customHeight="1">
      <c r="A1023" s="1156">
        <f t="shared" si="89"/>
        <v>0</v>
      </c>
      <c r="B1023" s="1327" t="s">
        <v>1614</v>
      </c>
      <c r="C1023" s="1327"/>
      <c r="D1023" s="1081"/>
      <c r="E1023" s="1094">
        <f>VLOOKUP($B1023,DG!A:D,DG!$B$2,)</f>
        <v>0</v>
      </c>
      <c r="F1023" s="1083" t="str">
        <f>VLOOKUP($B1023,DG!A:D,DG!$C$2,)</f>
        <v>Boulon 16x250+ 2 long đền vuông D18-50x50x3/Zn</v>
      </c>
      <c r="G1023" s="1082" t="s">
        <v>2448</v>
      </c>
      <c r="H1023" s="1873">
        <f>2*H1015*2*0</f>
        <v>0</v>
      </c>
      <c r="I1023" s="1262">
        <f t="shared" si="90"/>
        <v>0</v>
      </c>
      <c r="J1023" s="1111"/>
      <c r="K1023" s="1111"/>
      <c r="L1023" s="1085"/>
      <c r="M1023" s="977">
        <v>160</v>
      </c>
    </row>
    <row r="1024" spans="1:13" s="1086" customFormat="1" ht="25.15" hidden="1" customHeight="1" collapsed="1">
      <c r="A1024" s="1156">
        <f t="shared" si="89"/>
        <v>0</v>
      </c>
      <c r="B1024" s="1327"/>
      <c r="C1024" s="1327"/>
      <c r="D1024" s="1087">
        <f>IF(H1024&gt;0,D1015+1,D1015)</f>
        <v>0</v>
      </c>
      <c r="E1024" s="1088"/>
      <c r="F1024" s="1133" t="s">
        <v>3739</v>
      </c>
      <c r="G1024" s="1087" t="s">
        <v>2394</v>
      </c>
      <c r="H1024" s="1889">
        <f>H943*0</f>
        <v>0</v>
      </c>
      <c r="I1024" s="1262">
        <f t="shared" si="90"/>
        <v>0</v>
      </c>
      <c r="J1024" s="1084"/>
      <c r="K1024" s="1084"/>
      <c r="L1024" s="1113"/>
      <c r="M1024" s="977">
        <v>160</v>
      </c>
    </row>
    <row r="1025" spans="1:13" s="1086" customFormat="1" ht="25.15" hidden="1" customHeight="1">
      <c r="A1025" s="1156">
        <f>IF(A1024&gt;0,1,0)</f>
        <v>0</v>
      </c>
      <c r="B1025" s="1327"/>
      <c r="C1025" s="1327"/>
      <c r="D1025" s="1081"/>
      <c r="E1025" s="1091"/>
      <c r="F1025" s="1370" t="s">
        <v>2287</v>
      </c>
      <c r="G1025" s="1093"/>
      <c r="H1025" s="1873"/>
      <c r="I1025" s="1262">
        <f t="shared" si="90"/>
        <v>0</v>
      </c>
      <c r="J1025" s="1084"/>
      <c r="K1025" s="1084"/>
      <c r="L1025" s="1113"/>
      <c r="M1025" s="977">
        <v>160</v>
      </c>
    </row>
    <row r="1026" spans="1:13" s="1086" customFormat="1" ht="25.15" hidden="1" customHeight="1">
      <c r="A1026" s="1156">
        <f t="shared" si="89"/>
        <v>0</v>
      </c>
      <c r="B1026" s="1327" t="s">
        <v>2028</v>
      </c>
      <c r="C1026" s="1327"/>
      <c r="D1026" s="1081"/>
      <c r="E1026" s="1094">
        <f>VLOOKUP($B1026,DG!A:D,DG!$B$2,)</f>
        <v>0</v>
      </c>
      <c r="F1026" s="1083" t="str">
        <f>VLOOKUP($B1026,DG!A:D,DG!$C$2,)</f>
        <v>Sắt góc L75 x75 x8</v>
      </c>
      <c r="G1026" s="1082" t="s">
        <v>2256</v>
      </c>
      <c r="H1026" s="1873">
        <f>H1024*9.02*(2.4+4*0.07)*2</f>
        <v>0</v>
      </c>
      <c r="I1026" s="1262">
        <f t="shared" si="90"/>
        <v>0</v>
      </c>
      <c r="J1026" s="1084"/>
      <c r="K1026" s="1084"/>
      <c r="L1026" s="1113"/>
      <c r="M1026" s="977">
        <v>160</v>
      </c>
    </row>
    <row r="1027" spans="1:13" s="1086" customFormat="1" ht="25.15" hidden="1" customHeight="1">
      <c r="A1027" s="1156">
        <f t="shared" si="89"/>
        <v>0</v>
      </c>
      <c r="B1027" s="1327" t="s">
        <v>1037</v>
      </c>
      <c r="C1027" s="1327"/>
      <c r="D1027" s="1081"/>
      <c r="E1027" s="1094">
        <f>VLOOKUP($B1027,DG!A:D,DG!$B$2,)</f>
        <v>0</v>
      </c>
      <c r="F1027" s="1083" t="str">
        <f>VLOOKUP($B1027,DG!A:D,DG!$C$2,)&amp;" (Thanh choáng 810)"</f>
        <v>Sắt góc L50 x50 x5 (Thanh choáng 810)</v>
      </c>
      <c r="G1027" s="1082" t="s">
        <v>2256</v>
      </c>
      <c r="H1027" s="1873">
        <f>H1024*3.77*0.81*4</f>
        <v>0</v>
      </c>
      <c r="I1027" s="1262">
        <f t="shared" si="90"/>
        <v>0</v>
      </c>
      <c r="J1027" s="1084"/>
      <c r="K1027" s="1084"/>
      <c r="L1027" s="1113"/>
      <c r="M1027" s="977">
        <v>160</v>
      </c>
    </row>
    <row r="1028" spans="1:13" s="1086" customFormat="1" ht="25.15" hidden="1" customHeight="1">
      <c r="A1028" s="1156">
        <f t="shared" si="89"/>
        <v>0</v>
      </c>
      <c r="B1028" s="1327" t="s">
        <v>1615</v>
      </c>
      <c r="C1028" s="1327"/>
      <c r="D1028" s="1081"/>
      <c r="E1028" s="1094">
        <f>VLOOKUP($B1028,DG!A:D,DG!$B$2,)</f>
        <v>0</v>
      </c>
      <c r="F1028" s="1083" t="str">
        <f>VLOOKUP($B1028,DG!A:D,DG!$C$2,)</f>
        <v>Boulon 16x300+ 2 long đền vuông D18-50x50x3/Zn</v>
      </c>
      <c r="G1028" s="1082" t="s">
        <v>2448</v>
      </c>
      <c r="H1028" s="1873">
        <f>H1024*2</f>
        <v>0</v>
      </c>
      <c r="I1028" s="1262">
        <f t="shared" si="90"/>
        <v>0</v>
      </c>
      <c r="J1028" s="1084"/>
      <c r="K1028" s="1084"/>
      <c r="L1028" s="1113"/>
      <c r="M1028" s="977">
        <v>160</v>
      </c>
    </row>
    <row r="1029" spans="1:13" s="1086" customFormat="1" ht="25.15" hidden="1" customHeight="1">
      <c r="A1029" s="1156">
        <f t="shared" si="89"/>
        <v>0</v>
      </c>
      <c r="B1029" s="1327" t="s">
        <v>1792</v>
      </c>
      <c r="C1029" s="1327"/>
      <c r="D1029" s="1081"/>
      <c r="E1029" s="1094">
        <f>VLOOKUP($B1029,DG!A:D,DG!$B$2,)</f>
        <v>0</v>
      </c>
      <c r="F1029" s="1083" t="str">
        <f>VLOOKUP($B1029,DG!A:D,DG!$C$2,)</f>
        <v>Boulon 16x50+ 2 long đền vuông D18-50x50x3/Zn</v>
      </c>
      <c r="G1029" s="1082" t="s">
        <v>2448</v>
      </c>
      <c r="H1029" s="1873">
        <f>H1024*4</f>
        <v>0</v>
      </c>
      <c r="I1029" s="1262">
        <f t="shared" si="90"/>
        <v>0</v>
      </c>
      <c r="J1029" s="1084"/>
      <c r="K1029" s="1084"/>
      <c r="L1029" s="1113"/>
      <c r="M1029" s="977">
        <v>160</v>
      </c>
    </row>
    <row r="1030" spans="1:13" s="1086" customFormat="1" ht="25.15" hidden="1" customHeight="1">
      <c r="A1030" s="1156">
        <f t="shared" si="89"/>
        <v>0</v>
      </c>
      <c r="B1030" s="1327" t="s">
        <v>1790</v>
      </c>
      <c r="C1030" s="1327"/>
      <c r="D1030" s="1081"/>
      <c r="E1030" s="1094">
        <f>VLOOKUP($B1030,DG!A:D,DG!$B$2,)</f>
        <v>0</v>
      </c>
      <c r="F1030" s="1083" t="str">
        <f>VLOOKUP($B1030,DG!A:D,DG!$C$2,)</f>
        <v>Boulon 16x300VRS+ 4 long đền vuông D18-50x50x3/Zn</v>
      </c>
      <c r="G1030" s="1082" t="s">
        <v>2448</v>
      </c>
      <c r="H1030" s="1873">
        <f>H1024*4</f>
        <v>0</v>
      </c>
      <c r="I1030" s="1262">
        <f t="shared" si="90"/>
        <v>0</v>
      </c>
      <c r="J1030" s="1084"/>
      <c r="K1030" s="1084"/>
      <c r="L1030" s="1113"/>
      <c r="M1030" s="977">
        <v>160</v>
      </c>
    </row>
    <row r="1031" spans="1:13" s="1086" customFormat="1" ht="25.15" hidden="1" customHeight="1">
      <c r="A1031" s="1156">
        <f t="shared" si="89"/>
        <v>0</v>
      </c>
      <c r="B1031" s="1327" t="s">
        <v>517</v>
      </c>
      <c r="C1031" s="1327"/>
      <c r="D1031" s="1081"/>
      <c r="E1031" s="1094" t="str">
        <f>VLOOKUP($B1031,DG!A:D,DG!$B$2,)</f>
        <v>05.6203</v>
      </c>
      <c r="F1031" s="1083" t="str">
        <f>VLOOKUP($B1031,DG!A:D,DG!$C$2,)</f>
        <v>Lắp xà néo ≤ 100kg</v>
      </c>
      <c r="G1031" s="1082" t="s">
        <v>2448</v>
      </c>
      <c r="H1031" s="1873">
        <f>H1024</f>
        <v>0</v>
      </c>
      <c r="I1031" s="1262">
        <f t="shared" si="90"/>
        <v>0</v>
      </c>
      <c r="J1031" s="1084"/>
      <c r="K1031" s="1084"/>
      <c r="L1031" s="1113"/>
      <c r="M1031" s="977">
        <v>160</v>
      </c>
    </row>
    <row r="1032" spans="1:13" s="1086" customFormat="1" ht="25.15" hidden="1" customHeight="1">
      <c r="A1032" s="1156">
        <f t="shared" si="89"/>
        <v>0</v>
      </c>
      <c r="B1032" s="1327"/>
      <c r="C1032" s="1327"/>
      <c r="D1032" s="1087">
        <f>IF(H1032&gt;0,D1024+1,D1024)</f>
        <v>0</v>
      </c>
      <c r="E1032" s="1088"/>
      <c r="F1032" s="1133" t="s">
        <v>3740</v>
      </c>
      <c r="G1032" s="1087" t="s">
        <v>2394</v>
      </c>
      <c r="H1032" s="1889">
        <f>H943*1*0</f>
        <v>0</v>
      </c>
      <c r="I1032" s="1262">
        <f t="shared" si="90"/>
        <v>0</v>
      </c>
      <c r="J1032" s="1084"/>
      <c r="K1032" s="1084"/>
      <c r="L1032" s="1113"/>
      <c r="M1032" s="977">
        <v>160</v>
      </c>
    </row>
    <row r="1033" spans="1:13" s="1086" customFormat="1" ht="25.15" hidden="1" customHeight="1">
      <c r="A1033" s="1156">
        <f>IF(A1032&gt;0,1,0)</f>
        <v>0</v>
      </c>
      <c r="B1033" s="1327"/>
      <c r="C1033" s="1327"/>
      <c r="D1033" s="1081"/>
      <c r="E1033" s="1091"/>
      <c r="F1033" s="1370" t="s">
        <v>2287</v>
      </c>
      <c r="G1033" s="1093"/>
      <c r="H1033" s="1873"/>
      <c r="I1033" s="1262">
        <f t="shared" si="90"/>
        <v>0</v>
      </c>
      <c r="J1033" s="1084"/>
      <c r="K1033" s="1084"/>
      <c r="L1033" s="1113"/>
      <c r="M1033" s="977">
        <v>160</v>
      </c>
    </row>
    <row r="1034" spans="1:13" s="1086" customFormat="1" ht="25.15" hidden="1" customHeight="1">
      <c r="A1034" s="1156">
        <f t="shared" si="89"/>
        <v>0</v>
      </c>
      <c r="B1034" s="1327" t="s">
        <v>2028</v>
      </c>
      <c r="C1034" s="1327"/>
      <c r="D1034" s="1081"/>
      <c r="E1034" s="1094">
        <f>VLOOKUP($B1034,DG!A:D,DG!$B$2,)</f>
        <v>0</v>
      </c>
      <c r="F1034" s="1083" t="str">
        <f>VLOOKUP($B1034,DG!A:D,DG!$C$2,)</f>
        <v>Sắt góc L75 x75 x8</v>
      </c>
      <c r="G1034" s="1082" t="s">
        <v>2256</v>
      </c>
      <c r="H1034" s="1873">
        <f>H1032*9.02*(2.4+4*0.07)</f>
        <v>0</v>
      </c>
      <c r="I1034" s="1262">
        <f t="shared" si="90"/>
        <v>0</v>
      </c>
      <c r="J1034" s="1084"/>
      <c r="K1034" s="1084"/>
      <c r="L1034" s="1113"/>
      <c r="M1034" s="977">
        <v>160</v>
      </c>
    </row>
    <row r="1035" spans="1:13" s="1086" customFormat="1" ht="25.15" hidden="1" customHeight="1">
      <c r="A1035" s="1156">
        <f t="shared" si="89"/>
        <v>0</v>
      </c>
      <c r="B1035" s="1327" t="s">
        <v>1037</v>
      </c>
      <c r="C1035" s="1327"/>
      <c r="D1035" s="1081"/>
      <c r="E1035" s="1094">
        <f>VLOOKUP($B1035,DG!A:D,DG!$B$2,)</f>
        <v>0</v>
      </c>
      <c r="F1035" s="1083" t="str">
        <f>VLOOKUP($B1035,DG!A:D,DG!$C$2,)&amp;" (Thanh choáng 810)"</f>
        <v>Sắt góc L50 x50 x5 (Thanh choáng 810)</v>
      </c>
      <c r="G1035" s="1082" t="s">
        <v>2256</v>
      </c>
      <c r="H1035" s="1873">
        <f>H1032*3.77*0.81*2</f>
        <v>0</v>
      </c>
      <c r="I1035" s="1262">
        <f t="shared" si="90"/>
        <v>0</v>
      </c>
      <c r="J1035" s="1084"/>
      <c r="K1035" s="1084"/>
      <c r="L1035" s="1113"/>
      <c r="M1035" s="977">
        <v>160</v>
      </c>
    </row>
    <row r="1036" spans="1:13" s="1086" customFormat="1" ht="25.15" hidden="1" customHeight="1">
      <c r="A1036" s="1156">
        <f t="shared" si="89"/>
        <v>0</v>
      </c>
      <c r="B1036" s="1327" t="s">
        <v>1081</v>
      </c>
      <c r="C1036" s="1327"/>
      <c r="D1036" s="1081"/>
      <c r="E1036" s="1094">
        <f>VLOOKUP($B1036,DG!A:D,DG!$B$2,)</f>
        <v>0</v>
      </c>
      <c r="F1036" s="1083" t="str">
        <f>VLOOKUP($B1036,DG!A:D,DG!$C$2,)</f>
        <v>Boulon 16x350+ 2 long đền vuông D18-50x50x3/Zn</v>
      </c>
      <c r="G1036" s="1082" t="s">
        <v>2448</v>
      </c>
      <c r="H1036" s="1873">
        <f>H1032*2</f>
        <v>0</v>
      </c>
      <c r="I1036" s="1262">
        <f t="shared" si="90"/>
        <v>0</v>
      </c>
      <c r="J1036" s="1084"/>
      <c r="K1036" s="1084"/>
      <c r="L1036" s="1113"/>
      <c r="M1036" s="977">
        <v>160</v>
      </c>
    </row>
    <row r="1037" spans="1:13" s="1086" customFormat="1" ht="25.15" hidden="1" customHeight="1">
      <c r="A1037" s="1156">
        <f t="shared" si="89"/>
        <v>0</v>
      </c>
      <c r="B1037" s="1327" t="s">
        <v>1792</v>
      </c>
      <c r="C1037" s="1327"/>
      <c r="D1037" s="1081"/>
      <c r="E1037" s="1094">
        <f>VLOOKUP($B1037,DG!A:D,DG!$B$2,)</f>
        <v>0</v>
      </c>
      <c r="F1037" s="1083" t="str">
        <f>VLOOKUP($B1037,DG!A:D,DG!$C$2,)</f>
        <v>Boulon 16x50+ 2 long đền vuông D18-50x50x3/Zn</v>
      </c>
      <c r="G1037" s="1082" t="s">
        <v>2448</v>
      </c>
      <c r="H1037" s="1873">
        <f>H1032*2</f>
        <v>0</v>
      </c>
      <c r="I1037" s="1262">
        <f t="shared" si="90"/>
        <v>0</v>
      </c>
      <c r="J1037" s="1084"/>
      <c r="K1037" s="1084"/>
      <c r="L1037" s="1113"/>
      <c r="M1037" s="977">
        <v>160</v>
      </c>
    </row>
    <row r="1038" spans="1:13" s="1086" customFormat="1" ht="25.15" hidden="1" customHeight="1">
      <c r="A1038" s="1156">
        <f t="shared" si="89"/>
        <v>0</v>
      </c>
      <c r="B1038" s="1327" t="s">
        <v>1741</v>
      </c>
      <c r="C1038" s="1327"/>
      <c r="D1038" s="1081"/>
      <c r="E1038" s="1094">
        <f>VLOOKUP($B1038,DG!A:D,DG!$B$2,)</f>
        <v>0</v>
      </c>
      <c r="F1038" s="1083" t="str">
        <f>VLOOKUP($B1038,DG!A:D,DG!$C$2,)</f>
        <v>Bass LI bắt FCO</v>
      </c>
      <c r="G1038" s="1082" t="s">
        <v>2448</v>
      </c>
      <c r="H1038" s="1873">
        <f>IF(H1032&gt;0,3,)</f>
        <v>0</v>
      </c>
      <c r="I1038" s="1262">
        <f t="shared" si="90"/>
        <v>0</v>
      </c>
      <c r="J1038" s="1084"/>
      <c r="K1038" s="1084"/>
      <c r="L1038" s="1113"/>
      <c r="M1038" s="977">
        <v>160</v>
      </c>
    </row>
    <row r="1039" spans="1:13" s="1086" customFormat="1" ht="25.15" hidden="1" customHeight="1">
      <c r="A1039" s="1156">
        <f t="shared" ref="A1039:A1104" si="102">IF(I1039&gt;0,1,0)</f>
        <v>0</v>
      </c>
      <c r="B1039" s="1327" t="s">
        <v>990</v>
      </c>
      <c r="C1039" s="1327"/>
      <c r="D1039" s="1081"/>
      <c r="E1039" s="1094" t="str">
        <f>VLOOKUP($B1039,DG!A:D,DG!$B$2,)</f>
        <v>06.3231</v>
      </c>
      <c r="F1039" s="1083" t="str">
        <f>VLOOKUP($B1039,DG!A:D,DG!$C$2,)</f>
        <v xml:space="preserve">Cổ dê chống lắc 8x80x800 </v>
      </c>
      <c r="G1039" s="1082" t="s">
        <v>2448</v>
      </c>
      <c r="H1039" s="1873">
        <f>H1032*0</f>
        <v>0</v>
      </c>
      <c r="I1039" s="1262">
        <f t="shared" si="90"/>
        <v>0</v>
      </c>
      <c r="J1039" s="1084"/>
      <c r="K1039" s="1084"/>
      <c r="L1039" s="1113"/>
      <c r="M1039" s="977">
        <v>160</v>
      </c>
    </row>
    <row r="1040" spans="1:13" s="1086" customFormat="1" ht="25.15" hidden="1" customHeight="1">
      <c r="A1040" s="1156">
        <f t="shared" si="102"/>
        <v>0</v>
      </c>
      <c r="B1040" s="1327" t="s">
        <v>1445</v>
      </c>
      <c r="C1040" s="1327"/>
      <c r="D1040" s="1081"/>
      <c r="E1040" s="1094" t="str">
        <f>VLOOKUP($B1040,DG!A:D,DG!$B$2,)</f>
        <v>05.6102</v>
      </c>
      <c r="F1040" s="1083" t="str">
        <f>VLOOKUP($B1040,DG!A:D,DG!$C$2,)</f>
        <v>Lắp xà đỡ ≤ 50kg</v>
      </c>
      <c r="G1040" s="1082" t="s">
        <v>2448</v>
      </c>
      <c r="H1040" s="1873">
        <f>H1032</f>
        <v>0</v>
      </c>
      <c r="I1040" s="1262">
        <f t="shared" si="90"/>
        <v>0</v>
      </c>
      <c r="J1040" s="1084"/>
      <c r="K1040" s="1084"/>
      <c r="L1040" s="1113"/>
      <c r="M1040" s="977">
        <v>160</v>
      </c>
    </row>
    <row r="1041" spans="1:13" s="1086" customFormat="1" ht="25.15" hidden="1" customHeight="1">
      <c r="A1041" s="1156">
        <f t="shared" si="102"/>
        <v>0</v>
      </c>
      <c r="B1041" s="1327"/>
      <c r="C1041" s="1327"/>
      <c r="D1041" s="1087">
        <f>IF(H1041&gt;0,D1032+1,D1032)</f>
        <v>0</v>
      </c>
      <c r="E1041" s="1088"/>
      <c r="F1041" s="1133" t="s">
        <v>3741</v>
      </c>
      <c r="G1041" s="1087" t="s">
        <v>2394</v>
      </c>
      <c r="H1041" s="1889">
        <f>H943</f>
        <v>0</v>
      </c>
      <c r="I1041" s="1262">
        <f t="shared" si="90"/>
        <v>0</v>
      </c>
      <c r="J1041" s="1084"/>
      <c r="K1041" s="1084"/>
      <c r="L1041" s="1113"/>
      <c r="M1041" s="977">
        <v>160</v>
      </c>
    </row>
    <row r="1042" spans="1:13" s="1086" customFormat="1" ht="25.15" hidden="1" customHeight="1">
      <c r="A1042" s="1156">
        <f>IF(A1041&gt;0,1,0)</f>
        <v>0</v>
      </c>
      <c r="B1042" s="1358"/>
      <c r="C1042" s="1358"/>
      <c r="D1042" s="1081"/>
      <c r="E1042" s="1091"/>
      <c r="F1042" s="1370" t="s">
        <v>2287</v>
      </c>
      <c r="G1042" s="1093"/>
      <c r="H1042" s="1873"/>
      <c r="I1042" s="1262">
        <f t="shared" si="90"/>
        <v>0</v>
      </c>
      <c r="J1042" s="1084"/>
      <c r="K1042" s="1084"/>
      <c r="L1042" s="1113"/>
      <c r="M1042" s="977">
        <v>160</v>
      </c>
    </row>
    <row r="1043" spans="1:13" s="1086" customFormat="1" ht="25.15" hidden="1" customHeight="1">
      <c r="A1043" s="1156">
        <f t="shared" si="102"/>
        <v>0</v>
      </c>
      <c r="B1043" s="1327" t="s">
        <v>1035</v>
      </c>
      <c r="C1043" s="1327"/>
      <c r="D1043" s="1081"/>
      <c r="E1043" s="1082">
        <f>VLOOKUP($B1043,DG!A:D,DG!$B$2,)</f>
        <v>0</v>
      </c>
      <c r="F1043" s="1083" t="str">
        <f>VLOOKUP($B1043,DG!A:D,DG!$C$2,)</f>
        <v>Cáp đồng trần M25mm2</v>
      </c>
      <c r="G1043" s="1094" t="str">
        <f>VLOOKUP($B1043,DG!A:D,DG!$D$2,)</f>
        <v>kg</v>
      </c>
      <c r="H1043" s="1873">
        <v>12</v>
      </c>
      <c r="I1043" s="1262">
        <f t="shared" si="90"/>
        <v>0</v>
      </c>
      <c r="J1043" s="1084"/>
      <c r="K1043" s="1084"/>
      <c r="L1043" s="1113"/>
      <c r="M1043" s="977">
        <v>160</v>
      </c>
    </row>
    <row r="1044" spans="1:13" s="1086" customFormat="1" ht="25.15" hidden="1" customHeight="1">
      <c r="A1044" s="1156">
        <f t="shared" si="102"/>
        <v>0</v>
      </c>
      <c r="B1044" s="1327" t="s">
        <v>1035</v>
      </c>
      <c r="C1044" s="1327"/>
      <c r="D1044" s="1081"/>
      <c r="E1044" s="1082">
        <f>VLOOKUP($B1044,DG!A:D,DG!$B$2,)</f>
        <v>0</v>
      </c>
      <c r="F1044" s="1083" t="str">
        <f>VLOOKUP($B1044,DG!A:D,DG!$C$2,)&amp;": 17m nối lên vỏ các thiết bị"</f>
        <v>Cáp đồng trần M25mm2: 17m nối lên vỏ các thiết bị</v>
      </c>
      <c r="G1044" s="1082" t="str">
        <f>VLOOKUP($B1044,DG!A:D,DG!$D$2,)</f>
        <v>kg</v>
      </c>
      <c r="H1044" s="1873">
        <f>17*0.224*H1041*0</f>
        <v>0</v>
      </c>
      <c r="I1044" s="1262">
        <f t="shared" si="90"/>
        <v>0</v>
      </c>
      <c r="J1044" s="1084"/>
      <c r="K1044" s="1084"/>
      <c r="L1044" s="1113"/>
      <c r="M1044" s="977">
        <v>160</v>
      </c>
    </row>
    <row r="1045" spans="1:13" s="1086" customFormat="1" ht="25.15" hidden="1" customHeight="1">
      <c r="A1045" s="1156">
        <f t="shared" si="102"/>
        <v>0</v>
      </c>
      <c r="B1045" s="1157" t="s">
        <v>1513</v>
      </c>
      <c r="C1045" s="1157"/>
      <c r="D1045" s="1081"/>
      <c r="E1045" s="1082">
        <f>VLOOKUP($B1045,DG!A:D,DG!$B$2,)</f>
        <v>0</v>
      </c>
      <c r="F1045" s="1083" t="str">
        <f>VLOOKUP($B1045,DG!A:D,DG!$C$2,)</f>
        <v>Cọc tiếp đất Þ 16- 2,4m + kẹp cọc mạ đồng</v>
      </c>
      <c r="G1045" s="1094" t="str">
        <f>VLOOKUP($B1045,DG!A:D,DG!$D$2,)</f>
        <v>bộ</v>
      </c>
      <c r="H1045" s="1873">
        <f>I2*$H$1041</f>
        <v>0</v>
      </c>
      <c r="I1045" s="1262">
        <f t="shared" si="90"/>
        <v>0</v>
      </c>
      <c r="J1045" s="1084"/>
      <c r="K1045" s="1084"/>
      <c r="L1045" s="1113"/>
      <c r="M1045" s="977">
        <v>160</v>
      </c>
    </row>
    <row r="1046" spans="1:13" s="1086" customFormat="1" ht="25.15" hidden="1" customHeight="1">
      <c r="A1046" s="1156">
        <f t="shared" ref="A1046" si="103">IF(I1046&gt;0,1,0)</f>
        <v>0</v>
      </c>
      <c r="B1046" s="1157" t="s">
        <v>1531</v>
      </c>
      <c r="C1046" s="1157"/>
      <c r="D1046" s="1081"/>
      <c r="E1046" s="1082">
        <f>VLOOKUP($B1046,DG!A:D,DG!$B$2,)</f>
        <v>0</v>
      </c>
      <c r="F1046" s="1083" t="str">
        <f>VLOOKUP($B1046,DG!A:D,DG!$C$2,)</f>
        <v>Cáp đồng bọc CV25</v>
      </c>
      <c r="G1046" s="1082" t="str">
        <f>VLOOKUP($B1046,DG!A:D,DG!$D$2,)</f>
        <v>mét</v>
      </c>
      <c r="H1046" s="1873">
        <v>2</v>
      </c>
      <c r="I1046" s="1262">
        <f t="shared" ref="I1046" si="104">IF(M1046=$M$23,H1046+J1046-K1046,0)</f>
        <v>0</v>
      </c>
      <c r="J1046" s="1084"/>
      <c r="K1046" s="1084"/>
      <c r="L1046" s="1085"/>
      <c r="M1046" s="977">
        <v>160</v>
      </c>
    </row>
    <row r="1047" spans="1:13" s="1086" customFormat="1" ht="25.15" hidden="1" customHeight="1">
      <c r="A1047" s="1156">
        <f t="shared" si="102"/>
        <v>0</v>
      </c>
      <c r="B1047" s="1157" t="s">
        <v>1495</v>
      </c>
      <c r="C1047" s="1157"/>
      <c r="D1047" s="1081"/>
      <c r="E1047" s="1082" t="str">
        <f>VLOOKUP($B1047,DG!A:D,DG!$B$2,)</f>
        <v>07.2403</v>
      </c>
      <c r="F1047" s="1083" t="str">
        <f>VLOOKUP($B1047,DG!A:D,DG!$C$2,)</f>
        <v xml:space="preserve">Ống PVC D21x1,6mm </v>
      </c>
      <c r="G1047" s="1082" t="str">
        <f>VLOOKUP($B1047,DG!A:D,DG!$D$2,)</f>
        <v>m</v>
      </c>
      <c r="H1047" s="1873">
        <v>2</v>
      </c>
      <c r="I1047" s="1262">
        <f t="shared" si="90"/>
        <v>0</v>
      </c>
      <c r="J1047" s="1084"/>
      <c r="K1047" s="1084"/>
      <c r="L1047" s="1085"/>
      <c r="M1047" s="977">
        <v>160</v>
      </c>
    </row>
    <row r="1048" spans="1:13" s="1086" customFormat="1" ht="25.15" hidden="1" customHeight="1">
      <c r="A1048" s="1156">
        <f t="shared" si="102"/>
        <v>0</v>
      </c>
      <c r="B1048" s="1332" t="s">
        <v>1584</v>
      </c>
      <c r="C1048" s="1332"/>
      <c r="D1048" s="1081"/>
      <c r="E1048" s="1082">
        <f>VLOOKUP($B1048,DG!A:D,DG!$B$2,)</f>
        <v>0</v>
      </c>
      <c r="F1048" s="1083" t="str">
        <f>VLOOKUP($B1048,DG!A:D,DG!$C$2,)&amp; " bắt dây trung tính "</f>
        <v xml:space="preserve">Kẹp ép WR cỡ dây 50mm2 bắt dây trung tính </v>
      </c>
      <c r="G1048" s="1094" t="str">
        <f>VLOOKUP($B1048,DG!A:D,DG!$D$2,)</f>
        <v>cái</v>
      </c>
      <c r="H1048" s="1873">
        <f>2*$H$1041</f>
        <v>0</v>
      </c>
      <c r="I1048" s="1262">
        <f t="shared" si="90"/>
        <v>0</v>
      </c>
      <c r="J1048" s="1084"/>
      <c r="K1048" s="1084"/>
      <c r="L1048" s="1113"/>
      <c r="M1048" s="977">
        <v>160</v>
      </c>
    </row>
    <row r="1049" spans="1:13" s="1086" customFormat="1" ht="25.15" hidden="1" customHeight="1">
      <c r="A1049" s="1156">
        <f t="shared" si="102"/>
        <v>0</v>
      </c>
      <c r="B1049" s="1332" t="s">
        <v>1400</v>
      </c>
      <c r="C1049" s="1332"/>
      <c r="D1049" s="1135"/>
      <c r="E1049" s="1082">
        <f>VLOOKUP($B1049,DG!A:D,DG!$B$2,)</f>
        <v>0</v>
      </c>
      <c r="F1049" s="1083" t="str">
        <f>VLOOKUP($B1049,DG!A:D,DG!$C$2,)&amp;": bắt lưới tiếp địa"</f>
        <v>Kẹp ép cỡ dây 25mm2: bắt lưới tiếp địa</v>
      </c>
      <c r="G1049" s="1094" t="str">
        <f>VLOOKUP($B1049,DG!A:D,DG!$D$2,)</f>
        <v>cái</v>
      </c>
      <c r="H1049" s="1873">
        <f>$H$1041*4</f>
        <v>0</v>
      </c>
      <c r="I1049" s="1262">
        <f t="shared" si="90"/>
        <v>0</v>
      </c>
      <c r="J1049" s="1084"/>
      <c r="K1049" s="1084"/>
      <c r="L1049" s="1113"/>
      <c r="M1049" s="977">
        <v>160</v>
      </c>
    </row>
    <row r="1050" spans="1:13" s="1086" customFormat="1" ht="25.15" hidden="1" customHeight="1">
      <c r="A1050" s="1156">
        <f t="shared" si="102"/>
        <v>0</v>
      </c>
      <c r="B1050" s="1157" t="s">
        <v>138</v>
      </c>
      <c r="C1050" s="1157"/>
      <c r="D1050" s="1081"/>
      <c r="E1050" s="1082">
        <f>VLOOKUP($B1050,DG!A:D,DG!$B$2,)</f>
        <v>0</v>
      </c>
      <c r="F1050" s="1083" t="str">
        <f>VLOOKUP($B1050,DG!A:D,DG!$C$2,)</f>
        <v>Boulon 12x40+ 2 long đền vuông D14-50x50x3/Zn</v>
      </c>
      <c r="G1050" s="1094" t="str">
        <f>VLOOKUP($B1050,DG!A:D,DG!$D$2,)</f>
        <v>bộ</v>
      </c>
      <c r="H1050" s="1873">
        <f>$H$1041*0</f>
        <v>0</v>
      </c>
      <c r="I1050" s="1262">
        <f t="shared" si="90"/>
        <v>0</v>
      </c>
      <c r="J1050" s="1084"/>
      <c r="K1050" s="1084"/>
      <c r="L1050" s="1113"/>
      <c r="M1050" s="977">
        <v>160</v>
      </c>
    </row>
    <row r="1051" spans="1:13" s="1086" customFormat="1" ht="25.15" hidden="1" customHeight="1">
      <c r="A1051" s="1156">
        <f t="shared" si="102"/>
        <v>0</v>
      </c>
      <c r="B1051" s="1157" t="s">
        <v>104</v>
      </c>
      <c r="C1051" s="1157"/>
      <c r="D1051" s="1081"/>
      <c r="E1051" s="1082" t="str">
        <f>VLOOKUP($B1051,DG!A:D,DG!$B$2,)</f>
        <v>03.4001</v>
      </c>
      <c r="F1051" s="1083" t="str">
        <f>VLOOKUP($B1051,DG!A:D,DG!$C$2,)</f>
        <v>Đầu cosse ép Cu 25mm2</v>
      </c>
      <c r="G1051" s="1094" t="str">
        <f>VLOOKUP($B1051,DG!A:D,DG!$D$2,)</f>
        <v>cái</v>
      </c>
      <c r="H1051" s="1873">
        <f>H1050*2</f>
        <v>0</v>
      </c>
      <c r="I1051" s="1262">
        <f t="shared" si="90"/>
        <v>0</v>
      </c>
      <c r="J1051" s="1084"/>
      <c r="K1051" s="1084"/>
      <c r="L1051" s="1113"/>
      <c r="M1051" s="977">
        <v>160</v>
      </c>
    </row>
    <row r="1052" spans="1:13" s="1086" customFormat="1" ht="25.15" hidden="1" customHeight="1">
      <c r="A1052" s="1156">
        <f t="shared" si="102"/>
        <v>0</v>
      </c>
      <c r="B1052" s="1157" t="s">
        <v>525</v>
      </c>
      <c r="C1052" s="1157"/>
      <c r="D1052" s="1081"/>
      <c r="E1052" s="1082" t="str">
        <f>VLOOKUP($B1052,DG!A:D,DG!$B$2,)</f>
        <v>06.3231</v>
      </c>
      <c r="F1052" s="1083" t="str">
        <f>VLOOKUP($B1052,DG!A:D,DG!$C$2,)&amp;": CD-250"</f>
        <v>Cổ dê kẹp ống PVC  21: CD-250</v>
      </c>
      <c r="G1052" s="1082" t="str">
        <f>VLOOKUP($B1052,DG!A:D,DG!$D$2,)</f>
        <v>bộ</v>
      </c>
      <c r="H1052" s="1873">
        <f>$H$1041*0.415*0</f>
        <v>0</v>
      </c>
      <c r="I1052" s="1262">
        <f t="shared" si="90"/>
        <v>0</v>
      </c>
      <c r="J1052" s="1084"/>
      <c r="K1052" s="1084"/>
      <c r="L1052" s="1085"/>
      <c r="M1052" s="977">
        <v>160</v>
      </c>
    </row>
    <row r="1053" spans="1:13" s="1086" customFormat="1" ht="25.15" hidden="1" customHeight="1">
      <c r="A1053" s="1156">
        <f t="shared" si="102"/>
        <v>0</v>
      </c>
      <c r="B1053" s="1157" t="s">
        <v>525</v>
      </c>
      <c r="C1053" s="1157"/>
      <c r="D1053" s="1081"/>
      <c r="E1053" s="1082" t="str">
        <f>VLOOKUP($B1053,DG!A:D,DG!$B$2,)</f>
        <v>06.3231</v>
      </c>
      <c r="F1053" s="1083" t="str">
        <f>VLOOKUP($B1053,DG!A:D,DG!$C$2,)&amp;": CD-280"</f>
        <v>Cổ dê kẹp ống PVC  21: CD-280</v>
      </c>
      <c r="G1053" s="1082" t="str">
        <f>VLOOKUP($B1053,DG!A:D,DG!$D$2,)</f>
        <v>bộ</v>
      </c>
      <c r="H1053" s="1873">
        <f>$H$1041*0.452*0</f>
        <v>0</v>
      </c>
      <c r="I1053" s="1262">
        <f t="shared" si="90"/>
        <v>0</v>
      </c>
      <c r="J1053" s="1084"/>
      <c r="K1053" s="1084"/>
      <c r="L1053" s="1085"/>
      <c r="M1053" s="977">
        <v>160</v>
      </c>
    </row>
    <row r="1054" spans="1:13" s="1086" customFormat="1" ht="25.15" hidden="1" customHeight="1">
      <c r="A1054" s="1156">
        <f t="shared" si="102"/>
        <v>0</v>
      </c>
      <c r="B1054" s="1157" t="s">
        <v>525</v>
      </c>
      <c r="C1054" s="1157"/>
      <c r="D1054" s="1081"/>
      <c r="E1054" s="1082" t="str">
        <f>VLOOKUP($B1054,DG!A:D,DG!$B$2,)</f>
        <v>06.3231</v>
      </c>
      <c r="F1054" s="1083" t="str">
        <f>VLOOKUP($B1054,DG!A:D,DG!$C$2,)&amp;": CD-320"</f>
        <v>Cổ dê kẹp ống PVC  21: CD-320</v>
      </c>
      <c r="G1054" s="1082" t="str">
        <f>VLOOKUP($B1054,DG!A:D,DG!$D$2,)</f>
        <v>bộ</v>
      </c>
      <c r="H1054" s="1873">
        <f>$H$1041*0.501*0</f>
        <v>0</v>
      </c>
      <c r="I1054" s="1262">
        <f t="shared" si="90"/>
        <v>0</v>
      </c>
      <c r="J1054" s="1084"/>
      <c r="K1054" s="1084"/>
      <c r="L1054" s="1085"/>
      <c r="M1054" s="977">
        <v>160</v>
      </c>
    </row>
    <row r="1055" spans="1:13" s="1086" customFormat="1" ht="25.15" hidden="1" customHeight="1">
      <c r="A1055" s="1156">
        <f t="shared" si="102"/>
        <v>0</v>
      </c>
      <c r="B1055" s="1157" t="s">
        <v>1133</v>
      </c>
      <c r="C1055" s="1157"/>
      <c r="D1055" s="1081"/>
      <c r="E1055" s="1082" t="str">
        <f>VLOOKUP($B1055,DG!A:D,DG!$B$2,)</f>
        <v>06.2110</v>
      </c>
      <c r="F1055" s="1165" t="str">
        <f>VLOOKUP($B1055,DG!A:D,DG!$C$2,)&amp;": CD-320"</f>
        <v>Lắp cổ dề: CD-320</v>
      </c>
      <c r="G1055" s="1082" t="str">
        <f>VLOOKUP($B1055,DG!A:D,DG!$D$2,)</f>
        <v>bộ</v>
      </c>
      <c r="H1055" s="1873">
        <f>$H$1041*0</f>
        <v>0</v>
      </c>
      <c r="I1055" s="1262">
        <f t="shared" si="90"/>
        <v>0</v>
      </c>
      <c r="J1055" s="1084"/>
      <c r="K1055" s="1084"/>
      <c r="L1055" s="1085"/>
      <c r="M1055" s="977">
        <v>160</v>
      </c>
    </row>
    <row r="1056" spans="1:13" s="1086" customFormat="1" ht="25.15" hidden="1" customHeight="1">
      <c r="A1056" s="1156">
        <f t="shared" si="102"/>
        <v>0</v>
      </c>
      <c r="B1056" s="1157" t="s">
        <v>138</v>
      </c>
      <c r="C1056" s="1157"/>
      <c r="D1056" s="1081"/>
      <c r="E1056" s="1082">
        <f>VLOOKUP($B1056,DG!A:D,DG!$B$2,)</f>
        <v>0</v>
      </c>
      <c r="F1056" s="1083" t="str">
        <f>VLOOKUP($B1056,DG!A:D,DG!$C$2,)</f>
        <v>Boulon 12x40+ 2 long đền vuông D14-50x50x3/Zn</v>
      </c>
      <c r="G1056" s="1082" t="str">
        <f>VLOOKUP($B1056,DG!A:D,DG!$D$2,)</f>
        <v>bộ</v>
      </c>
      <c r="H1056" s="1873">
        <f>$H$1041*6*0</f>
        <v>0</v>
      </c>
      <c r="I1056" s="1262">
        <f t="shared" si="90"/>
        <v>0</v>
      </c>
      <c r="J1056" s="1084"/>
      <c r="K1056" s="1084"/>
      <c r="L1056" s="1085"/>
      <c r="M1056" s="977">
        <v>160</v>
      </c>
    </row>
    <row r="1057" spans="1:16" s="1086" customFormat="1" ht="25.15" hidden="1" customHeight="1">
      <c r="A1057" s="1156">
        <f t="shared" si="102"/>
        <v>0</v>
      </c>
      <c r="B1057" s="1157" t="s">
        <v>1590</v>
      </c>
      <c r="C1057" s="1157"/>
      <c r="D1057" s="1081"/>
      <c r="E1057" s="1082">
        <f>VLOOKUP($B1057,DG!A:D,DG!$B$2,)</f>
        <v>0</v>
      </c>
      <c r="F1057" s="1083" t="str">
        <f>VLOOKUP($B1057,DG!A:D,DG!$C$2,)</f>
        <v>Giếng tiếp địa khoan đất</v>
      </c>
      <c r="G1057" s="1082" t="str">
        <f>VLOOKUP($B1057,DG!A:D,DG!$D$2,)</f>
        <v>Cái</v>
      </c>
      <c r="H1057" s="1873">
        <f>M3*H1041</f>
        <v>0</v>
      </c>
      <c r="I1057" s="1262">
        <f t="shared" si="90"/>
        <v>0</v>
      </c>
      <c r="J1057" s="1084"/>
      <c r="K1057" s="1084"/>
      <c r="L1057" s="1113"/>
      <c r="M1057" s="977">
        <v>160</v>
      </c>
    </row>
    <row r="1058" spans="1:16" s="1086" customFormat="1" ht="25.15" hidden="1" customHeight="1">
      <c r="A1058" s="1156">
        <f t="shared" si="102"/>
        <v>0</v>
      </c>
      <c r="B1058" s="1157" t="str">
        <f>"DTD"&amp;chitiet!G5</f>
        <v>DTD3</v>
      </c>
      <c r="C1058" s="1157"/>
      <c r="D1058" s="1093"/>
      <c r="E1058" s="1082" t="str">
        <f>VLOOKUP($B1058,DG!A:D,DG!$B$2,)</f>
        <v>03.3123</v>
      </c>
      <c r="F1058" s="1165" t="str">
        <f>VLOOKUP($B1058,DG!A:D,DG!$C$2,)</f>
        <v>Đào rãnh tiếp địa đất cấp 3</v>
      </c>
      <c r="G1058" s="1094" t="str">
        <f>VLOOKUP($B1058,DG!A:D,DG!$D$2,)</f>
        <v>m3</v>
      </c>
      <c r="H1058" s="2064">
        <v>1.44</v>
      </c>
      <c r="I1058" s="1932">
        <f t="shared" si="90"/>
        <v>0</v>
      </c>
      <c r="J1058" s="1084"/>
      <c r="K1058" s="1084"/>
      <c r="L1058" s="1113"/>
      <c r="M1058" s="977">
        <v>160</v>
      </c>
    </row>
    <row r="1059" spans="1:16" s="1086" customFormat="1" ht="25.15" hidden="1" customHeight="1">
      <c r="A1059" s="1156">
        <f t="shared" si="102"/>
        <v>0</v>
      </c>
      <c r="B1059" s="1157" t="str">
        <f>"DATD"&amp;chitiet!G5</f>
        <v>DATD3</v>
      </c>
      <c r="C1059" s="1157"/>
      <c r="D1059" s="1093"/>
      <c r="E1059" s="1082" t="str">
        <f>VLOOKUP($B1059,DG!A:D,DG!$B$2,)</f>
        <v>03.4123</v>
      </c>
      <c r="F1059" s="1165" t="str">
        <f>VLOOKUP($B1059,DG!A:D,DG!$C$2,)</f>
        <v>Đắp đất rãnh tiếp độ chặt k=0,85</v>
      </c>
      <c r="G1059" s="1094" t="str">
        <f>VLOOKUP($B1059,DG!A:D,DG!$D$2,)</f>
        <v>m3</v>
      </c>
      <c r="H1059" s="2280">
        <f>H1058</f>
        <v>1.44</v>
      </c>
      <c r="I1059" s="1932">
        <f t="shared" si="90"/>
        <v>0</v>
      </c>
      <c r="J1059" s="1084"/>
      <c r="K1059" s="1084"/>
      <c r="L1059" s="1113"/>
      <c r="M1059" s="977">
        <v>160</v>
      </c>
    </row>
    <row r="1060" spans="1:16" s="1086" customFormat="1" ht="25.15" hidden="1" customHeight="1">
      <c r="A1060" s="1156">
        <f t="shared" si="102"/>
        <v>0</v>
      </c>
      <c r="B1060" s="1157" t="s">
        <v>904</v>
      </c>
      <c r="C1060" s="1157"/>
      <c r="D1060" s="1093"/>
      <c r="E1060" s="1082" t="str">
        <f>VLOOKUP($B1060,DG!A:D,DG!$B$2,)</f>
        <v>04.7001</v>
      </c>
      <c r="F1060" s="1165" t="str">
        <f>VLOOKUP($B1060,DG!A:D,DG!$C$2,)</f>
        <v>Đóng cọc tiếp địa trong TBA</v>
      </c>
      <c r="G1060" s="1094" t="str">
        <f>VLOOKUP($B1060,DG!A:D,DG!$D$2,)</f>
        <v>cọc</v>
      </c>
      <c r="H1060" s="1170">
        <f>I2*L10</f>
        <v>0</v>
      </c>
      <c r="I1060" s="1262">
        <f t="shared" ref="I1060:I1127" si="105">IF(M1060=$M$23,H1060+J1060-K1060,0)</f>
        <v>0</v>
      </c>
      <c r="J1060" s="1084"/>
      <c r="K1060" s="1084"/>
      <c r="L1060" s="1113"/>
      <c r="M1060" s="977">
        <v>160</v>
      </c>
    </row>
    <row r="1061" spans="1:16" s="1086" customFormat="1" ht="25.15" hidden="1" customHeight="1">
      <c r="A1061" s="1156">
        <f t="shared" si="102"/>
        <v>0</v>
      </c>
      <c r="B1061" s="1157" t="s">
        <v>1442</v>
      </c>
      <c r="C1061" s="1157"/>
      <c r="D1061" s="1081"/>
      <c r="E1061" s="1082" t="str">
        <f>VLOOKUP($B1061,DG!A:D,DG!$B$2,)</f>
        <v>04.7002</v>
      </c>
      <c r="F1061" s="1165" t="str">
        <f>VLOOKUP($B1061,DG!A:D,DG!$C$2,)</f>
        <v>Kéo dây tiếp địa trong TBA</v>
      </c>
      <c r="G1061" s="1094" t="str">
        <f>VLOOKUP($B1061,DG!A:D,DG!$D$2,)</f>
        <v>mét</v>
      </c>
      <c r="H1061" s="1873">
        <v>54</v>
      </c>
      <c r="I1061" s="1262">
        <f t="shared" si="105"/>
        <v>0</v>
      </c>
      <c r="J1061" s="1084"/>
      <c r="K1061" s="1084"/>
      <c r="L1061" s="1113"/>
      <c r="M1061" s="977">
        <v>160</v>
      </c>
    </row>
    <row r="1062" spans="1:16" s="1086" customFormat="1" ht="25.15" hidden="1" customHeight="1">
      <c r="A1062" s="1156">
        <f t="shared" si="102"/>
        <v>0</v>
      </c>
      <c r="B1062" s="1327"/>
      <c r="C1062" s="1327"/>
      <c r="D1062" s="1087">
        <f>IF(H1062&gt;0,D1041+1,D1041)</f>
        <v>0</v>
      </c>
      <c r="E1062" s="1088"/>
      <c r="F1062" s="1089" t="s">
        <v>3742</v>
      </c>
      <c r="G1062" s="1087" t="s">
        <v>2394</v>
      </c>
      <c r="H1062" s="1889"/>
      <c r="I1062" s="1262">
        <f t="shared" si="105"/>
        <v>0</v>
      </c>
      <c r="J1062" s="1084"/>
      <c r="K1062" s="1084"/>
      <c r="L1062" s="1085"/>
      <c r="M1062" s="977">
        <v>160</v>
      </c>
    </row>
    <row r="1063" spans="1:16" s="1086" customFormat="1" ht="25.15" hidden="1" customHeight="1">
      <c r="A1063" s="1156">
        <f>IF(A1062&gt;0,1,0)</f>
        <v>0</v>
      </c>
      <c r="B1063" s="1327"/>
      <c r="C1063" s="1327"/>
      <c r="D1063" s="1081"/>
      <c r="E1063" s="1091"/>
      <c r="F1063" s="1370" t="s">
        <v>2287</v>
      </c>
      <c r="G1063" s="1093"/>
      <c r="H1063" s="1873"/>
      <c r="I1063" s="1262">
        <f t="shared" si="105"/>
        <v>0</v>
      </c>
      <c r="J1063" s="1084"/>
      <c r="K1063" s="1084"/>
      <c r="L1063" s="1085"/>
      <c r="M1063" s="977">
        <v>160</v>
      </c>
    </row>
    <row r="1064" spans="1:16" s="1086" customFormat="1" ht="25.15" hidden="1" customHeight="1">
      <c r="A1064" s="1156">
        <f t="shared" si="102"/>
        <v>0</v>
      </c>
      <c r="B1064" s="1327" t="s">
        <v>653</v>
      </c>
      <c r="C1064" s="1327"/>
      <c r="D1064" s="1093"/>
      <c r="E1064" s="1094">
        <f>VLOOKUP($B1064,DG!A:D,DG!$B$2,)</f>
        <v>0</v>
      </c>
      <c r="F1064" s="1095" t="str">
        <f>VLOOKUP($B1064,DG!A:D,DG!$C$2,)</f>
        <v>Ximăng (PC40)</v>
      </c>
      <c r="G1064" s="1094" t="str">
        <f>VLOOKUP($B1064,DG!A:D,DG!$D$2,)</f>
        <v>kg</v>
      </c>
      <c r="H1064" s="1873">
        <f>H1062*M1067</f>
        <v>0</v>
      </c>
      <c r="I1064" s="1262">
        <f t="shared" si="105"/>
        <v>0</v>
      </c>
      <c r="J1064" s="1084"/>
      <c r="K1064" s="1084"/>
      <c r="L1064" s="1085"/>
      <c r="M1064" s="977">
        <v>160</v>
      </c>
    </row>
    <row r="1065" spans="1:16" s="1086" customFormat="1" ht="25.15" hidden="1" customHeight="1">
      <c r="A1065" s="1156">
        <f t="shared" si="102"/>
        <v>0</v>
      </c>
      <c r="B1065" s="1327" t="s">
        <v>4447</v>
      </c>
      <c r="C1065" s="1327"/>
      <c r="D1065" s="1081"/>
      <c r="E1065" s="1094">
        <f>VLOOKUP($B1065,DG!A:D,DG!$B$2,)</f>
        <v>0</v>
      </c>
      <c r="F1065" s="1095" t="str">
        <f>VLOOKUP($B1065,DG!A:D,DG!$C$2,)</f>
        <v>Cát vàng</v>
      </c>
      <c r="G1065" s="1094" t="str">
        <f>VLOOKUP($B1065,DG!A:D,DG!$D$2,)</f>
        <v>m3</v>
      </c>
      <c r="H1065" s="1873">
        <f>H1062*N1067</f>
        <v>0</v>
      </c>
      <c r="I1065" s="1262">
        <f t="shared" si="105"/>
        <v>0</v>
      </c>
      <c r="J1065" s="1084"/>
      <c r="K1065" s="1084"/>
      <c r="L1065" s="1085"/>
      <c r="M1065" s="977">
        <v>160</v>
      </c>
    </row>
    <row r="1066" spans="1:16" s="1086" customFormat="1" ht="25.15" hidden="1" customHeight="1">
      <c r="A1066" s="1156">
        <f t="shared" si="102"/>
        <v>0</v>
      </c>
      <c r="B1066" s="1327" t="s">
        <v>216</v>
      </c>
      <c r="C1066" s="1327"/>
      <c r="D1066" s="1081"/>
      <c r="E1066" s="1094">
        <f>VLOOKUP($B1066,DG!A:D,DG!$B$2,)</f>
        <v>0</v>
      </c>
      <c r="F1066" s="1095" t="str">
        <f>VLOOKUP($B1066,DG!A:D,DG!$C$2,)</f>
        <v>Đá 1x2</v>
      </c>
      <c r="G1066" s="1094" t="str">
        <f>VLOOKUP($B1066,DG!A:D,DG!$D$2,)</f>
        <v>m3</v>
      </c>
      <c r="H1066" s="1873">
        <f>H1062*O1067</f>
        <v>0</v>
      </c>
      <c r="I1066" s="1262">
        <f t="shared" si="105"/>
        <v>0</v>
      </c>
      <c r="J1066" s="1084"/>
      <c r="K1066" s="1084"/>
      <c r="L1066" s="1085"/>
      <c r="M1066" s="977">
        <v>160</v>
      </c>
    </row>
    <row r="1067" spans="1:16" s="1086" customFormat="1" ht="25.15" hidden="1" customHeight="1">
      <c r="A1067" s="1156">
        <f t="shared" si="102"/>
        <v>0</v>
      </c>
      <c r="B1067" s="1327" t="s">
        <v>654</v>
      </c>
      <c r="C1067" s="1327"/>
      <c r="D1067" s="1093"/>
      <c r="E1067" s="1094" t="str">
        <f>VLOOKUP($B1067,DG!A:D,DG!$B$2,)</f>
        <v>04.1203c</v>
      </c>
      <c r="F1067" s="1095" t="str">
        <f>VLOOKUP($B1067,DG!A:D,DG!$C$2,)</f>
        <v>Đổ bê tông móng trụ &lt;=250cm-M200 đá 1x2</v>
      </c>
      <c r="G1067" s="1094" t="str">
        <f>VLOOKUP($B1067,DG!A:D,DG!$D$2,)</f>
        <v>m3</v>
      </c>
      <c r="H1067" s="1873">
        <f>H1062*(0.4*3*1-2*3.14*0.15^2*0.4)*1.025</f>
        <v>0</v>
      </c>
      <c r="I1067" s="1262">
        <f t="shared" si="105"/>
        <v>0</v>
      </c>
      <c r="J1067" s="1084"/>
      <c r="K1067" s="1084"/>
      <c r="L1067" s="1085"/>
      <c r="M1067" s="977">
        <v>160</v>
      </c>
      <c r="N1067" s="1096">
        <f>1.025*0.45</f>
        <v>0.46124999999999999</v>
      </c>
      <c r="O1067" s="1096">
        <f>1.025*0.866</f>
        <v>0.88764999999999994</v>
      </c>
      <c r="P1067" s="1240"/>
    </row>
    <row r="1068" spans="1:16" s="1086" customFormat="1" ht="25.15" hidden="1" customHeight="1">
      <c r="A1068" s="1156">
        <f t="shared" si="102"/>
        <v>0</v>
      </c>
      <c r="B1068" s="1327"/>
      <c r="C1068" s="1327"/>
      <c r="D1068" s="1087">
        <f>IF(H1068&gt;0,D1062+1,D1062)</f>
        <v>0</v>
      </c>
      <c r="E1068" s="1088"/>
      <c r="F1068" s="1089" t="s">
        <v>3743</v>
      </c>
      <c r="G1068" s="1087" t="s">
        <v>2394</v>
      </c>
      <c r="H1068" s="1889"/>
      <c r="I1068" s="1262">
        <f t="shared" si="105"/>
        <v>0</v>
      </c>
      <c r="J1068" s="1084"/>
      <c r="K1068" s="1084"/>
      <c r="L1068" s="1085"/>
      <c r="M1068" s="977">
        <v>160</v>
      </c>
    </row>
    <row r="1069" spans="1:16" s="1086" customFormat="1" ht="25.15" hidden="1" customHeight="1">
      <c r="A1069" s="1156">
        <f>IF(A1068&gt;0,1,0)</f>
        <v>0</v>
      </c>
      <c r="B1069" s="1327"/>
      <c r="C1069" s="1327"/>
      <c r="D1069" s="1081"/>
      <c r="E1069" s="1091"/>
      <c r="F1069" s="1370" t="s">
        <v>2287</v>
      </c>
      <c r="G1069" s="1093"/>
      <c r="H1069" s="1873"/>
      <c r="I1069" s="1262">
        <f t="shared" si="105"/>
        <v>0</v>
      </c>
      <c r="J1069" s="1084"/>
      <c r="K1069" s="1084"/>
      <c r="L1069" s="1085"/>
      <c r="M1069" s="977">
        <v>160</v>
      </c>
    </row>
    <row r="1070" spans="1:16" s="1086" customFormat="1" ht="25.15" hidden="1" customHeight="1">
      <c r="A1070" s="1156">
        <f t="shared" si="102"/>
        <v>0</v>
      </c>
      <c r="B1070" s="1327" t="s">
        <v>653</v>
      </c>
      <c r="C1070" s="1327"/>
      <c r="D1070" s="1093"/>
      <c r="E1070" s="1094">
        <f>VLOOKUP($B1070,DG!A:D,DG!$B$2,)</f>
        <v>0</v>
      </c>
      <c r="F1070" s="1095" t="str">
        <f>VLOOKUP($B1070,DG!A:D,DG!$C$2,)</f>
        <v>Ximăng (PC40)</v>
      </c>
      <c r="G1070" s="1094" t="str">
        <f>VLOOKUP($B1070,DG!A:D,DG!$D$2,)</f>
        <v>kg</v>
      </c>
      <c r="H1070" s="1873">
        <f>H1073*M1073</f>
        <v>0</v>
      </c>
      <c r="I1070" s="1262">
        <f t="shared" si="105"/>
        <v>0</v>
      </c>
      <c r="J1070" s="1084"/>
      <c r="K1070" s="1084"/>
      <c r="L1070" s="1085"/>
      <c r="M1070" s="977">
        <v>160</v>
      </c>
    </row>
    <row r="1071" spans="1:16" s="1086" customFormat="1" ht="25.15" hidden="1" customHeight="1">
      <c r="A1071" s="1156">
        <f t="shared" si="102"/>
        <v>0</v>
      </c>
      <c r="B1071" s="1327" t="s">
        <v>4447</v>
      </c>
      <c r="C1071" s="1327"/>
      <c r="D1071" s="1081"/>
      <c r="E1071" s="1094">
        <f>VLOOKUP($B1071,DG!A:D,DG!$B$2,)</f>
        <v>0</v>
      </c>
      <c r="F1071" s="1095" t="str">
        <f>VLOOKUP($B1071,DG!A:D,DG!$C$2,)</f>
        <v>Cát vàng</v>
      </c>
      <c r="G1071" s="1094" t="str">
        <f>VLOOKUP($B1071,DG!A:D,DG!$D$2,)</f>
        <v>m3</v>
      </c>
      <c r="H1071" s="1890">
        <f>H1073*N1073</f>
        <v>0</v>
      </c>
      <c r="I1071" s="1262">
        <f t="shared" si="105"/>
        <v>0</v>
      </c>
      <c r="J1071" s="1084"/>
      <c r="K1071" s="1084"/>
      <c r="L1071" s="1085"/>
      <c r="M1071" s="977">
        <v>160</v>
      </c>
    </row>
    <row r="1072" spans="1:16" s="1086" customFormat="1" ht="25.15" hidden="1" customHeight="1">
      <c r="A1072" s="1156">
        <f t="shared" si="102"/>
        <v>0</v>
      </c>
      <c r="B1072" s="1327" t="s">
        <v>216</v>
      </c>
      <c r="C1072" s="1327"/>
      <c r="D1072" s="1081"/>
      <c r="E1072" s="1094">
        <f>VLOOKUP($B1072,DG!A:D,DG!$B$2,)</f>
        <v>0</v>
      </c>
      <c r="F1072" s="1095" t="str">
        <f>VLOOKUP($B1072,DG!A:D,DG!$C$2,)</f>
        <v>Đá 1x2</v>
      </c>
      <c r="G1072" s="1094" t="str">
        <f>VLOOKUP($B1072,DG!A:D,DG!$D$2,)</f>
        <v>m3</v>
      </c>
      <c r="H1072" s="1890">
        <f>H1073*O1073</f>
        <v>0</v>
      </c>
      <c r="I1072" s="1262">
        <f t="shared" si="105"/>
        <v>0</v>
      </c>
      <c r="J1072" s="1084"/>
      <c r="K1072" s="1084"/>
      <c r="L1072" s="1085"/>
      <c r="M1072" s="977">
        <v>160</v>
      </c>
    </row>
    <row r="1073" spans="1:16" s="1086" customFormat="1" ht="25.15" hidden="1" customHeight="1">
      <c r="A1073" s="1156">
        <f t="shared" si="102"/>
        <v>0</v>
      </c>
      <c r="B1073" s="1327" t="s">
        <v>654</v>
      </c>
      <c r="C1073" s="1327"/>
      <c r="D1073" s="1093"/>
      <c r="E1073" s="1094" t="str">
        <f>VLOOKUP($B1073,DG!A:D,DG!$B$2,)</f>
        <v>04.1203c</v>
      </c>
      <c r="F1073" s="1095" t="str">
        <f>VLOOKUP($B1073,DG!A:D,DG!$C$2,)</f>
        <v>Đổ bê tông móng trụ &lt;=250cm-M200 đá 1x2</v>
      </c>
      <c r="G1073" s="1094" t="str">
        <f>VLOOKUP($B1073,DG!A:D,DG!$D$2,)</f>
        <v>m3</v>
      </c>
      <c r="H1073" s="1873">
        <f>H1068*0.2*0.2*(0.2+0.2+0.8+0.8+2*4)</f>
        <v>0</v>
      </c>
      <c r="I1073" s="1262">
        <f t="shared" si="105"/>
        <v>0</v>
      </c>
      <c r="J1073" s="1084"/>
      <c r="K1073" s="1084"/>
      <c r="L1073" s="1085"/>
      <c r="M1073" s="977">
        <v>160</v>
      </c>
      <c r="N1073" s="1096">
        <f>1.025*0.45</f>
        <v>0.46124999999999999</v>
      </c>
      <c r="O1073" s="1096">
        <f>1.025*0.866</f>
        <v>0.88764999999999994</v>
      </c>
      <c r="P1073" s="1240"/>
    </row>
    <row r="1074" spans="1:16" s="1086" customFormat="1" ht="25.15" hidden="1" customHeight="1">
      <c r="A1074" s="1156">
        <f t="shared" si="102"/>
        <v>0</v>
      </c>
      <c r="B1074" s="1327"/>
      <c r="C1074" s="1327"/>
      <c r="D1074" s="1087">
        <f>IF(H1074&gt;0,D1068+1,D1068)</f>
        <v>0</v>
      </c>
      <c r="E1074" s="1088"/>
      <c r="F1074" s="1089" t="s">
        <v>3744</v>
      </c>
      <c r="G1074" s="1087" t="s">
        <v>2394</v>
      </c>
      <c r="H1074" s="1889">
        <f>H943</f>
        <v>0</v>
      </c>
      <c r="I1074" s="1262">
        <f t="shared" si="105"/>
        <v>0</v>
      </c>
      <c r="J1074" s="1084"/>
      <c r="K1074" s="1084"/>
      <c r="L1074" s="1113"/>
      <c r="M1074" s="977">
        <v>160</v>
      </c>
    </row>
    <row r="1075" spans="1:16" s="1086" customFormat="1" ht="25.15" hidden="1" customHeight="1">
      <c r="A1075" s="1156">
        <f>IF(A1074&gt;0,1,0)</f>
        <v>0</v>
      </c>
      <c r="B1075" s="1327"/>
      <c r="C1075" s="1327"/>
      <c r="D1075" s="1081"/>
      <c r="E1075" s="1091"/>
      <c r="F1075" s="1370" t="s">
        <v>2287</v>
      </c>
      <c r="G1075" s="1093"/>
      <c r="H1075" s="1873"/>
      <c r="I1075" s="1262">
        <f t="shared" si="105"/>
        <v>0</v>
      </c>
      <c r="J1075" s="1084"/>
      <c r="K1075" s="1084"/>
      <c r="L1075" s="1113"/>
      <c r="M1075" s="977">
        <v>160</v>
      </c>
    </row>
    <row r="1076" spans="1:16" s="1086" customFormat="1" ht="25.15" hidden="1" customHeight="1">
      <c r="A1076" s="1156">
        <f t="shared" si="102"/>
        <v>0</v>
      </c>
      <c r="B1076" s="1359" t="s">
        <v>2055</v>
      </c>
      <c r="C1076" s="1359"/>
      <c r="D1076" s="1093"/>
      <c r="E1076" s="1094" t="str">
        <f>VLOOKUP($B1076,DG!A:D,DG!$B$2,)</f>
        <v>05.1002</v>
      </c>
      <c r="F1076" s="1095" t="str">
        <f>VLOOKUP($B1076,DG!A:D,DG!$C$2,)</f>
        <v>Vỏ tủ trạm giàn 2 ngăn + khóa tủ</v>
      </c>
      <c r="G1076" s="1094" t="str">
        <f>VLOOKUP($B1076,DG!A:D,DG!$D$2,)</f>
        <v>cái</v>
      </c>
      <c r="H1076" s="1873">
        <f>$H$1074</f>
        <v>0</v>
      </c>
      <c r="I1076" s="1262">
        <f t="shared" si="105"/>
        <v>0</v>
      </c>
      <c r="J1076" s="1084"/>
      <c r="K1076" s="1084"/>
      <c r="L1076" s="1113"/>
      <c r="M1076" s="977">
        <v>160</v>
      </c>
    </row>
    <row r="1077" spans="1:16" s="1086" customFormat="1" ht="25.15" hidden="1" customHeight="1">
      <c r="A1077" s="1156">
        <f t="shared" ref="A1077" si="106">IF(I1077&gt;0,1,0)</f>
        <v>0</v>
      </c>
      <c r="B1077" s="1359" t="s">
        <v>4893</v>
      </c>
      <c r="C1077" s="1359"/>
      <c r="D1077" s="1093"/>
      <c r="E1077" s="1094" t="str">
        <f>VLOOKUP($B1077,DG!A:D,DG!$B$2,)</f>
        <v>06.3231</v>
      </c>
      <c r="F1077" s="1095" t="str">
        <f>VLOOKUP($B1077,DG!A:D,DG!$C$2,)</f>
        <v>Cổ dê bắt tủ trạm trụ ghép D320/60x6</v>
      </c>
      <c r="G1077" s="1094" t="str">
        <f>VLOOKUP($B1077,DG!A:D,DG!$D$2,)</f>
        <v>bộ</v>
      </c>
      <c r="H1077" s="1873">
        <v>2</v>
      </c>
      <c r="I1077" s="1262">
        <f t="shared" ref="I1077" si="107">IF(M1077=$M$23,H1077+J1077-K1077,0)</f>
        <v>0</v>
      </c>
      <c r="J1077" s="1084"/>
      <c r="K1077" s="1084"/>
      <c r="L1077" s="1113"/>
      <c r="M1077" s="977">
        <v>160</v>
      </c>
    </row>
    <row r="1078" spans="1:16" s="1086" customFormat="1" ht="25.15" hidden="1" customHeight="1">
      <c r="A1078" s="1156">
        <f t="shared" si="102"/>
        <v>0</v>
      </c>
      <c r="B1078" s="1359" t="s">
        <v>138</v>
      </c>
      <c r="C1078" s="1359"/>
      <c r="D1078" s="1093"/>
      <c r="E1078" s="1094">
        <f>VLOOKUP($B1078,DG!A:D,DG!$B$2,)</f>
        <v>0</v>
      </c>
      <c r="F1078" s="1095" t="str">
        <f>VLOOKUP($B1078,DG!A:D,DG!$C$2,)</f>
        <v>Boulon 12x40+ 2 long đền vuông D14-50x50x3/Zn</v>
      </c>
      <c r="G1078" s="1094" t="str">
        <f>VLOOKUP($B1078,DG!A:D,DG!$D$2,)</f>
        <v>bộ</v>
      </c>
      <c r="H1078" s="1873"/>
      <c r="I1078" s="1262">
        <f t="shared" si="105"/>
        <v>0</v>
      </c>
      <c r="J1078" s="1084"/>
      <c r="K1078" s="1084"/>
      <c r="L1078" s="1113"/>
      <c r="M1078" s="977">
        <v>160</v>
      </c>
    </row>
    <row r="1079" spans="1:16" s="1086" customFormat="1" ht="25.15" hidden="1" customHeight="1">
      <c r="A1079" s="1156">
        <f t="shared" si="102"/>
        <v>0</v>
      </c>
      <c r="B1079" s="1327" t="s">
        <v>1540</v>
      </c>
      <c r="C1079" s="1327"/>
      <c r="D1079" s="1081"/>
      <c r="E1079" s="1094">
        <f>VLOOKUP($B1079,DG!A:D,DG!$B$2,)</f>
        <v>0</v>
      </c>
      <c r="F1079" s="1095" t="str">
        <f>VLOOKUP($B1079,DG!A:D,DG!$C$2,)</f>
        <v>Giá nới + Thanh cái tủ CB</v>
      </c>
      <c r="G1079" s="1094" t="str">
        <f>VLOOKUP($B1079,DG!A:D,DG!$D$2,)</f>
        <v>bộ</v>
      </c>
      <c r="H1079" s="1890">
        <f>H1074*0</f>
        <v>0</v>
      </c>
      <c r="I1079" s="1262">
        <f t="shared" si="105"/>
        <v>0</v>
      </c>
      <c r="J1079" s="1084"/>
      <c r="K1079" s="1084"/>
      <c r="L1079" s="1113"/>
      <c r="M1079" s="977">
        <v>160</v>
      </c>
    </row>
    <row r="1080" spans="1:16" s="1086" customFormat="1" ht="25.15" hidden="1" customHeight="1">
      <c r="A1080" s="1156">
        <f t="shared" si="102"/>
        <v>0</v>
      </c>
      <c r="B1080" s="1327" t="s">
        <v>882</v>
      </c>
      <c r="C1080" s="1327"/>
      <c r="D1080" s="1081"/>
      <c r="E1080" s="1094">
        <f>VLOOKUP($B1080,DG!A:D,DG!$B$2,)</f>
        <v>0</v>
      </c>
      <c r="F1080" s="1095" t="str">
        <f>VLOOKUP($B1080,DG!A:D,DG!$C$2,)</f>
        <v xml:space="preserve">Bakelit 550x450 dầy 10mm </v>
      </c>
      <c r="G1080" s="1094" t="str">
        <f>VLOOKUP($B1080,DG!A:D,DG!$D$2,)</f>
        <v>cái</v>
      </c>
      <c r="H1080" s="1873">
        <f>H1074*3</f>
        <v>0</v>
      </c>
      <c r="I1080" s="1262">
        <f t="shared" si="105"/>
        <v>0</v>
      </c>
      <c r="J1080" s="1084"/>
      <c r="K1080" s="1084"/>
      <c r="L1080" s="1113"/>
      <c r="M1080" s="977">
        <v>160</v>
      </c>
    </row>
    <row r="1081" spans="1:16" s="1086" customFormat="1" ht="25.15" hidden="1" customHeight="1">
      <c r="A1081" s="1156">
        <f t="shared" si="102"/>
        <v>0</v>
      </c>
      <c r="B1081" s="1327" t="s">
        <v>289</v>
      </c>
      <c r="C1081" s="1327"/>
      <c r="D1081" s="1093"/>
      <c r="E1081" s="1094" t="str">
        <f>VLOOKUP($B1081,DG!A:D,DG!$B$2,)</f>
        <v>06.3191</v>
      </c>
      <c r="F1081" s="1095" t="str">
        <f>VLOOKUP($B1081,DG!A:D,DG!$C$2,)</f>
        <v>Bảng tên trạm, bảng báo nguy hiểm + đinh vít</v>
      </c>
      <c r="G1081" s="1094" t="str">
        <f>VLOOKUP($B1081,DG!A:D,DG!$D$2,)</f>
        <v>bộ</v>
      </c>
      <c r="H1081" s="1873">
        <f>H1074</f>
        <v>0</v>
      </c>
      <c r="I1081" s="1262">
        <f t="shared" si="105"/>
        <v>0</v>
      </c>
      <c r="J1081" s="1084"/>
      <c r="K1081" s="1084"/>
      <c r="L1081" s="1113"/>
      <c r="M1081" s="977">
        <v>160</v>
      </c>
    </row>
    <row r="1082" spans="1:16" s="1086" customFormat="1" ht="25.15" hidden="1" customHeight="1">
      <c r="A1082" s="1156">
        <f t="shared" si="102"/>
        <v>0</v>
      </c>
      <c r="B1082" s="1327"/>
      <c r="C1082" s="1327"/>
      <c r="D1082" s="1087">
        <f>IF(H1082&gt;0,D1074+1,D1074)</f>
        <v>0</v>
      </c>
      <c r="E1082" s="1088"/>
      <c r="F1082" s="1089" t="s">
        <v>3745</v>
      </c>
      <c r="G1082" s="1087" t="s">
        <v>2541</v>
      </c>
      <c r="H1082" s="1889">
        <f>H943*0</f>
        <v>0</v>
      </c>
      <c r="I1082" s="1262">
        <f t="shared" si="105"/>
        <v>0</v>
      </c>
      <c r="J1082" s="1084"/>
      <c r="K1082" s="1084"/>
      <c r="L1082" s="1085"/>
      <c r="M1082" s="977">
        <v>160</v>
      </c>
    </row>
    <row r="1083" spans="1:16" s="1086" customFormat="1" ht="25.15" hidden="1" customHeight="1">
      <c r="A1083" s="1156">
        <f>IF(A1082&gt;0,1,0)</f>
        <v>0</v>
      </c>
      <c r="B1083" s="1327"/>
      <c r="C1083" s="1327"/>
      <c r="D1083" s="1081"/>
      <c r="E1083" s="1091"/>
      <c r="F1083" s="1370" t="s">
        <v>2287</v>
      </c>
      <c r="G1083" s="1093"/>
      <c r="H1083" s="1873"/>
      <c r="I1083" s="1262">
        <f t="shared" si="105"/>
        <v>0</v>
      </c>
      <c r="J1083" s="1084"/>
      <c r="K1083" s="1084"/>
      <c r="L1083" s="1085"/>
      <c r="M1083" s="977">
        <v>160</v>
      </c>
    </row>
    <row r="1084" spans="1:16" s="1086" customFormat="1" ht="25.15" hidden="1" customHeight="1">
      <c r="A1084" s="1156">
        <f t="shared" si="102"/>
        <v>0</v>
      </c>
      <c r="B1084" s="1329" t="s">
        <v>754</v>
      </c>
      <c r="C1084" s="1329"/>
      <c r="D1084" s="1093"/>
      <c r="E1084" s="1094" t="e">
        <f>VLOOKUP($B1084,DG!A:D,DG!$B$2,)</f>
        <v>#N/A</v>
      </c>
      <c r="F1084" s="1111" t="e">
        <f>VLOOKUP($B1084,DG!A:D,DG!$C$2,)&amp;": 0,315m3/m"</f>
        <v>#N/A</v>
      </c>
      <c r="G1084" s="1094" t="e">
        <f>VLOOKUP($B1084,DG!A:D,DG!$D$2,)</f>
        <v>#N/A</v>
      </c>
      <c r="H1084" s="1873">
        <f>H1082*0.315</f>
        <v>0</v>
      </c>
      <c r="I1084" s="1262">
        <f t="shared" si="105"/>
        <v>0</v>
      </c>
      <c r="J1084" s="1084"/>
      <c r="K1084" s="1084"/>
      <c r="L1084" s="1085"/>
      <c r="M1084" s="977">
        <v>160</v>
      </c>
    </row>
    <row r="1085" spans="1:16" s="1086" customFormat="1" ht="25.15" hidden="1" customHeight="1">
      <c r="A1085" s="1156">
        <f t="shared" si="102"/>
        <v>0</v>
      </c>
      <c r="B1085" s="1329" t="s">
        <v>520</v>
      </c>
      <c r="C1085" s="1329"/>
      <c r="D1085" s="1093"/>
      <c r="E1085" s="1094">
        <f>VLOOKUP($B1085,DG!A:D,DG!$B$2,)</f>
        <v>0</v>
      </c>
      <c r="F1085" s="1111" t="str">
        <f>VLOOKUP($B1085,DG!A:D,DG!$C$2,)&amp;": 0,092m3/m"</f>
        <v>Đá 2x4: 0,092m3/m</v>
      </c>
      <c r="G1085" s="1094" t="str">
        <f>VLOOKUP($B1085,DG!A:D,DG!$D$2,)</f>
        <v>m3</v>
      </c>
      <c r="H1085" s="1873">
        <f>0.092*H1082</f>
        <v>0</v>
      </c>
      <c r="I1085" s="1262">
        <f t="shared" si="105"/>
        <v>0</v>
      </c>
      <c r="J1085" s="1084"/>
      <c r="K1085" s="1084"/>
      <c r="L1085" s="1085"/>
      <c r="M1085" s="977">
        <v>160</v>
      </c>
    </row>
    <row r="1086" spans="1:16" s="1086" customFormat="1" ht="25.15" hidden="1" customHeight="1">
      <c r="A1086" s="1156">
        <f t="shared" si="102"/>
        <v>0</v>
      </c>
      <c r="B1086" s="1329" t="s">
        <v>1681</v>
      </c>
      <c r="C1086" s="1329"/>
      <c r="D1086" s="1093"/>
      <c r="E1086" s="1094">
        <f>VLOOKUP($B1086,DG!A:D,DG!$B$2,)</f>
        <v>0</v>
      </c>
      <c r="F1086" s="1111" t="str">
        <f>VLOOKUP($B1086,DG!A:D,DG!$C$2,)&amp;": 3,3vieân/m"</f>
        <v>Gạch tàu: 3,3vieân/m</v>
      </c>
      <c r="G1086" s="1094" t="str">
        <f>VLOOKUP($B1086,DG!A:D,DG!$D$2,)</f>
        <v>viên</v>
      </c>
      <c r="H1086" s="1873">
        <f>3.3*H1082</f>
        <v>0</v>
      </c>
      <c r="I1086" s="1262">
        <f t="shared" si="105"/>
        <v>0</v>
      </c>
      <c r="J1086" s="1084"/>
      <c r="K1086" s="1084"/>
      <c r="L1086" s="1085"/>
      <c r="M1086" s="977">
        <v>160</v>
      </c>
    </row>
    <row r="1087" spans="1:16" s="1086" customFormat="1" ht="25.15" hidden="1" customHeight="1">
      <c r="A1087" s="1156">
        <f t="shared" si="102"/>
        <v>0</v>
      </c>
      <c r="B1087" s="1329" t="s">
        <v>1682</v>
      </c>
      <c r="C1087" s="1329"/>
      <c r="D1087" s="1093"/>
      <c r="E1087" s="1094">
        <f>VLOOKUP($B1087,DG!A:D,DG!$B$2,)</f>
        <v>0</v>
      </c>
      <c r="F1087" s="1111" t="str">
        <f>VLOOKUP($B1087,DG!A:D,DG!$C$2,)&amp;": 0,4m2/m"</f>
        <v>Tấm nilông màu cảnh báo: 0,4m2/m</v>
      </c>
      <c r="G1087" s="1094" t="str">
        <f>VLOOKUP($B1087,DG!A:D,DG!$D$2,)</f>
        <v>m2</v>
      </c>
      <c r="H1087" s="1873">
        <f>0.4*H1082</f>
        <v>0</v>
      </c>
      <c r="I1087" s="1262">
        <f t="shared" si="105"/>
        <v>0</v>
      </c>
      <c r="J1087" s="1084"/>
      <c r="K1087" s="1084"/>
      <c r="L1087" s="1085"/>
      <c r="M1087" s="977">
        <v>160</v>
      </c>
    </row>
    <row r="1088" spans="1:16" s="1086" customFormat="1" ht="25.15" hidden="1" customHeight="1">
      <c r="A1088" s="1156">
        <f t="shared" si="102"/>
        <v>0</v>
      </c>
      <c r="B1088" s="1329" t="s">
        <v>1523</v>
      </c>
      <c r="C1088" s="1329"/>
      <c r="D1088" s="1081"/>
      <c r="E1088" s="1094">
        <f>VLOOKUP($B1088,DG!A:D,DG!$B$2,)</f>
        <v>0</v>
      </c>
      <c r="F1088" s="1111" t="str">
        <f>VLOOKUP($B1088,DG!A:D,DG!$C$2,)</f>
        <v>Ống PVC D140x6,7mm</v>
      </c>
      <c r="G1088" s="1094" t="str">
        <f>VLOOKUP($B1088,DG!A:D,DG!$D$2,)</f>
        <v>m</v>
      </c>
      <c r="H1088" s="1873">
        <f>1*H1082</f>
        <v>0</v>
      </c>
      <c r="I1088" s="1262">
        <f t="shared" si="105"/>
        <v>0</v>
      </c>
      <c r="J1088" s="1084"/>
      <c r="K1088" s="1084"/>
      <c r="L1088" s="1085"/>
      <c r="M1088" s="977">
        <v>160</v>
      </c>
    </row>
    <row r="1089" spans="1:14" s="1086" customFormat="1" ht="25.15" hidden="1" customHeight="1">
      <c r="A1089" s="1156">
        <f t="shared" si="102"/>
        <v>0</v>
      </c>
      <c r="B1089" s="1329" t="s">
        <v>1684</v>
      </c>
      <c r="C1089" s="1329"/>
      <c r="D1089" s="1093"/>
      <c r="E1089" s="1094" t="str">
        <f>VLOOKUP($B1089,DG!A:D,DG!$B$2,)</f>
        <v>03.7000</v>
      </c>
      <c r="F1089" s="1111" t="str">
        <f>VLOOKUP($B1089,DG!A:D,DG!$C$2,)&amp;" + ñaép ñaù"</f>
        <v>Đắp cát  + ñaép ñaù</v>
      </c>
      <c r="G1089" s="1094" t="str">
        <f>VLOOKUP($B1089,DG!A:D,DG!$D$2,)</f>
        <v>m3</v>
      </c>
      <c r="H1089" s="1873">
        <f>H1084+H1085</f>
        <v>0</v>
      </c>
      <c r="I1089" s="1262">
        <f t="shared" si="105"/>
        <v>0</v>
      </c>
      <c r="J1089" s="1084"/>
      <c r="K1089" s="1084"/>
      <c r="L1089" s="1085"/>
      <c r="M1089" s="977">
        <v>160</v>
      </c>
    </row>
    <row r="1090" spans="1:14" s="1086" customFormat="1" ht="25.15" hidden="1" customHeight="1">
      <c r="A1090" s="1156">
        <f t="shared" si="102"/>
        <v>0</v>
      </c>
      <c r="B1090" s="1329" t="s">
        <v>144</v>
      </c>
      <c r="C1090" s="1329"/>
      <c r="D1090" s="1093"/>
      <c r="E1090" s="1094" t="str">
        <f>VLOOKUP($B1090,DG!A:D,DG!$B$2,)</f>
        <v>03.3103</v>
      </c>
      <c r="F1090" s="1111" t="str">
        <f>VLOOKUP($B1090,DG!A:D,DG!$C$2,)&amp;" : 0,48m3/m"</f>
        <v>Đào mương cáp ngầm đất cấp 3 : 0,48m3/m</v>
      </c>
      <c r="G1090" s="1094" t="str">
        <f>VLOOKUP($B1090,DG!A:D,DG!$D$2,)</f>
        <v>m3</v>
      </c>
      <c r="H1090" s="1873">
        <f>H1082*0.48</f>
        <v>0</v>
      </c>
      <c r="I1090" s="1262">
        <f t="shared" si="105"/>
        <v>0</v>
      </c>
      <c r="J1090" s="1084"/>
      <c r="K1090" s="1084"/>
      <c r="L1090" s="1085"/>
      <c r="M1090" s="977">
        <v>160</v>
      </c>
    </row>
    <row r="1091" spans="1:14" s="1086" customFormat="1" ht="25.15" hidden="1" customHeight="1">
      <c r="A1091" s="1156">
        <f t="shared" si="102"/>
        <v>0</v>
      </c>
      <c r="B1091" s="1329" t="s">
        <v>529</v>
      </c>
      <c r="C1091" s="1329"/>
      <c r="D1091" s="1093"/>
      <c r="E1091" s="1094" t="str">
        <f>VLOOKUP($B1091,DG!A:D,DG!$B$2,)</f>
        <v>03.3203</v>
      </c>
      <c r="F1091" s="1111" t="str">
        <f>VLOOKUP($B1091,DG!A:D,DG!$C$2,)&amp;" : 0,073m3/m"</f>
        <v>Đắp đất mương cáp ngầm, đất cấp 3 : 0,073m3/m</v>
      </c>
      <c r="G1091" s="1094" t="str">
        <f>VLOOKUP($B1091,DG!A:D,DG!$D$2,)</f>
        <v>m3</v>
      </c>
      <c r="H1091" s="1873">
        <f>H1082*0.073</f>
        <v>0</v>
      </c>
      <c r="I1091" s="1262">
        <f t="shared" si="105"/>
        <v>0</v>
      </c>
      <c r="J1091" s="1084"/>
      <c r="K1091" s="1084"/>
      <c r="L1091" s="1085"/>
      <c r="M1091" s="977">
        <v>160</v>
      </c>
      <c r="N1091" s="1136">
        <v>0.47499999999999998</v>
      </c>
    </row>
    <row r="1092" spans="1:14" s="1086" customFormat="1" ht="25.15" hidden="1" customHeight="1">
      <c r="A1092" s="1156">
        <f t="shared" si="102"/>
        <v>0</v>
      </c>
      <c r="B1092" s="1327"/>
      <c r="C1092" s="1327"/>
      <c r="D1092" s="1087">
        <f>IF(H1092&gt;0,D1082+1,D1082)</f>
        <v>0</v>
      </c>
      <c r="E1092" s="1088"/>
      <c r="F1092" s="1089" t="s">
        <v>3746</v>
      </c>
      <c r="G1092" s="1087" t="s">
        <v>2394</v>
      </c>
      <c r="H1092" s="1889">
        <f>H1101</f>
        <v>0</v>
      </c>
      <c r="I1092" s="1262">
        <f t="shared" si="105"/>
        <v>0</v>
      </c>
      <c r="J1092" s="1084"/>
      <c r="K1092" s="1084"/>
      <c r="L1092" s="1085"/>
      <c r="M1092" s="977">
        <v>160</v>
      </c>
      <c r="N1092" s="1136">
        <v>0.88100000000000001</v>
      </c>
    </row>
    <row r="1093" spans="1:14" s="1086" customFormat="1" ht="25.15" hidden="1" customHeight="1">
      <c r="A1093" s="1156">
        <f>IF(A1092&gt;0,1,0)</f>
        <v>0</v>
      </c>
      <c r="B1093" s="1327"/>
      <c r="C1093" s="1327"/>
      <c r="D1093" s="1081"/>
      <c r="E1093" s="1091"/>
      <c r="F1093" s="1370" t="s">
        <v>2287</v>
      </c>
      <c r="G1093" s="1093"/>
      <c r="H1093" s="1873"/>
      <c r="I1093" s="1262">
        <f t="shared" si="105"/>
        <v>0</v>
      </c>
      <c r="J1093" s="1084"/>
      <c r="K1093" s="1084"/>
      <c r="L1093" s="1085"/>
      <c r="M1093" s="977">
        <v>160</v>
      </c>
    </row>
    <row r="1094" spans="1:14" s="1086" customFormat="1" ht="25.15" hidden="1" customHeight="1">
      <c r="A1094" s="1156">
        <f t="shared" si="102"/>
        <v>0</v>
      </c>
      <c r="B1094" s="1327" t="s">
        <v>623</v>
      </c>
      <c r="C1094" s="1327"/>
      <c r="D1094" s="1093"/>
      <c r="E1094" s="1094" t="str">
        <f>VLOOKUP($B1094,DG!A:D,DG!$B$2,)</f>
        <v>07.2204</v>
      </c>
      <c r="F1094" s="1095" t="str">
        <f>VLOOKUP($B1094,DG!A:D,DG!$C$2,)</f>
        <v>ÔÁng sắt tráng kẽm D140</v>
      </c>
      <c r="G1094" s="1094" t="str">
        <f>VLOOKUP($B1094,DG!A:D,DG!$D$2,)</f>
        <v>mét</v>
      </c>
      <c r="H1094" s="1873">
        <f>H1092*5*0</f>
        <v>0</v>
      </c>
      <c r="I1094" s="1262">
        <f t="shared" si="105"/>
        <v>0</v>
      </c>
      <c r="J1094" s="1084"/>
      <c r="K1094" s="1084"/>
      <c r="L1094" s="1085"/>
      <c r="M1094" s="977">
        <v>160</v>
      </c>
    </row>
    <row r="1095" spans="1:14" s="1086" customFormat="1" ht="25.15" hidden="1" customHeight="1">
      <c r="A1095" s="1156">
        <f t="shared" si="102"/>
        <v>0</v>
      </c>
      <c r="B1095" s="1329" t="s">
        <v>473</v>
      </c>
      <c r="C1095" s="1329"/>
      <c r="D1095" s="1081"/>
      <c r="E1095" s="1094">
        <f>VLOOKUP($B1095,DG!A:D,DG!$B$2,)</f>
        <v>0</v>
      </c>
      <c r="F1095" s="1095" t="str">
        <f>VLOOKUP($B1095,DG!A:D,DG!$C$2,)</f>
        <v>Co sừng 90 độ PVC 140</v>
      </c>
      <c r="G1095" s="1094" t="str">
        <f>VLOOKUP($B1095,DG!A:D,DG!$D$2,)</f>
        <v>cái</v>
      </c>
      <c r="H1095" s="1873">
        <f>H1092*0</f>
        <v>0</v>
      </c>
      <c r="I1095" s="1262">
        <f t="shared" si="105"/>
        <v>0</v>
      </c>
      <c r="J1095" s="1084"/>
      <c r="K1095" s="1084"/>
      <c r="L1095" s="1085"/>
      <c r="M1095" s="977">
        <v>160</v>
      </c>
    </row>
    <row r="1096" spans="1:14" s="1086" customFormat="1" ht="25.15" hidden="1" customHeight="1">
      <c r="A1096" s="1156">
        <f t="shared" si="102"/>
        <v>0</v>
      </c>
      <c r="B1096" s="1327" t="s">
        <v>120</v>
      </c>
      <c r="C1096" s="1327"/>
      <c r="D1096" s="1093"/>
      <c r="E1096" s="1094" t="str">
        <f>VLOOKUP($B1096,DG!A:D,DG!$B$2,)</f>
        <v>06.3231</v>
      </c>
      <c r="F1096" s="1095" t="str">
        <f>VLOOKUP($B1096,DG!A:D,DG!$C$2,)</f>
        <v>Cổ dê giữ ống STK D140 vào tường+Boulon+long đền+tắc ke sắt</v>
      </c>
      <c r="G1096" s="1094" t="str">
        <f>VLOOKUP($B1096,DG!A:D,DG!$D$2,)</f>
        <v>bộ</v>
      </c>
      <c r="H1096" s="1873">
        <f>H1092*2*0</f>
        <v>0</v>
      </c>
      <c r="I1096" s="1262">
        <f t="shared" si="105"/>
        <v>0</v>
      </c>
      <c r="J1096" s="1084"/>
      <c r="K1096" s="1084"/>
      <c r="L1096" s="1085"/>
      <c r="M1096" s="977">
        <v>160</v>
      </c>
    </row>
    <row r="1097" spans="1:14" s="1086" customFormat="1" ht="25.15" hidden="1" customHeight="1">
      <c r="A1097" s="1156">
        <f t="shared" si="102"/>
        <v>0</v>
      </c>
      <c r="B1097" s="1157" t="s">
        <v>1414</v>
      </c>
      <c r="C1097" s="1157"/>
      <c r="D1097" s="1093"/>
      <c r="E1097" s="1094">
        <f>VLOOKUP($B1097,DG!A:D,DG!$B$2,)</f>
        <v>0</v>
      </c>
      <c r="F1097" s="1095" t="str">
        <f>VLOOKUP($B1097,DG!A:D,DG!$C$2,)</f>
        <v>Giá đỡ cáp ngầm (V63x6)</v>
      </c>
      <c r="G1097" s="1094" t="str">
        <f>VLOOKUP($B1097,DG!A:D,DG!$D$2,)</f>
        <v>bộ</v>
      </c>
      <c r="H1097" s="1873">
        <f>H1092*0</f>
        <v>0</v>
      </c>
      <c r="I1097" s="1262">
        <f t="shared" si="105"/>
        <v>0</v>
      </c>
      <c r="J1097" s="1084"/>
      <c r="K1097" s="1084"/>
      <c r="L1097" s="1085"/>
      <c r="M1097" s="977">
        <v>160</v>
      </c>
    </row>
    <row r="1098" spans="1:14" s="1086" customFormat="1" ht="25.15" hidden="1" customHeight="1">
      <c r="A1098" s="1156">
        <f t="shared" si="102"/>
        <v>0</v>
      </c>
      <c r="B1098" s="1157" t="s">
        <v>2146</v>
      </c>
      <c r="C1098" s="1157"/>
      <c r="D1098" s="1093"/>
      <c r="E1098" s="1094">
        <f>VLOOKUP($B1098,DG!A:D,DG!$B$2,)</f>
        <v>0</v>
      </c>
      <c r="F1098" s="1095" t="str">
        <f>VLOOKUP($B1098,DG!A:D,DG!$C$2,)</f>
        <v>Giá đỡ cáp trung hạ thế</v>
      </c>
      <c r="G1098" s="1094" t="str">
        <f>VLOOKUP($B1098,DG!A:D,DG!$D$2,)</f>
        <v>bộ</v>
      </c>
      <c r="H1098" s="1873">
        <f>H1092</f>
        <v>0</v>
      </c>
      <c r="I1098" s="1262">
        <f t="shared" si="105"/>
        <v>0</v>
      </c>
      <c r="J1098" s="1084"/>
      <c r="K1098" s="1084"/>
      <c r="L1098" s="1085"/>
      <c r="M1098" s="977">
        <v>160</v>
      </c>
    </row>
    <row r="1099" spans="1:14" s="1086" customFormat="1" ht="25.15" hidden="1" customHeight="1">
      <c r="A1099" s="1156">
        <f t="shared" si="102"/>
        <v>0</v>
      </c>
      <c r="B1099" s="1327" t="s">
        <v>1415</v>
      </c>
      <c r="C1099" s="1327"/>
      <c r="D1099" s="1081"/>
      <c r="E1099" s="1094" t="str">
        <f>VLOOKUP($B1099,DG!A:D,DG!$B$2,)</f>
        <v>05.6101</v>
      </c>
      <c r="F1099" s="1095" t="str">
        <f>VLOOKUP($B1099,DG!A:D,DG!$C$2,)</f>
        <v>Lắp Giá đỡ cáp</v>
      </c>
      <c r="G1099" s="1094" t="str">
        <f>VLOOKUP($B1099,DG!A:D,DG!$D$2,)</f>
        <v>bộ</v>
      </c>
      <c r="H1099" s="1873">
        <f>H1097+H1098</f>
        <v>0</v>
      </c>
      <c r="I1099" s="1262">
        <f t="shared" si="105"/>
        <v>0</v>
      </c>
      <c r="J1099" s="1084"/>
      <c r="K1099" s="1084"/>
      <c r="L1099" s="1085"/>
      <c r="M1099" s="977">
        <v>160</v>
      </c>
    </row>
    <row r="1100" spans="1:14" s="1086" customFormat="1" ht="25.15" hidden="1" customHeight="1">
      <c r="A1100" s="1156">
        <f t="shared" si="102"/>
        <v>0</v>
      </c>
      <c r="B1100" s="1327" t="s">
        <v>289</v>
      </c>
      <c r="C1100" s="1327"/>
      <c r="D1100" s="1093"/>
      <c r="E1100" s="1094" t="str">
        <f>VLOOKUP($B1100,DG!A:D,DG!$B$2,)</f>
        <v>06.3191</v>
      </c>
      <c r="F1100" s="1095" t="str">
        <f>VLOOKUP($B1100,DG!A:D,DG!$C$2,)</f>
        <v>Bảng tên trạm, bảng báo nguy hiểm + đinh vít</v>
      </c>
      <c r="G1100" s="1094" t="str">
        <f>VLOOKUP($B1100,DG!A:D,DG!$D$2,)</f>
        <v>bộ</v>
      </c>
      <c r="H1100" s="1873">
        <f>H1092*0</f>
        <v>0</v>
      </c>
      <c r="I1100" s="1262">
        <f t="shared" si="105"/>
        <v>0</v>
      </c>
      <c r="J1100" s="1084"/>
      <c r="K1100" s="1084"/>
      <c r="L1100" s="1085"/>
      <c r="M1100" s="977">
        <v>160</v>
      </c>
    </row>
    <row r="1101" spans="1:14" s="1086" customFormat="1" ht="25.15" hidden="1" customHeight="1">
      <c r="A1101" s="1156">
        <f t="shared" si="102"/>
        <v>0</v>
      </c>
      <c r="B1101" s="1327"/>
      <c r="C1101" s="1327"/>
      <c r="D1101" s="1087">
        <f>IF(H1101&gt;0,D1092+1,D1092)</f>
        <v>0</v>
      </c>
      <c r="E1101" s="1088"/>
      <c r="F1101" s="1097" t="s">
        <v>3747</v>
      </c>
      <c r="G1101" s="1087" t="s">
        <v>2394</v>
      </c>
      <c r="H1101" s="1889">
        <v>0</v>
      </c>
      <c r="I1101" s="1262">
        <f t="shared" si="105"/>
        <v>0</v>
      </c>
      <c r="J1101" s="1084"/>
      <c r="K1101" s="1084"/>
      <c r="L1101" s="1085"/>
      <c r="M1101" s="977">
        <v>160</v>
      </c>
    </row>
    <row r="1102" spans="1:14" s="1086" customFormat="1" ht="25.15" hidden="1" customHeight="1">
      <c r="A1102" s="1156">
        <f>IF(A1101&gt;0,1,0)</f>
        <v>0</v>
      </c>
      <c r="B1102" s="1327"/>
      <c r="C1102" s="1327"/>
      <c r="D1102" s="1081"/>
      <c r="E1102" s="1091"/>
      <c r="F1102" s="1371" t="s">
        <v>2287</v>
      </c>
      <c r="G1102" s="1081"/>
      <c r="H1102" s="1890"/>
      <c r="I1102" s="1262">
        <f t="shared" si="105"/>
        <v>0</v>
      </c>
      <c r="J1102" s="1084"/>
      <c r="K1102" s="1084"/>
      <c r="L1102" s="1085"/>
      <c r="M1102" s="977">
        <v>160</v>
      </c>
    </row>
    <row r="1103" spans="1:14" s="1086" customFormat="1" ht="25.15" hidden="1" customHeight="1">
      <c r="A1103" s="1156">
        <f t="shared" si="102"/>
        <v>0</v>
      </c>
      <c r="B1103" s="1157" t="s">
        <v>470</v>
      </c>
      <c r="C1103" s="1157"/>
      <c r="D1103" s="1093"/>
      <c r="E1103" s="1082">
        <f>VLOOKUP($B1103,DG!A:D,DG!$B$2,)</f>
        <v>0</v>
      </c>
      <c r="F1103" s="1083" t="str">
        <f>VLOOKUP($B1103,DG!A:D,DG!$C$2,)&amp;": trong möông vaø leân MBA"</f>
        <v>Cáp 24kV C/XLPE/DSTA/PVC3x50: trong möông vaø leân MBA</v>
      </c>
      <c r="G1103" s="1082" t="str">
        <f>VLOOKUP($B1103,DG!A:D,DG!$D$2,)</f>
        <v>mét</v>
      </c>
      <c r="H1103" s="1873">
        <f>H1082+H1101*8</f>
        <v>0</v>
      </c>
      <c r="I1103" s="1262">
        <f t="shared" si="105"/>
        <v>0</v>
      </c>
      <c r="J1103" s="1084"/>
      <c r="K1103" s="1084"/>
      <c r="L1103" s="1085"/>
      <c r="M1103" s="977">
        <v>160</v>
      </c>
    </row>
    <row r="1104" spans="1:14" s="1086" customFormat="1" ht="25.15" hidden="1" customHeight="1">
      <c r="A1104" s="1156">
        <f t="shared" si="102"/>
        <v>0</v>
      </c>
      <c r="B1104" s="1157" t="s">
        <v>271</v>
      </c>
      <c r="C1104" s="1157"/>
      <c r="D1104" s="1093"/>
      <c r="E1104" s="1082">
        <f>VLOOKUP($B1104,DG!A:D,DG!$B$2,)</f>
        <v>0</v>
      </c>
      <c r="F1104" s="1083" t="str">
        <f>VLOOKUP($B1104,DG!A:D,DG!$C$2,)&amp;": trung tính"</f>
        <v>Cáp 24KV C/XLPE/PVC 50mm2: trung tính</v>
      </c>
      <c r="G1104" s="1082" t="str">
        <f>VLOOKUP($B1104,DG!A:D,DG!$D$2,)</f>
        <v>mét</v>
      </c>
      <c r="H1104" s="1873">
        <f>H1103</f>
        <v>0</v>
      </c>
      <c r="I1104" s="1262">
        <f t="shared" si="105"/>
        <v>0</v>
      </c>
      <c r="J1104" s="1084"/>
      <c r="K1104" s="1084"/>
      <c r="L1104" s="1085"/>
      <c r="M1104" s="977">
        <v>160</v>
      </c>
    </row>
    <row r="1105" spans="1:13" s="1086" customFormat="1" ht="25.15" hidden="1" customHeight="1">
      <c r="A1105" s="1156">
        <f t="shared" ref="A1105:A1175" si="108">IF(I1105&gt;0,1,0)</f>
        <v>0</v>
      </c>
      <c r="B1105" s="1157" t="s">
        <v>271</v>
      </c>
      <c r="C1105" s="1157"/>
      <c r="D1105" s="1093"/>
      <c r="E1105" s="1082">
        <f>VLOOKUP($B1105,DG!A:D,DG!$B$2,)</f>
        <v>0</v>
      </c>
      <c r="F1105" s="1083" t="str">
        <f>VLOOKUP($B1105,DG!A:D,DG!$C$2,)&amp;": 0,5m/pha töø FCO xuoáng MBA"</f>
        <v>Cáp 24KV C/XLPE/PVC 50mm2: 0,5m/pha töø FCO xuoáng MBA</v>
      </c>
      <c r="G1105" s="1082" t="str">
        <f>VLOOKUP($B1105,DG!A:D,DG!$D$2,)</f>
        <v>mét</v>
      </c>
      <c r="H1105" s="1873">
        <f>H1101*0.5*3*0</f>
        <v>0</v>
      </c>
      <c r="I1105" s="1262">
        <f t="shared" si="105"/>
        <v>0</v>
      </c>
      <c r="J1105" s="1084"/>
      <c r="K1105" s="1084"/>
      <c r="L1105" s="1085"/>
      <c r="M1105" s="977">
        <v>160</v>
      </c>
    </row>
    <row r="1106" spans="1:13" s="1086" customFormat="1" ht="25.15" hidden="1" customHeight="1">
      <c r="A1106" s="1156">
        <f t="shared" si="108"/>
        <v>0</v>
      </c>
      <c r="B1106" s="1157" t="s">
        <v>1357</v>
      </c>
      <c r="C1106" s="1157"/>
      <c r="D1106" s="1093"/>
      <c r="E1106" s="1082">
        <f>VLOOKUP($B1106,DG!A:D,DG!$B$2,)</f>
        <v>0</v>
      </c>
      <c r="F1106" s="1083" t="str">
        <f>VLOOKUP($B1106,DG!A:D,DG!$C$2,)</f>
        <v>Đầu cáp ngầm 24KV 3x50mm2 outdoor</v>
      </c>
      <c r="G1106" s="1082" t="str">
        <f>VLOOKUP($B1106,DG!A:D,DG!$D$2,)</f>
        <v>cái</v>
      </c>
      <c r="H1106" s="1873">
        <f>H1101</f>
        <v>0</v>
      </c>
      <c r="I1106" s="1262">
        <f t="shared" si="105"/>
        <v>0</v>
      </c>
      <c r="J1106" s="1084"/>
      <c r="K1106" s="1084"/>
      <c r="L1106" s="1085"/>
      <c r="M1106" s="977">
        <v>160</v>
      </c>
    </row>
    <row r="1107" spans="1:13" s="1086" customFormat="1" ht="25.15" hidden="1" customHeight="1">
      <c r="A1107" s="1156">
        <f t="shared" si="108"/>
        <v>0</v>
      </c>
      <c r="B1107" s="1157" t="s">
        <v>470</v>
      </c>
      <c r="C1107" s="1157"/>
      <c r="D1107" s="1093"/>
      <c r="E1107" s="1082">
        <f>VLOOKUP($B1107,DG!A:D,DG!$B$2,)</f>
        <v>0</v>
      </c>
      <c r="F1107" s="1083" t="str">
        <f>VLOOKUP($B1107,DG!A:D,DG!$C$2,)&amp;": töø tuû LBS ñeán MBA"</f>
        <v>Cáp 24kV C/XLPE/DSTA/PVC3x50: töø tuû LBS ñeán MBA</v>
      </c>
      <c r="G1107" s="1082" t="str">
        <f>VLOOKUP($B1107,DG!A:D,DG!$D$2,)</f>
        <v>mét</v>
      </c>
      <c r="H1107" s="1873">
        <f>(1.2+2.4)*H1101*0</f>
        <v>0</v>
      </c>
      <c r="I1107" s="1262">
        <f t="shared" si="105"/>
        <v>0</v>
      </c>
      <c r="J1107" s="1084"/>
      <c r="K1107" s="1084"/>
      <c r="L1107" s="1085"/>
      <c r="M1107" s="977">
        <v>160</v>
      </c>
    </row>
    <row r="1108" spans="1:13" s="1086" customFormat="1" ht="25.15" hidden="1" customHeight="1">
      <c r="A1108" s="1156">
        <f t="shared" si="108"/>
        <v>0</v>
      </c>
      <c r="B1108" s="1157" t="s">
        <v>271</v>
      </c>
      <c r="C1108" s="1157"/>
      <c r="D1108" s="1093"/>
      <c r="E1108" s="1082">
        <f>VLOOKUP($B1108,DG!A:D,DG!$B$2,)</f>
        <v>0</v>
      </c>
      <c r="F1108" s="1083" t="str">
        <f>VLOOKUP($B1108,DG!A:D,DG!$C$2,)&amp;": töø tuû LBS ñeán MBA"</f>
        <v>Cáp 24KV C/XLPE/PVC 50mm2: töø tuû LBS ñeán MBA</v>
      </c>
      <c r="G1108" s="1082" t="str">
        <f>VLOOKUP($B1108,DG!A:D,DG!$D$2,)</f>
        <v>mét</v>
      </c>
      <c r="H1108" s="1873">
        <f>H1101*1.2*0</f>
        <v>0</v>
      </c>
      <c r="I1108" s="1262">
        <f t="shared" si="105"/>
        <v>0</v>
      </c>
      <c r="J1108" s="1084"/>
      <c r="K1108" s="1084"/>
      <c r="L1108" s="1085"/>
      <c r="M1108" s="977">
        <v>160</v>
      </c>
    </row>
    <row r="1109" spans="1:13" s="1086" customFormat="1" ht="25.15" hidden="1" customHeight="1">
      <c r="A1109" s="1156">
        <f t="shared" si="108"/>
        <v>0</v>
      </c>
      <c r="B1109" s="1157" t="s">
        <v>1358</v>
      </c>
      <c r="C1109" s="1157"/>
      <c r="D1109" s="1093"/>
      <c r="E1109" s="1082">
        <f>VLOOKUP($B1109,DG!A:D,DG!$B$2,)</f>
        <v>0</v>
      </c>
      <c r="F1109" s="1083" t="str">
        <f>VLOOKUP($B1109,DG!A:D,DG!$C$2,)</f>
        <v>Đầu cáp ngầm 24KV 3x50mm2 indoor</v>
      </c>
      <c r="G1109" s="1082" t="str">
        <f>VLOOKUP($B1109,DG!A:D,DG!$D$2,)</f>
        <v>cái</v>
      </c>
      <c r="H1109" s="1873">
        <f>H1101</f>
        <v>0</v>
      </c>
      <c r="I1109" s="1262">
        <f t="shared" si="105"/>
        <v>0</v>
      </c>
      <c r="J1109" s="1084"/>
      <c r="K1109" s="1084"/>
      <c r="L1109" s="1085"/>
      <c r="M1109" s="977">
        <v>160</v>
      </c>
    </row>
    <row r="1110" spans="1:13" s="1086" customFormat="1" ht="25.15" hidden="1" customHeight="1">
      <c r="A1110" s="1156">
        <f t="shared" si="108"/>
        <v>0</v>
      </c>
      <c r="B1110" s="1157" t="s">
        <v>1680</v>
      </c>
      <c r="C1110" s="1157"/>
      <c r="D1110" s="1093"/>
      <c r="E1110" s="1082" t="str">
        <f>VLOOKUP($B1110,DG!A:D,DG!$B$2,)</f>
        <v>07.4312</v>
      </c>
      <c r="F1110" s="1083" t="str">
        <f>VLOOKUP($B1110,DG!A:D,DG!$C$2,)</f>
        <v>Lắp đầu cáp trung thế 3x50mm2, 70mm2</v>
      </c>
      <c r="G1110" s="1082" t="str">
        <f>VLOOKUP($B1110,DG!A:D,DG!$D$2,)</f>
        <v>cái</v>
      </c>
      <c r="H1110" s="1873">
        <f>H1106+H1109</f>
        <v>0</v>
      </c>
      <c r="I1110" s="1262">
        <f t="shared" si="105"/>
        <v>0</v>
      </c>
      <c r="J1110" s="1084"/>
      <c r="K1110" s="1084"/>
      <c r="L1110" s="1085"/>
      <c r="M1110" s="977">
        <v>160</v>
      </c>
    </row>
    <row r="1111" spans="1:13" s="1086" customFormat="1" ht="25.15" hidden="1" customHeight="1">
      <c r="A1111" s="1156">
        <f t="shared" si="108"/>
        <v>0</v>
      </c>
      <c r="B1111" s="1157" t="s">
        <v>1206</v>
      </c>
      <c r="C1111" s="1157"/>
      <c r="D1111" s="1093"/>
      <c r="E1111" s="1082" t="str">
        <f>VLOOKUP($B1111,DG!A:D,DG!$B$2,)</f>
        <v>03.1405</v>
      </c>
      <c r="F1111" s="1083" t="str">
        <f>VLOOKUP($B1111,DG!A:D,DG!$C$2,)</f>
        <v>Lắp cáp trong ống bảo vệ trong TBA loại &lt;=6kg</v>
      </c>
      <c r="G1111" s="1082" t="str">
        <f>VLOOKUP($B1111,DG!A:D,DG!$D$2,)</f>
        <v>mét</v>
      </c>
      <c r="H1111" s="1873">
        <f>H1103+H1107</f>
        <v>0</v>
      </c>
      <c r="I1111" s="1262">
        <f t="shared" si="105"/>
        <v>0</v>
      </c>
      <c r="J1111" s="1084"/>
      <c r="K1111" s="1084"/>
      <c r="L1111" s="1085"/>
      <c r="M1111" s="977">
        <v>160</v>
      </c>
    </row>
    <row r="1112" spans="1:13" s="1086" customFormat="1" ht="25.15" hidden="1" customHeight="1">
      <c r="A1112" s="1156">
        <f t="shared" si="108"/>
        <v>0</v>
      </c>
      <c r="B1112" s="1157" t="s">
        <v>1203</v>
      </c>
      <c r="C1112" s="1157"/>
      <c r="D1112" s="1093"/>
      <c r="E1112" s="1082" t="str">
        <f>VLOOKUP($B1112,DG!A:D,DG!$B$2,)</f>
        <v>03.1402</v>
      </c>
      <c r="F1112" s="1083" t="str">
        <f>VLOOKUP($B1112,DG!A:D,DG!$C$2,)</f>
        <v>Lắp cáp trong ống bảo vệ trong TBA loại &lt;=2kg</v>
      </c>
      <c r="G1112" s="1082" t="str">
        <f>VLOOKUP($B1112,DG!A:D,DG!$D$2,)</f>
        <v>mét</v>
      </c>
      <c r="H1112" s="1873">
        <f>H1104+H1108</f>
        <v>0</v>
      </c>
      <c r="I1112" s="1262">
        <f t="shared" si="105"/>
        <v>0</v>
      </c>
      <c r="J1112" s="1084"/>
      <c r="K1112" s="1084"/>
      <c r="L1112" s="1085"/>
      <c r="M1112" s="977">
        <v>160</v>
      </c>
    </row>
    <row r="1113" spans="1:13" s="1086" customFormat="1" ht="25.15" hidden="1" customHeight="1">
      <c r="A1113" s="1156">
        <f t="shared" si="108"/>
        <v>0</v>
      </c>
      <c r="B1113" s="1157" t="s">
        <v>1530</v>
      </c>
      <c r="C1113" s="1157"/>
      <c r="D1113" s="1093"/>
      <c r="E1113" s="1082" t="str">
        <f>VLOOKUP($B1113,DG!A:D,DG!$B$2,)</f>
        <v>04.4201</v>
      </c>
      <c r="F1113" s="1083" t="str">
        <f>VLOOKUP($B1113,DG!A:D,DG!$C$2,)</f>
        <v>Lắp cáp đồng xuống thiết bị D ≤ 95mm2</v>
      </c>
      <c r="G1113" s="1082" t="str">
        <f>VLOOKUP($B1113,DG!A:D,DG!$D$2,)</f>
        <v>m</v>
      </c>
      <c r="H1113" s="1873">
        <f>H1105</f>
        <v>0</v>
      </c>
      <c r="I1113" s="1262">
        <f t="shared" si="105"/>
        <v>0</v>
      </c>
      <c r="J1113" s="1084"/>
      <c r="K1113" s="1084"/>
      <c r="L1113" s="1085"/>
      <c r="M1113" s="977">
        <v>160</v>
      </c>
    </row>
    <row r="1114" spans="1:13" s="1086" customFormat="1" ht="25.15" hidden="1" customHeight="1">
      <c r="A1114" s="1156">
        <f t="shared" si="108"/>
        <v>0</v>
      </c>
      <c r="B1114" s="1157" t="s">
        <v>1354</v>
      </c>
      <c r="C1114" s="1157"/>
      <c r="D1114" s="1093"/>
      <c r="E1114" s="1082">
        <f>VLOOKUP($B1114,DG!A:D,DG!$B$2,)</f>
        <v>0</v>
      </c>
      <c r="F1114" s="1083" t="str">
        <f>VLOOKUP($B1114,DG!A:D,DG!$C$2,)</f>
        <v>Dây rút cáp</v>
      </c>
      <c r="G1114" s="1082" t="str">
        <f>VLOOKUP($B1114,DG!A:D,DG!$D$2,)</f>
        <v>bọc</v>
      </c>
      <c r="H1114" s="1873">
        <f>H1101*2</f>
        <v>0</v>
      </c>
      <c r="I1114" s="1262">
        <f t="shared" si="105"/>
        <v>0</v>
      </c>
      <c r="J1114" s="1084"/>
      <c r="K1114" s="1084"/>
      <c r="L1114" s="1085"/>
      <c r="M1114" s="977">
        <v>160</v>
      </c>
    </row>
    <row r="1115" spans="1:13" s="1086" customFormat="1" ht="25.15" hidden="1" customHeight="1">
      <c r="A1115" s="1156">
        <f t="shared" si="108"/>
        <v>0</v>
      </c>
      <c r="B1115" s="1327"/>
      <c r="C1115" s="1327"/>
      <c r="D1115" s="1087">
        <f>IF(H1115&gt;0,D1101+1,D1101)</f>
        <v>0</v>
      </c>
      <c r="E1115" s="1088"/>
      <c r="F1115" s="1097" t="s">
        <v>3748</v>
      </c>
      <c r="G1115" s="1087" t="s">
        <v>2394</v>
      </c>
      <c r="H1115" s="1889">
        <f>H943</f>
        <v>0</v>
      </c>
      <c r="I1115" s="1262">
        <f t="shared" si="105"/>
        <v>0</v>
      </c>
      <c r="J1115" s="1084"/>
      <c r="K1115" s="1084"/>
      <c r="L1115" s="1113"/>
      <c r="M1115" s="977">
        <v>160</v>
      </c>
    </row>
    <row r="1116" spans="1:13" s="1086" customFormat="1" ht="25.15" hidden="1" customHeight="1">
      <c r="A1116" s="1156">
        <f>IF(A1115&gt;0,1,0)</f>
        <v>0</v>
      </c>
      <c r="B1116" s="1327"/>
      <c r="C1116" s="1327"/>
      <c r="D1116" s="1081"/>
      <c r="E1116" s="1091"/>
      <c r="F1116" s="1371" t="s">
        <v>2287</v>
      </c>
      <c r="G1116" s="1081"/>
      <c r="H1116" s="1890"/>
      <c r="I1116" s="1262">
        <f t="shared" si="105"/>
        <v>0</v>
      </c>
      <c r="J1116" s="1084"/>
      <c r="K1116" s="1084"/>
      <c r="L1116" s="1113"/>
      <c r="M1116" s="977">
        <v>160</v>
      </c>
    </row>
    <row r="1117" spans="1:13" s="1086" customFormat="1" ht="25.15" hidden="1" customHeight="1">
      <c r="A1117" s="1156">
        <f t="shared" si="108"/>
        <v>0</v>
      </c>
      <c r="B1117" s="1157" t="s">
        <v>699</v>
      </c>
      <c r="C1117" s="1157"/>
      <c r="D1117" s="1093"/>
      <c r="E1117" s="1082">
        <f>VLOOKUP($B1117,DG!A:D,DG!$B$2,)</f>
        <v>0</v>
      </c>
      <c r="F1117" s="1083" t="str">
        <f>VLOOKUP($B1117,DG!A:D,DG!$C$2,)&amp;": 9m/1pha"</f>
        <v>Cáp 24KV CX-25mm2: 9m/1pha</v>
      </c>
      <c r="G1117" s="1082" t="str">
        <f>VLOOKUP($B1117,DG!A:D,DG!$D$2,)</f>
        <v>mét</v>
      </c>
      <c r="H1117" s="1873">
        <f>H1115*(8)*3</f>
        <v>0</v>
      </c>
      <c r="I1117" s="1262">
        <f t="shared" si="105"/>
        <v>0</v>
      </c>
      <c r="J1117" s="1084"/>
      <c r="K1117" s="1084"/>
      <c r="L1117" s="1113"/>
      <c r="M1117" s="977">
        <v>160</v>
      </c>
    </row>
    <row r="1118" spans="1:13" s="1086" customFormat="1" ht="25.15" hidden="1" customHeight="1">
      <c r="A1118" s="1156">
        <f t="shared" si="108"/>
        <v>0</v>
      </c>
      <c r="B1118" s="1157" t="s">
        <v>699</v>
      </c>
      <c r="C1118" s="1157"/>
      <c r="D1118" s="1093"/>
      <c r="E1118" s="1082">
        <f>VLOOKUP($B1118,DG!A:D,DG!$B$2,)</f>
        <v>0</v>
      </c>
      <c r="F1118" s="1083" t="str">
        <f>VLOOKUP($B1118,DG!A:D,DG!$C$2,)&amp;": 1m/1pha ñaáu noái  LA"</f>
        <v>Cáp 24KV CX-25mm2: 1m/1pha ñaáu noái  LA</v>
      </c>
      <c r="G1118" s="1082" t="str">
        <f>VLOOKUP($B1118,DG!A:D,DG!$D$2,)</f>
        <v>mét</v>
      </c>
      <c r="H1118" s="1873">
        <f>H1115*3*1*0</f>
        <v>0</v>
      </c>
      <c r="I1118" s="1262">
        <f t="shared" si="105"/>
        <v>0</v>
      </c>
      <c r="J1118" s="1084"/>
      <c r="K1118" s="1084"/>
      <c r="L1118" s="1113"/>
      <c r="M1118" s="977">
        <v>160</v>
      </c>
    </row>
    <row r="1119" spans="1:13" s="1086" customFormat="1" ht="25.15" hidden="1" customHeight="1">
      <c r="A1119" s="1156">
        <f t="shared" si="108"/>
        <v>0</v>
      </c>
      <c r="B1119" s="1157" t="s">
        <v>1117</v>
      </c>
      <c r="C1119" s="1157"/>
      <c r="D1119" s="1093"/>
      <c r="E1119" s="1082">
        <f>VLOOKUP($B1119,DG!A:D,DG!$B$2,)</f>
        <v>0</v>
      </c>
      <c r="F1119" s="1083" t="str">
        <f>VLOOKUP($B1119,DG!A:D,DG!$C$2,)</f>
        <v>Kẹp ép cỡ dây 25mm2</v>
      </c>
      <c r="G1119" s="1082" t="str">
        <f>VLOOKUP($B1119,DG!A:D,DG!$D$2,)</f>
        <v>cái</v>
      </c>
      <c r="H1119" s="1873">
        <f>$H$1115*3*2*0</f>
        <v>0</v>
      </c>
      <c r="I1119" s="1262">
        <f t="shared" si="105"/>
        <v>0</v>
      </c>
      <c r="J1119" s="1084"/>
      <c r="K1119" s="1084"/>
      <c r="L1119" s="1085"/>
      <c r="M1119" s="977">
        <v>160</v>
      </c>
    </row>
    <row r="1120" spans="1:13" s="1086" customFormat="1" ht="25.15" hidden="1" customHeight="1">
      <c r="A1120" s="1156">
        <f t="shared" si="108"/>
        <v>0</v>
      </c>
      <c r="B1120" s="1157" t="s">
        <v>550</v>
      </c>
      <c r="C1120" s="1157"/>
      <c r="D1120" s="1093"/>
      <c r="E1120" s="1082">
        <f>VLOOKUP($B1120,DG!A:D,DG!$B$2,)</f>
        <v>0</v>
      </c>
      <c r="F1120" s="1083" t="str">
        <f>VLOOKUP($B1120,DG!A:D,DG!$C$2,)&amp;" + LA"</f>
        <v>Bass LI bắt FCO + LA</v>
      </c>
      <c r="G1120" s="1082" t="str">
        <f>VLOOKUP($B1120,DG!A:D,DG!$D$2,)</f>
        <v>Bộ</v>
      </c>
      <c r="H1120" s="1873">
        <f>$H$1115*3*2*0</f>
        <v>0</v>
      </c>
      <c r="I1120" s="1262">
        <f t="shared" si="105"/>
        <v>0</v>
      </c>
      <c r="J1120" s="1084"/>
      <c r="K1120" s="1084"/>
      <c r="L1120" s="1085"/>
      <c r="M1120" s="977">
        <v>160</v>
      </c>
    </row>
    <row r="1121" spans="1:13" s="1086" customFormat="1" ht="25.15" hidden="1" customHeight="1">
      <c r="A1121" s="1156">
        <f t="shared" si="108"/>
        <v>0</v>
      </c>
      <c r="B1121" s="1157" t="s">
        <v>1484</v>
      </c>
      <c r="C1121" s="1157"/>
      <c r="D1121" s="1093"/>
      <c r="E1121" s="1082" t="str">
        <f>VLOOKUP($B1121,DG!A:D,DG!$B$2,)</f>
        <v>04.3007</v>
      </c>
      <c r="F1121" s="1083" t="str">
        <f>VLOOKUP($B1121,DG!A:D,DG!$C$2,)</f>
        <v>Kẹp quai 2/0</v>
      </c>
      <c r="G1121" s="1082" t="str">
        <f>VLOOKUP($B1121,DG!A:D,DG!$D$2,)</f>
        <v>cái</v>
      </c>
      <c r="H1121" s="1873">
        <f>$H$1115*3</f>
        <v>0</v>
      </c>
      <c r="I1121" s="1262">
        <f t="shared" si="105"/>
        <v>0</v>
      </c>
      <c r="J1121" s="1084"/>
      <c r="K1121" s="1084"/>
      <c r="L1121" s="1113"/>
      <c r="M1121" s="977">
        <v>160</v>
      </c>
    </row>
    <row r="1122" spans="1:13" s="1086" customFormat="1" ht="25.15" hidden="1" customHeight="1">
      <c r="A1122" s="1156">
        <f t="shared" si="108"/>
        <v>0</v>
      </c>
      <c r="B1122" s="1157" t="s">
        <v>1482</v>
      </c>
      <c r="C1122" s="1157"/>
      <c r="D1122" s="1093"/>
      <c r="E1122" s="1082" t="str">
        <f>VLOOKUP($B1122,DG!A:D,DG!$B$2,)</f>
        <v>04.3007</v>
      </c>
      <c r="F1122" s="1083" t="str">
        <f>VLOOKUP($B1122,DG!A:D,DG!$C$2,)&amp;": "</f>
        <v xml:space="preserve">Kẹp hotline 2/0: </v>
      </c>
      <c r="G1122" s="1082" t="str">
        <f>VLOOKUP($B1122,DG!A:D,DG!$D$2,)</f>
        <v>cái</v>
      </c>
      <c r="H1122" s="1873">
        <f>H1121</f>
        <v>0</v>
      </c>
      <c r="I1122" s="1262">
        <f t="shared" si="105"/>
        <v>0</v>
      </c>
      <c r="J1122" s="1084"/>
      <c r="K1122" s="1084"/>
      <c r="L1122" s="1113"/>
      <c r="M1122" s="977">
        <v>160</v>
      </c>
    </row>
    <row r="1123" spans="1:13" s="1086" customFormat="1" ht="25.15" hidden="1" customHeight="1">
      <c r="A1123" s="1156">
        <f t="shared" si="108"/>
        <v>0</v>
      </c>
      <c r="B1123" s="1327" t="s">
        <v>4378</v>
      </c>
      <c r="C1123" s="1327"/>
      <c r="D1123" s="1093"/>
      <c r="E1123" s="1082">
        <f>VLOOKUP($B1123,DG!A:D,DG!$B$2,)</f>
        <v>0</v>
      </c>
      <c r="F1123" s="1083" t="str">
        <f>VLOOKUP($B1123,DG!A:D,DG!$C$2,)</f>
        <v>Chụp cách điện đầu cực MBA</v>
      </c>
      <c r="G1123" s="1082" t="str">
        <f>VLOOKUP($B1123,DG!A:D,DG!$D$2,)</f>
        <v>cái</v>
      </c>
      <c r="H1123" s="1873">
        <v>3</v>
      </c>
      <c r="I1123" s="1262">
        <f t="shared" si="105"/>
        <v>0</v>
      </c>
      <c r="J1123" s="1084"/>
      <c r="K1123" s="1084"/>
      <c r="L1123" s="1085"/>
      <c r="M1123" s="977">
        <v>160</v>
      </c>
    </row>
    <row r="1124" spans="1:13" s="1086" customFormat="1" ht="25.15" hidden="1" customHeight="1">
      <c r="A1124" s="1156">
        <f t="shared" si="108"/>
        <v>0</v>
      </c>
      <c r="B1124" s="1327" t="s">
        <v>4372</v>
      </c>
      <c r="C1124" s="1327"/>
      <c r="D1124" s="1093"/>
      <c r="E1124" s="1082">
        <f>VLOOKUP($B1124,DG!A:D,DG!$B$2,)</f>
        <v>0</v>
      </c>
      <c r="F1124" s="1083" t="str">
        <f>VLOOKUP($B1124,DG!A:D,DG!$C$2,)</f>
        <v>Chụp cách điện đầu cực FCO (trên + dưới)</v>
      </c>
      <c r="G1124" s="1082" t="str">
        <f>VLOOKUP($B1124,DG!A:D,DG!$D$2,)</f>
        <v>bộ</v>
      </c>
      <c r="H1124" s="1873">
        <v>3</v>
      </c>
      <c r="I1124" s="1262">
        <f t="shared" si="105"/>
        <v>0</v>
      </c>
      <c r="J1124" s="1084"/>
      <c r="K1124" s="1084"/>
      <c r="L1124" s="1085"/>
      <c r="M1124" s="977">
        <v>160</v>
      </c>
    </row>
    <row r="1125" spans="1:13" s="1086" customFormat="1" ht="25.15" hidden="1" customHeight="1">
      <c r="A1125" s="1156">
        <f t="shared" ref="A1125" si="109">IF(I1125&gt;0,1,0)</f>
        <v>0</v>
      </c>
      <c r="B1125" s="1327" t="s">
        <v>4380</v>
      </c>
      <c r="C1125" s="1327"/>
      <c r="D1125" s="1093"/>
      <c r="E1125" s="1082">
        <f>VLOOKUP($B1125,DG!A:D,DG!$B$2,)</f>
        <v>0</v>
      </c>
      <c r="F1125" s="1083" t="str">
        <f>VLOOKUP($B1125,DG!A:D,DG!$C$2,)</f>
        <v>Chụp cách điện đầu cực LA</v>
      </c>
      <c r="G1125" s="1082" t="str">
        <f>VLOOKUP($B1125,DG!A:D,DG!$D$2,)</f>
        <v>cái</v>
      </c>
      <c r="H1125" s="1873">
        <v>3</v>
      </c>
      <c r="I1125" s="1262">
        <f t="shared" si="105"/>
        <v>0</v>
      </c>
      <c r="J1125" s="1084"/>
      <c r="K1125" s="1084"/>
      <c r="L1125" s="1085"/>
      <c r="M1125" s="977">
        <v>160</v>
      </c>
    </row>
    <row r="1126" spans="1:13" s="1086" customFormat="1" ht="25.15" hidden="1" customHeight="1">
      <c r="A1126" s="1156">
        <f t="shared" si="108"/>
        <v>0</v>
      </c>
      <c r="B1126" s="1157" t="s">
        <v>698</v>
      </c>
      <c r="C1126" s="1157"/>
      <c r="D1126" s="1113"/>
      <c r="E1126" s="1082">
        <f>VLOOKUP($B1126,DG!A:D,DG!$B$2,)</f>
        <v>0</v>
      </c>
      <c r="F1126" s="1083" t="str">
        <f>VLOOKUP($B1126,DG!A:D,DG!$C$2,)</f>
        <v xml:space="preserve">Sứ đứng 24KV </v>
      </c>
      <c r="G1126" s="1082" t="str">
        <f>VLOOKUP($B1126,DG!A:D,DG!$D$2,)</f>
        <v>cái</v>
      </c>
      <c r="H1126" s="1873">
        <v>3</v>
      </c>
      <c r="I1126" s="1262">
        <f t="shared" si="105"/>
        <v>0</v>
      </c>
      <c r="J1126" s="1084"/>
      <c r="K1126" s="1084"/>
      <c r="L1126" s="1113"/>
      <c r="M1126" s="977">
        <v>160</v>
      </c>
    </row>
    <row r="1127" spans="1:13" s="1086" customFormat="1" ht="25.15" hidden="1" customHeight="1">
      <c r="A1127" s="1156">
        <f t="shared" si="108"/>
        <v>0</v>
      </c>
      <c r="B1127" s="1157" t="s">
        <v>1270</v>
      </c>
      <c r="C1127" s="1157"/>
      <c r="D1127" s="1093"/>
      <c r="E1127" s="1082">
        <f>VLOOKUP($B1127,DG!A:D,DG!$B$2,)</f>
        <v>0</v>
      </c>
      <c r="F1127" s="1083" t="str">
        <f>VLOOKUP($B1127,DG!A:D,DG!$C$2,)</f>
        <v>Chân sứ đứng D20</v>
      </c>
      <c r="G1127" s="1082" t="str">
        <f>VLOOKUP($B1127,DG!A:D,DG!$D$2,)</f>
        <v>cái</v>
      </c>
      <c r="H1127" s="2281">
        <f>H1126</f>
        <v>3</v>
      </c>
      <c r="I1127" s="1262">
        <f t="shared" si="105"/>
        <v>0</v>
      </c>
      <c r="J1127" s="1084"/>
      <c r="K1127" s="1084"/>
      <c r="L1127" s="1113"/>
      <c r="M1127" s="977">
        <v>160</v>
      </c>
    </row>
    <row r="1128" spans="1:13" s="1086" customFormat="1" ht="25.15" hidden="1" customHeight="1">
      <c r="A1128" s="1156">
        <f t="shared" si="108"/>
        <v>0</v>
      </c>
      <c r="B1128" s="1157" t="s">
        <v>439</v>
      </c>
      <c r="C1128" s="1157"/>
      <c r="D1128" s="1093"/>
      <c r="E1128" s="1082">
        <f>VLOOKUP($B1128,DG!A:D,DG!$B$2,)</f>
        <v>0</v>
      </c>
      <c r="F1128" s="1083" t="str">
        <f>VLOOKUP($B1128,DG!A:D,DG!$C$2,)</f>
        <v>Sứ treo polymer</v>
      </c>
      <c r="G1128" s="1082" t="str">
        <f>VLOOKUP($B1128,DG!A:D,DG!$D$2,)</f>
        <v>chuỗi</v>
      </c>
      <c r="H1128" s="1873">
        <f>H1115*6*0</f>
        <v>0</v>
      </c>
      <c r="I1128" s="1262">
        <f t="shared" ref="I1128:I1195" si="110">IF(M1128=$M$23,H1128+J1128-K1128,0)</f>
        <v>0</v>
      </c>
      <c r="J1128" s="1084"/>
      <c r="K1128" s="1084"/>
      <c r="L1128" s="1113"/>
      <c r="M1128" s="977">
        <v>160</v>
      </c>
    </row>
    <row r="1129" spans="1:13" s="1086" customFormat="1" ht="25.15" hidden="1" customHeight="1">
      <c r="A1129" s="1156">
        <f t="shared" si="108"/>
        <v>0</v>
      </c>
      <c r="B1129" s="1157" t="s">
        <v>1570</v>
      </c>
      <c r="C1129" s="1157"/>
      <c r="D1129" s="1093"/>
      <c r="E1129" s="1082" t="str">
        <f>VLOOKUP($B1129,DG!A:D,DG!$B$2,)</f>
        <v>06.1115</v>
      </c>
      <c r="F1129" s="1165" t="str">
        <f>VLOOKUP($B1129,DG!A:D,DG!$C$2,)</f>
        <v>Lắp sứ đứng 24KV</v>
      </c>
      <c r="G1129" s="1082" t="str">
        <f>VLOOKUP($B1129,DG!A:D,DG!$D$2,)</f>
        <v>bộ</v>
      </c>
      <c r="H1129" s="2281">
        <f>H1127</f>
        <v>3</v>
      </c>
      <c r="I1129" s="1262">
        <f t="shared" si="110"/>
        <v>0</v>
      </c>
      <c r="J1129" s="1084"/>
      <c r="K1129" s="1084"/>
      <c r="L1129" s="1113"/>
      <c r="M1129" s="977">
        <v>160</v>
      </c>
    </row>
    <row r="1130" spans="1:13" s="1086" customFormat="1" ht="25.15" hidden="1" customHeight="1">
      <c r="A1130" s="1156">
        <f t="shared" si="108"/>
        <v>0</v>
      </c>
      <c r="B1130" s="1157" t="s">
        <v>235</v>
      </c>
      <c r="C1130" s="1157"/>
      <c r="D1130" s="1093"/>
      <c r="E1130" s="1082" t="str">
        <f>VLOOKUP($B1130,DG!A:D,DG!$B$2,)</f>
        <v>06.1115</v>
      </c>
      <c r="F1130" s="1083" t="str">
        <f>VLOOKUP($B1130,DG!A:D,DG!$C$2,)</f>
        <v>Tháo sứ đứng 24KV</v>
      </c>
      <c r="G1130" s="1082" t="str">
        <f>VLOOKUP($B1130,DG!A:D,DG!$D$2,)</f>
        <v>bộ</v>
      </c>
      <c r="H1130" s="1873"/>
      <c r="I1130" s="1262">
        <f t="shared" si="110"/>
        <v>0</v>
      </c>
      <c r="J1130" s="1084"/>
      <c r="K1130" s="1084"/>
      <c r="L1130" s="1113"/>
      <c r="M1130" s="977">
        <v>160</v>
      </c>
    </row>
    <row r="1131" spans="1:13" s="1086" customFormat="1" ht="25.15" hidden="1" customHeight="1">
      <c r="A1131" s="1156">
        <f t="shared" si="108"/>
        <v>0</v>
      </c>
      <c r="B1131" s="1157" t="s">
        <v>1512</v>
      </c>
      <c r="C1131" s="1157"/>
      <c r="D1131" s="1093"/>
      <c r="E1131" s="1082" t="str">
        <f>VLOOKUP($B1131,DG!A:D,DG!$B$2,)</f>
        <v>06.2201</v>
      </c>
      <c r="F1131" s="1083" t="str">
        <f>VLOOKUP($B1131,DG!A:D,DG!$C$2,)</f>
        <v>Lắp chuỗi sứ néo Polymer</v>
      </c>
      <c r="G1131" s="1082" t="str">
        <f>VLOOKUP($B1131,DG!A:D,DG!$D$2,)</f>
        <v>chuỗi</v>
      </c>
      <c r="H1131" s="1873">
        <f>H1128</f>
        <v>0</v>
      </c>
      <c r="I1131" s="1262">
        <f t="shared" si="110"/>
        <v>0</v>
      </c>
      <c r="J1131" s="1084"/>
      <c r="K1131" s="1084"/>
      <c r="L1131" s="1113"/>
      <c r="M1131" s="977">
        <v>160</v>
      </c>
    </row>
    <row r="1132" spans="1:13" s="1086" customFormat="1" ht="25.15" hidden="1" customHeight="1">
      <c r="A1132" s="1156">
        <f t="shared" si="108"/>
        <v>0</v>
      </c>
      <c r="B1132" s="1157" t="s">
        <v>1530</v>
      </c>
      <c r="C1132" s="1157"/>
      <c r="D1132" s="1093"/>
      <c r="E1132" s="1082" t="str">
        <f>VLOOKUP($B1132,DG!A:D,DG!$B$2,)</f>
        <v>04.4201</v>
      </c>
      <c r="F1132" s="1165" t="str">
        <f>VLOOKUP($B1132,DG!A:D,DG!$C$2,)</f>
        <v>Lắp cáp đồng xuống thiết bị D ≤ 95mm2</v>
      </c>
      <c r="G1132" s="1082" t="str">
        <f>VLOOKUP($B1132,DG!A:D,DG!$D$2,)</f>
        <v>m</v>
      </c>
      <c r="H1132" s="2281">
        <f>H1117+H1118</f>
        <v>0</v>
      </c>
      <c r="I1132" s="1262">
        <f t="shared" si="110"/>
        <v>0</v>
      </c>
      <c r="J1132" s="1084"/>
      <c r="K1132" s="1084"/>
      <c r="L1132" s="1113"/>
      <c r="M1132" s="977">
        <v>160</v>
      </c>
    </row>
    <row r="1133" spans="1:13" s="1086" customFormat="1" ht="25.15" hidden="1" customHeight="1">
      <c r="A1133" s="1156">
        <f t="shared" si="108"/>
        <v>0</v>
      </c>
      <c r="B1133" s="1327"/>
      <c r="C1133" s="1327"/>
      <c r="D1133" s="1087">
        <f>IF(H1133&gt;0,D1115+1,D1115)</f>
        <v>0</v>
      </c>
      <c r="E1133" s="1088"/>
      <c r="F1133" s="1097" t="s">
        <v>3729</v>
      </c>
      <c r="G1133" s="1087" t="s">
        <v>2394</v>
      </c>
      <c r="H1133" s="1889"/>
      <c r="I1133" s="1262">
        <f t="shared" si="110"/>
        <v>0</v>
      </c>
      <c r="J1133" s="1084"/>
      <c r="K1133" s="1084"/>
      <c r="L1133" s="1085"/>
      <c r="M1133" s="977">
        <v>160</v>
      </c>
    </row>
    <row r="1134" spans="1:13" s="1086" customFormat="1" ht="25.15" hidden="1" customHeight="1">
      <c r="A1134" s="1156">
        <f>IF(A1133&gt;0,1,0)</f>
        <v>0</v>
      </c>
      <c r="B1134" s="1327"/>
      <c r="C1134" s="1327"/>
      <c r="D1134" s="1081"/>
      <c r="E1134" s="1091"/>
      <c r="F1134" s="1371" t="s">
        <v>2287</v>
      </c>
      <c r="G1134" s="1081"/>
      <c r="H1134" s="1890"/>
      <c r="I1134" s="1262">
        <f t="shared" si="110"/>
        <v>0</v>
      </c>
      <c r="J1134" s="1084"/>
      <c r="K1134" s="1084"/>
      <c r="L1134" s="1085"/>
      <c r="M1134" s="977">
        <v>160</v>
      </c>
    </row>
    <row r="1135" spans="1:13" s="1086" customFormat="1" ht="25.15" hidden="1" customHeight="1">
      <c r="A1135" s="1156">
        <f t="shared" si="108"/>
        <v>0</v>
      </c>
      <c r="B1135" s="1327" t="s">
        <v>2149</v>
      </c>
      <c r="C1135" s="1327"/>
      <c r="D1135" s="1093"/>
      <c r="E1135" s="1082" t="str">
        <f>VLOOKUP($B1135,DG!A:D,DG!$B$2,)</f>
        <v>07.2403</v>
      </c>
      <c r="F1135" s="1083" t="str">
        <f>VLOOKUP($B1135,DG!A:D,DG!$C$2,)</f>
        <v>Ống PVC D42x2,1mm</v>
      </c>
      <c r="G1135" s="1082" t="str">
        <f>VLOOKUP($B1135,DG!A:D,DG!$D$2,)</f>
        <v>m</v>
      </c>
      <c r="H1135" s="1873">
        <f>H1133*2</f>
        <v>0</v>
      </c>
      <c r="I1135" s="1262">
        <f t="shared" si="110"/>
        <v>0</v>
      </c>
      <c r="J1135" s="1084"/>
      <c r="K1135" s="1084"/>
      <c r="L1135" s="1085"/>
      <c r="M1135" s="977">
        <v>160</v>
      </c>
    </row>
    <row r="1136" spans="1:13" s="1086" customFormat="1" ht="25.15" hidden="1" customHeight="1">
      <c r="A1136" s="1156">
        <f t="shared" si="108"/>
        <v>0</v>
      </c>
      <c r="B1136" s="1327" t="s">
        <v>1052</v>
      </c>
      <c r="C1136" s="1327"/>
      <c r="D1136" s="1093"/>
      <c r="E1136" s="1082">
        <f>VLOOKUP($B1136,DG!A:D,DG!$B$2,)</f>
        <v>0</v>
      </c>
      <c r="F1136" s="1083" t="str">
        <f>VLOOKUP($B1136,DG!A:D,DG!$C$2,)</f>
        <v>Co chữ T ống PVC 42</v>
      </c>
      <c r="G1136" s="1082" t="str">
        <f>VLOOKUP($B1136,DG!A:D,DG!$D$2,)</f>
        <v>cái</v>
      </c>
      <c r="H1136" s="1873">
        <f>H1133</f>
        <v>0</v>
      </c>
      <c r="I1136" s="1262">
        <f t="shared" si="110"/>
        <v>0</v>
      </c>
      <c r="J1136" s="1084"/>
      <c r="K1136" s="1084"/>
      <c r="L1136" s="1085"/>
      <c r="M1136" s="977">
        <v>160</v>
      </c>
    </row>
    <row r="1137" spans="1:13" s="1086" customFormat="1" ht="25.15" hidden="1" customHeight="1">
      <c r="A1137" s="1156">
        <f t="shared" si="108"/>
        <v>0</v>
      </c>
      <c r="B1137" s="1327" t="s">
        <v>2128</v>
      </c>
      <c r="C1137" s="1327"/>
      <c r="D1137" s="1093"/>
      <c r="E1137" s="1082">
        <f>VLOOKUP($B1137,DG!A:D,DG!$B$2,)</f>
        <v>0</v>
      </c>
      <c r="F1137" s="1083" t="str">
        <f>VLOOKUP($B1137,DG!A:D,DG!$C$2,)</f>
        <v>Khâu ven răng trong D42</v>
      </c>
      <c r="G1137" s="1082" t="str">
        <f>VLOOKUP($B1137,DG!A:D,DG!$D$2,)</f>
        <v>cái</v>
      </c>
      <c r="H1137" s="1873">
        <f>H1133*2</f>
        <v>0</v>
      </c>
      <c r="I1137" s="1262">
        <f t="shared" si="110"/>
        <v>0</v>
      </c>
      <c r="J1137" s="1084"/>
      <c r="K1137" s="1084"/>
      <c r="L1137" s="1085"/>
      <c r="M1137" s="977">
        <v>160</v>
      </c>
    </row>
    <row r="1138" spans="1:13" s="1086" customFormat="1" ht="25.15" hidden="1" customHeight="1">
      <c r="A1138" s="1156">
        <f t="shared" si="108"/>
        <v>0</v>
      </c>
      <c r="B1138" s="1327" t="s">
        <v>961</v>
      </c>
      <c r="C1138" s="1327"/>
      <c r="D1138" s="1093"/>
      <c r="E1138" s="1082">
        <f>VLOOKUP($B1138,DG!A:D,DG!$B$2,)</f>
        <v>0</v>
      </c>
      <c r="F1138" s="1083" t="str">
        <f>VLOOKUP($B1138,DG!A:D,DG!$C$2,)</f>
        <v>Khâu ven răng ngoài D42</v>
      </c>
      <c r="G1138" s="1082" t="str">
        <f>VLOOKUP($B1138,DG!A:D,DG!$D$2,)</f>
        <v>cái</v>
      </c>
      <c r="H1138" s="1873">
        <f>H1137</f>
        <v>0</v>
      </c>
      <c r="I1138" s="1262">
        <f t="shared" si="110"/>
        <v>0</v>
      </c>
      <c r="J1138" s="1084"/>
      <c r="K1138" s="1084"/>
      <c r="L1138" s="1085"/>
      <c r="M1138" s="977">
        <v>160</v>
      </c>
    </row>
    <row r="1139" spans="1:13" s="1086" customFormat="1" ht="25.15" hidden="1" customHeight="1">
      <c r="A1139" s="1156">
        <f t="shared" si="108"/>
        <v>0</v>
      </c>
      <c r="B1139" s="1157"/>
      <c r="C1139" s="1157"/>
      <c r="D1139" s="1087">
        <f>IF(H1139&gt;0,D1133+1,D1133)</f>
        <v>0</v>
      </c>
      <c r="E1139" s="1088"/>
      <c r="F1139" s="1097" t="s">
        <v>3749</v>
      </c>
      <c r="G1139" s="1087" t="s">
        <v>2394</v>
      </c>
      <c r="H1139" s="1910">
        <f>$H$943</f>
        <v>0</v>
      </c>
      <c r="I1139" s="1262">
        <f t="shared" si="110"/>
        <v>0</v>
      </c>
      <c r="J1139" s="1084"/>
      <c r="K1139" s="1084"/>
      <c r="L1139" s="1113"/>
      <c r="M1139" s="977">
        <v>160</v>
      </c>
    </row>
    <row r="1140" spans="1:13" s="1086" customFormat="1" ht="25.15" hidden="1" customHeight="1">
      <c r="A1140" s="1156">
        <f>IF(A1139&gt;0,1,0)</f>
        <v>0</v>
      </c>
      <c r="B1140" s="1157"/>
      <c r="C1140" s="1157"/>
      <c r="D1140" s="1081"/>
      <c r="E1140" s="1091"/>
      <c r="F1140" s="1371" t="s">
        <v>2287</v>
      </c>
      <c r="G1140" s="1081"/>
      <c r="H1140" s="1873"/>
      <c r="I1140" s="1262">
        <f t="shared" si="110"/>
        <v>0</v>
      </c>
      <c r="J1140" s="1084"/>
      <c r="K1140" s="1084"/>
      <c r="L1140" s="1113"/>
      <c r="M1140" s="977">
        <v>160</v>
      </c>
    </row>
    <row r="1141" spans="1:13" s="1086" customFormat="1" ht="25.15" hidden="1" customHeight="1">
      <c r="A1141" s="1156">
        <f t="shared" si="108"/>
        <v>0</v>
      </c>
      <c r="B1141" s="1327" t="s">
        <v>32</v>
      </c>
      <c r="C1141" s="1327"/>
      <c r="D1141" s="1093"/>
      <c r="E1141" s="1082">
        <f>VLOOKUP($B1141,DG!A:D,DG!$B$2,)</f>
        <v>0</v>
      </c>
      <c r="F1141" s="1083" t="str">
        <f>VLOOKUP($B1141,DG!A:D,DG!$C$2,)&amp;":  "&amp;M2&amp;" x 8m/pha "</f>
        <v xml:space="preserve">Cáp đồng bọc CV120:  1 x 8m/pha </v>
      </c>
      <c r="G1141" s="1082" t="str">
        <f>VLOOKUP($B1141,DG!A:D,DG!$D$2,)</f>
        <v>mét</v>
      </c>
      <c r="H1141" s="1873">
        <v>25.5</v>
      </c>
      <c r="I1141" s="1262">
        <f t="shared" si="110"/>
        <v>0</v>
      </c>
      <c r="J1141" s="1084"/>
      <c r="K1141" s="1084"/>
      <c r="L1141" s="1113"/>
      <c r="M1141" s="977">
        <v>160</v>
      </c>
    </row>
    <row r="1142" spans="1:13" s="1086" customFormat="1" ht="25.15" hidden="1" customHeight="1">
      <c r="A1142" s="1156">
        <f t="shared" si="108"/>
        <v>0</v>
      </c>
      <c r="B1142" s="1327" t="s">
        <v>274</v>
      </c>
      <c r="C1142" s="1327"/>
      <c r="D1142" s="1093"/>
      <c r="E1142" s="1082">
        <f>VLOOKUP($B1142,DG!A:D,DG!$B$2,)</f>
        <v>0</v>
      </c>
      <c r="F1142" s="1083" t="str">
        <f>VLOOKUP($B1142,DG!A:D,DG!$C$2,)&amp;":  "&amp;M2&amp;" x 8m/trung tính "</f>
        <v xml:space="preserve">Cáp đồng bọc CV95:  1 x 8m/trung tính </v>
      </c>
      <c r="G1142" s="1082" t="str">
        <f>VLOOKUP($B1142,DG!A:D,DG!$D$2,)</f>
        <v>mét</v>
      </c>
      <c r="H1142" s="1873">
        <v>8.5</v>
      </c>
      <c r="I1142" s="1262">
        <f t="shared" si="110"/>
        <v>0</v>
      </c>
      <c r="J1142" s="1084"/>
      <c r="K1142" s="1084"/>
      <c r="L1142" s="1113"/>
      <c r="M1142" s="977">
        <v>160</v>
      </c>
    </row>
    <row r="1143" spans="1:13" s="1086" customFormat="1" ht="25.15" hidden="1" customHeight="1">
      <c r="A1143" s="1156">
        <f t="shared" si="108"/>
        <v>0</v>
      </c>
      <c r="B1143" s="1327" t="s">
        <v>1310</v>
      </c>
      <c r="C1143" s="1327"/>
      <c r="D1143" s="1093"/>
      <c r="E1143" s="1082" t="str">
        <f>VLOOKUP($B1143,DG!A:D,DG!$B$2,)</f>
        <v>03.4005</v>
      </c>
      <c r="F1143" s="1083" t="str">
        <f>VLOOKUP($B1143,DG!A:D,DG!$C$2,)&amp;": "</f>
        <v xml:space="preserve">Đầu cosse ép Cu 120mm2: </v>
      </c>
      <c r="G1143" s="1082" t="str">
        <f>VLOOKUP($B1143,DG!A:D,DG!$D$2,)</f>
        <v>cái</v>
      </c>
      <c r="H1143" s="1873">
        <v>3</v>
      </c>
      <c r="I1143" s="1262">
        <f t="shared" si="110"/>
        <v>0</v>
      </c>
      <c r="J1143" s="1084"/>
      <c r="K1143" s="1084"/>
      <c r="L1143" s="1113"/>
      <c r="M1143" s="977">
        <v>160</v>
      </c>
    </row>
    <row r="1144" spans="1:13" s="1086" customFormat="1" ht="25.15" hidden="1" customHeight="1">
      <c r="A1144" s="1156">
        <f t="shared" si="108"/>
        <v>0</v>
      </c>
      <c r="B1144" s="1327" t="s">
        <v>1309</v>
      </c>
      <c r="C1144" s="1327"/>
      <c r="D1144" s="1093"/>
      <c r="E1144" s="1082" t="str">
        <f>VLOOKUP($B1144,DG!A:D,DG!$B$2,)</f>
        <v>03.4004</v>
      </c>
      <c r="F1144" s="1083" t="str">
        <f>VLOOKUP($B1144,DG!A:D,DG!$C$2,)&amp;": "</f>
        <v xml:space="preserve">Đầu cosse ép Cu 95mm2: </v>
      </c>
      <c r="G1144" s="1082" t="str">
        <f>VLOOKUP($B1144,DG!A:D,DG!$D$2,)</f>
        <v>cái</v>
      </c>
      <c r="H1144" s="1873">
        <v>3</v>
      </c>
      <c r="I1144" s="1262">
        <f t="shared" si="110"/>
        <v>0</v>
      </c>
      <c r="J1144" s="1084"/>
      <c r="K1144" s="1084"/>
      <c r="L1144" s="1113"/>
      <c r="M1144" s="977">
        <v>160</v>
      </c>
    </row>
    <row r="1145" spans="1:13" s="1086" customFormat="1" ht="25.15" hidden="1" customHeight="1">
      <c r="A1145" s="1156">
        <f t="shared" si="108"/>
        <v>0</v>
      </c>
      <c r="B1145" s="1327" t="s">
        <v>93</v>
      </c>
      <c r="C1145" s="1327"/>
      <c r="D1145" s="1093"/>
      <c r="E1145" s="1082">
        <f>VLOOKUP($B1145,DG!A:D,DG!$B$2,)</f>
        <v>0</v>
      </c>
      <c r="F1145" s="1083" t="str">
        <f>VLOOKUP($B1145,DG!A:D,DG!$C$2,)&amp;": "</f>
        <v xml:space="preserve">Chụp đầu cosse  120mm2: </v>
      </c>
      <c r="G1145" s="1082" t="str">
        <f>VLOOKUP($B1145,DG!A:D,DG!$D$2,)</f>
        <v>cái</v>
      </c>
      <c r="H1145" s="1873">
        <f>H1143</f>
        <v>3</v>
      </c>
      <c r="I1145" s="1262">
        <f t="shared" si="110"/>
        <v>0</v>
      </c>
      <c r="J1145" s="1084"/>
      <c r="K1145" s="1084"/>
      <c r="L1145" s="1113"/>
      <c r="M1145" s="977">
        <v>160</v>
      </c>
    </row>
    <row r="1146" spans="1:13" s="1086" customFormat="1" ht="25.15" hidden="1" customHeight="1">
      <c r="A1146" s="1156">
        <f t="shared" si="108"/>
        <v>0</v>
      </c>
      <c r="B1146" s="1327" t="s">
        <v>4493</v>
      </c>
      <c r="C1146" s="1327"/>
      <c r="D1146" s="1093"/>
      <c r="E1146" s="1082">
        <f>VLOOKUP($B1146,DG!A:D,DG!$B$2,)</f>
        <v>0</v>
      </c>
      <c r="F1146" s="1083" t="str">
        <f>VLOOKUP($B1146,DG!A:D,DG!$C$2,)&amp;": "</f>
        <v xml:space="preserve">Chụp đầu cosse  95mm2: </v>
      </c>
      <c r="G1146" s="1082" t="str">
        <f>VLOOKUP($B1146,DG!A:D,DG!$D$2,)</f>
        <v>cái</v>
      </c>
      <c r="H1146" s="1873">
        <f>H1144</f>
        <v>3</v>
      </c>
      <c r="I1146" s="1262">
        <f t="shared" si="110"/>
        <v>0</v>
      </c>
      <c r="J1146" s="1084"/>
      <c r="K1146" s="1084"/>
      <c r="L1146" s="1113"/>
      <c r="M1146" s="977">
        <v>160</v>
      </c>
    </row>
    <row r="1147" spans="1:13" s="1086" customFormat="1" ht="25.15" hidden="1" customHeight="1">
      <c r="A1147" s="1156">
        <f t="shared" ref="A1147:A1148" si="111">IF(I1147&gt;0,1,0)</f>
        <v>0</v>
      </c>
      <c r="B1147" s="1327" t="s">
        <v>1044</v>
      </c>
      <c r="C1147" s="1327"/>
      <c r="D1147" s="1093"/>
      <c r="E1147" s="1082">
        <f>VLOOKUP($B1147,DG!A:D,DG!$B$2,)</f>
        <v>0</v>
      </c>
      <c r="F1147" s="1083" t="str">
        <f>VLOOKUP($B1147,DG!A:D,DG!$C$2,)</f>
        <v xml:space="preserve">Ống PVC D114x4,9mm </v>
      </c>
      <c r="G1147" s="1082" t="str">
        <f>VLOOKUP($B1147,DG!A:D,DG!$D$2,)</f>
        <v>m</v>
      </c>
      <c r="H1147" s="1873">
        <v>6</v>
      </c>
      <c r="I1147" s="1262">
        <f t="shared" ref="I1147:I1148" si="112">IF(M1147=$M$23,H1147+J1147-K1147,0)</f>
        <v>0</v>
      </c>
      <c r="J1147" s="1084"/>
      <c r="K1147" s="1084"/>
      <c r="L1147" s="1113"/>
      <c r="M1147" s="977">
        <v>160</v>
      </c>
    </row>
    <row r="1148" spans="1:13" s="1086" customFormat="1" ht="25.15" hidden="1" customHeight="1">
      <c r="A1148" s="1156">
        <f t="shared" si="111"/>
        <v>0</v>
      </c>
      <c r="B1148" s="1327" t="s">
        <v>4635</v>
      </c>
      <c r="C1148" s="1327"/>
      <c r="D1148" s="1093"/>
      <c r="E1148" s="1082">
        <f>VLOOKUP($B1148,DG!A:D,DG!$B$2,)</f>
        <v>0</v>
      </c>
      <c r="F1148" s="1083" t="str">
        <f>VLOOKUP($B1148,DG!A:D,DG!$C$2,)</f>
        <v>Co sừng 90 độ PVC 114</v>
      </c>
      <c r="G1148" s="1082" t="str">
        <f>VLOOKUP($B1148,DG!A:D,DG!$D$2,)</f>
        <v>cái</v>
      </c>
      <c r="H1148" s="1873">
        <v>1</v>
      </c>
      <c r="I1148" s="1262">
        <f t="shared" si="112"/>
        <v>0</v>
      </c>
      <c r="J1148" s="1084"/>
      <c r="K1148" s="1084"/>
      <c r="L1148" s="1113"/>
      <c r="M1148" s="977">
        <v>160</v>
      </c>
    </row>
    <row r="1149" spans="1:13" s="1086" customFormat="1" ht="25.15" hidden="1" customHeight="1">
      <c r="A1149" s="1156">
        <f t="shared" si="108"/>
        <v>0</v>
      </c>
      <c r="B1149" s="1327" t="s">
        <v>4894</v>
      </c>
      <c r="C1149" s="1327"/>
      <c r="D1149" s="1093"/>
      <c r="E1149" s="1082">
        <f>VLOOKUP($B1149,DG!A:D,DG!$B$2,)</f>
        <v>0</v>
      </c>
      <c r="F1149" s="1083" t="str">
        <f>VLOOKUP($B1149,DG!A:D,DG!$C$2,)</f>
        <v>Co 135 độ PVC 114</v>
      </c>
      <c r="G1149" s="1082" t="str">
        <f>VLOOKUP($B1149,DG!A:D,DG!$D$2,)</f>
        <v>cái</v>
      </c>
      <c r="H1149" s="1873">
        <v>1</v>
      </c>
      <c r="I1149" s="1262">
        <f t="shared" si="110"/>
        <v>0</v>
      </c>
      <c r="J1149" s="1084"/>
      <c r="K1149" s="1084"/>
      <c r="L1149" s="1113"/>
      <c r="M1149" s="977">
        <v>160</v>
      </c>
    </row>
    <row r="1150" spans="1:13" s="1086" customFormat="1" ht="25.15" hidden="1" customHeight="1">
      <c r="A1150" s="1156">
        <f t="shared" si="108"/>
        <v>0</v>
      </c>
      <c r="B1150" s="1157" t="s">
        <v>733</v>
      </c>
      <c r="C1150" s="1157"/>
      <c r="D1150" s="1093"/>
      <c r="E1150" s="1082" t="str">
        <f>VLOOKUP($B1150,DG!A:D,DG!$B$2,)</f>
        <v>06.3231</v>
      </c>
      <c r="F1150" s="1083" t="str">
        <f>VLOOKUP($B1150,DG!A:D,DG!$C$2,)&amp;": CD-250"</f>
        <v>Cổ dê kẹp ống PVC Ø 114: CD-250</v>
      </c>
      <c r="G1150" s="1082" t="str">
        <f>VLOOKUP($B1150,DG!A:D,DG!$D$2,)</f>
        <v>bộ</v>
      </c>
      <c r="H1150" s="1873">
        <f>$H$1139*1</f>
        <v>0</v>
      </c>
      <c r="I1150" s="1262">
        <f t="shared" si="110"/>
        <v>0</v>
      </c>
      <c r="J1150" s="1084"/>
      <c r="K1150" s="1084"/>
      <c r="L1150" s="1113"/>
      <c r="M1150" s="977">
        <v>160</v>
      </c>
    </row>
    <row r="1151" spans="1:13" s="1086" customFormat="1" ht="25.15" hidden="1" customHeight="1">
      <c r="A1151" s="1156">
        <f t="shared" si="108"/>
        <v>0</v>
      </c>
      <c r="B1151" s="1157" t="s">
        <v>733</v>
      </c>
      <c r="C1151" s="1157"/>
      <c r="D1151" s="1093"/>
      <c r="E1151" s="1082" t="str">
        <f>VLOOKUP($B1151,DG!A:D,DG!$B$2,)</f>
        <v>06.3231</v>
      </c>
      <c r="F1151" s="1083" t="str">
        <f>VLOOKUP($B1151,DG!A:D,DG!$C$2,)&amp;": CD-280"</f>
        <v>Cổ dê kẹp ống PVC Ø 114: CD-280</v>
      </c>
      <c r="G1151" s="1082" t="str">
        <f>VLOOKUP($B1151,DG!A:D,DG!$D$2,)</f>
        <v>bộ</v>
      </c>
      <c r="H1151" s="1873">
        <f>$H$1139*1</f>
        <v>0</v>
      </c>
      <c r="I1151" s="1262">
        <f t="shared" si="110"/>
        <v>0</v>
      </c>
      <c r="J1151" s="1084"/>
      <c r="K1151" s="1084"/>
      <c r="L1151" s="1113"/>
      <c r="M1151" s="977">
        <v>160</v>
      </c>
    </row>
    <row r="1152" spans="1:13" s="1086" customFormat="1" ht="25.15" hidden="1" customHeight="1">
      <c r="A1152" s="1156">
        <f t="shared" si="108"/>
        <v>0</v>
      </c>
      <c r="B1152" s="1157" t="s">
        <v>1133</v>
      </c>
      <c r="C1152" s="1157"/>
      <c r="D1152" s="1093"/>
      <c r="E1152" s="1082" t="str">
        <f>VLOOKUP($B1152,DG!A:D,DG!$B$2,)</f>
        <v>06.2110</v>
      </c>
      <c r="F1152" s="1165" t="str">
        <f>VLOOKUP($B1152,DG!A:D,DG!$C$2,)&amp;": CD-280"</f>
        <v>Lắp cổ dề: CD-280</v>
      </c>
      <c r="G1152" s="1082" t="str">
        <f>VLOOKUP($B1152,DG!A:D,DG!$D$2,)</f>
        <v>bộ</v>
      </c>
      <c r="H1152" s="1873">
        <f>H1150+H1151</f>
        <v>0</v>
      </c>
      <c r="I1152" s="1262">
        <f t="shared" si="110"/>
        <v>0</v>
      </c>
      <c r="J1152" s="1084"/>
      <c r="K1152" s="1084"/>
      <c r="L1152" s="1113"/>
      <c r="M1152" s="977">
        <v>160</v>
      </c>
    </row>
    <row r="1153" spans="1:13" s="1086" customFormat="1" ht="25.15" hidden="1" customHeight="1">
      <c r="A1153" s="1156">
        <f t="shared" si="108"/>
        <v>0</v>
      </c>
      <c r="B1153" s="1349" t="s">
        <v>138</v>
      </c>
      <c r="C1153" s="1349"/>
      <c r="D1153" s="1093"/>
      <c r="E1153" s="1082">
        <f>VLOOKUP($B1153,DG!A:D,DG!$B$2,)</f>
        <v>0</v>
      </c>
      <c r="F1153" s="1083" t="str">
        <f>VLOOKUP($B1153,DG!A:D,DG!$C$2,)</f>
        <v>Boulon 12x40+ 2 long đền vuông D14-50x50x3/Zn</v>
      </c>
      <c r="G1153" s="1082" t="str">
        <f>VLOOKUP($B1153,DG!A:D,DG!$D$2,)</f>
        <v>bộ</v>
      </c>
      <c r="H1153" s="1873">
        <f>$H$1139*6*0</f>
        <v>0</v>
      </c>
      <c r="I1153" s="1262">
        <f t="shared" si="110"/>
        <v>0</v>
      </c>
      <c r="J1153" s="1084"/>
      <c r="K1153" s="1084"/>
      <c r="L1153" s="1113"/>
      <c r="M1153" s="977">
        <v>160</v>
      </c>
    </row>
    <row r="1154" spans="1:13" s="1086" customFormat="1" ht="25.15" hidden="1" customHeight="1">
      <c r="A1154" s="1156">
        <f t="shared" si="108"/>
        <v>0</v>
      </c>
      <c r="B1154" s="1327" t="s">
        <v>2175</v>
      </c>
      <c r="C1154" s="1327"/>
      <c r="D1154" s="1093"/>
      <c r="E1154" s="1082">
        <f>VLOOKUP($B1154,DG!A:D,DG!$B$2,)</f>
        <v>0</v>
      </c>
      <c r="F1154" s="1083" t="str">
        <f>VLOOKUP($B1154,DG!A:D,DG!$C$2,)</f>
        <v>Khâu ven răng trong D114</v>
      </c>
      <c r="G1154" s="1082" t="str">
        <f>VLOOKUP($B1154,DG!A:D,DG!$D$2,)</f>
        <v>cái</v>
      </c>
      <c r="H1154" s="1873"/>
      <c r="I1154" s="1262">
        <f t="shared" si="110"/>
        <v>0</v>
      </c>
      <c r="J1154" s="1084"/>
      <c r="K1154" s="1084"/>
      <c r="L1154" s="1113"/>
      <c r="M1154" s="977">
        <v>160</v>
      </c>
    </row>
    <row r="1155" spans="1:13" s="1086" customFormat="1" ht="25.15" hidden="1" customHeight="1">
      <c r="A1155" s="1156">
        <f t="shared" si="108"/>
        <v>0</v>
      </c>
      <c r="B1155" s="1327" t="s">
        <v>2176</v>
      </c>
      <c r="C1155" s="1327"/>
      <c r="D1155" s="1093"/>
      <c r="E1155" s="1082">
        <f>VLOOKUP($B1155,DG!A:D,DG!$B$2,)</f>
        <v>0</v>
      </c>
      <c r="F1155" s="1083" t="str">
        <f>VLOOKUP($B1155,DG!A:D,DG!$C$2,)&amp;": "</f>
        <v xml:space="preserve">Khâu ven răng ngoài D114: </v>
      </c>
      <c r="G1155" s="1082" t="str">
        <f>VLOOKUP($B1155,DG!A:D,DG!$D$2,)</f>
        <v>cái</v>
      </c>
      <c r="H1155" s="1873">
        <f>H1154</f>
        <v>0</v>
      </c>
      <c r="I1155" s="1262">
        <f t="shared" si="110"/>
        <v>0</v>
      </c>
      <c r="J1155" s="1084"/>
      <c r="K1155" s="1084"/>
      <c r="L1155" s="1113"/>
      <c r="M1155" s="977">
        <v>160</v>
      </c>
    </row>
    <row r="1156" spans="1:13" s="1086" customFormat="1" ht="25.15" hidden="1" customHeight="1">
      <c r="A1156" s="1156">
        <f t="shared" si="108"/>
        <v>0</v>
      </c>
      <c r="B1156" s="1327" t="s">
        <v>2082</v>
      </c>
      <c r="C1156" s="1327"/>
      <c r="D1156" s="1093"/>
      <c r="E1156" s="1082">
        <f>VLOOKUP($B1156,DG!A:D,DG!$B$2,)</f>
        <v>0</v>
      </c>
      <c r="F1156" s="1083" t="str">
        <f>VLOOKUP($B1156,DG!A:D,DG!$C$2,)&amp;": "</f>
        <v xml:space="preserve">Keo dán ống PVC (100gr): </v>
      </c>
      <c r="G1156" s="1082" t="str">
        <f>VLOOKUP($B1156,DG!A:D,DG!$D$2,)</f>
        <v>tuýp</v>
      </c>
      <c r="H1156" s="1873">
        <f>IF(H1149&gt;0,H1139*M2,)</f>
        <v>0</v>
      </c>
      <c r="I1156" s="1262">
        <f t="shared" si="110"/>
        <v>0</v>
      </c>
      <c r="J1156" s="1084"/>
      <c r="K1156" s="1084"/>
      <c r="L1156" s="1113"/>
      <c r="M1156" s="977">
        <v>160</v>
      </c>
    </row>
    <row r="1157" spans="1:13" s="1086" customFormat="1" ht="25.15" hidden="1" customHeight="1">
      <c r="A1157" s="1156">
        <f t="shared" si="108"/>
        <v>0</v>
      </c>
      <c r="B1157" s="1157" t="s">
        <v>6</v>
      </c>
      <c r="C1157" s="1157"/>
      <c r="D1157" s="1093"/>
      <c r="E1157" s="1082"/>
      <c r="F1157" s="1083" t="str">
        <f>VLOOKUP($B1157,DG!A:D,DG!$C$2,)</f>
        <v>Keo silicon bít miệng ống</v>
      </c>
      <c r="G1157" s="1082" t="str">
        <f>VLOOKUP($B1157,DG!A:D,DG!$D$2,)</f>
        <v>ống</v>
      </c>
      <c r="H1157" s="1873">
        <f>H1139*M2</f>
        <v>0</v>
      </c>
      <c r="I1157" s="1262">
        <f t="shared" si="110"/>
        <v>0</v>
      </c>
      <c r="J1157" s="1084"/>
      <c r="K1157" s="1084"/>
      <c r="L1157" s="1085"/>
      <c r="M1157" s="977">
        <v>160</v>
      </c>
    </row>
    <row r="1158" spans="1:13" s="1086" customFormat="1" ht="25.15" hidden="1" customHeight="1">
      <c r="A1158" s="1156">
        <f t="shared" si="108"/>
        <v>0</v>
      </c>
      <c r="B1158" s="1327" t="s">
        <v>2284</v>
      </c>
      <c r="C1158" s="1327"/>
      <c r="D1158" s="1093"/>
      <c r="E1158" s="1082" t="str">
        <f>VLOOKUP($B1158,DG!A:D,DG!$B$2,)</f>
        <v>03.1401</v>
      </c>
      <c r="F1158" s="1083" t="str">
        <f>VLOOKUP($B1158,DG!A:D,DG!$C$2,)</f>
        <v xml:space="preserve">Cáp CVV 4x4mm2  </v>
      </c>
      <c r="G1158" s="1082" t="str">
        <f>VLOOKUP($B1158,DG!A:D,DG!$D$2,)</f>
        <v>mét</v>
      </c>
      <c r="H1158" s="1873">
        <v>2</v>
      </c>
      <c r="I1158" s="1262">
        <f t="shared" si="110"/>
        <v>0</v>
      </c>
      <c r="J1158" s="1084"/>
      <c r="K1158" s="1084"/>
      <c r="L1158" s="1085"/>
      <c r="M1158" s="977">
        <v>160</v>
      </c>
    </row>
    <row r="1159" spans="1:13" s="1086" customFormat="1" ht="25.15" hidden="1" customHeight="1">
      <c r="A1159" s="1156">
        <f t="shared" ref="A1159:A1161" si="113">IF(I1159&gt;0,1,0)</f>
        <v>0</v>
      </c>
      <c r="B1159" s="1327" t="s">
        <v>1353</v>
      </c>
      <c r="C1159" s="1327"/>
      <c r="D1159" s="1093"/>
      <c r="E1159" s="1082">
        <f>VLOOKUP($B1159,DG!A:D,DG!$B$2,)</f>
        <v>0</v>
      </c>
      <c r="F1159" s="1083" t="str">
        <f>VLOOKUP($B1159,DG!A:D,DG!$C$2,)</f>
        <v>Dây rút cáp</v>
      </c>
      <c r="G1159" s="1082" t="str">
        <f>VLOOKUP($B1159,DG!A:D,DG!$D$2,)</f>
        <v>bọc</v>
      </c>
      <c r="H1159" s="1873"/>
      <c r="I1159" s="1262">
        <f t="shared" ref="I1159:I1161" si="114">IF(M1159=$M$23,H1159+J1159-K1159,0)</f>
        <v>0</v>
      </c>
      <c r="J1159" s="1084"/>
      <c r="K1159" s="1084"/>
      <c r="L1159" s="1085"/>
      <c r="M1159" s="977">
        <v>160</v>
      </c>
    </row>
    <row r="1160" spans="1:13" s="1086" customFormat="1" ht="25.15" hidden="1" customHeight="1">
      <c r="A1160" s="1156">
        <f t="shared" si="113"/>
        <v>0</v>
      </c>
      <c r="B1160" s="1327" t="s">
        <v>4378</v>
      </c>
      <c r="C1160" s="1327"/>
      <c r="D1160" s="1093"/>
      <c r="E1160" s="1082">
        <f>VLOOKUP($B1160,DG!A:D,DG!$B$2,)</f>
        <v>0</v>
      </c>
      <c r="F1160" s="1083" t="str">
        <f>VLOOKUP($B1160,DG!A:D,DG!$C$2,)</f>
        <v>Chụp cách điện đầu cực MBA</v>
      </c>
      <c r="G1160" s="1082" t="str">
        <f>VLOOKUP($B1160,DG!A:D,DG!$D$2,)</f>
        <v>cái</v>
      </c>
      <c r="H1160" s="1873"/>
      <c r="I1160" s="1262">
        <f t="shared" si="114"/>
        <v>0</v>
      </c>
      <c r="J1160" s="1084"/>
      <c r="K1160" s="1084"/>
      <c r="L1160" s="1085"/>
      <c r="M1160" s="977">
        <v>160</v>
      </c>
    </row>
    <row r="1161" spans="1:13" s="1086" customFormat="1" ht="25.15" hidden="1" customHeight="1">
      <c r="A1161" s="1156">
        <f t="shared" si="113"/>
        <v>0</v>
      </c>
      <c r="B1161" s="1327" t="s">
        <v>4372</v>
      </c>
      <c r="C1161" s="1327"/>
      <c r="D1161" s="1093"/>
      <c r="E1161" s="1082">
        <f>VLOOKUP($B1161,DG!A:D,DG!$B$2,)</f>
        <v>0</v>
      </c>
      <c r="F1161" s="1083" t="str">
        <f>VLOOKUP($B1161,DG!A:D,DG!$C$2,)</f>
        <v>Chụp cách điện đầu cực FCO (trên + dưới)</v>
      </c>
      <c r="G1161" s="1082" t="str">
        <f>VLOOKUP($B1161,DG!A:D,DG!$D$2,)</f>
        <v>bộ</v>
      </c>
      <c r="H1161" s="1873"/>
      <c r="I1161" s="1262">
        <f t="shared" si="114"/>
        <v>0</v>
      </c>
      <c r="J1161" s="1084"/>
      <c r="K1161" s="1084"/>
      <c r="L1161" s="1085"/>
      <c r="M1161" s="977">
        <v>160</v>
      </c>
    </row>
    <row r="1162" spans="1:13" s="1086" customFormat="1" ht="25.15" hidden="1" customHeight="1">
      <c r="A1162" s="1156">
        <f t="shared" si="108"/>
        <v>0</v>
      </c>
      <c r="B1162" s="1327" t="s">
        <v>4380</v>
      </c>
      <c r="C1162" s="1327"/>
      <c r="D1162" s="1093"/>
      <c r="E1162" s="1082">
        <f>VLOOKUP($B1162,DG!A:D,DG!$B$2,)</f>
        <v>0</v>
      </c>
      <c r="F1162" s="1083" t="str">
        <f>VLOOKUP($B1162,DG!A:D,DG!$C$2,)</f>
        <v>Chụp cách điện đầu cực LA</v>
      </c>
      <c r="G1162" s="1082" t="str">
        <f>VLOOKUP($B1162,DG!A:D,DG!$D$2,)</f>
        <v>cái</v>
      </c>
      <c r="H1162" s="1873"/>
      <c r="I1162" s="1262">
        <f t="shared" si="110"/>
        <v>0</v>
      </c>
      <c r="J1162" s="1084"/>
      <c r="K1162" s="1084"/>
      <c r="L1162" s="1085"/>
      <c r="M1162" s="977">
        <v>160</v>
      </c>
    </row>
    <row r="1163" spans="1:13" s="1086" customFormat="1" ht="25.15" hidden="1" customHeight="1">
      <c r="A1163" s="1156">
        <f t="shared" si="108"/>
        <v>0</v>
      </c>
      <c r="B1163" s="1157" t="s">
        <v>672</v>
      </c>
      <c r="C1163" s="1157"/>
      <c r="D1163" s="1093"/>
      <c r="E1163" s="1082">
        <f>VLOOKUP($B1163,DG!A:D,DG!$B$2,)</f>
        <v>0</v>
      </c>
      <c r="F1163" s="1083" t="str">
        <f>VLOOKUP($B1163,DG!A:D,DG!$C$2,)&amp;":"</f>
        <v>Băng keo cách điện:</v>
      </c>
      <c r="G1163" s="1082" t="str">
        <f>VLOOKUP($B1163,DG!A:D,DG!$D$2,)</f>
        <v>cuộn</v>
      </c>
      <c r="H1163" s="1873">
        <f>H1139*M2*2</f>
        <v>0</v>
      </c>
      <c r="I1163" s="1262">
        <f t="shared" si="110"/>
        <v>0</v>
      </c>
      <c r="J1163" s="1084"/>
      <c r="K1163" s="1084"/>
      <c r="L1163" s="1113"/>
      <c r="M1163" s="977">
        <v>160</v>
      </c>
    </row>
    <row r="1164" spans="1:13" s="1086" customFormat="1" ht="25.15" hidden="1" customHeight="1">
      <c r="A1164" s="1156">
        <f t="shared" si="108"/>
        <v>0</v>
      </c>
      <c r="B1164" s="1157" t="s">
        <v>1415</v>
      </c>
      <c r="C1164" s="1157"/>
      <c r="D1164" s="1093"/>
      <c r="E1164" s="1082" t="str">
        <f>VLOOKUP($B1164,DG!A:D,DG!$B$2,)</f>
        <v>05.6101</v>
      </c>
      <c r="F1164" s="1083" t="str">
        <f>VLOOKUP($B1164,DG!A:D,DG!$C$2,)&amp;":"</f>
        <v>Lắp Giá đỡ cáp:</v>
      </c>
      <c r="G1164" s="1082" t="str">
        <f>VLOOKUP($B1164,DG!A:D,DG!$D$2,)</f>
        <v>bộ</v>
      </c>
      <c r="H1164" s="1873"/>
      <c r="I1164" s="1262">
        <f t="shared" si="110"/>
        <v>0</v>
      </c>
      <c r="J1164" s="1084"/>
      <c r="K1164" s="1084"/>
      <c r="L1164" s="1113"/>
      <c r="M1164" s="977">
        <v>160</v>
      </c>
    </row>
    <row r="1165" spans="1:13" s="1086" customFormat="1" ht="25.15" hidden="1" customHeight="1">
      <c r="A1165" s="1156">
        <f t="shared" si="108"/>
        <v>0</v>
      </c>
      <c r="B1165" s="1157" t="s">
        <v>247</v>
      </c>
      <c r="C1165" s="1157"/>
      <c r="D1165" s="1093"/>
      <c r="E1165" s="1082" t="str">
        <f>VLOOKUP($B1165,DG!A:D,DG!$B$2,)</f>
        <v>04.4203</v>
      </c>
      <c r="F1165" s="1083" t="str">
        <f>VLOOKUP($B1165,DG!A:D,DG!$C$2,)&amp;":"</f>
        <v>Lắp cáp đồng xuống thiết bị D &gt; 150mm2:</v>
      </c>
      <c r="G1165" s="1082" t="str">
        <f>VLOOKUP($B1165,DG!A:D,DG!$D$2,)</f>
        <v>m</v>
      </c>
      <c r="H1165" s="1873"/>
      <c r="I1165" s="1262">
        <f t="shared" si="110"/>
        <v>0</v>
      </c>
      <c r="J1165" s="1084"/>
      <c r="K1165" s="1084"/>
      <c r="L1165" s="1113"/>
      <c r="M1165" s="977">
        <v>160</v>
      </c>
    </row>
    <row r="1166" spans="1:13" s="1086" customFormat="1" ht="25.15" hidden="1" customHeight="1">
      <c r="A1166" s="1156">
        <f t="shared" si="108"/>
        <v>0</v>
      </c>
      <c r="B1166" s="1157" t="s">
        <v>2012</v>
      </c>
      <c r="C1166" s="1157"/>
      <c r="D1166" s="1093"/>
      <c r="E1166" s="1082" t="str">
        <f>VLOOKUP($B1166,DG!A:D,DG!$B$2,)</f>
        <v>04.4202</v>
      </c>
      <c r="F1166" s="1165" t="str">
        <f>VLOOKUP($B1166,DG!A:D,DG!$C$2,)&amp;":"</f>
        <v>Lắp cáp đồng xuống thiết bị D ≤ 150mm2:</v>
      </c>
      <c r="G1166" s="1082" t="str">
        <f>VLOOKUP($B1166,DG!A:D,DG!$D$2,)</f>
        <v>m</v>
      </c>
      <c r="H1166" s="1873">
        <f>H1141+H1142</f>
        <v>34</v>
      </c>
      <c r="I1166" s="1262">
        <f t="shared" si="110"/>
        <v>0</v>
      </c>
      <c r="J1166" s="1084"/>
      <c r="K1166" s="1084"/>
      <c r="L1166" s="1085"/>
      <c r="M1166" s="977">
        <v>160</v>
      </c>
    </row>
    <row r="1167" spans="1:13" s="1086" customFormat="1" ht="25.15" hidden="1" customHeight="1">
      <c r="A1167" s="1156">
        <f t="shared" si="108"/>
        <v>0</v>
      </c>
      <c r="B1167" s="1157" t="s">
        <v>242</v>
      </c>
      <c r="C1167" s="1157"/>
      <c r="D1167" s="1093"/>
      <c r="E1167" s="1082">
        <f>VLOOKUP($B1167,DG!A:D,DG!$B$2,)</f>
        <v>0</v>
      </c>
      <c r="F1167" s="1083" t="str">
        <f>VLOOKUP($B1167,DG!A:D,DG!$C$2,)&amp;":"</f>
        <v>Bộ móng tủ bù 0,2x0,2x0,4x4móng:</v>
      </c>
      <c r="G1167" s="1082" t="str">
        <f>VLOOKUP($B1167,DG!A:D,DG!$D$2,)</f>
        <v>trọn bộ</v>
      </c>
      <c r="H1167" s="1873">
        <f>H1139*1*0</f>
        <v>0</v>
      </c>
      <c r="I1167" s="1262">
        <f t="shared" si="110"/>
        <v>0</v>
      </c>
      <c r="J1167" s="1084"/>
      <c r="K1167" s="1084"/>
      <c r="L1167" s="1085"/>
      <c r="M1167" s="977">
        <v>160</v>
      </c>
    </row>
    <row r="1168" spans="1:13" s="1086" customFormat="1" ht="25.15" hidden="1" customHeight="1">
      <c r="A1168" s="1156">
        <f t="shared" si="108"/>
        <v>0</v>
      </c>
      <c r="B1168" s="1157"/>
      <c r="C1168" s="1157"/>
      <c r="D1168" s="1087">
        <f>IF(H1168&gt;0,D1139+1,D1139)</f>
        <v>0</v>
      </c>
      <c r="E1168" s="1088"/>
      <c r="F1168" s="1097" t="s">
        <v>3750</v>
      </c>
      <c r="G1168" s="1087" t="s">
        <v>2394</v>
      </c>
      <c r="H1168" s="1910"/>
      <c r="I1168" s="1262">
        <f t="shared" si="110"/>
        <v>0</v>
      </c>
      <c r="J1168" s="1084"/>
      <c r="K1168" s="1084"/>
      <c r="L1168" s="1113"/>
      <c r="M1168" s="977">
        <v>160</v>
      </c>
    </row>
    <row r="1169" spans="1:13" s="1137" customFormat="1" ht="25.15" hidden="1" customHeight="1">
      <c r="A1169" s="1156">
        <f>IF(A1168&gt;0,1,0)</f>
        <v>0</v>
      </c>
      <c r="B1169" s="1360"/>
      <c r="C1169" s="1360"/>
      <c r="D1169" s="1081"/>
      <c r="E1169" s="1091"/>
      <c r="F1169" s="1371" t="s">
        <v>2287</v>
      </c>
      <c r="G1169" s="1081"/>
      <c r="H1169" s="1890"/>
      <c r="I1169" s="1262">
        <f t="shared" si="110"/>
        <v>0</v>
      </c>
      <c r="J1169" s="1084"/>
      <c r="K1169" s="1084"/>
      <c r="L1169" s="1113"/>
      <c r="M1169" s="977">
        <v>160</v>
      </c>
    </row>
    <row r="1170" spans="1:13" s="1086" customFormat="1" ht="25.15" hidden="1" customHeight="1">
      <c r="A1170" s="1156">
        <f t="shared" si="108"/>
        <v>0</v>
      </c>
      <c r="B1170" s="1327" t="s">
        <v>1828</v>
      </c>
      <c r="C1170" s="1327"/>
      <c r="D1170" s="1113"/>
      <c r="E1170" s="1082" t="str">
        <f>VLOOKUP($B1170,DG!A:D,DG!$B$2,)</f>
        <v>03.1401</v>
      </c>
      <c r="F1170" s="1111" t="str">
        <f>VLOOKUP($B1170,DG!A:D,DG!$C$2,)</f>
        <v xml:space="preserve">Cáp CVV 4x2,5mm2  </v>
      </c>
      <c r="G1170" s="1138" t="str">
        <f>VLOOKUP($B1170,DG!A:D,DG!$D$2,)</f>
        <v>mét</v>
      </c>
      <c r="H1170" s="1873">
        <f>H1168*26</f>
        <v>0</v>
      </c>
      <c r="I1170" s="1262">
        <f t="shared" si="110"/>
        <v>0</v>
      </c>
      <c r="J1170" s="1134"/>
      <c r="K1170" s="1134"/>
      <c r="L1170" s="1113"/>
      <c r="M1170" s="977">
        <v>160</v>
      </c>
    </row>
    <row r="1171" spans="1:13" s="1086" customFormat="1" ht="25.15" hidden="1" customHeight="1">
      <c r="A1171" s="1156">
        <f t="shared" si="108"/>
        <v>0</v>
      </c>
      <c r="B1171" s="1327" t="s">
        <v>246</v>
      </c>
      <c r="C1171" s="1327"/>
      <c r="D1171" s="1113"/>
      <c r="E1171" s="1082" t="str">
        <f>VLOOKUP($B1171,DG!A:D,DG!$B$2,)</f>
        <v>05.6101</v>
      </c>
      <c r="F1171" s="1111" t="str">
        <f>VLOOKUP($B1171,DG!A:D,DG!$C$2,)</f>
        <v>Xà kẹp TU, TI U50x32x4 350</v>
      </c>
      <c r="G1171" s="1138" t="str">
        <f>VLOOKUP($B1171,DG!A:D,DG!$D$2,)</f>
        <v>Bộ</v>
      </c>
      <c r="H1171" s="1873">
        <f>H1168*24</f>
        <v>0</v>
      </c>
      <c r="I1171" s="1262">
        <f t="shared" si="110"/>
        <v>0</v>
      </c>
      <c r="J1171" s="1134"/>
      <c r="K1171" s="1134"/>
      <c r="L1171" s="1113"/>
      <c r="M1171" s="977">
        <v>160</v>
      </c>
    </row>
    <row r="1172" spans="1:13" s="1086" customFormat="1" ht="25.15" hidden="1" customHeight="1">
      <c r="A1172" s="1156">
        <f t="shared" si="108"/>
        <v>0</v>
      </c>
      <c r="B1172" s="1327" t="s">
        <v>1871</v>
      </c>
      <c r="C1172" s="1327"/>
      <c r="D1172" s="1093"/>
      <c r="E1172" s="1082" t="str">
        <f>VLOOKUP($B1172,DG!A:D,DG!$B$2,)</f>
        <v>03.4001</v>
      </c>
      <c r="F1172" s="1111" t="str">
        <f>VLOOKUP($B1172,DG!A:D,DG!$C$2,)</f>
        <v xml:space="preserve">Đầu cosse ép Cu 2,5mm2 + bao PVC </v>
      </c>
      <c r="G1172" s="1138" t="str">
        <f>VLOOKUP($B1172,DG!A:D,DG!$D$2,)</f>
        <v>cái</v>
      </c>
      <c r="H1172" s="1873">
        <f>H1168*16</f>
        <v>0</v>
      </c>
      <c r="I1172" s="1262">
        <f t="shared" si="110"/>
        <v>0</v>
      </c>
      <c r="J1172" s="1134"/>
      <c r="K1172" s="1134"/>
      <c r="L1172" s="1113"/>
      <c r="M1172" s="977">
        <v>160</v>
      </c>
    </row>
    <row r="1173" spans="1:13" s="1086" customFormat="1" ht="25.15" hidden="1" customHeight="1">
      <c r="A1173" s="1156">
        <f t="shared" si="108"/>
        <v>0</v>
      </c>
      <c r="B1173" s="1327" t="s">
        <v>1515</v>
      </c>
      <c r="C1173" s="1327"/>
      <c r="D1173" s="1093"/>
      <c r="E1173" s="1082">
        <f>VLOOKUP($B1173,DG!A:D,DG!$B$2,)</f>
        <v>0</v>
      </c>
      <c r="F1173" s="1111" t="str">
        <f>VLOOKUP($B1173,DG!A:D,DG!$C$2,)</f>
        <v>Dây điện đôi 16/10</v>
      </c>
      <c r="G1173" s="1138" t="str">
        <f>VLOOKUP($B1173,DG!A:D,DG!$D$2,)</f>
        <v>mét</v>
      </c>
      <c r="H1173" s="1873">
        <f>2*H1168</f>
        <v>0</v>
      </c>
      <c r="I1173" s="1262">
        <f t="shared" si="110"/>
        <v>0</v>
      </c>
      <c r="J1173" s="1134"/>
      <c r="K1173" s="1134"/>
      <c r="L1173" s="1113"/>
      <c r="M1173" s="977">
        <v>160</v>
      </c>
    </row>
    <row r="1174" spans="1:13" s="1086" customFormat="1" ht="25.15" hidden="1" customHeight="1">
      <c r="A1174" s="1156">
        <f t="shared" si="108"/>
        <v>0</v>
      </c>
      <c r="B1174" s="1327" t="s">
        <v>1116</v>
      </c>
      <c r="C1174" s="1327"/>
      <c r="D1174" s="1093"/>
      <c r="E1174" s="1082">
        <f>VLOOKUP($B1174,DG!A:D,DG!$B$2,)</f>
        <v>0</v>
      </c>
      <c r="F1174" s="1111" t="str">
        <f>VLOOKUP($B1174,DG!A:D,DG!$C$2,)&amp;" (ñaáu TU )"</f>
        <v>Kẹp ép cỡ dây 25mm2 (ñaáu TU )</v>
      </c>
      <c r="G1174" s="1138" t="str">
        <f>VLOOKUP($B1174,DG!A:D,DG!$D$2,)</f>
        <v>cái</v>
      </c>
      <c r="H1174" s="1873">
        <f>+H1168*3</f>
        <v>0</v>
      </c>
      <c r="I1174" s="1262">
        <f t="shared" si="110"/>
        <v>0</v>
      </c>
      <c r="J1174" s="1134"/>
      <c r="K1174" s="1134"/>
      <c r="L1174" s="1113"/>
      <c r="M1174" s="977">
        <v>160</v>
      </c>
    </row>
    <row r="1175" spans="1:13" s="1086" customFormat="1" ht="25.15" hidden="1" customHeight="1">
      <c r="A1175" s="1156">
        <f t="shared" si="108"/>
        <v>0</v>
      </c>
      <c r="B1175" s="1327" t="s">
        <v>2149</v>
      </c>
      <c r="C1175" s="1327"/>
      <c r="D1175" s="1093"/>
      <c r="E1175" s="1082" t="str">
        <f>VLOOKUP($B1175,DG!A:D,DG!$B$2,)</f>
        <v>07.2403</v>
      </c>
      <c r="F1175" s="1111" t="str">
        <f>VLOOKUP($B1175,DG!A:D,DG!$C$2,)</f>
        <v>Ống PVC D42x2,1mm</v>
      </c>
      <c r="G1175" s="1138" t="str">
        <f>VLOOKUP($B1175,DG!A:D,DG!$D$2,)</f>
        <v>m</v>
      </c>
      <c r="H1175" s="1873">
        <f>H1168*16</f>
        <v>0</v>
      </c>
      <c r="I1175" s="1262">
        <f t="shared" si="110"/>
        <v>0</v>
      </c>
      <c r="J1175" s="1134"/>
      <c r="K1175" s="1134"/>
      <c r="L1175" s="1113"/>
      <c r="M1175" s="977">
        <v>160</v>
      </c>
    </row>
    <row r="1176" spans="1:13" s="1086" customFormat="1" ht="25.15" hidden="1" customHeight="1">
      <c r="A1176" s="1156">
        <f t="shared" ref="A1176:A1237" si="115">IF(I1176&gt;0,1,0)</f>
        <v>0</v>
      </c>
      <c r="B1176" s="1157" t="s">
        <v>204</v>
      </c>
      <c r="C1176" s="1157"/>
      <c r="D1176" s="1093"/>
      <c r="E1176" s="1082" t="str">
        <f>VLOOKUP($B1176,DG!A:D,DG!$B$2,)</f>
        <v>06.3231</v>
      </c>
      <c r="F1176" s="1111" t="str">
        <f>VLOOKUP($B1176,DG!A:D,DG!$C$2,)</f>
        <v>Cổ dê giữ ống PVC D42</v>
      </c>
      <c r="G1176" s="1138" t="str">
        <f>VLOOKUP($B1176,DG!A:D,DG!$D$2,)</f>
        <v>bộ</v>
      </c>
      <c r="H1176" s="1873">
        <f>H1168*4</f>
        <v>0</v>
      </c>
      <c r="I1176" s="1262">
        <f t="shared" si="110"/>
        <v>0</v>
      </c>
      <c r="J1176" s="1134"/>
      <c r="K1176" s="1134"/>
      <c r="L1176" s="1113"/>
      <c r="M1176" s="977">
        <v>160</v>
      </c>
    </row>
    <row r="1177" spans="1:13" s="1086" customFormat="1" ht="25.15" hidden="1" customHeight="1">
      <c r="A1177" s="1156">
        <f t="shared" si="115"/>
        <v>0</v>
      </c>
      <c r="B1177" s="1327" t="s">
        <v>1621</v>
      </c>
      <c r="C1177" s="1327"/>
      <c r="D1177" s="1093"/>
      <c r="E1177" s="1082">
        <f>VLOOKUP($B1177,DG!A:D,DG!$B$2,)</f>
        <v>0</v>
      </c>
      <c r="F1177" s="1111" t="str">
        <f>VLOOKUP($B1177,DG!A:D,DG!$C$2,)</f>
        <v>Co 90 độ PVC 42</v>
      </c>
      <c r="G1177" s="1138" t="str">
        <f>VLOOKUP($B1177,DG!A:D,DG!$D$2,)</f>
        <v>cái</v>
      </c>
      <c r="H1177" s="1873">
        <f>H1168*5</f>
        <v>0</v>
      </c>
      <c r="I1177" s="1262">
        <f t="shared" si="110"/>
        <v>0</v>
      </c>
      <c r="J1177" s="1134"/>
      <c r="K1177" s="1134"/>
      <c r="L1177" s="1113"/>
      <c r="M1177" s="977">
        <v>160</v>
      </c>
    </row>
    <row r="1178" spans="1:13" s="1086" customFormat="1" ht="25.15" hidden="1" customHeight="1">
      <c r="A1178" s="1156">
        <f t="shared" si="115"/>
        <v>0</v>
      </c>
      <c r="B1178" s="1327" t="s">
        <v>1052</v>
      </c>
      <c r="C1178" s="1327"/>
      <c r="D1178" s="1093"/>
      <c r="E1178" s="1082">
        <f>VLOOKUP($B1178,DG!A:D,DG!$B$2,)</f>
        <v>0</v>
      </c>
      <c r="F1178" s="1111" t="str">
        <f>VLOOKUP($B1178,DG!A:D,DG!$C$2,)</f>
        <v>Co chữ T ống PVC 42</v>
      </c>
      <c r="G1178" s="1138" t="str">
        <f>VLOOKUP($B1178,DG!A:D,DG!$D$2,)</f>
        <v>cái</v>
      </c>
      <c r="H1178" s="1873">
        <f>H1168*5</f>
        <v>0</v>
      </c>
      <c r="I1178" s="1262">
        <f t="shared" si="110"/>
        <v>0</v>
      </c>
      <c r="J1178" s="1134"/>
      <c r="K1178" s="1134"/>
      <c r="L1178" s="1113"/>
      <c r="M1178" s="977">
        <v>160</v>
      </c>
    </row>
    <row r="1179" spans="1:13" s="1086" customFormat="1" ht="25.15" hidden="1" customHeight="1">
      <c r="A1179" s="1156">
        <f t="shared" si="115"/>
        <v>0</v>
      </c>
      <c r="B1179" s="1327" t="s">
        <v>1919</v>
      </c>
      <c r="C1179" s="1327"/>
      <c r="D1179" s="1093"/>
      <c r="E1179" s="1082">
        <f>VLOOKUP($B1179,DG!A:D,DG!$B$2,)</f>
        <v>0</v>
      </c>
      <c r="F1179" s="1111" t="str">
        <f>VLOOKUP($B1179,DG!A:D,DG!$C$2,)</f>
        <v>Nối thẳng ống PVC 42</v>
      </c>
      <c r="G1179" s="1138" t="str">
        <f>VLOOKUP($B1179,DG!A:D,DG!$D$2,)</f>
        <v>cái</v>
      </c>
      <c r="H1179" s="1873">
        <f>H1168</f>
        <v>0</v>
      </c>
      <c r="I1179" s="1262">
        <f t="shared" si="110"/>
        <v>0</v>
      </c>
      <c r="J1179" s="1134"/>
      <c r="K1179" s="1134"/>
      <c r="L1179" s="1113"/>
      <c r="M1179" s="977">
        <v>160</v>
      </c>
    </row>
    <row r="1180" spans="1:13" s="1086" customFormat="1" ht="25.15" hidden="1" customHeight="1">
      <c r="A1180" s="1156">
        <f t="shared" si="115"/>
        <v>0</v>
      </c>
      <c r="B1180" s="1327" t="s">
        <v>699</v>
      </c>
      <c r="C1180" s="1327"/>
      <c r="D1180" s="1093"/>
      <c r="E1180" s="1082">
        <f>VLOOKUP($B1180,DG!A:D,DG!$B$2,)</f>
        <v>0</v>
      </c>
      <c r="F1180" s="1111" t="str">
        <f>VLOOKUP($B1180,DG!A:D,DG!$C$2,)&amp;" ñaáu TU"</f>
        <v>Cáp 24KV CX-25mm2 ñaáu TU</v>
      </c>
      <c r="G1180" s="1138" t="str">
        <f>VLOOKUP($B1180,DG!A:D,DG!$D$2,)</f>
        <v>mét</v>
      </c>
      <c r="H1180" s="1873">
        <f>H1168*2.5*3*0</f>
        <v>0</v>
      </c>
      <c r="I1180" s="1262">
        <f t="shared" si="110"/>
        <v>0</v>
      </c>
      <c r="J1180" s="1134"/>
      <c r="K1180" s="1134"/>
      <c r="L1180" s="1113"/>
      <c r="M1180" s="977">
        <v>160</v>
      </c>
    </row>
    <row r="1181" spans="1:13" s="1086" customFormat="1" ht="25.15" hidden="1" customHeight="1">
      <c r="A1181" s="1156">
        <f t="shared" si="115"/>
        <v>0</v>
      </c>
      <c r="B1181" s="1327" t="s">
        <v>728</v>
      </c>
      <c r="C1181" s="1327"/>
      <c r="D1181" s="1093"/>
      <c r="E1181" s="1082">
        <f>VLOOKUP($B1181,DG!A:D,DG!$B$2,)</f>
        <v>0</v>
      </c>
      <c r="F1181" s="1111" t="str">
        <f>VLOOKUP($B1181,DG!A:D,DG!$C$2,)</f>
        <v>Keo dán ống PVC (500gr)</v>
      </c>
      <c r="G1181" s="1138" t="str">
        <f>VLOOKUP($B1181,DG!A:D,DG!$D$2,)</f>
        <v>lon</v>
      </c>
      <c r="H1181" s="1873">
        <f>H1168</f>
        <v>0</v>
      </c>
      <c r="I1181" s="1262">
        <f t="shared" si="110"/>
        <v>0</v>
      </c>
      <c r="J1181" s="1134"/>
      <c r="K1181" s="1134"/>
      <c r="L1181" s="1113"/>
      <c r="M1181" s="977">
        <v>160</v>
      </c>
    </row>
    <row r="1182" spans="1:13" s="1086" customFormat="1" ht="25.15" hidden="1" customHeight="1">
      <c r="A1182" s="1156">
        <f t="shared" si="115"/>
        <v>0</v>
      </c>
      <c r="B1182" s="1157" t="s">
        <v>672</v>
      </c>
      <c r="C1182" s="1157"/>
      <c r="D1182" s="1093"/>
      <c r="E1182" s="1082">
        <f>VLOOKUP($B1182,DG!A:D,DG!$B$2,)</f>
        <v>0</v>
      </c>
      <c r="F1182" s="1111" t="str">
        <f>VLOOKUP($B1182,DG!A:D,DG!$C$2,)</f>
        <v>Băng keo cách điện</v>
      </c>
      <c r="G1182" s="1138" t="str">
        <f>VLOOKUP($B1182,DG!A:D,DG!$D$2,)</f>
        <v>cuộn</v>
      </c>
      <c r="H1182" s="1873">
        <f>H1168</f>
        <v>0</v>
      </c>
      <c r="I1182" s="1262">
        <f t="shared" si="110"/>
        <v>0</v>
      </c>
      <c r="J1182" s="1084"/>
      <c r="K1182" s="1084"/>
      <c r="L1182" s="1113"/>
      <c r="M1182" s="977">
        <v>160</v>
      </c>
    </row>
    <row r="1183" spans="1:13" s="1086" customFormat="1" ht="25.15" hidden="1" customHeight="1">
      <c r="A1183" s="1156">
        <f t="shared" si="115"/>
        <v>0</v>
      </c>
      <c r="B1183" s="1327" t="s">
        <v>2128</v>
      </c>
      <c r="C1183" s="1327"/>
      <c r="D1183" s="1093"/>
      <c r="E1183" s="1082">
        <f>VLOOKUP($B1183,DG!A:D,DG!$B$2,)</f>
        <v>0</v>
      </c>
      <c r="F1183" s="1111" t="str">
        <f>VLOOKUP($B1183,DG!A:D,DG!$C$2,)</f>
        <v>Khâu ven răng trong D42</v>
      </c>
      <c r="G1183" s="1138" t="str">
        <f>VLOOKUP($B1183,DG!A:D,DG!$D$2,)</f>
        <v>cái</v>
      </c>
      <c r="H1183" s="1873">
        <f>H1168</f>
        <v>0</v>
      </c>
      <c r="I1183" s="1262">
        <f t="shared" si="110"/>
        <v>0</v>
      </c>
      <c r="J1183" s="1084"/>
      <c r="K1183" s="1084"/>
      <c r="L1183" s="1113"/>
      <c r="M1183" s="977">
        <v>160</v>
      </c>
    </row>
    <row r="1184" spans="1:13" s="1086" customFormat="1" ht="25.15" hidden="1" customHeight="1">
      <c r="A1184" s="1156">
        <f t="shared" si="115"/>
        <v>0</v>
      </c>
      <c r="B1184" s="1157" t="s">
        <v>961</v>
      </c>
      <c r="C1184" s="1157"/>
      <c r="D1184" s="1093"/>
      <c r="E1184" s="1082">
        <f>VLOOKUP($B1184,DG!A:D,DG!$B$2,)</f>
        <v>0</v>
      </c>
      <c r="F1184" s="1111" t="str">
        <f>VLOOKUP($B1184,DG!A:D,DG!$C$2,)</f>
        <v>Khâu ven răng ngoài D42</v>
      </c>
      <c r="G1184" s="1138" t="str">
        <f>VLOOKUP($B1184,DG!A:D,DG!$D$2,)</f>
        <v>cái</v>
      </c>
      <c r="H1184" s="1873">
        <f>H1168</f>
        <v>0</v>
      </c>
      <c r="I1184" s="1262">
        <f t="shared" si="110"/>
        <v>0</v>
      </c>
      <c r="J1184" s="1084"/>
      <c r="K1184" s="1084"/>
      <c r="L1184" s="1113"/>
      <c r="M1184" s="977">
        <v>160</v>
      </c>
    </row>
    <row r="1185" spans="1:13" s="1086" customFormat="1" ht="25.15" hidden="1" customHeight="1">
      <c r="A1185" s="1156">
        <f t="shared" si="115"/>
        <v>0</v>
      </c>
      <c r="B1185" s="1157" t="s">
        <v>319</v>
      </c>
      <c r="C1185" s="1157"/>
      <c r="D1185" s="1093"/>
      <c r="E1185" s="1082" t="str">
        <f>VLOOKUP($B1185,DG!A:D,DG!$B$2,)</f>
        <v>06.3231</v>
      </c>
      <c r="F1185" s="1111" t="str">
        <f>VLOOKUP($B1185,DG!A:D,DG!$C$2,)</f>
        <v>Cổ dê CDĐKĐT( bắt thùng điện kế)</v>
      </c>
      <c r="G1185" s="1138" t="str">
        <f>VLOOKUP($B1185,DG!A:D,DG!$D$2,)</f>
        <v>bộ</v>
      </c>
      <c r="H1185" s="1911">
        <f>H1168*2*0</f>
        <v>0</v>
      </c>
      <c r="I1185" s="1262">
        <f t="shared" si="110"/>
        <v>0</v>
      </c>
      <c r="J1185" s="1084"/>
      <c r="K1185" s="1084"/>
      <c r="L1185" s="1085"/>
      <c r="M1185" s="977">
        <v>160</v>
      </c>
    </row>
    <row r="1186" spans="1:13" s="1086" customFormat="1" ht="25.15" hidden="1" customHeight="1">
      <c r="A1186" s="1156">
        <f t="shared" si="115"/>
        <v>0</v>
      </c>
      <c r="B1186" s="1157" t="s">
        <v>1921</v>
      </c>
      <c r="C1186" s="1157"/>
      <c r="D1186" s="1093"/>
      <c r="E1186" s="1082" t="str">
        <f>VLOOKUP($B1186,DG!A:D,DG!$B$2,)</f>
        <v>05.1101</v>
      </c>
      <c r="F1186" s="1111" t="str">
        <f>VLOOKUP($B1186,DG!A:D,DG!$C$2,)</f>
        <v>Thùng điện kế 450x300x200mm đo đếm trung thế</v>
      </c>
      <c r="G1186" s="1138" t="str">
        <f>VLOOKUP($B1186,DG!A:D,DG!$D$2,)</f>
        <v>cái</v>
      </c>
      <c r="H1186" s="1873">
        <f>H1168*0</f>
        <v>0</v>
      </c>
      <c r="I1186" s="1262">
        <f t="shared" si="110"/>
        <v>0</v>
      </c>
      <c r="J1186" s="1084"/>
      <c r="K1186" s="1084"/>
      <c r="L1186" s="1113"/>
      <c r="M1186" s="977">
        <v>160</v>
      </c>
    </row>
    <row r="1187" spans="1:13" s="1086" customFormat="1" ht="25.15" hidden="1" customHeight="1">
      <c r="A1187" s="1156">
        <f t="shared" si="115"/>
        <v>0</v>
      </c>
      <c r="B1187" s="1157" t="s">
        <v>6</v>
      </c>
      <c r="C1187" s="1157"/>
      <c r="D1187" s="1093"/>
      <c r="E1187" s="1082">
        <f>VLOOKUP($B1187,DG!A:D,DG!$B$2,)</f>
        <v>0</v>
      </c>
      <c r="F1187" s="1111" t="str">
        <f>VLOOKUP($B1187,DG!A:D,DG!$C$2,)</f>
        <v>Keo silicon bít miệng ống</v>
      </c>
      <c r="G1187" s="1138" t="str">
        <f>VLOOKUP($B1187,DG!A:D,DG!$D$2,)</f>
        <v>ống</v>
      </c>
      <c r="H1187" s="1873">
        <f>H1168</f>
        <v>0</v>
      </c>
      <c r="I1187" s="1262">
        <f t="shared" si="110"/>
        <v>0</v>
      </c>
      <c r="J1187" s="1084"/>
      <c r="K1187" s="1084"/>
      <c r="L1187" s="1113"/>
      <c r="M1187" s="977">
        <v>160</v>
      </c>
    </row>
    <row r="1188" spans="1:13" s="1086" customFormat="1" ht="25.15" hidden="1" customHeight="1">
      <c r="A1188" s="1156">
        <f t="shared" si="115"/>
        <v>0</v>
      </c>
      <c r="B1188" s="1157" t="s">
        <v>2147</v>
      </c>
      <c r="C1188" s="1157"/>
      <c r="D1188" s="1093"/>
      <c r="E1188" s="1082">
        <f>VLOOKUP($B1188,DG!A:D,DG!$B$2,)</f>
        <v>0</v>
      </c>
      <c r="F1188" s="1111" t="str">
        <f>VLOOKUP($B1188,DG!A:D,DG!$C$2,)</f>
        <v>Dây đồng trần mềm dẹt</v>
      </c>
      <c r="G1188" s="1138" t="str">
        <f>VLOOKUP($B1188,DG!A:D,DG!$D$2,)</f>
        <v>mét</v>
      </c>
      <c r="H1188" s="1873">
        <f>H1168*4</f>
        <v>0</v>
      </c>
      <c r="I1188" s="1262">
        <f t="shared" si="110"/>
        <v>0</v>
      </c>
      <c r="J1188" s="1084"/>
      <c r="K1188" s="1084"/>
      <c r="L1188" s="1113"/>
      <c r="M1188" s="977">
        <v>160</v>
      </c>
    </row>
    <row r="1189" spans="1:13" s="1086" customFormat="1" ht="25.15" hidden="1" customHeight="1">
      <c r="A1189" s="1156">
        <f t="shared" si="115"/>
        <v>0</v>
      </c>
      <c r="B1189" s="1157" t="s">
        <v>1221</v>
      </c>
      <c r="C1189" s="1157"/>
      <c r="D1189" s="1093"/>
      <c r="E1189" s="1082" t="str">
        <f>VLOOKUP($B1189,DG!A:D,DG!$B$2,)</f>
        <v>06.3191</v>
      </c>
      <c r="F1189" s="1111" t="str">
        <f>VLOOKUP($B1189,DG!A:D,DG!$C$2,)</f>
        <v>Bảng tên trạm, bảng báo nguy hiểm + đinh vít</v>
      </c>
      <c r="G1189" s="1138" t="str">
        <f>VLOOKUP($B1189,DG!A:D,DG!$D$2,)</f>
        <v>bộ</v>
      </c>
      <c r="H1189" s="1873">
        <f>H1168</f>
        <v>0</v>
      </c>
      <c r="I1189" s="1262">
        <f t="shared" si="110"/>
        <v>0</v>
      </c>
      <c r="J1189" s="1084"/>
      <c r="K1189" s="1084"/>
      <c r="L1189" s="1113"/>
      <c r="M1189" s="977">
        <v>160</v>
      </c>
    </row>
    <row r="1190" spans="1:13" s="1086" customFormat="1" ht="25.15" hidden="1" customHeight="1">
      <c r="A1190" s="1156">
        <f t="shared" si="115"/>
        <v>0</v>
      </c>
      <c r="B1190" s="1157" t="s">
        <v>1355</v>
      </c>
      <c r="C1190" s="1157"/>
      <c r="D1190" s="1093"/>
      <c r="E1190" s="1082">
        <f>VLOOKUP($B1190,DG!A:D,DG!$B$2,)</f>
        <v>0</v>
      </c>
      <c r="F1190" s="1111" t="str">
        <f>VLOOKUP($B1190,DG!A:D,DG!$C$2,)&amp;" baét thuøng ÑKÑT"</f>
        <v>Boulon 12x60+ 2 long đền vuông D14-50x50x3/Zn baét thuøng ÑKÑT</v>
      </c>
      <c r="G1190" s="1138" t="str">
        <f>VLOOKUP($B1190,DG!A:D,DG!$D$2,)</f>
        <v>bộ</v>
      </c>
      <c r="H1190" s="1873">
        <f>4*H1168*0</f>
        <v>0</v>
      </c>
      <c r="I1190" s="1262">
        <f t="shared" si="110"/>
        <v>0</v>
      </c>
      <c r="J1190" s="1084"/>
      <c r="K1190" s="1084"/>
      <c r="L1190" s="1113"/>
      <c r="M1190" s="977">
        <v>160</v>
      </c>
    </row>
    <row r="1191" spans="1:13" s="1086" customFormat="1" ht="25.15" hidden="1" customHeight="1">
      <c r="A1191" s="1156">
        <f t="shared" si="115"/>
        <v>0</v>
      </c>
      <c r="B1191" s="1157"/>
      <c r="C1191" s="1157"/>
      <c r="D1191" s="1118"/>
      <c r="E1191" s="1119"/>
      <c r="F1191" s="1108" t="s">
        <v>3751</v>
      </c>
      <c r="G1191" s="1108"/>
      <c r="H1191" s="1897"/>
      <c r="I1191" s="1262">
        <f t="shared" si="110"/>
        <v>0</v>
      </c>
      <c r="J1191" s="1108"/>
      <c r="K1191" s="1108"/>
      <c r="L1191" s="1139"/>
      <c r="M1191" s="977">
        <v>160</v>
      </c>
    </row>
    <row r="1192" spans="1:13" s="1086" customFormat="1" ht="25.15" hidden="1" customHeight="1">
      <c r="A1192" s="1156">
        <f t="shared" si="115"/>
        <v>0</v>
      </c>
      <c r="B1192" s="1157" t="s">
        <v>968</v>
      </c>
      <c r="C1192" s="1157"/>
      <c r="D1192" s="1093"/>
      <c r="E1192" s="1082" t="str">
        <f>VLOOKUP($B1192,DG!A:D,DG!$B$2,)</f>
        <v>02.5114</v>
      </c>
      <c r="F1192" s="1111" t="s">
        <v>3752</v>
      </c>
      <c r="G1192" s="1138" t="str">
        <f>VLOOKUP($B1192,DG!A:D,DG!$D$2,)</f>
        <v>cái</v>
      </c>
      <c r="H1192" s="1873"/>
      <c r="I1192" s="1262">
        <f t="shared" si="110"/>
        <v>0</v>
      </c>
      <c r="J1192" s="1084"/>
      <c r="K1192" s="1084"/>
      <c r="L1192" s="1113" t="s">
        <v>3753</v>
      </c>
      <c r="M1192" s="977">
        <v>160</v>
      </c>
    </row>
    <row r="1193" spans="1:13" s="1086" customFormat="1" ht="25.15" hidden="1" customHeight="1">
      <c r="A1193" s="1156">
        <f t="shared" si="115"/>
        <v>0</v>
      </c>
      <c r="B1193" s="1157" t="s">
        <v>1912</v>
      </c>
      <c r="C1193" s="1157"/>
      <c r="D1193" s="1093"/>
      <c r="E1193" s="1082" t="str">
        <f>VLOOKUP($B1193,DG!A:D,DG!$B$2,)</f>
        <v>05.6011</v>
      </c>
      <c r="F1193" s="1111" t="s">
        <v>2470</v>
      </c>
      <c r="G1193" s="1138" t="str">
        <f>VLOOKUP($B1193,DG!A:D,DG!$D$2,)</f>
        <v>bộ</v>
      </c>
      <c r="H1193" s="1873"/>
      <c r="I1193" s="1262">
        <f t="shared" si="110"/>
        <v>0</v>
      </c>
      <c r="J1193" s="1084"/>
      <c r="K1193" s="1084"/>
      <c r="L1193" s="1085"/>
      <c r="M1193" s="977">
        <v>160</v>
      </c>
    </row>
    <row r="1194" spans="1:13" s="1086" customFormat="1" ht="25.15" hidden="1" customHeight="1">
      <c r="A1194" s="1156">
        <f>IF(M1194=M23,1,0)</f>
        <v>0</v>
      </c>
      <c r="B1194" s="1157"/>
      <c r="C1194" s="1157"/>
      <c r="D1194" s="1140"/>
      <c r="E1194" s="1141"/>
      <c r="F1194" s="1108"/>
      <c r="G1194" s="1142"/>
      <c r="H1194" s="1900"/>
      <c r="I1194" s="1900">
        <f t="shared" si="110"/>
        <v>0</v>
      </c>
      <c r="J1194" s="1143"/>
      <c r="K1194" s="1144"/>
      <c r="L1194" s="1110"/>
      <c r="M1194" s="977">
        <v>160</v>
      </c>
    </row>
    <row r="1195" spans="1:13" s="1086" customFormat="1" ht="25.15" hidden="1" customHeight="1">
      <c r="A1195" s="1156">
        <f t="shared" si="115"/>
        <v>0</v>
      </c>
      <c r="B1195" s="1157"/>
      <c r="C1195" s="1157"/>
      <c r="D1195" s="1145"/>
      <c r="F1195" s="1146"/>
      <c r="H1195" s="1902"/>
      <c r="I1195" s="1262">
        <f t="shared" si="110"/>
        <v>0</v>
      </c>
      <c r="M1195" s="977"/>
    </row>
    <row r="1196" spans="1:13" s="1086" customFormat="1" ht="25.15" hidden="1" customHeight="1">
      <c r="A1196" s="1156">
        <f t="shared" si="115"/>
        <v>0</v>
      </c>
      <c r="B1196" s="1353"/>
      <c r="C1196" s="1353"/>
      <c r="D1196" s="983" t="e">
        <f>"BAÛNG TOÅNG HÔÏP VAÄT LIEÄU, NHAÂN COÂNG, MAÙY THI COÂNG : "&amp;#REF!&amp;" TRAÏM 3P_250KVA"</f>
        <v>#REF!</v>
      </c>
      <c r="E1196" s="983"/>
      <c r="F1196" s="983"/>
      <c r="G1196" s="983"/>
      <c r="H1196" s="1894"/>
      <c r="I1196" s="1262">
        <f t="shared" ref="I1196:I1259" si="116">IF(M1196=$M$23,H1196+J1196-K1196,0)</f>
        <v>0</v>
      </c>
      <c r="J1196" s="1147"/>
      <c r="K1196" s="1147"/>
      <c r="L1196" s="1148"/>
      <c r="M1196" s="977"/>
    </row>
    <row r="1197" spans="1:13" s="1086" customFormat="1" ht="25.15" hidden="1" customHeight="1">
      <c r="A1197" s="1156">
        <f t="shared" si="115"/>
        <v>0</v>
      </c>
      <c r="B1197" s="1327"/>
      <c r="C1197" s="1327"/>
      <c r="D1197" s="1106"/>
      <c r="E1197" s="1107"/>
      <c r="F1197" s="1108" t="s">
        <v>3693</v>
      </c>
      <c r="G1197" s="1109"/>
      <c r="H1197" s="1930"/>
      <c r="I1197" s="1262">
        <f t="shared" si="116"/>
        <v>0</v>
      </c>
      <c r="J1197" s="1109"/>
      <c r="K1197" s="1109"/>
      <c r="L1197" s="1110"/>
      <c r="M1197" s="977">
        <v>250</v>
      </c>
    </row>
    <row r="1198" spans="1:13" s="1086" customFormat="1" ht="25.15" hidden="1" customHeight="1">
      <c r="A1198" s="1156">
        <f t="shared" si="115"/>
        <v>0</v>
      </c>
      <c r="B1198" s="1328" t="s">
        <v>4533</v>
      </c>
      <c r="C1198" s="1328"/>
      <c r="D1198" s="1093">
        <f>IF(H1198&gt;0,1,0)</f>
        <v>0</v>
      </c>
      <c r="E1198" s="1082" t="str">
        <f>VLOOKUP($B1198,DG!A:D,DG!$B$2,)</f>
        <v>01.1415</v>
      </c>
      <c r="F1198" s="1083" t="str">
        <f>VLOOKUP($B1198,DG!A:D,DG!$C$2,)</f>
        <v>Máy biến áp 22/0,4kV- 250kVA</v>
      </c>
      <c r="G1198" s="1082" t="str">
        <f>VLOOKUP($B1198,DG!A:D,DG!$D$2,)</f>
        <v>máy</v>
      </c>
      <c r="H1198" s="1904">
        <f>L11</f>
        <v>0</v>
      </c>
      <c r="I1198" s="1262">
        <f t="shared" si="116"/>
        <v>0</v>
      </c>
      <c r="J1198" s="1111"/>
      <c r="K1198" s="1111"/>
      <c r="L1198" s="1112"/>
      <c r="M1198" s="977">
        <v>250</v>
      </c>
    </row>
    <row r="1199" spans="1:13" s="1086" customFormat="1" ht="25.15" hidden="1" customHeight="1">
      <c r="A1199" s="1156">
        <f t="shared" si="115"/>
        <v>0</v>
      </c>
      <c r="B1199" s="1328" t="s">
        <v>1657</v>
      </c>
      <c r="C1199" s="1328"/>
      <c r="D1199" s="1093">
        <f>IF(H1199&gt;0,D1198+1,D1198)</f>
        <v>0</v>
      </c>
      <c r="E1199" s="1082" t="str">
        <f>VLOOKUP($B1199,DG!A:D,DG!$B$2,)</f>
        <v>02.3155</v>
      </c>
      <c r="F1199" s="1083" t="str">
        <f>VLOOKUP($B1199,DG!A:D,DG!$C$2,)</f>
        <v>FCO 27kV - 100A</v>
      </c>
      <c r="G1199" s="1082" t="str">
        <f>VLOOKUP($B1199,DG!A:D,DG!$D$2,)</f>
        <v>cái</v>
      </c>
      <c r="H1199" s="1873"/>
      <c r="I1199" s="1262">
        <f t="shared" si="116"/>
        <v>0</v>
      </c>
      <c r="J1199" s="1084"/>
      <c r="K1199" s="1084"/>
      <c r="L1199" s="1113"/>
      <c r="M1199" s="977">
        <v>250</v>
      </c>
    </row>
    <row r="1200" spans="1:13" s="1086" customFormat="1" ht="25.15" hidden="1" customHeight="1">
      <c r="A1200" s="1156">
        <f t="shared" si="115"/>
        <v>0</v>
      </c>
      <c r="B1200" s="1328" t="s">
        <v>4534</v>
      </c>
      <c r="C1200" s="1328"/>
      <c r="D1200" s="1093">
        <f t="shared" ref="D1200:D1205" si="117">IF(H1200&gt;0,D1199+1,D1199)</f>
        <v>0</v>
      </c>
      <c r="E1200" s="1082">
        <f>VLOOKUP($B1200,DG!A:D,DG!$B$2,)</f>
        <v>0</v>
      </c>
      <c r="F1200" s="1083" t="str">
        <f>VLOOKUP($B1200,DG!A:D,DG!$C$2,)</f>
        <v>Dây chảy 10K</v>
      </c>
      <c r="G1200" s="1082" t="str">
        <f>VLOOKUP($B1200,DG!A:D,DG!$D$2,)</f>
        <v>Sợi</v>
      </c>
      <c r="H1200" s="1873">
        <f>H1199</f>
        <v>0</v>
      </c>
      <c r="I1200" s="1262">
        <f t="shared" si="116"/>
        <v>0</v>
      </c>
      <c r="J1200" s="1084"/>
      <c r="K1200" s="1084"/>
      <c r="L1200" s="1113"/>
      <c r="M1200" s="977">
        <v>250</v>
      </c>
    </row>
    <row r="1201" spans="1:13" s="1086" customFormat="1" ht="25.15" hidden="1" customHeight="1">
      <c r="A1201" s="1156">
        <f t="shared" si="115"/>
        <v>0</v>
      </c>
      <c r="B1201" s="1327" t="s">
        <v>1378</v>
      </c>
      <c r="C1201" s="1327"/>
      <c r="D1201" s="1093">
        <f t="shared" si="117"/>
        <v>0</v>
      </c>
      <c r="E1201" s="1082" t="str">
        <f>VLOOKUP($B1201,DG!A:D,DG!$B$2,)</f>
        <v>02.5114</v>
      </c>
      <c r="F1201" s="1083" t="str">
        <f>VLOOKUP($B1201,DG!A:D,DG!$C$2,)</f>
        <v>Chống sét van LA-18KV-10KA</v>
      </c>
      <c r="G1201" s="1082" t="str">
        <f>VLOOKUP($B1201,DG!A:D,DG!$D$2,)</f>
        <v>cái</v>
      </c>
      <c r="H1201" s="1873">
        <f>H1198*3</f>
        <v>0</v>
      </c>
      <c r="I1201" s="1262">
        <f t="shared" si="116"/>
        <v>0</v>
      </c>
      <c r="J1201" s="1084"/>
      <c r="K1201" s="1084"/>
      <c r="L1201" s="1113"/>
      <c r="M1201" s="977">
        <v>250</v>
      </c>
    </row>
    <row r="1202" spans="1:13" s="1086" customFormat="1" ht="25.15" hidden="1" customHeight="1">
      <c r="A1202" s="1156">
        <f t="shared" si="115"/>
        <v>0</v>
      </c>
      <c r="B1202" s="1328" t="s">
        <v>955</v>
      </c>
      <c r="C1202" s="1328"/>
      <c r="D1202" s="1093">
        <f t="shared" si="117"/>
        <v>0</v>
      </c>
      <c r="E1202" s="1082" t="str">
        <f>VLOOKUP($B1202,DG!A:D,DG!$B$2,)</f>
        <v>02.8402</v>
      </c>
      <c r="F1202" s="1083" t="str">
        <f>VLOOKUP($B1202,DG!A:D,DG!$C$2,)</f>
        <v>MCCB 3 cực 690V - 400A - 50KA</v>
      </c>
      <c r="G1202" s="1082" t="str">
        <f>VLOOKUP($B1202,DG!A:D,DG!$D$2,)</f>
        <v>cái</v>
      </c>
      <c r="H1202" s="1873">
        <f>H1198</f>
        <v>0</v>
      </c>
      <c r="I1202" s="1262">
        <f t="shared" si="116"/>
        <v>0</v>
      </c>
      <c r="J1202" s="1084"/>
      <c r="K1202" s="1084"/>
      <c r="L1202" s="1113"/>
      <c r="M1202" s="977">
        <v>250</v>
      </c>
    </row>
    <row r="1203" spans="1:13" s="1086" customFormat="1" ht="25.15" hidden="1" customHeight="1">
      <c r="A1203" s="1156">
        <f t="shared" si="115"/>
        <v>0</v>
      </c>
      <c r="B1203" s="1328" t="s">
        <v>4636</v>
      </c>
      <c r="C1203" s="1328"/>
      <c r="D1203" s="1093">
        <f t="shared" si="117"/>
        <v>0</v>
      </c>
      <c r="E1203" s="1082" t="str">
        <f>VLOOKUP($B1203,DG!A:D,DG!$B$2,)</f>
        <v>02.8534</v>
      </c>
      <c r="F1203" s="1083" t="str">
        <f>VLOOKUP($B1203,DG!A:D,DG!$C$2,)</f>
        <v>Tủ tụ bù hạ thế 90kVAr</v>
      </c>
      <c r="G1203" s="1082" t="str">
        <f>VLOOKUP($B1203,DG!A:D,DG!$D$2,)</f>
        <v>tủ</v>
      </c>
      <c r="H1203" s="1873">
        <f>H1198</f>
        <v>0</v>
      </c>
      <c r="I1203" s="1262">
        <f t="shared" si="116"/>
        <v>0</v>
      </c>
      <c r="J1203" s="1084"/>
      <c r="K1203" s="1084"/>
      <c r="L1203" s="1113" t="s">
        <v>4594</v>
      </c>
      <c r="M1203" s="977">
        <v>250</v>
      </c>
    </row>
    <row r="1204" spans="1:13" s="1086" customFormat="1" ht="25.15" hidden="1" customHeight="1">
      <c r="A1204" s="1156">
        <f t="shared" si="115"/>
        <v>0</v>
      </c>
      <c r="B1204" s="1157" t="s">
        <v>899</v>
      </c>
      <c r="C1204" s="1157"/>
      <c r="D1204" s="1093">
        <f t="shared" si="117"/>
        <v>0</v>
      </c>
      <c r="E1204" s="1082">
        <f>VLOOKUP($B1204,DG!A:D,DG!$B$2,)</f>
        <v>0</v>
      </c>
      <c r="F1204" s="1083" t="str">
        <f>VLOOKUP($B1204,DG!A:D,DG!$C$2,)</f>
        <v>Biến dòng 600V - 400/5A</v>
      </c>
      <c r="G1204" s="1082" t="str">
        <f>VLOOKUP($B1204,DG!A:D,DG!$D$2,)</f>
        <v>cái</v>
      </c>
      <c r="H1204" s="1905">
        <f>3*H1198</f>
        <v>0</v>
      </c>
      <c r="I1204" s="1262">
        <f t="shared" si="116"/>
        <v>0</v>
      </c>
      <c r="J1204" s="1084"/>
      <c r="K1204" s="1084"/>
      <c r="L1204" s="1114" t="s">
        <v>2612</v>
      </c>
      <c r="M1204" s="977">
        <v>250</v>
      </c>
    </row>
    <row r="1205" spans="1:13" s="1086" customFormat="1" ht="25.15" hidden="1" customHeight="1">
      <c r="A1205" s="1156">
        <f t="shared" si="115"/>
        <v>0</v>
      </c>
      <c r="B1205" s="1355" t="s">
        <v>1465</v>
      </c>
      <c r="C1205" s="1355"/>
      <c r="D1205" s="1093">
        <f t="shared" si="117"/>
        <v>1</v>
      </c>
      <c r="E1205" s="1082" t="str">
        <f>VLOOKUP($B1205,DG!A:D,DG!$B$2,)</f>
        <v>05.5104</v>
      </c>
      <c r="F1205" s="1083" t="str">
        <f>VLOOKUP($B1205,DG!A:D,DG!$C$2,)</f>
        <v>Điện kế 3 pha 4 dây 220/380V-5A</v>
      </c>
      <c r="G1205" s="1082" t="str">
        <f>VLOOKUP($B1205,DG!A:D,DG!$D$2,)</f>
        <v>cái</v>
      </c>
      <c r="H1205" s="1905">
        <v>3</v>
      </c>
      <c r="I1205" s="1262">
        <f t="shared" si="116"/>
        <v>0</v>
      </c>
      <c r="J1205" s="1084"/>
      <c r="K1205" s="1084">
        <v>2</v>
      </c>
      <c r="L1205" s="1115" t="s">
        <v>2612</v>
      </c>
      <c r="M1205" s="977">
        <v>250</v>
      </c>
    </row>
    <row r="1206" spans="1:13" s="1086" customFormat="1" ht="25.15" hidden="1" customHeight="1">
      <c r="A1206" s="1156">
        <f>IF(M1206=$M$23,1,0)</f>
        <v>0</v>
      </c>
      <c r="B1206" s="1327"/>
      <c r="C1206" s="1327"/>
      <c r="D1206" s="1116"/>
      <c r="E1206" s="1117"/>
      <c r="F1206" s="1079"/>
      <c r="G1206" s="1116"/>
      <c r="H1206" s="1883"/>
      <c r="I1206" s="1883">
        <f t="shared" si="116"/>
        <v>0</v>
      </c>
      <c r="J1206" s="1079"/>
      <c r="K1206" s="1116"/>
      <c r="L1206" s="1110"/>
      <c r="M1206" s="977">
        <v>250</v>
      </c>
    </row>
    <row r="1207" spans="1:13" s="1086" customFormat="1" ht="25.15" hidden="1" customHeight="1">
      <c r="A1207" s="1156">
        <f>IF(M1207=$M$23,1,0)</f>
        <v>0</v>
      </c>
      <c r="B1207" s="1327"/>
      <c r="C1207" s="1327"/>
      <c r="D1207" s="1118"/>
      <c r="E1207" s="1119"/>
      <c r="F1207" s="1108" t="s">
        <v>3694</v>
      </c>
      <c r="G1207" s="1108"/>
      <c r="H1207" s="1897"/>
      <c r="I1207" s="1883">
        <f t="shared" si="116"/>
        <v>0</v>
      </c>
      <c r="J1207" s="1108"/>
      <c r="K1207" s="1108"/>
      <c r="L1207" s="1110"/>
      <c r="M1207" s="977">
        <v>250</v>
      </c>
    </row>
    <row r="1208" spans="1:13" s="1086" customFormat="1" ht="25.15" hidden="1" customHeight="1">
      <c r="A1208" s="1156">
        <f t="shared" si="115"/>
        <v>0</v>
      </c>
      <c r="B1208" s="1356"/>
      <c r="C1208" s="1356"/>
      <c r="D1208" s="1120">
        <f>IF(H1208&gt;0,1,0)</f>
        <v>0</v>
      </c>
      <c r="E1208" s="1121"/>
      <c r="F1208" s="1122" t="s">
        <v>3754</v>
      </c>
      <c r="G1208" s="1123" t="s">
        <v>2285</v>
      </c>
      <c r="H1208" s="1906"/>
      <c r="I1208" s="1262">
        <f t="shared" si="116"/>
        <v>0</v>
      </c>
      <c r="J1208" s="1124"/>
      <c r="K1208" s="1124"/>
      <c r="L1208" s="1113"/>
      <c r="M1208" s="977">
        <v>250</v>
      </c>
    </row>
    <row r="1209" spans="1:13" s="1086" customFormat="1" ht="25.15" hidden="1" customHeight="1">
      <c r="A1209" s="1156">
        <f t="shared" si="115"/>
        <v>0</v>
      </c>
      <c r="B1209" s="1157" t="s">
        <v>115</v>
      </c>
      <c r="C1209" s="1157"/>
      <c r="D1209" s="1125"/>
      <c r="E1209" s="1082"/>
      <c r="F1209" s="1126" t="str">
        <f>VLOOKUP($B1209,DG!A:D,DG!$C$2,)</f>
        <v>Trụ BTLT 12m F350 dự ứng lực</v>
      </c>
      <c r="G1209" s="1082" t="str">
        <f>VLOOKUP($B1209,DG!A:D,DG!$D$2,)</f>
        <v>trụ</v>
      </c>
      <c r="H1209" s="1907">
        <f>H1208</f>
        <v>0</v>
      </c>
      <c r="I1209" s="1262">
        <f t="shared" si="116"/>
        <v>0</v>
      </c>
      <c r="J1209" s="1111"/>
      <c r="K1209" s="1081"/>
      <c r="L1209" s="1113"/>
      <c r="M1209" s="977">
        <v>250</v>
      </c>
    </row>
    <row r="1210" spans="1:13" s="1086" customFormat="1" ht="25.15" hidden="1" customHeight="1">
      <c r="A1210" s="1156">
        <f t="shared" si="115"/>
        <v>0</v>
      </c>
      <c r="B1210" s="1157" t="s">
        <v>1820</v>
      </c>
      <c r="C1210" s="1157"/>
      <c r="D1210" s="1125"/>
      <c r="E1210" s="1082"/>
      <c r="F1210" s="1126" t="str">
        <f>VLOOKUP($B1210,DG!A:D,DG!$C$2,)</f>
        <v>Vật liệu dựng trụ</v>
      </c>
      <c r="G1210" s="1082" t="str">
        <f>VLOOKUP($B1210,DG!A:D,DG!$D$2,)</f>
        <v>trụ</v>
      </c>
      <c r="H1210" s="1907">
        <f>H1209</f>
        <v>0</v>
      </c>
      <c r="I1210" s="1262">
        <f t="shared" si="116"/>
        <v>0</v>
      </c>
      <c r="J1210" s="1081"/>
      <c r="K1210" s="1081"/>
      <c r="L1210" s="1113"/>
      <c r="M1210" s="977">
        <v>250</v>
      </c>
    </row>
    <row r="1211" spans="1:13" s="1086" customFormat="1" ht="25.15" hidden="1" customHeight="1">
      <c r="A1211" s="1156">
        <f t="shared" si="115"/>
        <v>0</v>
      </c>
      <c r="B1211" s="1157" t="s">
        <v>643</v>
      </c>
      <c r="C1211" s="1157"/>
      <c r="D1211" s="1125"/>
      <c r="E1211" s="1082" t="str">
        <f>VLOOKUP($B1211,DG!A:D,DG!$B$2,)</f>
        <v>04.9203</v>
      </c>
      <c r="F1211" s="1126" t="str">
        <f>VLOOKUP($B1211,DG!A:D,DG!$C$2,)</f>
        <v>Dựng trụ BTLT 12m trong TBA bằng thủ công + cơ giới</v>
      </c>
      <c r="G1211" s="1082" t="str">
        <f>VLOOKUP($B1211,DG!A:D,DG!$D$2,)</f>
        <v>trụ</v>
      </c>
      <c r="H1211" s="1907">
        <f>H1209</f>
        <v>0</v>
      </c>
      <c r="I1211" s="1262">
        <f t="shared" si="116"/>
        <v>0</v>
      </c>
      <c r="J1211" s="1111"/>
      <c r="K1211" s="1111"/>
      <c r="L1211" s="1113"/>
      <c r="M1211" s="977">
        <v>250</v>
      </c>
    </row>
    <row r="1212" spans="1:13" s="1086" customFormat="1" ht="25.15" hidden="1" customHeight="1">
      <c r="A1212" s="1156">
        <f t="shared" si="115"/>
        <v>0</v>
      </c>
      <c r="B1212" s="1356"/>
      <c r="C1212" s="1356"/>
      <c r="D1212" s="1120">
        <f>IF(H1212&gt;0,1,0)</f>
        <v>0</v>
      </c>
      <c r="E1212" s="1121"/>
      <c r="F1212" s="1122" t="s">
        <v>3755</v>
      </c>
      <c r="G1212" s="1123" t="s">
        <v>2285</v>
      </c>
      <c r="H1212" s="1906">
        <f>H1198*2*0</f>
        <v>0</v>
      </c>
      <c r="I1212" s="1262">
        <f t="shared" si="116"/>
        <v>0</v>
      </c>
      <c r="J1212" s="1124"/>
      <c r="K1212" s="1124"/>
      <c r="L1212" s="1085"/>
      <c r="M1212" s="977">
        <v>250</v>
      </c>
    </row>
    <row r="1213" spans="1:13" s="1086" customFormat="1" ht="25.15" hidden="1" customHeight="1">
      <c r="A1213" s="1156">
        <f t="shared" si="115"/>
        <v>0</v>
      </c>
      <c r="B1213" s="1157" t="s">
        <v>114</v>
      </c>
      <c r="C1213" s="1157"/>
      <c r="D1213" s="1125"/>
      <c r="E1213" s="1082"/>
      <c r="F1213" s="1126" t="str">
        <f>VLOOKUP($B1213,DG!A:D,DG!$C$2,)</f>
        <v>Trụ BTLT 10,5m F350 dự ứng lực</v>
      </c>
      <c r="G1213" s="1082" t="str">
        <f>VLOOKUP($B1213,DG!A:D,DG!$D$2,)</f>
        <v>trụ</v>
      </c>
      <c r="H1213" s="1907">
        <f>H1212</f>
        <v>0</v>
      </c>
      <c r="I1213" s="1262">
        <f t="shared" si="116"/>
        <v>0</v>
      </c>
      <c r="J1213" s="1111"/>
      <c r="K1213" s="1081"/>
      <c r="L1213" s="1085"/>
      <c r="M1213" s="977">
        <v>250</v>
      </c>
    </row>
    <row r="1214" spans="1:13" s="1086" customFormat="1" ht="25.15" hidden="1" customHeight="1">
      <c r="A1214" s="1156">
        <f t="shared" si="115"/>
        <v>0</v>
      </c>
      <c r="B1214" s="1157" t="s">
        <v>1820</v>
      </c>
      <c r="C1214" s="1157"/>
      <c r="D1214" s="1125"/>
      <c r="E1214" s="1082"/>
      <c r="F1214" s="1126" t="str">
        <f>VLOOKUP($B1214,DG!A:D,DG!$C$2,)</f>
        <v>Vật liệu dựng trụ</v>
      </c>
      <c r="G1214" s="1082" t="str">
        <f>VLOOKUP($B1214,DG!A:D,DG!$D$2,)</f>
        <v>trụ</v>
      </c>
      <c r="H1214" s="1907">
        <f>H1213</f>
        <v>0</v>
      </c>
      <c r="I1214" s="1262">
        <f t="shared" si="116"/>
        <v>0</v>
      </c>
      <c r="J1214" s="1081"/>
      <c r="K1214" s="1081"/>
      <c r="L1214" s="1085"/>
      <c r="M1214" s="977">
        <v>250</v>
      </c>
    </row>
    <row r="1215" spans="1:13" s="1086" customFormat="1" ht="25.15" hidden="1" customHeight="1">
      <c r="A1215" s="1156">
        <f t="shared" si="115"/>
        <v>0</v>
      </c>
      <c r="B1215" s="1157" t="s">
        <v>644</v>
      </c>
      <c r="C1215" s="1157"/>
      <c r="D1215" s="1125"/>
      <c r="E1215" s="1082" t="str">
        <f>VLOOKUP($B1215,DG!A:D,DG!$B$2,)</f>
        <v>04.9203</v>
      </c>
      <c r="F1215" s="1126" t="str">
        <f>VLOOKUP($B1215,DG!A:D,DG!$C$2,)</f>
        <v>Dựng trụ BTLT 10,5m trong TBA bằng thủ công + cơ giới</v>
      </c>
      <c r="G1215" s="1082" t="str">
        <f>VLOOKUP($B1215,DG!A:D,DG!$D$2,)</f>
        <v>trụ</v>
      </c>
      <c r="H1215" s="1907">
        <f>H1213</f>
        <v>0</v>
      </c>
      <c r="I1215" s="1262">
        <f t="shared" si="116"/>
        <v>0</v>
      </c>
      <c r="J1215" s="1111"/>
      <c r="K1215" s="1111"/>
      <c r="L1215" s="1085"/>
      <c r="M1215" s="977">
        <v>250</v>
      </c>
    </row>
    <row r="1216" spans="1:13" s="1086" customFormat="1" ht="25.15" hidden="1" customHeight="1">
      <c r="A1216" s="1156">
        <f t="shared" si="115"/>
        <v>0</v>
      </c>
      <c r="B1216" s="1357"/>
      <c r="C1216" s="1357"/>
      <c r="D1216" s="1087">
        <f>IF(H1216&gt;0,D1208+1,D1208)</f>
        <v>0</v>
      </c>
      <c r="E1216" s="1121"/>
      <c r="F1216" s="1122" t="s">
        <v>2361</v>
      </c>
      <c r="G1216" s="1123" t="s">
        <v>2336</v>
      </c>
      <c r="H1216" s="1906"/>
      <c r="I1216" s="1262">
        <f t="shared" si="116"/>
        <v>0</v>
      </c>
      <c r="J1216" s="1081"/>
      <c r="K1216" s="1081"/>
      <c r="L1216" s="1113"/>
      <c r="M1216" s="977">
        <v>250</v>
      </c>
    </row>
    <row r="1217" spans="1:13" s="1086" customFormat="1" ht="25.15" hidden="1" customHeight="1">
      <c r="A1217" s="1156">
        <f t="shared" si="115"/>
        <v>0</v>
      </c>
      <c r="B1217" s="1334" t="s">
        <v>636</v>
      </c>
      <c r="C1217" s="1334"/>
      <c r="D1217" s="1125"/>
      <c r="E1217" s="1082" t="str">
        <f>VLOOKUP($B1217,DG!A:D,DG!$B$2,)</f>
        <v>04.4001</v>
      </c>
      <c r="F1217" s="1127" t="str">
        <f>VLOOKUP($B1217,DG!A:D,DG!$C$2,)</f>
        <v>Đà cản BTCT 1,2m</v>
      </c>
      <c r="G1217" s="1094" t="str">
        <f>VLOOKUP($B1217,DG!A:D,DG!$D$2,)</f>
        <v>cái</v>
      </c>
      <c r="H1217" s="1907">
        <f>H1216</f>
        <v>0</v>
      </c>
      <c r="I1217" s="1262">
        <f t="shared" si="116"/>
        <v>0</v>
      </c>
      <c r="J1217" s="1111"/>
      <c r="K1217" s="1081"/>
      <c r="L1217" s="1113"/>
      <c r="M1217" s="977">
        <v>250</v>
      </c>
    </row>
    <row r="1218" spans="1:13" s="1086" customFormat="1" ht="25.15" hidden="1" customHeight="1">
      <c r="A1218" s="1156">
        <f t="shared" si="115"/>
        <v>0</v>
      </c>
      <c r="B1218" s="1334" t="s">
        <v>566</v>
      </c>
      <c r="C1218" s="1334"/>
      <c r="D1218" s="1125"/>
      <c r="E1218" s="1094"/>
      <c r="F1218" s="1127" t="str">
        <f>VLOOKUP($B1218,DG!A:D,DG!$C$2,)</f>
        <v>Boulon 22x650+ 2 long đền vuông D24-50x50x3/Zn</v>
      </c>
      <c r="G1218" s="1094" t="str">
        <f>VLOOKUP($B1218,DG!A:D,DG!$D$2,)</f>
        <v>bộ</v>
      </c>
      <c r="H1218" s="1907">
        <f>H1217</f>
        <v>0</v>
      </c>
      <c r="I1218" s="1262">
        <f t="shared" si="116"/>
        <v>0</v>
      </c>
      <c r="J1218" s="1127"/>
      <c r="K1218" s="1081"/>
      <c r="L1218" s="1113"/>
      <c r="M1218" s="977">
        <v>250</v>
      </c>
    </row>
    <row r="1219" spans="1:13" s="1086" customFormat="1" ht="25.15" hidden="1" customHeight="1">
      <c r="A1219" s="1156">
        <f t="shared" si="115"/>
        <v>0</v>
      </c>
      <c r="B1219" s="1334" t="str">
        <f>IF(chitiet!G5=1,"MDD1",IF(chitiet!G5=2,"MDD2",IF(chitiet!G5=3,"MDD3",IF(chitiet!G5=4,"MDD4"))))</f>
        <v>MDD3</v>
      </c>
      <c r="C1219" s="1334"/>
      <c r="D1219" s="1125"/>
      <c r="E1219" s="1094" t="str">
        <f>VLOOKUP($B1219,DG!A:D,DG!$B$2,)</f>
        <v>03.1013</v>
      </c>
      <c r="F1219" s="1127" t="str">
        <f>VLOOKUP($B1219,DG!A:D,DG!$C$2,)</f>
        <v>Đào hố móng đất cấp 3 sâu &gt;1m</v>
      </c>
      <c r="G1219" s="1094" t="str">
        <f>VLOOKUP($B1219,DG!A:D,DG!$D$2,)</f>
        <v>m3</v>
      </c>
      <c r="H1219" s="1908">
        <f>0.87*H1217</f>
        <v>0</v>
      </c>
      <c r="I1219" s="1262">
        <f t="shared" si="116"/>
        <v>0</v>
      </c>
      <c r="J1219" s="1128"/>
      <c r="K1219" s="1081"/>
      <c r="L1219" s="1113"/>
      <c r="M1219" s="977">
        <v>250</v>
      </c>
    </row>
    <row r="1220" spans="1:13" s="1086" customFormat="1" ht="25.15" hidden="1" customHeight="1">
      <c r="A1220" s="1156">
        <f t="shared" si="115"/>
        <v>0</v>
      </c>
      <c r="B1220" s="1334" t="str">
        <f>IF(chitiet!G5=1,"MDAP1",IF(chitiet!G5=2,"MDAP2",IF(chitiet!G5=3,"MDAP3",IF(chitiet!G5=4,"MDAP4"))))</f>
        <v>MDAP3</v>
      </c>
      <c r="C1220" s="1334"/>
      <c r="D1220" s="1125"/>
      <c r="E1220" s="1094" t="str">
        <f>VLOOKUP($B1220,DG!A:D,DG!$B$2,)</f>
        <v>03.4113</v>
      </c>
      <c r="F1220" s="1127" t="str">
        <f>VLOOKUP($B1220,DG!A:D,DG!$C$2,)</f>
        <v>Đắp đất hố móng, độ chặt k=0,95</v>
      </c>
      <c r="G1220" s="1094" t="str">
        <f>VLOOKUP($B1220,DG!A:D,DG!$D$2,)</f>
        <v>m3</v>
      </c>
      <c r="H1220" s="1908">
        <f>0.79*H1216</f>
        <v>0</v>
      </c>
      <c r="I1220" s="1262">
        <f t="shared" si="116"/>
        <v>0</v>
      </c>
      <c r="J1220" s="1128"/>
      <c r="K1220" s="1081"/>
      <c r="L1220" s="1113"/>
      <c r="M1220" s="977">
        <v>250</v>
      </c>
    </row>
    <row r="1221" spans="1:13" s="1086" customFormat="1" ht="25.15" hidden="1" customHeight="1">
      <c r="A1221" s="1156">
        <f t="shared" si="115"/>
        <v>0</v>
      </c>
      <c r="B1221" s="1357"/>
      <c r="C1221" s="1357"/>
      <c r="D1221" s="1087">
        <f>IF(H1221&gt;0,D1213+1,D1213)</f>
        <v>0</v>
      </c>
      <c r="E1221" s="1121"/>
      <c r="F1221" s="1122" t="s">
        <v>3734</v>
      </c>
      <c r="G1221" s="1123" t="s">
        <v>2336</v>
      </c>
      <c r="H1221" s="1906">
        <f>H1212</f>
        <v>0</v>
      </c>
      <c r="I1221" s="1262">
        <f t="shared" si="116"/>
        <v>0</v>
      </c>
      <c r="J1221" s="1081"/>
      <c r="K1221" s="1081"/>
      <c r="L1221" s="1085"/>
      <c r="M1221" s="977">
        <v>250</v>
      </c>
    </row>
    <row r="1222" spans="1:13" s="1086" customFormat="1" ht="25.15" hidden="1" customHeight="1">
      <c r="A1222" s="1156">
        <f t="shared" si="115"/>
        <v>0</v>
      </c>
      <c r="B1222" s="1334" t="s">
        <v>636</v>
      </c>
      <c r="C1222" s="1334"/>
      <c r="D1222" s="1125"/>
      <c r="E1222" s="1082" t="str">
        <f>VLOOKUP($B1222,DG!A:D,DG!$B$2,)</f>
        <v>04.4001</v>
      </c>
      <c r="F1222" s="1127" t="str">
        <f>VLOOKUP($B1222,DG!A:D,DG!$C$2,)</f>
        <v>Đà cản BTCT 1,2m</v>
      </c>
      <c r="G1222" s="1094" t="str">
        <f>VLOOKUP($B1222,DG!A:D,DG!$D$2,)</f>
        <v>cái</v>
      </c>
      <c r="H1222" s="1907">
        <f>H1221</f>
        <v>0</v>
      </c>
      <c r="I1222" s="1262">
        <f t="shared" si="116"/>
        <v>0</v>
      </c>
      <c r="J1222" s="1111"/>
      <c r="K1222" s="1081"/>
      <c r="L1222" s="1085"/>
      <c r="M1222" s="977">
        <v>250</v>
      </c>
    </row>
    <row r="1223" spans="1:13" s="1086" customFormat="1" ht="25.15" hidden="1" customHeight="1">
      <c r="A1223" s="1156">
        <f t="shared" si="115"/>
        <v>0</v>
      </c>
      <c r="B1223" s="1334" t="s">
        <v>566</v>
      </c>
      <c r="C1223" s="1334"/>
      <c r="D1223" s="1125"/>
      <c r="E1223" s="1094"/>
      <c r="F1223" s="1127" t="str">
        <f>VLOOKUP($B1223,DG!A:D,DG!$C$2,)</f>
        <v>Boulon 22x650+ 2 long đền vuông D24-50x50x3/Zn</v>
      </c>
      <c r="G1223" s="1094" t="str">
        <f>VLOOKUP($B1223,DG!A:D,DG!$D$2,)</f>
        <v>bộ</v>
      </c>
      <c r="H1223" s="1907">
        <f>H1222</f>
        <v>0</v>
      </c>
      <c r="I1223" s="1262">
        <f t="shared" si="116"/>
        <v>0</v>
      </c>
      <c r="J1223" s="1127"/>
      <c r="K1223" s="1081"/>
      <c r="L1223" s="1085"/>
      <c r="M1223" s="977">
        <v>250</v>
      </c>
    </row>
    <row r="1224" spans="1:13" s="1086" customFormat="1" ht="25.15" hidden="1" customHeight="1">
      <c r="A1224" s="1156">
        <f t="shared" si="115"/>
        <v>0</v>
      </c>
      <c r="B1224" s="1334" t="str">
        <f>IF(chitiet!G5=1,"MDD1",IF(chitiet!G5=2,"MDD2",IF(chitiet!G5=3,"MDD3",IF(chitiet!G5=4,"MDD4"))))</f>
        <v>MDD3</v>
      </c>
      <c r="C1224" s="1334"/>
      <c r="D1224" s="1125"/>
      <c r="E1224" s="1094" t="str">
        <f>VLOOKUP($B1224,DG!A:D,DG!$B$2,)</f>
        <v>03.1013</v>
      </c>
      <c r="F1224" s="1127" t="str">
        <f>VLOOKUP($B1224,DG!A:D,DG!$C$2,)</f>
        <v>Đào hố móng đất cấp 3 sâu &gt;1m</v>
      </c>
      <c r="G1224" s="1094" t="str">
        <f>VLOOKUP($B1224,DG!A:D,DG!$D$2,)</f>
        <v>m3</v>
      </c>
      <c r="H1224" s="1908">
        <f>0.78*H1222</f>
        <v>0</v>
      </c>
      <c r="I1224" s="1262">
        <f t="shared" si="116"/>
        <v>0</v>
      </c>
      <c r="J1224" s="1128"/>
      <c r="K1224" s="1081"/>
      <c r="L1224" s="1085"/>
      <c r="M1224" s="977">
        <v>250</v>
      </c>
    </row>
    <row r="1225" spans="1:13" s="1086" customFormat="1" ht="25.15" hidden="1" customHeight="1">
      <c r="A1225" s="1156">
        <f t="shared" si="115"/>
        <v>0</v>
      </c>
      <c r="B1225" s="1334" t="str">
        <f>IF(chitiet!G5=1,"MDAP1",IF(chitiet!G5=2,"MDAP2",IF(chitiet!G5=3,"MDAP3",IF(chitiet!G5=4,"MDAP4"))))</f>
        <v>MDAP3</v>
      </c>
      <c r="C1225" s="1334"/>
      <c r="D1225" s="1125"/>
      <c r="E1225" s="1094" t="str">
        <f>VLOOKUP($B1225,DG!A:D,DG!$B$2,)</f>
        <v>03.4113</v>
      </c>
      <c r="F1225" s="1127" t="str">
        <f>VLOOKUP($B1225,DG!A:D,DG!$C$2,)</f>
        <v>Đắp đất hố móng, độ chặt k=0,95</v>
      </c>
      <c r="G1225" s="1094" t="str">
        <f>VLOOKUP($B1225,DG!A:D,DG!$D$2,)</f>
        <v>m3</v>
      </c>
      <c r="H1225" s="1908">
        <f>0.74*H1221</f>
        <v>0</v>
      </c>
      <c r="I1225" s="1262">
        <f t="shared" si="116"/>
        <v>0</v>
      </c>
      <c r="J1225" s="1128"/>
      <c r="K1225" s="1081"/>
      <c r="L1225" s="1085"/>
      <c r="M1225" s="977">
        <v>250</v>
      </c>
    </row>
    <row r="1226" spans="1:13" s="1086" customFormat="1" ht="25.15" hidden="1" customHeight="1">
      <c r="A1226" s="1156">
        <f t="shared" si="115"/>
        <v>0</v>
      </c>
      <c r="B1226" s="1327"/>
      <c r="C1226" s="1327"/>
      <c r="D1226" s="1087">
        <f>IF(H1226&gt;0,D1216+1,D1216)</f>
        <v>0</v>
      </c>
      <c r="E1226" s="1129"/>
      <c r="F1226" s="1122" t="s">
        <v>3735</v>
      </c>
      <c r="G1226" s="1120" t="s">
        <v>2394</v>
      </c>
      <c r="H1226" s="1909">
        <f>H1198*1</f>
        <v>0</v>
      </c>
      <c r="I1226" s="1262">
        <f t="shared" si="116"/>
        <v>0</v>
      </c>
      <c r="J1226" s="1130"/>
      <c r="K1226" s="1130"/>
      <c r="L1226" s="1085"/>
      <c r="M1226" s="977">
        <v>250</v>
      </c>
    </row>
    <row r="1227" spans="1:13" s="1086" customFormat="1" ht="25.15" hidden="1" customHeight="1">
      <c r="A1227" s="1156">
        <f>IF(A1226&gt;0,1,0)</f>
        <v>0</v>
      </c>
      <c r="B1227" s="1327"/>
      <c r="C1227" s="1327"/>
      <c r="D1227" s="1081"/>
      <c r="E1227" s="1131"/>
      <c r="F1227" s="1370" t="s">
        <v>2287</v>
      </c>
      <c r="G1227" s="1093"/>
      <c r="H1227" s="1873"/>
      <c r="I1227" s="1262">
        <f t="shared" si="116"/>
        <v>0</v>
      </c>
      <c r="J1227" s="1132"/>
      <c r="K1227" s="1132"/>
      <c r="L1227" s="1085"/>
      <c r="M1227" s="977">
        <v>250</v>
      </c>
    </row>
    <row r="1228" spans="1:13" s="1086" customFormat="1" ht="25.15" hidden="1" customHeight="1">
      <c r="A1228" s="1156">
        <f t="shared" si="115"/>
        <v>0</v>
      </c>
      <c r="B1228" s="1157" t="s">
        <v>1138</v>
      </c>
      <c r="C1228" s="1157"/>
      <c r="D1228" s="1081"/>
      <c r="E1228" s="1094"/>
      <c r="F1228" s="1083" t="str">
        <f>VLOOKUP($B1228,DG!A:D,DG!$C$2,)&amp;": 2 cái"</f>
        <v>Đà U160x68x5x2800 đỡ MBA: 2 cái</v>
      </c>
      <c r="G1228" s="1082" t="str">
        <f>VLOOKUP($B1228,DG!A:D,DG!$D$2,)</f>
        <v>cái</v>
      </c>
      <c r="H1228" s="1931">
        <f>52.049*H1226*2</f>
        <v>0</v>
      </c>
      <c r="I1228" s="1932">
        <f t="shared" si="116"/>
        <v>0</v>
      </c>
      <c r="J1228" s="1111"/>
      <c r="K1228" s="1111"/>
      <c r="L1228" s="1085"/>
      <c r="M1228" s="977">
        <v>250</v>
      </c>
    </row>
    <row r="1229" spans="1:13" s="1086" customFormat="1" ht="25.15" hidden="1" customHeight="1">
      <c r="A1229" s="1156">
        <f t="shared" si="115"/>
        <v>0</v>
      </c>
      <c r="B1229" s="1157" t="s">
        <v>1139</v>
      </c>
      <c r="C1229" s="1157"/>
      <c r="D1229" s="1081"/>
      <c r="E1229" s="1094"/>
      <c r="F1229" s="1083" t="str">
        <f>VLOOKUP($B1229,DG!A:D,DG!$C$2,)&amp;": 4 cái"</f>
        <v>Đà U100x46x4.5x400 : 4 cái</v>
      </c>
      <c r="G1229" s="1082" t="str">
        <f>VLOOKUP($B1229,DG!A:D,DG!$D$2,)</f>
        <v>cái</v>
      </c>
      <c r="H1229" s="1931">
        <f>H1226*2.713*4</f>
        <v>0</v>
      </c>
      <c r="I1229" s="1932">
        <f t="shared" si="116"/>
        <v>0</v>
      </c>
      <c r="J1229" s="1111"/>
      <c r="K1229" s="1111"/>
      <c r="L1229" s="1085"/>
      <c r="M1229" s="977">
        <v>250</v>
      </c>
    </row>
    <row r="1230" spans="1:13" s="1086" customFormat="1" ht="25.15" hidden="1" customHeight="1">
      <c r="A1230" s="1156">
        <f t="shared" si="115"/>
        <v>0</v>
      </c>
      <c r="B1230" s="1157" t="s">
        <v>1140</v>
      </c>
      <c r="C1230" s="1157"/>
      <c r="D1230" s="1081"/>
      <c r="E1230" s="1094"/>
      <c r="F1230" s="1083" t="str">
        <f>VLOOKUP($B1230,DG!A:D,DG!$C$2,)&amp;": 2 cái"</f>
        <v>Đà U100x46x5x800 : 2 cái</v>
      </c>
      <c r="G1230" s="1082" t="str">
        <f>VLOOKUP($B1230,DG!A:D,DG!$D$2,)</f>
        <v>cái</v>
      </c>
      <c r="H1230" s="1931">
        <f>H1226*5.426*2</f>
        <v>0</v>
      </c>
      <c r="I1230" s="1932">
        <f t="shared" si="116"/>
        <v>0</v>
      </c>
      <c r="J1230" s="1111"/>
      <c r="K1230" s="1111"/>
      <c r="L1230" s="1085"/>
      <c r="M1230" s="977">
        <v>250</v>
      </c>
    </row>
    <row r="1231" spans="1:13" s="1086" customFormat="1" ht="25.15" hidden="1" customHeight="1">
      <c r="A1231" s="1156">
        <f t="shared" si="115"/>
        <v>0</v>
      </c>
      <c r="B1231" s="1327" t="s">
        <v>1787</v>
      </c>
      <c r="C1231" s="1327"/>
      <c r="D1231" s="1081"/>
      <c r="E1231" s="1094">
        <f>VLOOKUP($B1231,DG!A:D,DG!$B$2,)</f>
        <v>0</v>
      </c>
      <c r="F1231" s="1083" t="str">
        <f>VLOOKUP($B1231,DG!A:D,DG!$C$2,)</f>
        <v>Boulon 16x400VRS+ 4 long đền vuông D18-50x50x3/Zn</v>
      </c>
      <c r="G1231" s="1082" t="str">
        <f>VLOOKUP($B1231,DG!A:D,DG!$D$2,)</f>
        <v>bộ</v>
      </c>
      <c r="H1231" s="1873">
        <f>H1226*10</f>
        <v>0</v>
      </c>
      <c r="I1231" s="1262">
        <f t="shared" si="116"/>
        <v>0</v>
      </c>
      <c r="J1231" s="1111"/>
      <c r="K1231" s="1111"/>
      <c r="L1231" s="1085"/>
      <c r="M1231" s="977">
        <v>250</v>
      </c>
    </row>
    <row r="1232" spans="1:13" s="1086" customFormat="1" ht="25.15" hidden="1" customHeight="1">
      <c r="A1232" s="1156">
        <f t="shared" si="115"/>
        <v>0</v>
      </c>
      <c r="B1232" s="1327" t="s">
        <v>1085</v>
      </c>
      <c r="C1232" s="1327"/>
      <c r="D1232" s="1081"/>
      <c r="E1232" s="1094">
        <f>VLOOKUP($B1232,DG!A:D,DG!$B$2,)</f>
        <v>0</v>
      </c>
      <c r="F1232" s="1083" t="str">
        <f>VLOOKUP($B1232,DG!A:D,DG!$C$2,)</f>
        <v>Boulon 16x400+ 2 long đền vuông D18-50x50x3/Zn</v>
      </c>
      <c r="G1232" s="1082" t="str">
        <f>VLOOKUP($B1232,DG!A:D,DG!$D$2,)</f>
        <v>bộ</v>
      </c>
      <c r="H1232" s="1873">
        <f>H1226*2</f>
        <v>0</v>
      </c>
      <c r="I1232" s="1262">
        <f t="shared" si="116"/>
        <v>0</v>
      </c>
      <c r="J1232" s="1111"/>
      <c r="K1232" s="1111"/>
      <c r="L1232" s="1085"/>
      <c r="M1232" s="977">
        <v>250</v>
      </c>
    </row>
    <row r="1233" spans="1:13" s="1086" customFormat="1" ht="25.15" hidden="1" customHeight="1">
      <c r="A1233" s="1156">
        <f t="shared" si="115"/>
        <v>0</v>
      </c>
      <c r="B1233" s="1327" t="s">
        <v>1081</v>
      </c>
      <c r="C1233" s="1327"/>
      <c r="D1233" s="1081"/>
      <c r="E1233" s="1094">
        <f>VLOOKUP($B1233,DG!A:D,DG!$B$2,)</f>
        <v>0</v>
      </c>
      <c r="F1233" s="1083" t="str">
        <f>VLOOKUP($B1233,DG!A:D,DG!$C$2,)</f>
        <v>Boulon 16x350+ 2 long đền vuông D18-50x50x3/Zn</v>
      </c>
      <c r="G1233" s="1082" t="str">
        <f>VLOOKUP($B1233,DG!A:D,DG!$D$2,)</f>
        <v>bộ</v>
      </c>
      <c r="H1233" s="1873">
        <f>H1226*12</f>
        <v>0</v>
      </c>
      <c r="I1233" s="1262">
        <f t="shared" si="116"/>
        <v>0</v>
      </c>
      <c r="J1233" s="1111"/>
      <c r="K1233" s="1111"/>
      <c r="L1233" s="1085"/>
      <c r="M1233" s="977">
        <v>250</v>
      </c>
    </row>
    <row r="1234" spans="1:13" s="1086" customFormat="1" ht="25.15" hidden="1" customHeight="1">
      <c r="A1234" s="1156">
        <f t="shared" si="115"/>
        <v>0</v>
      </c>
      <c r="B1234" s="1327" t="s">
        <v>2250</v>
      </c>
      <c r="C1234" s="1327"/>
      <c r="D1234" s="1081"/>
      <c r="E1234" s="1094" t="str">
        <f>VLOOKUP($B1234,DG!A:D,DG!$B$2,)</f>
        <v>05.6044</v>
      </c>
      <c r="F1234" s="1083" t="str">
        <f>VLOOKUP($B1234,DG!A:D,DG!$C$2,)</f>
        <v>Lắp xà cột Pi loại ≤140kg/xà</v>
      </c>
      <c r="G1234" s="1082" t="str">
        <f>VLOOKUP($B1234,DG!A:D,DG!$D$2,)</f>
        <v>bộ</v>
      </c>
      <c r="H1234" s="1873">
        <f>H1226</f>
        <v>0</v>
      </c>
      <c r="I1234" s="1262">
        <f t="shared" si="116"/>
        <v>0</v>
      </c>
      <c r="J1234" s="1111"/>
      <c r="K1234" s="1111"/>
      <c r="L1234" s="1085"/>
      <c r="M1234" s="977">
        <v>250</v>
      </c>
    </row>
    <row r="1235" spans="1:13" s="1086" customFormat="1" ht="25.15" hidden="1" customHeight="1">
      <c r="A1235" s="1156">
        <f t="shared" si="115"/>
        <v>0</v>
      </c>
      <c r="B1235" s="1361"/>
      <c r="C1235" s="1361"/>
      <c r="D1235" s="1087">
        <f>IF(H1235&gt;0,D1226+1,D1226)</f>
        <v>0</v>
      </c>
      <c r="E1235" s="1088"/>
      <c r="F1235" s="1133" t="s">
        <v>3736</v>
      </c>
      <c r="G1235" s="1087" t="s">
        <v>2394</v>
      </c>
      <c r="H1235" s="1889">
        <f>H1208*0</f>
        <v>0</v>
      </c>
      <c r="I1235" s="1262">
        <f t="shared" si="116"/>
        <v>0</v>
      </c>
      <c r="J1235" s="1134"/>
      <c r="K1235" s="1134"/>
      <c r="L1235" s="1085"/>
      <c r="M1235" s="977">
        <v>250</v>
      </c>
    </row>
    <row r="1236" spans="1:13" s="1086" customFormat="1" ht="25.15" hidden="1" customHeight="1">
      <c r="A1236" s="1156">
        <f>IF(A1235&gt;0,1,0)</f>
        <v>0</v>
      </c>
      <c r="B1236" s="1327"/>
      <c r="C1236" s="1327"/>
      <c r="D1236" s="1081"/>
      <c r="E1236" s="1094"/>
      <c r="F1236" s="1370" t="s">
        <v>2287</v>
      </c>
      <c r="G1236" s="1093"/>
      <c r="H1236" s="1873"/>
      <c r="I1236" s="1262">
        <f t="shared" si="116"/>
        <v>0</v>
      </c>
      <c r="J1236" s="1134"/>
      <c r="K1236" s="1134"/>
      <c r="L1236" s="1085"/>
      <c r="M1236" s="977">
        <v>250</v>
      </c>
    </row>
    <row r="1237" spans="1:13" s="1086" customFormat="1" ht="25.15" hidden="1" customHeight="1">
      <c r="A1237" s="1156">
        <f t="shared" si="115"/>
        <v>0</v>
      </c>
      <c r="B1237" s="1334" t="s">
        <v>2028</v>
      </c>
      <c r="C1237" s="1334"/>
      <c r="D1237" s="1081"/>
      <c r="E1237" s="1094">
        <f>VLOOKUP($B1237,DG!A:D,DG!$B$2,)</f>
        <v>0</v>
      </c>
      <c r="F1237" s="1083" t="str">
        <f>VLOOKUP($B1237,DG!A:D,DG!$C$2,)</f>
        <v>Sắt góc L75 x75 x8</v>
      </c>
      <c r="G1237" s="1094" t="str">
        <f>VLOOKUP($B1237,DG!A:D,DG!$D$2,)</f>
        <v>kg</v>
      </c>
      <c r="H1237" s="1873">
        <f>H1235*9.02*(2.6+3*0.07)*2</f>
        <v>0</v>
      </c>
      <c r="I1237" s="1262">
        <f t="shared" si="116"/>
        <v>0</v>
      </c>
      <c r="J1237" s="1111"/>
      <c r="K1237" s="1111"/>
      <c r="L1237" s="1085"/>
      <c r="M1237" s="977">
        <v>250</v>
      </c>
    </row>
    <row r="1238" spans="1:13" s="1086" customFormat="1" ht="25.15" hidden="1" customHeight="1">
      <c r="A1238" s="1156">
        <f t="shared" ref="A1238:A1301" si="118">IF(I1238&gt;0,1,0)</f>
        <v>0</v>
      </c>
      <c r="B1238" s="1327" t="s">
        <v>1790</v>
      </c>
      <c r="C1238" s="1327"/>
      <c r="D1238" s="1081"/>
      <c r="E1238" s="1094">
        <f>VLOOKUP($B1238,DG!A:D,DG!$B$2,)</f>
        <v>0</v>
      </c>
      <c r="F1238" s="1083" t="str">
        <f>VLOOKUP($B1238,DG!A:D,DG!$C$2,)</f>
        <v>Boulon 16x300VRS+ 4 long đền vuông D18-50x50x3/Zn</v>
      </c>
      <c r="G1238" s="1094" t="str">
        <f>VLOOKUP($B1238,DG!A:D,DG!$D$2,)</f>
        <v>bộ</v>
      </c>
      <c r="H1238" s="1873">
        <f>H1235*2</f>
        <v>0</v>
      </c>
      <c r="I1238" s="1262">
        <f t="shared" si="116"/>
        <v>0</v>
      </c>
      <c r="J1238" s="1111"/>
      <c r="K1238" s="1111"/>
      <c r="L1238" s="1085"/>
      <c r="M1238" s="977">
        <v>250</v>
      </c>
    </row>
    <row r="1239" spans="1:13" s="1086" customFormat="1" ht="25.15" hidden="1" customHeight="1">
      <c r="A1239" s="1156">
        <f t="shared" si="118"/>
        <v>0</v>
      </c>
      <c r="B1239" s="1327" t="s">
        <v>1615</v>
      </c>
      <c r="C1239" s="1327"/>
      <c r="D1239" s="1081"/>
      <c r="E1239" s="1094">
        <f>VLOOKUP($B1239,DG!A:D,DG!$B$2,)</f>
        <v>0</v>
      </c>
      <c r="F1239" s="1083" t="str">
        <f>VLOOKUP($B1239,DG!A:D,DG!$C$2,)</f>
        <v>Boulon 16x300+ 2 long đền vuông D18-50x50x3/Zn</v>
      </c>
      <c r="G1239" s="1094" t="str">
        <f>VLOOKUP($B1239,DG!A:D,DG!$D$2,)</f>
        <v>bộ</v>
      </c>
      <c r="H1239" s="1873">
        <f>H1235*2</f>
        <v>0</v>
      </c>
      <c r="I1239" s="1262">
        <f t="shared" si="116"/>
        <v>0</v>
      </c>
      <c r="J1239" s="1111"/>
      <c r="K1239" s="1111"/>
      <c r="L1239" s="1085"/>
      <c r="M1239" s="977">
        <v>250</v>
      </c>
    </row>
    <row r="1240" spans="1:13" s="1086" customFormat="1" ht="25.15" hidden="1" customHeight="1">
      <c r="A1240" s="1156">
        <f t="shared" si="118"/>
        <v>0</v>
      </c>
      <c r="B1240" s="1327" t="s">
        <v>1614</v>
      </c>
      <c r="C1240" s="1327"/>
      <c r="D1240" s="1081"/>
      <c r="E1240" s="1094">
        <f>VLOOKUP($B1240,DG!A:D,DG!$B$2,)</f>
        <v>0</v>
      </c>
      <c r="F1240" s="1083" t="str">
        <f>VLOOKUP($B1240,DG!A:D,DG!$C$2,)</f>
        <v>Boulon 16x250+ 2 long đền vuông D18-50x50x3/Zn</v>
      </c>
      <c r="G1240" s="1094" t="str">
        <f>VLOOKUP($B1240,DG!A:D,DG!$D$2,)</f>
        <v>bộ</v>
      </c>
      <c r="H1240" s="1873">
        <f>H1239</f>
        <v>0</v>
      </c>
      <c r="I1240" s="1262">
        <f t="shared" si="116"/>
        <v>0</v>
      </c>
      <c r="J1240" s="1111"/>
      <c r="K1240" s="1111"/>
      <c r="L1240" s="1085"/>
      <c r="M1240" s="977">
        <v>250</v>
      </c>
    </row>
    <row r="1241" spans="1:13" s="1086" customFormat="1" ht="25.15" hidden="1" customHeight="1">
      <c r="A1241" s="1156">
        <f t="shared" si="118"/>
        <v>0</v>
      </c>
      <c r="B1241" s="1327" t="s">
        <v>2250</v>
      </c>
      <c r="C1241" s="1327"/>
      <c r="D1241" s="1081"/>
      <c r="E1241" s="1094" t="str">
        <f>VLOOKUP($B1241,DG!A:D,DG!$B$2,)</f>
        <v>05.6044</v>
      </c>
      <c r="F1241" s="1083" t="str">
        <f>VLOOKUP($B1241,DG!A:D,DG!$C$2,)</f>
        <v>Lắp xà cột Pi loại ≤140kg/xà</v>
      </c>
      <c r="G1241" s="1094" t="str">
        <f>VLOOKUP($B1241,DG!A:D,DG!$D$2,)</f>
        <v>bộ</v>
      </c>
      <c r="H1241" s="1873">
        <f>H1235</f>
        <v>0</v>
      </c>
      <c r="I1241" s="1262">
        <f t="shared" si="116"/>
        <v>0</v>
      </c>
      <c r="J1241" s="1111"/>
      <c r="K1241" s="1111"/>
      <c r="L1241" s="1085"/>
      <c r="M1241" s="977">
        <v>250</v>
      </c>
    </row>
    <row r="1242" spans="1:13" s="1086" customFormat="1" ht="25.15" hidden="1" customHeight="1">
      <c r="A1242" s="1156">
        <f t="shared" si="118"/>
        <v>0</v>
      </c>
      <c r="B1242" s="1361" t="s">
        <v>2301</v>
      </c>
      <c r="C1242" s="1361"/>
      <c r="D1242" s="1087">
        <f>IF(H1242&gt;0,D1235+1,D1235)</f>
        <v>0</v>
      </c>
      <c r="E1242" s="1088"/>
      <c r="F1242" s="1049" t="s">
        <v>2441</v>
      </c>
      <c r="G1242" s="1087" t="s">
        <v>2394</v>
      </c>
      <c r="H1242" s="1889"/>
      <c r="I1242" s="1262">
        <f t="shared" si="116"/>
        <v>0</v>
      </c>
      <c r="J1242" s="1134"/>
      <c r="K1242" s="1134"/>
      <c r="L1242" s="1085"/>
      <c r="M1242" s="977">
        <v>250</v>
      </c>
    </row>
    <row r="1243" spans="1:13" s="1086" customFormat="1" ht="25.15" hidden="1" customHeight="1">
      <c r="A1243" s="1156">
        <f>IF(A1242&gt;0,1,0)</f>
        <v>0</v>
      </c>
      <c r="B1243" s="1327"/>
      <c r="C1243" s="1327"/>
      <c r="D1243" s="1081"/>
      <c r="E1243" s="1094"/>
      <c r="F1243" s="1370" t="s">
        <v>2287</v>
      </c>
      <c r="G1243" s="1093"/>
      <c r="H1243" s="1873"/>
      <c r="I1243" s="1262">
        <f t="shared" si="116"/>
        <v>0</v>
      </c>
      <c r="J1243" s="1134"/>
      <c r="K1243" s="1134"/>
      <c r="L1243" s="1085"/>
      <c r="M1243" s="977">
        <v>250</v>
      </c>
    </row>
    <row r="1244" spans="1:13" s="1086" customFormat="1" ht="25.15" hidden="1" customHeight="1">
      <c r="A1244" s="1156">
        <f t="shared" si="118"/>
        <v>0</v>
      </c>
      <c r="B1244" s="1157" t="s">
        <v>109</v>
      </c>
      <c r="C1244" s="1157"/>
      <c r="D1244" s="1081"/>
      <c r="E1244" s="1094">
        <f>VLOOKUP($B1244,DG!A:D,DG!$B$2,)</f>
        <v>0</v>
      </c>
      <c r="F1244" s="1083" t="str">
        <f>VLOOKUP($B1244,DG!A:D,DG!$C$2,)</f>
        <v>Sắt góc L75 x75 x8</v>
      </c>
      <c r="G1244" s="1094" t="str">
        <f>VLOOKUP($B1244,DG!A:D,DG!$D$2,)</f>
        <v>kg</v>
      </c>
      <c r="H1244" s="1873">
        <f>9.42*(2+3*0.07)*H1242</f>
        <v>0</v>
      </c>
      <c r="I1244" s="1262">
        <f t="shared" si="116"/>
        <v>0</v>
      </c>
      <c r="J1244" s="1111"/>
      <c r="K1244" s="1111"/>
      <c r="L1244" s="1085"/>
      <c r="M1244" s="977">
        <v>250</v>
      </c>
    </row>
    <row r="1245" spans="1:13" s="1086" customFormat="1" ht="25.15" hidden="1" customHeight="1">
      <c r="A1245" s="1156">
        <f t="shared" si="118"/>
        <v>0</v>
      </c>
      <c r="B1245" s="1157" t="s">
        <v>457</v>
      </c>
      <c r="C1245" s="1157"/>
      <c r="D1245" s="1081"/>
      <c r="E1245" s="1094">
        <f>VLOOKUP($B1245,DG!A:D,DG!$B$2,)</f>
        <v>0</v>
      </c>
      <c r="F1245" s="1083" t="str">
        <f>VLOOKUP($B1245,DG!A:D,DG!$C$2,)</f>
        <v>Sắt góc L50 x50 x5</v>
      </c>
      <c r="G1245" s="1094" t="str">
        <f>VLOOKUP($B1245,DG!A:D,DG!$D$2,)</f>
        <v>kg</v>
      </c>
      <c r="H1245" s="1873">
        <f>3.77*1.15*H1242</f>
        <v>0</v>
      </c>
      <c r="I1245" s="1262">
        <f t="shared" si="116"/>
        <v>0</v>
      </c>
      <c r="J1245" s="1111"/>
      <c r="K1245" s="1111"/>
      <c r="L1245" s="1085"/>
      <c r="M1245" s="977">
        <v>250</v>
      </c>
    </row>
    <row r="1246" spans="1:13" s="1086" customFormat="1" ht="25.15" hidden="1" customHeight="1">
      <c r="A1246" s="1156">
        <f t="shared" si="118"/>
        <v>0</v>
      </c>
      <c r="B1246" s="1157" t="s">
        <v>1614</v>
      </c>
      <c r="C1246" s="1157"/>
      <c r="D1246" s="1081"/>
      <c r="E1246" s="1094">
        <f>VLOOKUP($B1246,DG!A:D,DG!$B$2,)</f>
        <v>0</v>
      </c>
      <c r="F1246" s="1083" t="str">
        <f>VLOOKUP($B1246,DG!A:D,DG!$C$2,)</f>
        <v>Boulon 16x250+ 2 long đền vuông D18-50x50x3/Zn</v>
      </c>
      <c r="G1246" s="1094" t="str">
        <f>VLOOKUP($B1246,DG!A:D,DG!$D$2,)</f>
        <v>bộ</v>
      </c>
      <c r="H1246" s="1873">
        <f>2*H1242</f>
        <v>0</v>
      </c>
      <c r="I1246" s="1262">
        <f t="shared" si="116"/>
        <v>0</v>
      </c>
      <c r="J1246" s="1111"/>
      <c r="K1246" s="1111"/>
      <c r="L1246" s="1085"/>
      <c r="M1246" s="977">
        <v>250</v>
      </c>
    </row>
    <row r="1247" spans="1:13" s="1086" customFormat="1" ht="25.15" hidden="1" customHeight="1">
      <c r="A1247" s="1156">
        <f t="shared" si="118"/>
        <v>0</v>
      </c>
      <c r="B1247" s="1157" t="s">
        <v>1792</v>
      </c>
      <c r="C1247" s="1157"/>
      <c r="D1247" s="1081"/>
      <c r="E1247" s="1094">
        <f>VLOOKUP($B1247,DG!A:D,DG!$B$2,)</f>
        <v>0</v>
      </c>
      <c r="F1247" s="1083" t="str">
        <f>VLOOKUP($B1247,DG!A:D,DG!$C$2,)</f>
        <v>Boulon 16x50+ 2 long đền vuông D18-50x50x3/Zn</v>
      </c>
      <c r="G1247" s="1094" t="str">
        <f>VLOOKUP($B1247,DG!A:D,DG!$D$2,)</f>
        <v>bộ</v>
      </c>
      <c r="H1247" s="1873">
        <f>1*H1242</f>
        <v>0</v>
      </c>
      <c r="I1247" s="1262">
        <f t="shared" si="116"/>
        <v>0</v>
      </c>
      <c r="J1247" s="1111"/>
      <c r="K1247" s="1111"/>
      <c r="L1247" s="1085"/>
      <c r="M1247" s="977">
        <v>250</v>
      </c>
    </row>
    <row r="1248" spans="1:13" s="1086" customFormat="1" ht="25.15" hidden="1" customHeight="1">
      <c r="A1248" s="1156">
        <f t="shared" si="118"/>
        <v>0</v>
      </c>
      <c r="B1248" s="1334" t="s">
        <v>517</v>
      </c>
      <c r="C1248" s="1334"/>
      <c r="D1248" s="1081"/>
      <c r="E1248" s="1094" t="str">
        <f>VLOOKUP($B1248,DG!A:D,DG!$B$2,)</f>
        <v>05.6203</v>
      </c>
      <c r="F1248" s="1083" t="str">
        <f>VLOOKUP($B1248,DG!A:D,DG!$C$2,)</f>
        <v>Lắp xà néo ≤ 100kg</v>
      </c>
      <c r="G1248" s="1094" t="str">
        <f>VLOOKUP($B1248,DG!A:D,DG!$D$2,)</f>
        <v>bộ</v>
      </c>
      <c r="H1248" s="1873">
        <f>1*H1242</f>
        <v>0</v>
      </c>
      <c r="I1248" s="1262">
        <f t="shared" si="116"/>
        <v>0</v>
      </c>
      <c r="J1248" s="1111"/>
      <c r="K1248" s="1111"/>
      <c r="L1248" s="1085"/>
      <c r="M1248" s="977">
        <v>250</v>
      </c>
    </row>
    <row r="1249" spans="1:13" s="1086" customFormat="1" ht="25.15" hidden="1" customHeight="1">
      <c r="A1249" s="1156">
        <f t="shared" si="118"/>
        <v>0</v>
      </c>
      <c r="B1249" s="1327"/>
      <c r="C1249" s="1327"/>
      <c r="D1249" s="1087">
        <f>IF(H1249&gt;0,D1242+1,D1242)</f>
        <v>1</v>
      </c>
      <c r="E1249" s="1088"/>
      <c r="F1249" s="1133" t="s">
        <v>3756</v>
      </c>
      <c r="G1249" s="1087" t="s">
        <v>2394</v>
      </c>
      <c r="H1249" s="1889">
        <v>3</v>
      </c>
      <c r="I1249" s="1262">
        <f t="shared" si="116"/>
        <v>0</v>
      </c>
      <c r="J1249" s="1134"/>
      <c r="K1249" s="1134"/>
      <c r="L1249" s="1085"/>
      <c r="M1249" s="977">
        <v>250</v>
      </c>
    </row>
    <row r="1250" spans="1:13" s="1086" customFormat="1" ht="25.15" hidden="1" customHeight="1">
      <c r="A1250" s="1156">
        <f>IF(A1249&gt;0,1,0)</f>
        <v>0</v>
      </c>
      <c r="B1250" s="1327"/>
      <c r="C1250" s="1327"/>
      <c r="D1250" s="1081"/>
      <c r="E1250" s="1091"/>
      <c r="F1250" s="1370" t="s">
        <v>2287</v>
      </c>
      <c r="G1250" s="1093"/>
      <c r="H1250" s="1873"/>
      <c r="I1250" s="1262">
        <f t="shared" si="116"/>
        <v>0</v>
      </c>
      <c r="J1250" s="1134"/>
      <c r="K1250" s="1134"/>
      <c r="L1250" s="1085"/>
      <c r="M1250" s="977">
        <v>250</v>
      </c>
    </row>
    <row r="1251" spans="1:13" s="1086" customFormat="1" ht="25.15" hidden="1" customHeight="1">
      <c r="A1251" s="1156">
        <f t="shared" si="118"/>
        <v>0</v>
      </c>
      <c r="B1251" s="1347" t="s">
        <v>4357</v>
      </c>
      <c r="C1251" s="1347"/>
      <c r="D1251" s="1081"/>
      <c r="E1251" s="1094">
        <f>VLOOKUP($B1251,DG!A:D,DG!$B$2,)</f>
        <v>0</v>
      </c>
      <c r="F1251" s="1083" t="str">
        <f>VLOOKUP($B1251,DG!A:D,DG!$C$2,)</f>
        <v>Xà composite 110x800x5 dài 2,4m</v>
      </c>
      <c r="G1251" s="1094" t="str">
        <f>VLOOKUP($B1251,DG!A:D,DG!$D$2,)</f>
        <v>cái</v>
      </c>
      <c r="H1251" s="1873">
        <v>1</v>
      </c>
      <c r="I1251" s="1262">
        <f t="shared" si="116"/>
        <v>0</v>
      </c>
      <c r="J1251" s="1111"/>
      <c r="K1251" s="1111"/>
      <c r="L1251" s="1085"/>
      <c r="M1251" s="977">
        <v>250</v>
      </c>
    </row>
    <row r="1252" spans="1:13" s="1086" customFormat="1" ht="25.15" hidden="1" customHeight="1">
      <c r="A1252" s="1156">
        <f t="shared" si="118"/>
        <v>0</v>
      </c>
      <c r="B1252" s="1327" t="s">
        <v>1614</v>
      </c>
      <c r="C1252" s="1327"/>
      <c r="D1252" s="1081"/>
      <c r="E1252" s="1094">
        <f>VLOOKUP($B1252,DG!A:D,DG!$B$2,)</f>
        <v>0</v>
      </c>
      <c r="F1252" s="1083" t="str">
        <f>VLOOKUP($B1252,DG!A:D,DG!$C$2,)</f>
        <v>Boulon 16x250+ 2 long đền vuông D18-50x50x3/Zn</v>
      </c>
      <c r="G1252" s="1094" t="str">
        <f>VLOOKUP($B1252,DG!A:D,DG!$D$2,)</f>
        <v>bộ</v>
      </c>
      <c r="H1252" s="1873"/>
      <c r="I1252" s="1262">
        <f t="shared" si="116"/>
        <v>0</v>
      </c>
      <c r="J1252" s="1111"/>
      <c r="K1252" s="1111"/>
      <c r="L1252" s="1085"/>
      <c r="M1252" s="977">
        <v>250</v>
      </c>
    </row>
    <row r="1253" spans="1:13" s="1086" customFormat="1" ht="25.15" hidden="1" customHeight="1">
      <c r="A1253" s="1156">
        <f t="shared" si="118"/>
        <v>0</v>
      </c>
      <c r="B1253" s="1327" t="s">
        <v>1615</v>
      </c>
      <c r="C1253" s="1327"/>
      <c r="D1253" s="1081"/>
      <c r="E1253" s="1094">
        <f>VLOOKUP($B1253,DG!A:D,DG!$B$2,)</f>
        <v>0</v>
      </c>
      <c r="F1253" s="1083" t="str">
        <f>VLOOKUP($B1253,DG!A:D,DG!$C$2,)</f>
        <v>Boulon 16x300+ 2 long đền vuông D18-50x50x3/Zn</v>
      </c>
      <c r="G1253" s="1094" t="str">
        <f>VLOOKUP($B1253,DG!A:D,DG!$D$2,)</f>
        <v>bộ</v>
      </c>
      <c r="H1253" s="1873">
        <f>2*0</f>
        <v>0</v>
      </c>
      <c r="I1253" s="1262">
        <f t="shared" si="116"/>
        <v>0</v>
      </c>
      <c r="J1253" s="1111"/>
      <c r="K1253" s="1111"/>
      <c r="L1253" s="1085"/>
      <c r="M1253" s="977">
        <v>250</v>
      </c>
    </row>
    <row r="1254" spans="1:13" s="1086" customFormat="1" ht="25.15" hidden="1" customHeight="1">
      <c r="A1254" s="1156">
        <f t="shared" si="118"/>
        <v>0</v>
      </c>
      <c r="B1254" s="1327" t="s">
        <v>30</v>
      </c>
      <c r="C1254" s="1327"/>
      <c r="D1254" s="1081"/>
      <c r="E1254" s="1094">
        <f>VLOOKUP($B1254,DG!A:D,DG!$B$2,)</f>
        <v>0</v>
      </c>
      <c r="F1254" s="1083" t="str">
        <f>VLOOKUP($B1254,DG!A:D,DG!$C$2,)</f>
        <v>Bass LI bắt FCO</v>
      </c>
      <c r="G1254" s="1094" t="str">
        <f>VLOOKUP($B1254,DG!A:D,DG!$D$2,)</f>
        <v>Bộ</v>
      </c>
      <c r="H1254" s="1873">
        <f>H1249</f>
        <v>3</v>
      </c>
      <c r="I1254" s="1262">
        <f t="shared" si="116"/>
        <v>0</v>
      </c>
      <c r="J1254" s="1111"/>
      <c r="K1254" s="1111"/>
      <c r="L1254" s="1085"/>
      <c r="M1254" s="977">
        <v>250</v>
      </c>
    </row>
    <row r="1255" spans="1:13" s="1086" customFormat="1" ht="25.15" hidden="1" customHeight="1">
      <c r="A1255" s="1156">
        <f t="shared" si="118"/>
        <v>0</v>
      </c>
      <c r="B1255" s="1327" t="s">
        <v>2250</v>
      </c>
      <c r="C1255" s="1327"/>
      <c r="D1255" s="1081"/>
      <c r="E1255" s="1094" t="str">
        <f>VLOOKUP($B1255,DG!A:D,DG!$B$2,)</f>
        <v>05.6044</v>
      </c>
      <c r="F1255" s="1083" t="str">
        <f>VLOOKUP($B1255,DG!A:D,DG!$C$2,)</f>
        <v>Lắp xà cột Pi loại ≤140kg/xà</v>
      </c>
      <c r="G1255" s="1094" t="str">
        <f>VLOOKUP($B1255,DG!A:D,DG!$D$2,)</f>
        <v>bộ</v>
      </c>
      <c r="H1255" s="1873">
        <f>H1249*3</f>
        <v>9</v>
      </c>
      <c r="I1255" s="1262">
        <f t="shared" si="116"/>
        <v>0</v>
      </c>
      <c r="J1255" s="1111"/>
      <c r="K1255" s="1111"/>
      <c r="L1255" s="1085"/>
      <c r="M1255" s="977">
        <v>250</v>
      </c>
    </row>
    <row r="1256" spans="1:13" s="1086" customFormat="1" ht="25.15" hidden="1" customHeight="1">
      <c r="A1256" s="1156">
        <f t="shared" si="118"/>
        <v>0</v>
      </c>
      <c r="B1256" s="1157" t="s">
        <v>1792</v>
      </c>
      <c r="C1256" s="1157"/>
      <c r="D1256" s="1081"/>
      <c r="E1256" s="1094">
        <f>VLOOKUP($B1256,DG!A:D,DG!$B$2,)</f>
        <v>0</v>
      </c>
      <c r="F1256" s="1083" t="str">
        <f>VLOOKUP($B1256,DG!A:D,DG!$C$2,)</f>
        <v>Boulon 16x50+ 2 long đền vuông D18-50x50x3/Zn</v>
      </c>
      <c r="G1256" s="1094" t="str">
        <f>VLOOKUP($B1256,DG!A:D,DG!$D$2,)</f>
        <v>bộ</v>
      </c>
      <c r="H1256" s="1873">
        <f>4*H1249</f>
        <v>12</v>
      </c>
      <c r="I1256" s="1262">
        <f t="shared" si="116"/>
        <v>0</v>
      </c>
      <c r="J1256" s="1111"/>
      <c r="K1256" s="1111"/>
      <c r="L1256" s="1085"/>
      <c r="M1256" s="977">
        <v>250</v>
      </c>
    </row>
    <row r="1257" spans="1:13" s="1086" customFormat="1" ht="25.15" hidden="1" customHeight="1">
      <c r="A1257" s="1156">
        <f t="shared" si="118"/>
        <v>0</v>
      </c>
      <c r="B1257" s="1334" t="s">
        <v>1445</v>
      </c>
      <c r="C1257" s="1334"/>
      <c r="D1257" s="1081"/>
      <c r="E1257" s="1094" t="str">
        <f>VLOOKUP($B1257,DG!A:D,DG!$B$2,)</f>
        <v>05.6102</v>
      </c>
      <c r="F1257" s="1083" t="str">
        <f>VLOOKUP($B1257,DG!A:D,DG!$C$2,)</f>
        <v>Lắp xà đỡ ≤ 50kg</v>
      </c>
      <c r="G1257" s="1094" t="str">
        <f>VLOOKUP($B1257,DG!A:D,DG!$D$2,)</f>
        <v>bộ</v>
      </c>
      <c r="H1257" s="1873">
        <f>1*H1249</f>
        <v>3</v>
      </c>
      <c r="I1257" s="1262">
        <f t="shared" si="116"/>
        <v>0</v>
      </c>
      <c r="J1257" s="1111"/>
      <c r="K1257" s="1111"/>
      <c r="L1257" s="1085"/>
      <c r="M1257" s="977">
        <v>250</v>
      </c>
    </row>
    <row r="1258" spans="1:13" s="1086" customFormat="1" ht="25.15" hidden="1" customHeight="1">
      <c r="A1258" s="1156">
        <f t="shared" si="118"/>
        <v>0</v>
      </c>
      <c r="B1258" s="1327"/>
      <c r="C1258" s="1327"/>
      <c r="D1258" s="1087">
        <f>IF(H1258&gt;0,D1249+1,D1249)</f>
        <v>2</v>
      </c>
      <c r="E1258" s="1088"/>
      <c r="F1258" s="1133" t="s">
        <v>4592</v>
      </c>
      <c r="G1258" s="1087" t="s">
        <v>2394</v>
      </c>
      <c r="H1258" s="1889">
        <v>1</v>
      </c>
      <c r="I1258" s="1262">
        <f t="shared" si="116"/>
        <v>0</v>
      </c>
      <c r="J1258" s="1134"/>
      <c r="K1258" s="1134"/>
      <c r="L1258" s="1085"/>
      <c r="M1258" s="977">
        <v>250</v>
      </c>
    </row>
    <row r="1259" spans="1:13" s="1086" customFormat="1" ht="25.15" hidden="1" customHeight="1">
      <c r="A1259" s="1156">
        <f>IF(A1258&gt;0,1,0)</f>
        <v>0</v>
      </c>
      <c r="B1259" s="1327"/>
      <c r="C1259" s="1327"/>
      <c r="D1259" s="1081"/>
      <c r="E1259" s="1091"/>
      <c r="F1259" s="1370" t="s">
        <v>2287</v>
      </c>
      <c r="G1259" s="1093"/>
      <c r="H1259" s="1873"/>
      <c r="I1259" s="1262">
        <f t="shared" si="116"/>
        <v>0</v>
      </c>
      <c r="J1259" s="1134"/>
      <c r="K1259" s="1134"/>
      <c r="L1259" s="1085"/>
      <c r="M1259" s="977">
        <v>250</v>
      </c>
    </row>
    <row r="1260" spans="1:13" s="1086" customFormat="1" ht="25.15" hidden="1" customHeight="1">
      <c r="A1260" s="1156">
        <f t="shared" si="118"/>
        <v>0</v>
      </c>
      <c r="B1260" s="1334" t="s">
        <v>2028</v>
      </c>
      <c r="C1260" s="1334"/>
      <c r="D1260" s="1081"/>
      <c r="E1260" s="1094">
        <f>VLOOKUP($B1260,DG!A:D,DG!$B$2,)</f>
        <v>0</v>
      </c>
      <c r="F1260" s="1083" t="str">
        <f>VLOOKUP($B1260,DG!A:D,DG!$C$2,)</f>
        <v>Sắt góc L75 x75 x8</v>
      </c>
      <c r="G1260" s="1094" t="str">
        <f>VLOOKUP($B1260,DG!A:D,DG!$D$2,)</f>
        <v>kg</v>
      </c>
      <c r="H1260" s="1995">
        <v>1</v>
      </c>
      <c r="I1260" s="1996">
        <f t="shared" ref="I1260:I1323" si="119">IF(M1260=$M$23,H1260+J1260-K1260,0)</f>
        <v>0</v>
      </c>
      <c r="J1260" s="1111"/>
      <c r="K1260" s="1111"/>
      <c r="L1260" s="1085"/>
      <c r="M1260" s="977">
        <v>250</v>
      </c>
    </row>
    <row r="1261" spans="1:13" s="1086" customFormat="1" ht="25.15" hidden="1" customHeight="1">
      <c r="A1261" s="1156">
        <f t="shared" si="118"/>
        <v>0</v>
      </c>
      <c r="B1261" s="1327" t="s">
        <v>1614</v>
      </c>
      <c r="C1261" s="1327"/>
      <c r="D1261" s="1081"/>
      <c r="E1261" s="1094">
        <f>VLOOKUP($B1261,DG!A:D,DG!$B$2,)</f>
        <v>0</v>
      </c>
      <c r="F1261" s="1083" t="str">
        <f>VLOOKUP($B1261,DG!A:D,DG!$C$2,)</f>
        <v>Boulon 16x250+ 2 long đền vuông D18-50x50x3/Zn</v>
      </c>
      <c r="G1261" s="1094" t="str">
        <f>VLOOKUP($B1261,DG!A:D,DG!$D$2,)</f>
        <v>bộ</v>
      </c>
      <c r="H1261" s="1873">
        <f>H1258</f>
        <v>1</v>
      </c>
      <c r="I1261" s="1262">
        <f t="shared" si="119"/>
        <v>0</v>
      </c>
      <c r="J1261" s="1111"/>
      <c r="K1261" s="1111"/>
      <c r="L1261" s="1085"/>
      <c r="M1261" s="977">
        <v>250</v>
      </c>
    </row>
    <row r="1262" spans="1:13" s="1086" customFormat="1" ht="25.15" hidden="1" customHeight="1">
      <c r="A1262" s="1156">
        <f t="shared" si="118"/>
        <v>0</v>
      </c>
      <c r="B1262" s="1327" t="s">
        <v>1615</v>
      </c>
      <c r="C1262" s="1327"/>
      <c r="D1262" s="1081"/>
      <c r="E1262" s="1094">
        <f>VLOOKUP($B1262,DG!A:D,DG!$B$2,)</f>
        <v>0</v>
      </c>
      <c r="F1262" s="1083" t="str">
        <f>VLOOKUP($B1262,DG!A:D,DG!$C$2,)</f>
        <v>Boulon 16x300+ 2 long đền vuông D18-50x50x3/Zn</v>
      </c>
      <c r="G1262" s="1094" t="str">
        <f>VLOOKUP($B1262,DG!A:D,DG!$D$2,)</f>
        <v>bộ</v>
      </c>
      <c r="H1262" s="1873">
        <f>H1258</f>
        <v>1</v>
      </c>
      <c r="I1262" s="1262">
        <f t="shared" si="119"/>
        <v>0</v>
      </c>
      <c r="J1262" s="1111"/>
      <c r="K1262" s="1111"/>
      <c r="L1262" s="1085"/>
      <c r="M1262" s="977">
        <v>250</v>
      </c>
    </row>
    <row r="1263" spans="1:13" s="1086" customFormat="1" ht="25.15" hidden="1" customHeight="1">
      <c r="A1263" s="1156">
        <f t="shared" si="118"/>
        <v>0</v>
      </c>
      <c r="B1263" s="1327" t="s">
        <v>1741</v>
      </c>
      <c r="C1263" s="1327"/>
      <c r="D1263" s="1081"/>
      <c r="E1263" s="1094">
        <f>VLOOKUP($B1263,DG!A:D,DG!$B$2,)</f>
        <v>0</v>
      </c>
      <c r="F1263" s="1083" t="str">
        <f>VLOOKUP($B1263,DG!A:D,DG!$C$2,)</f>
        <v>Bass LI bắt FCO</v>
      </c>
      <c r="G1263" s="1094" t="str">
        <f>VLOOKUP($B1263,DG!A:D,DG!$D$2,)</f>
        <v>Bộ</v>
      </c>
      <c r="H1263" s="1873">
        <v>3</v>
      </c>
      <c r="I1263" s="1262">
        <f t="shared" si="119"/>
        <v>0</v>
      </c>
      <c r="J1263" s="1111"/>
      <c r="K1263" s="1111"/>
      <c r="L1263" s="1085"/>
      <c r="M1263" s="977">
        <v>250</v>
      </c>
    </row>
    <row r="1264" spans="1:13" s="1086" customFormat="1" ht="25.15" hidden="1" customHeight="1">
      <c r="A1264" s="1156">
        <f t="shared" si="118"/>
        <v>0</v>
      </c>
      <c r="B1264" s="1327" t="s">
        <v>2250</v>
      </c>
      <c r="C1264" s="1327"/>
      <c r="D1264" s="1081"/>
      <c r="E1264" s="1094" t="str">
        <f>VLOOKUP($B1264,DG!A:D,DG!$B$2,)</f>
        <v>05.6044</v>
      </c>
      <c r="F1264" s="1083" t="str">
        <f>VLOOKUP($B1264,DG!A:D,DG!$C$2,)</f>
        <v>Lắp xà cột Pi loại ≤140kg/xà</v>
      </c>
      <c r="G1264" s="1094" t="str">
        <f>VLOOKUP($B1264,DG!A:D,DG!$D$2,)</f>
        <v>bộ</v>
      </c>
      <c r="H1264" s="1873">
        <v>1</v>
      </c>
      <c r="I1264" s="1262">
        <f t="shared" si="119"/>
        <v>0</v>
      </c>
      <c r="J1264" s="1111"/>
      <c r="K1264" s="1111"/>
      <c r="L1264" s="1085"/>
      <c r="M1264" s="977">
        <v>250</v>
      </c>
    </row>
    <row r="1265" spans="1:13" s="1086" customFormat="1" ht="25.15" hidden="1" customHeight="1">
      <c r="A1265" s="1156">
        <f t="shared" si="118"/>
        <v>0</v>
      </c>
      <c r="B1265" s="1327"/>
      <c r="C1265" s="1327"/>
      <c r="D1265" s="1087">
        <f>IF(H1265&gt;0,D1258+1,D1258)</f>
        <v>3</v>
      </c>
      <c r="E1265" s="1088"/>
      <c r="F1265" s="1133" t="s">
        <v>3738</v>
      </c>
      <c r="G1265" s="1087" t="s">
        <v>2394</v>
      </c>
      <c r="H1265" s="1889">
        <v>2</v>
      </c>
      <c r="I1265" s="1262">
        <f t="shared" si="119"/>
        <v>0</v>
      </c>
      <c r="J1265" s="1134"/>
      <c r="K1265" s="1134"/>
      <c r="L1265" s="1085"/>
      <c r="M1265" s="977">
        <v>250</v>
      </c>
    </row>
    <row r="1266" spans="1:13" s="1086" customFormat="1" ht="25.15" hidden="1" customHeight="1">
      <c r="A1266" s="1156">
        <f>IF(A1265&gt;0,1,0)</f>
        <v>0</v>
      </c>
      <c r="B1266" s="1327"/>
      <c r="C1266" s="1327"/>
      <c r="D1266" s="1081"/>
      <c r="E1266" s="1091"/>
      <c r="F1266" s="1370" t="s">
        <v>2287</v>
      </c>
      <c r="G1266" s="1093"/>
      <c r="H1266" s="1873"/>
      <c r="I1266" s="1262">
        <f t="shared" si="119"/>
        <v>0</v>
      </c>
      <c r="J1266" s="1134"/>
      <c r="K1266" s="1134"/>
      <c r="L1266" s="1085"/>
      <c r="M1266" s="977">
        <v>250</v>
      </c>
    </row>
    <row r="1267" spans="1:13" s="1086" customFormat="1" ht="25.15" hidden="1" customHeight="1">
      <c r="A1267" s="1156">
        <f t="shared" si="118"/>
        <v>0</v>
      </c>
      <c r="B1267" s="1327" t="s">
        <v>2028</v>
      </c>
      <c r="C1267" s="1358">
        <f>93.81/2</f>
        <v>46.905000000000001</v>
      </c>
      <c r="D1267" s="1081"/>
      <c r="E1267" s="1094">
        <f>VLOOKUP($B1267,DG!A:D,DG!$B$2,)</f>
        <v>0</v>
      </c>
      <c r="F1267" s="1083" t="str">
        <f>VLOOKUP($B1267,DG!A:D,DG!$C$2,)</f>
        <v>Sắt góc L75 x75 x8</v>
      </c>
      <c r="G1267" s="1094" t="str">
        <f>VLOOKUP($B1267,DG!A:D,DG!$D$2,)</f>
        <v>kg</v>
      </c>
      <c r="H1267" s="1995"/>
      <c r="I1267" s="1996">
        <f>H1267</f>
        <v>0</v>
      </c>
      <c r="J1267" s="1111"/>
      <c r="K1267" s="1111"/>
      <c r="L1267" s="1085"/>
      <c r="M1267" s="977">
        <v>250</v>
      </c>
    </row>
    <row r="1268" spans="1:13" s="1086" customFormat="1" ht="25.15" hidden="1" customHeight="1">
      <c r="A1268" s="1156">
        <f t="shared" si="118"/>
        <v>0</v>
      </c>
      <c r="B1268" s="1327" t="s">
        <v>1085</v>
      </c>
      <c r="C1268" s="1327"/>
      <c r="D1268" s="1081"/>
      <c r="E1268" s="1094">
        <f>VLOOKUP($B1268,DG!A:D,DG!$B$2,)</f>
        <v>0</v>
      </c>
      <c r="F1268" s="1083" t="str">
        <f>VLOOKUP($B1268,DG!A:D,DG!$C$2,)</f>
        <v>Boulon 16x400+ 2 long đền vuông D18-50x50x3/Zn</v>
      </c>
      <c r="G1268" s="1094" t="str">
        <f>VLOOKUP($B1268,DG!A:D,DG!$D$2,)</f>
        <v>bộ</v>
      </c>
      <c r="H1268" s="1873">
        <f>H1265*2</f>
        <v>4</v>
      </c>
      <c r="I1268" s="1262">
        <f t="shared" si="119"/>
        <v>0</v>
      </c>
      <c r="J1268" s="1111"/>
      <c r="K1268" s="1111"/>
      <c r="L1268" s="1085"/>
      <c r="M1268" s="977">
        <v>250</v>
      </c>
    </row>
    <row r="1269" spans="1:13" s="1086" customFormat="1" ht="25.15" hidden="1" customHeight="1">
      <c r="A1269" s="1156">
        <f t="shared" si="118"/>
        <v>0</v>
      </c>
      <c r="B1269" s="1327" t="s">
        <v>138</v>
      </c>
      <c r="C1269" s="1327"/>
      <c r="D1269" s="1081"/>
      <c r="E1269" s="1094">
        <f>VLOOKUP($B1269,DG!A:D,DG!$B$2,)</f>
        <v>0</v>
      </c>
      <c r="F1269" s="1083" t="str">
        <f>VLOOKUP($B1269,DG!A:D,DG!$C$2,)</f>
        <v>Boulon 12x40+ 2 long đền vuông D14-50x50x3/Zn</v>
      </c>
      <c r="G1269" s="1094" t="str">
        <f>VLOOKUP($B1269,DG!A:D,DG!$D$2,)</f>
        <v>bộ</v>
      </c>
      <c r="H1269" s="1873">
        <f>H1265*2</f>
        <v>4</v>
      </c>
      <c r="I1269" s="1262">
        <f t="shared" si="119"/>
        <v>0</v>
      </c>
      <c r="J1269" s="1111"/>
      <c r="K1269" s="1111"/>
      <c r="L1269" s="1085"/>
      <c r="M1269" s="977">
        <v>250</v>
      </c>
    </row>
    <row r="1270" spans="1:13" s="1086" customFormat="1" ht="25.15" hidden="1" customHeight="1">
      <c r="A1270" s="1156">
        <f t="shared" si="118"/>
        <v>0</v>
      </c>
      <c r="B1270" s="1327" t="s">
        <v>2250</v>
      </c>
      <c r="C1270" s="1327"/>
      <c r="D1270" s="1081"/>
      <c r="E1270" s="1094" t="str">
        <f>VLOOKUP($B1270,DG!A:D,DG!$B$2,)</f>
        <v>05.6044</v>
      </c>
      <c r="F1270" s="1083" t="str">
        <f>VLOOKUP($B1270,DG!A:D,DG!$C$2,)</f>
        <v>Lắp xà cột Pi loại ≤140kg/xà</v>
      </c>
      <c r="G1270" s="1094" t="str">
        <f>VLOOKUP($B1270,DG!A:D,DG!$D$2,)</f>
        <v>bộ</v>
      </c>
      <c r="H1270" s="1873">
        <f>H1265/2</f>
        <v>1</v>
      </c>
      <c r="I1270" s="1262">
        <f t="shared" si="119"/>
        <v>0</v>
      </c>
      <c r="J1270" s="1111"/>
      <c r="K1270" s="1111"/>
      <c r="L1270" s="1085"/>
      <c r="M1270" s="977">
        <v>250</v>
      </c>
    </row>
    <row r="1271" spans="1:13" s="1086" customFormat="1" ht="25.15" hidden="1" customHeight="1">
      <c r="A1271" s="1156">
        <f t="shared" si="118"/>
        <v>0</v>
      </c>
      <c r="B1271" s="1327" t="s">
        <v>217</v>
      </c>
      <c r="C1271" s="1327"/>
      <c r="D1271" s="1081"/>
      <c r="E1271" s="1094" t="str">
        <f>VLOOKUP($B1271,DG!A:D,DG!$B$2,)</f>
        <v>02.1115</v>
      </c>
      <c r="F1271" s="1083" t="str">
        <f>VLOOKUP($B1271,DG!A:D,DG!$C$2,)</f>
        <v>Bốc dỡ xà, thép thanh</v>
      </c>
      <c r="G1271" s="1094" t="str">
        <f>VLOOKUP($B1271,DG!A:D,DG!$D$2,)</f>
        <v>tấn</v>
      </c>
      <c r="H1271" s="1873">
        <f>0.05*0</f>
        <v>0</v>
      </c>
      <c r="I1271" s="1262">
        <f t="shared" si="119"/>
        <v>0</v>
      </c>
      <c r="J1271" s="1111"/>
      <c r="K1271" s="1111"/>
      <c r="L1271" s="1085"/>
      <c r="M1271" s="977">
        <v>250</v>
      </c>
    </row>
    <row r="1272" spans="1:13" s="1086" customFormat="1" ht="25.15" hidden="1" customHeight="1">
      <c r="A1272" s="1156">
        <f t="shared" si="118"/>
        <v>0</v>
      </c>
      <c r="B1272" s="1327" t="s">
        <v>1615</v>
      </c>
      <c r="C1272" s="1327"/>
      <c r="D1272" s="1081"/>
      <c r="E1272" s="1094">
        <f>VLOOKUP($B1272,DG!A:D,DG!$B$2,)</f>
        <v>0</v>
      </c>
      <c r="F1272" s="1083" t="str">
        <f>VLOOKUP($B1272,DG!A:D,DG!$C$2,)</f>
        <v>Boulon 16x300+ 2 long đền vuông D18-50x50x3/Zn</v>
      </c>
      <c r="G1272" s="1082" t="s">
        <v>2448</v>
      </c>
      <c r="H1272" s="1873">
        <f>H1265*2*0</f>
        <v>0</v>
      </c>
      <c r="I1272" s="1262">
        <f t="shared" si="119"/>
        <v>0</v>
      </c>
      <c r="J1272" s="1111"/>
      <c r="K1272" s="1111"/>
      <c r="L1272" s="1085"/>
      <c r="M1272" s="977">
        <v>250</v>
      </c>
    </row>
    <row r="1273" spans="1:13" s="1086" customFormat="1" ht="25.15" hidden="1" customHeight="1">
      <c r="A1273" s="1156">
        <f t="shared" si="118"/>
        <v>0</v>
      </c>
      <c r="B1273" s="1327" t="s">
        <v>1614</v>
      </c>
      <c r="C1273" s="1327"/>
      <c r="D1273" s="1081"/>
      <c r="E1273" s="1094">
        <f>VLOOKUP($B1273,DG!A:D,DG!$B$2,)</f>
        <v>0</v>
      </c>
      <c r="F1273" s="1083" t="str">
        <f>VLOOKUP($B1273,DG!A:D,DG!$C$2,)</f>
        <v>Boulon 16x250+ 2 long đền vuông D18-50x50x3/Zn</v>
      </c>
      <c r="G1273" s="1082" t="s">
        <v>2448</v>
      </c>
      <c r="H1273" s="1873">
        <f>2*H1265*2*0</f>
        <v>0</v>
      </c>
      <c r="I1273" s="1262">
        <f t="shared" si="119"/>
        <v>0</v>
      </c>
      <c r="J1273" s="1111"/>
      <c r="K1273" s="1111"/>
      <c r="L1273" s="1085"/>
      <c r="M1273" s="977">
        <v>250</v>
      </c>
    </row>
    <row r="1274" spans="1:13" s="1086" customFormat="1" ht="25.15" hidden="1" customHeight="1" collapsed="1">
      <c r="A1274" s="1156">
        <f t="shared" si="118"/>
        <v>0</v>
      </c>
      <c r="B1274" s="1327"/>
      <c r="C1274" s="1327"/>
      <c r="D1274" s="1087">
        <f>IF(H1274&gt;0,D1265+1,D1265)</f>
        <v>3</v>
      </c>
      <c r="E1274" s="1088"/>
      <c r="F1274" s="1133" t="s">
        <v>3739</v>
      </c>
      <c r="G1274" s="1087" t="s">
        <v>2394</v>
      </c>
      <c r="H1274" s="1889">
        <f>H1198*0</f>
        <v>0</v>
      </c>
      <c r="I1274" s="1262">
        <f t="shared" si="119"/>
        <v>0</v>
      </c>
      <c r="J1274" s="1084"/>
      <c r="K1274" s="1084"/>
      <c r="L1274" s="1113"/>
      <c r="M1274" s="977">
        <v>250</v>
      </c>
    </row>
    <row r="1275" spans="1:13" s="1086" customFormat="1" ht="25.15" hidden="1" customHeight="1">
      <c r="A1275" s="1156">
        <f>IF(A1274&gt;0,1,0)</f>
        <v>0</v>
      </c>
      <c r="B1275" s="1327"/>
      <c r="C1275" s="1327"/>
      <c r="D1275" s="1081"/>
      <c r="E1275" s="1091"/>
      <c r="F1275" s="1370" t="s">
        <v>2287</v>
      </c>
      <c r="G1275" s="1093"/>
      <c r="H1275" s="1873"/>
      <c r="I1275" s="1262">
        <f t="shared" si="119"/>
        <v>0</v>
      </c>
      <c r="J1275" s="1084"/>
      <c r="K1275" s="1084"/>
      <c r="L1275" s="1113"/>
      <c r="M1275" s="977">
        <v>250</v>
      </c>
    </row>
    <row r="1276" spans="1:13" s="1086" customFormat="1" ht="25.15" hidden="1" customHeight="1">
      <c r="A1276" s="1156">
        <f t="shared" si="118"/>
        <v>0</v>
      </c>
      <c r="B1276" s="1327" t="s">
        <v>2028</v>
      </c>
      <c r="C1276" s="1327"/>
      <c r="D1276" s="1081"/>
      <c r="E1276" s="1094">
        <f>VLOOKUP($B1276,DG!A:D,DG!$B$2,)</f>
        <v>0</v>
      </c>
      <c r="F1276" s="1083" t="str">
        <f>VLOOKUP($B1276,DG!A:D,DG!$C$2,)</f>
        <v>Sắt góc L75 x75 x8</v>
      </c>
      <c r="G1276" s="1082" t="s">
        <v>2256</v>
      </c>
      <c r="H1276" s="1873">
        <f>H1274*9.02*(2.4+4*0.07)*2</f>
        <v>0</v>
      </c>
      <c r="I1276" s="1262">
        <f t="shared" si="119"/>
        <v>0</v>
      </c>
      <c r="J1276" s="1084"/>
      <c r="K1276" s="1084"/>
      <c r="L1276" s="1113"/>
      <c r="M1276" s="977">
        <v>250</v>
      </c>
    </row>
    <row r="1277" spans="1:13" s="1086" customFormat="1" ht="25.15" hidden="1" customHeight="1">
      <c r="A1277" s="1156">
        <f t="shared" si="118"/>
        <v>0</v>
      </c>
      <c r="B1277" s="1327" t="s">
        <v>1037</v>
      </c>
      <c r="C1277" s="1327"/>
      <c r="D1277" s="1081"/>
      <c r="E1277" s="1094">
        <f>VLOOKUP($B1277,DG!A:D,DG!$B$2,)</f>
        <v>0</v>
      </c>
      <c r="F1277" s="1083" t="str">
        <f>VLOOKUP($B1277,DG!A:D,DG!$C$2,)&amp;" (Thanh choáng 810)"</f>
        <v>Sắt góc L50 x50 x5 (Thanh choáng 810)</v>
      </c>
      <c r="G1277" s="1082" t="s">
        <v>2256</v>
      </c>
      <c r="H1277" s="1873">
        <f>H1274*3.77*0.81*4</f>
        <v>0</v>
      </c>
      <c r="I1277" s="1262">
        <f t="shared" si="119"/>
        <v>0</v>
      </c>
      <c r="J1277" s="1084"/>
      <c r="K1277" s="1084"/>
      <c r="L1277" s="1113"/>
      <c r="M1277" s="977">
        <v>250</v>
      </c>
    </row>
    <row r="1278" spans="1:13" s="1086" customFormat="1" ht="25.15" hidden="1" customHeight="1">
      <c r="A1278" s="1156">
        <f t="shared" si="118"/>
        <v>0</v>
      </c>
      <c r="B1278" s="1327" t="s">
        <v>1615</v>
      </c>
      <c r="C1278" s="1327"/>
      <c r="D1278" s="1081"/>
      <c r="E1278" s="1094">
        <f>VLOOKUP($B1278,DG!A:D,DG!$B$2,)</f>
        <v>0</v>
      </c>
      <c r="F1278" s="1083" t="str">
        <f>VLOOKUP($B1278,DG!A:D,DG!$C$2,)</f>
        <v>Boulon 16x300+ 2 long đền vuông D18-50x50x3/Zn</v>
      </c>
      <c r="G1278" s="1082" t="s">
        <v>2448</v>
      </c>
      <c r="H1278" s="1873">
        <f>H1274*2</f>
        <v>0</v>
      </c>
      <c r="I1278" s="1262">
        <f t="shared" si="119"/>
        <v>0</v>
      </c>
      <c r="J1278" s="1084"/>
      <c r="K1278" s="1084"/>
      <c r="L1278" s="1113"/>
      <c r="M1278" s="977">
        <v>250</v>
      </c>
    </row>
    <row r="1279" spans="1:13" s="1086" customFormat="1" ht="25.15" hidden="1" customHeight="1">
      <c r="A1279" s="1156">
        <f t="shared" si="118"/>
        <v>0</v>
      </c>
      <c r="B1279" s="1327" t="s">
        <v>1792</v>
      </c>
      <c r="C1279" s="1327"/>
      <c r="D1279" s="1081"/>
      <c r="E1279" s="1094">
        <f>VLOOKUP($B1279,DG!A:D,DG!$B$2,)</f>
        <v>0</v>
      </c>
      <c r="F1279" s="1083" t="str">
        <f>VLOOKUP($B1279,DG!A:D,DG!$C$2,)</f>
        <v>Boulon 16x50+ 2 long đền vuông D18-50x50x3/Zn</v>
      </c>
      <c r="G1279" s="1082" t="s">
        <v>2448</v>
      </c>
      <c r="H1279" s="1873">
        <f>H1274*4</f>
        <v>0</v>
      </c>
      <c r="I1279" s="1262">
        <f t="shared" si="119"/>
        <v>0</v>
      </c>
      <c r="J1279" s="1084"/>
      <c r="K1279" s="1084"/>
      <c r="L1279" s="1113"/>
      <c r="M1279" s="977">
        <v>250</v>
      </c>
    </row>
    <row r="1280" spans="1:13" s="1086" customFormat="1" ht="25.15" hidden="1" customHeight="1">
      <c r="A1280" s="1156">
        <f t="shared" si="118"/>
        <v>0</v>
      </c>
      <c r="B1280" s="1327" t="s">
        <v>1790</v>
      </c>
      <c r="C1280" s="1327"/>
      <c r="D1280" s="1081"/>
      <c r="E1280" s="1094">
        <f>VLOOKUP($B1280,DG!A:D,DG!$B$2,)</f>
        <v>0</v>
      </c>
      <c r="F1280" s="1083" t="str">
        <f>VLOOKUP($B1280,DG!A:D,DG!$C$2,)</f>
        <v>Boulon 16x300VRS+ 4 long đền vuông D18-50x50x3/Zn</v>
      </c>
      <c r="G1280" s="1082" t="s">
        <v>2448</v>
      </c>
      <c r="H1280" s="1873">
        <f>H1274*4</f>
        <v>0</v>
      </c>
      <c r="I1280" s="1262">
        <f t="shared" si="119"/>
        <v>0</v>
      </c>
      <c r="J1280" s="1084"/>
      <c r="K1280" s="1084"/>
      <c r="L1280" s="1113"/>
      <c r="M1280" s="977">
        <v>250</v>
      </c>
    </row>
    <row r="1281" spans="1:13" s="1086" customFormat="1" ht="25.15" hidden="1" customHeight="1">
      <c r="A1281" s="1156">
        <f t="shared" si="118"/>
        <v>0</v>
      </c>
      <c r="B1281" s="1327" t="s">
        <v>517</v>
      </c>
      <c r="C1281" s="1327"/>
      <c r="D1281" s="1081"/>
      <c r="E1281" s="1094" t="str">
        <f>VLOOKUP($B1281,DG!A:D,DG!$B$2,)</f>
        <v>05.6203</v>
      </c>
      <c r="F1281" s="1083" t="str">
        <f>VLOOKUP($B1281,DG!A:D,DG!$C$2,)</f>
        <v>Lắp xà néo ≤ 100kg</v>
      </c>
      <c r="G1281" s="1082" t="s">
        <v>2448</v>
      </c>
      <c r="H1281" s="1873">
        <f>H1274</f>
        <v>0</v>
      </c>
      <c r="I1281" s="1262">
        <f t="shared" si="119"/>
        <v>0</v>
      </c>
      <c r="J1281" s="1084"/>
      <c r="K1281" s="1084"/>
      <c r="L1281" s="1113"/>
      <c r="M1281" s="977">
        <v>250</v>
      </c>
    </row>
    <row r="1282" spans="1:13" s="1086" customFormat="1" ht="25.15" hidden="1" customHeight="1">
      <c r="A1282" s="1156">
        <f t="shared" si="118"/>
        <v>0</v>
      </c>
      <c r="B1282" s="1327"/>
      <c r="C1282" s="1327"/>
      <c r="D1282" s="1087">
        <f>IF(H1282&gt;0,D1274+1,D1274)</f>
        <v>3</v>
      </c>
      <c r="E1282" s="1088"/>
      <c r="F1282" s="1133" t="s">
        <v>3740</v>
      </c>
      <c r="G1282" s="1087" t="s">
        <v>2394</v>
      </c>
      <c r="H1282" s="1889">
        <f>H1198*1*0</f>
        <v>0</v>
      </c>
      <c r="I1282" s="1262">
        <f t="shared" si="119"/>
        <v>0</v>
      </c>
      <c r="J1282" s="1084"/>
      <c r="K1282" s="1084"/>
      <c r="L1282" s="1113"/>
      <c r="M1282" s="977">
        <v>250</v>
      </c>
    </row>
    <row r="1283" spans="1:13" s="1086" customFormat="1" ht="25.15" hidden="1" customHeight="1">
      <c r="A1283" s="1156">
        <f>IF(A1282&gt;0,1,0)</f>
        <v>0</v>
      </c>
      <c r="B1283" s="1327"/>
      <c r="C1283" s="1327"/>
      <c r="D1283" s="1081"/>
      <c r="E1283" s="1091"/>
      <c r="F1283" s="1370" t="s">
        <v>2287</v>
      </c>
      <c r="G1283" s="1093"/>
      <c r="H1283" s="1873"/>
      <c r="I1283" s="1262">
        <f t="shared" si="119"/>
        <v>0</v>
      </c>
      <c r="J1283" s="1084"/>
      <c r="K1283" s="1084"/>
      <c r="L1283" s="1113"/>
      <c r="M1283" s="977">
        <v>250</v>
      </c>
    </row>
    <row r="1284" spans="1:13" s="1086" customFormat="1" ht="25.15" hidden="1" customHeight="1">
      <c r="A1284" s="1156">
        <f t="shared" si="118"/>
        <v>0</v>
      </c>
      <c r="B1284" s="1327" t="s">
        <v>2028</v>
      </c>
      <c r="C1284" s="1327"/>
      <c r="D1284" s="1081"/>
      <c r="E1284" s="1094">
        <f>VLOOKUP($B1284,DG!A:D,DG!$B$2,)</f>
        <v>0</v>
      </c>
      <c r="F1284" s="1083" t="str">
        <f>VLOOKUP($B1284,DG!A:D,DG!$C$2,)</f>
        <v>Sắt góc L75 x75 x8</v>
      </c>
      <c r="G1284" s="1082" t="s">
        <v>2256</v>
      </c>
      <c r="H1284" s="1873">
        <f>H1282*9.02*(2.4+4*0.07)</f>
        <v>0</v>
      </c>
      <c r="I1284" s="1262">
        <f t="shared" si="119"/>
        <v>0</v>
      </c>
      <c r="J1284" s="1084"/>
      <c r="K1284" s="1084"/>
      <c r="L1284" s="1113"/>
      <c r="M1284" s="977">
        <v>250</v>
      </c>
    </row>
    <row r="1285" spans="1:13" s="1086" customFormat="1" ht="25.15" hidden="1" customHeight="1">
      <c r="A1285" s="1156">
        <f t="shared" si="118"/>
        <v>0</v>
      </c>
      <c r="B1285" s="1327" t="s">
        <v>1037</v>
      </c>
      <c r="C1285" s="1327"/>
      <c r="D1285" s="1081"/>
      <c r="E1285" s="1094">
        <f>VLOOKUP($B1285,DG!A:D,DG!$B$2,)</f>
        <v>0</v>
      </c>
      <c r="F1285" s="1083" t="str">
        <f>VLOOKUP($B1285,DG!A:D,DG!$C$2,)&amp;" (Thanh choáng 810)"</f>
        <v>Sắt góc L50 x50 x5 (Thanh choáng 810)</v>
      </c>
      <c r="G1285" s="1082" t="s">
        <v>2256</v>
      </c>
      <c r="H1285" s="1873">
        <f>H1282*3.77*0.81*2</f>
        <v>0</v>
      </c>
      <c r="I1285" s="1262">
        <f t="shared" si="119"/>
        <v>0</v>
      </c>
      <c r="J1285" s="1084"/>
      <c r="K1285" s="1084"/>
      <c r="L1285" s="1113"/>
      <c r="M1285" s="977">
        <v>250</v>
      </c>
    </row>
    <row r="1286" spans="1:13" s="1086" customFormat="1" ht="25.15" hidden="1" customHeight="1">
      <c r="A1286" s="1156">
        <f t="shared" si="118"/>
        <v>0</v>
      </c>
      <c r="B1286" s="1327" t="s">
        <v>1081</v>
      </c>
      <c r="C1286" s="1327"/>
      <c r="D1286" s="1081"/>
      <c r="E1286" s="1094">
        <f>VLOOKUP($B1286,DG!A:D,DG!$B$2,)</f>
        <v>0</v>
      </c>
      <c r="F1286" s="1083" t="str">
        <f>VLOOKUP($B1286,DG!A:D,DG!$C$2,)</f>
        <v>Boulon 16x350+ 2 long đền vuông D18-50x50x3/Zn</v>
      </c>
      <c r="G1286" s="1082" t="s">
        <v>2448</v>
      </c>
      <c r="H1286" s="1873">
        <f>H1282*2</f>
        <v>0</v>
      </c>
      <c r="I1286" s="1262">
        <f t="shared" si="119"/>
        <v>0</v>
      </c>
      <c r="J1286" s="1084"/>
      <c r="K1286" s="1084"/>
      <c r="L1286" s="1113"/>
      <c r="M1286" s="977">
        <v>250</v>
      </c>
    </row>
    <row r="1287" spans="1:13" s="1086" customFormat="1" ht="25.15" hidden="1" customHeight="1">
      <c r="A1287" s="1156">
        <f t="shared" si="118"/>
        <v>0</v>
      </c>
      <c r="B1287" s="1327" t="s">
        <v>1792</v>
      </c>
      <c r="C1287" s="1327"/>
      <c r="D1287" s="1081"/>
      <c r="E1287" s="1094">
        <f>VLOOKUP($B1287,DG!A:D,DG!$B$2,)</f>
        <v>0</v>
      </c>
      <c r="F1287" s="1083" t="str">
        <f>VLOOKUP($B1287,DG!A:D,DG!$C$2,)</f>
        <v>Boulon 16x50+ 2 long đền vuông D18-50x50x3/Zn</v>
      </c>
      <c r="G1287" s="1082" t="s">
        <v>2448</v>
      </c>
      <c r="H1287" s="1873">
        <f>H1282*2</f>
        <v>0</v>
      </c>
      <c r="I1287" s="1262">
        <f t="shared" si="119"/>
        <v>0</v>
      </c>
      <c r="J1287" s="1084"/>
      <c r="K1287" s="1084"/>
      <c r="L1287" s="1113"/>
      <c r="M1287" s="977">
        <v>250</v>
      </c>
    </row>
    <row r="1288" spans="1:13" s="1086" customFormat="1" ht="25.15" hidden="1" customHeight="1">
      <c r="A1288" s="1156">
        <f t="shared" si="118"/>
        <v>0</v>
      </c>
      <c r="B1288" s="1327" t="s">
        <v>1741</v>
      </c>
      <c r="C1288" s="1327"/>
      <c r="D1288" s="1081"/>
      <c r="E1288" s="1094">
        <f>VLOOKUP($B1288,DG!A:D,DG!$B$2,)</f>
        <v>0</v>
      </c>
      <c r="F1288" s="1083" t="str">
        <f>VLOOKUP($B1288,DG!A:D,DG!$C$2,)</f>
        <v>Bass LI bắt FCO</v>
      </c>
      <c r="G1288" s="1082" t="s">
        <v>2448</v>
      </c>
      <c r="H1288" s="1873">
        <f>IF(H1282&gt;0,3,)</f>
        <v>0</v>
      </c>
      <c r="I1288" s="1262">
        <f t="shared" si="119"/>
        <v>0</v>
      </c>
      <c r="J1288" s="1084"/>
      <c r="K1288" s="1084"/>
      <c r="L1288" s="1113"/>
      <c r="M1288" s="977">
        <v>250</v>
      </c>
    </row>
    <row r="1289" spans="1:13" s="1086" customFormat="1" ht="25.15" hidden="1" customHeight="1">
      <c r="A1289" s="1156">
        <f t="shared" si="118"/>
        <v>0</v>
      </c>
      <c r="B1289" s="1327" t="s">
        <v>990</v>
      </c>
      <c r="C1289" s="1327"/>
      <c r="D1289" s="1081"/>
      <c r="E1289" s="1094" t="str">
        <f>VLOOKUP($B1289,DG!A:D,DG!$B$2,)</f>
        <v>06.3231</v>
      </c>
      <c r="F1289" s="1083" t="str">
        <f>VLOOKUP($B1289,DG!A:D,DG!$C$2,)</f>
        <v xml:space="preserve">Cổ dê chống lắc 8x80x800 </v>
      </c>
      <c r="G1289" s="1082" t="s">
        <v>2448</v>
      </c>
      <c r="H1289" s="1873">
        <f>H1282*0</f>
        <v>0</v>
      </c>
      <c r="I1289" s="1262">
        <f t="shared" si="119"/>
        <v>0</v>
      </c>
      <c r="J1289" s="1084"/>
      <c r="K1289" s="1084"/>
      <c r="L1289" s="1113"/>
      <c r="M1289" s="977">
        <v>250</v>
      </c>
    </row>
    <row r="1290" spans="1:13" s="1086" customFormat="1" ht="25.15" hidden="1" customHeight="1">
      <c r="A1290" s="1156">
        <f t="shared" si="118"/>
        <v>0</v>
      </c>
      <c r="B1290" s="1327" t="s">
        <v>1445</v>
      </c>
      <c r="C1290" s="1327"/>
      <c r="D1290" s="1081"/>
      <c r="E1290" s="1094" t="str">
        <f>VLOOKUP($B1290,DG!A:D,DG!$B$2,)</f>
        <v>05.6102</v>
      </c>
      <c r="F1290" s="1083" t="str">
        <f>VLOOKUP($B1290,DG!A:D,DG!$C$2,)</f>
        <v>Lắp xà đỡ ≤ 50kg</v>
      </c>
      <c r="G1290" s="1082" t="s">
        <v>2448</v>
      </c>
      <c r="H1290" s="1873">
        <f>H1282</f>
        <v>0</v>
      </c>
      <c r="I1290" s="1262">
        <f t="shared" si="119"/>
        <v>0</v>
      </c>
      <c r="J1290" s="1084"/>
      <c r="K1290" s="1084"/>
      <c r="L1290" s="1113"/>
      <c r="M1290" s="977">
        <v>250</v>
      </c>
    </row>
    <row r="1291" spans="1:13" s="1086" customFormat="1" ht="25.15" hidden="1" customHeight="1">
      <c r="A1291" s="1156">
        <f t="shared" si="118"/>
        <v>0</v>
      </c>
      <c r="B1291" s="1327"/>
      <c r="C1291" s="1327"/>
      <c r="D1291" s="1087">
        <f>IF(H1291&gt;0,D1282+1,D1282)</f>
        <v>3</v>
      </c>
      <c r="E1291" s="1088"/>
      <c r="F1291" s="1133" t="s">
        <v>3741</v>
      </c>
      <c r="G1291" s="1087" t="s">
        <v>2394</v>
      </c>
      <c r="H1291" s="1889">
        <f>H1198</f>
        <v>0</v>
      </c>
      <c r="I1291" s="1262">
        <f t="shared" si="119"/>
        <v>0</v>
      </c>
      <c r="J1291" s="1084"/>
      <c r="K1291" s="1084"/>
      <c r="L1291" s="1113"/>
      <c r="M1291" s="977">
        <v>250</v>
      </c>
    </row>
    <row r="1292" spans="1:13" s="1086" customFormat="1" ht="25.15" hidden="1" customHeight="1">
      <c r="A1292" s="1156">
        <f>IF(A1291&gt;0,1,0)</f>
        <v>0</v>
      </c>
      <c r="B1292" s="1358"/>
      <c r="C1292" s="1358"/>
      <c r="D1292" s="1081"/>
      <c r="E1292" s="1091"/>
      <c r="F1292" s="1370" t="s">
        <v>2287</v>
      </c>
      <c r="G1292" s="1093"/>
      <c r="H1292" s="1873"/>
      <c r="I1292" s="1262">
        <f t="shared" si="119"/>
        <v>0</v>
      </c>
      <c r="J1292" s="1084"/>
      <c r="K1292" s="1084"/>
      <c r="L1292" s="1113"/>
      <c r="M1292" s="977">
        <v>250</v>
      </c>
    </row>
    <row r="1293" spans="1:13" s="1086" customFormat="1" ht="25.15" hidden="1" customHeight="1">
      <c r="A1293" s="1156">
        <f t="shared" si="118"/>
        <v>0</v>
      </c>
      <c r="B1293" s="1327" t="s">
        <v>1035</v>
      </c>
      <c r="C1293" s="1327"/>
      <c r="D1293" s="1081"/>
      <c r="E1293" s="1082">
        <f>VLOOKUP($B1293,DG!A:D,DG!$B$2,)</f>
        <v>0</v>
      </c>
      <c r="F1293" s="1083" t="str">
        <f>VLOOKUP($B1293,DG!A:D,DG!$C$2,)</f>
        <v>Cáp đồng trần M25mm2</v>
      </c>
      <c r="G1293" s="1094" t="str">
        <f>VLOOKUP($B1293,DG!A:D,DG!$D$2,)</f>
        <v>kg</v>
      </c>
      <c r="H1293" s="1170">
        <v>11.9</v>
      </c>
      <c r="I1293" s="1262">
        <f t="shared" si="119"/>
        <v>0</v>
      </c>
      <c r="J1293" s="1084"/>
      <c r="K1293" s="1084"/>
      <c r="L1293" s="1113"/>
      <c r="M1293" s="977">
        <v>250</v>
      </c>
    </row>
    <row r="1294" spans="1:13" s="1086" customFormat="1" ht="25.15" hidden="1" customHeight="1">
      <c r="A1294" s="1156">
        <f t="shared" si="118"/>
        <v>0</v>
      </c>
      <c r="B1294" s="1157" t="s">
        <v>1513</v>
      </c>
      <c r="C1294" s="1157"/>
      <c r="D1294" s="1081"/>
      <c r="E1294" s="1082">
        <f>VLOOKUP($B1294,DG!A:D,DG!$B$2,)</f>
        <v>0</v>
      </c>
      <c r="F1294" s="1083" t="str">
        <f>VLOOKUP($B1294,DG!A:D,DG!$C$2,)</f>
        <v>Cọc tiếp đất Þ 16- 2,4m + kẹp cọc mạ đồng</v>
      </c>
      <c r="G1294" s="1094" t="str">
        <f>VLOOKUP($B1294,DG!A:D,DG!$D$2,)</f>
        <v>bộ</v>
      </c>
      <c r="H1294" s="1170">
        <f>10*H1291</f>
        <v>0</v>
      </c>
      <c r="I1294" s="1262">
        <f t="shared" si="119"/>
        <v>0</v>
      </c>
      <c r="J1294" s="1084"/>
      <c r="K1294" s="1084"/>
      <c r="L1294" s="1113"/>
      <c r="M1294" s="977">
        <v>250</v>
      </c>
    </row>
    <row r="1295" spans="1:13" s="1086" customFormat="1" ht="25.15" hidden="1" customHeight="1">
      <c r="A1295" s="1156">
        <f t="shared" si="118"/>
        <v>0</v>
      </c>
      <c r="B1295" s="1347" t="s">
        <v>2014</v>
      </c>
      <c r="C1295" s="1347"/>
      <c r="D1295" s="1081"/>
      <c r="E1295" s="1082">
        <f>VLOOKUP($B1295,DG!A:D,DG!$B$2,)</f>
        <v>0</v>
      </c>
      <c r="F1295" s="1083" t="str">
        <f>VLOOKUP($B1295,DG!A:D,DG!$C$2,)</f>
        <v>Sắt Ø10</v>
      </c>
      <c r="G1295" s="1082" t="str">
        <f>VLOOKUP($B1295,DG!A:D,DG!$D$2,)</f>
        <v>kg</v>
      </c>
      <c r="H1295" s="1170"/>
      <c r="I1295" s="1262">
        <f t="shared" si="119"/>
        <v>0</v>
      </c>
      <c r="J1295" s="1084"/>
      <c r="K1295" s="1084"/>
      <c r="L1295" s="1085"/>
      <c r="M1295" s="977">
        <v>250</v>
      </c>
    </row>
    <row r="1296" spans="1:13" s="1086" customFormat="1" ht="25.15" hidden="1" customHeight="1">
      <c r="A1296" s="1156">
        <f t="shared" si="118"/>
        <v>0</v>
      </c>
      <c r="B1296" s="1332" t="s">
        <v>907</v>
      </c>
      <c r="C1296" s="1332"/>
      <c r="D1296" s="1081"/>
      <c r="E1296" s="1082">
        <f>VLOOKUP($B1296,DG!A:D,DG!$B$2,)</f>
        <v>0</v>
      </c>
      <c r="F1296" s="1083" t="str">
        <f>VLOOKUP($B1296,DG!A:D,DG!$C$2,)&amp;": bắt lưới TĐ"</f>
        <v>Kẹp ép WR cỡ dây 50mm2: bắt lưới TĐ</v>
      </c>
      <c r="G1296" s="1094" t="str">
        <f>VLOOKUP($B1296,DG!A:D,DG!$D$2,)</f>
        <v>cái</v>
      </c>
      <c r="H1296" s="1170">
        <v>2</v>
      </c>
      <c r="I1296" s="1262">
        <f t="shared" si="119"/>
        <v>0</v>
      </c>
      <c r="J1296" s="1084"/>
      <c r="K1296" s="1084"/>
      <c r="L1296" s="1113"/>
      <c r="M1296" s="977">
        <v>250</v>
      </c>
    </row>
    <row r="1297" spans="1:16" s="1086" customFormat="1" ht="25.15" hidden="1" customHeight="1">
      <c r="A1297" s="1156">
        <f t="shared" si="118"/>
        <v>0</v>
      </c>
      <c r="B1297" s="1332" t="s">
        <v>818</v>
      </c>
      <c r="C1297" s="1332"/>
      <c r="D1297" s="1135"/>
      <c r="E1297" s="1082" t="str">
        <f>VLOOKUP($B1297,DG!A:D,DG!$B$2,)</f>
        <v>04.3107</v>
      </c>
      <c r="F1297" s="1083" t="str">
        <f>VLOOKUP($B1297,DG!A:D,DG!$C$2,)</f>
        <v>Ốc siết cáp cỡ 25mm2</v>
      </c>
      <c r="G1297" s="1094" t="str">
        <f>VLOOKUP($B1297,DG!A:D,DG!$D$2,)</f>
        <v>cái</v>
      </c>
      <c r="H1297" s="1170">
        <v>4</v>
      </c>
      <c r="I1297" s="1262">
        <f t="shared" si="119"/>
        <v>0</v>
      </c>
      <c r="J1297" s="1084"/>
      <c r="K1297" s="1084"/>
      <c r="L1297" s="1113"/>
      <c r="M1297" s="977">
        <v>250</v>
      </c>
    </row>
    <row r="1298" spans="1:16" s="1086" customFormat="1" ht="25.15" hidden="1" customHeight="1">
      <c r="A1298" s="1156">
        <f t="shared" si="118"/>
        <v>0</v>
      </c>
      <c r="B1298" s="1332" t="s">
        <v>1308</v>
      </c>
      <c r="C1298" s="1332"/>
      <c r="D1298" s="1081"/>
      <c r="E1298" s="1082" t="str">
        <f>VLOOKUP($B1298,DG!A:D,DG!$B$2,)</f>
        <v>03.4003</v>
      </c>
      <c r="F1298" s="1083" t="str">
        <f>VLOOKUP($B1298,DG!A:D,DG!$C$2,)</f>
        <v>Đầu cosse ép Cu 70mm2</v>
      </c>
      <c r="G1298" s="1094" t="str">
        <f>VLOOKUP($B1298,DG!A:D,DG!$D$2,)</f>
        <v>cái</v>
      </c>
      <c r="H1298" s="1170"/>
      <c r="I1298" s="1262">
        <f t="shared" si="119"/>
        <v>0</v>
      </c>
      <c r="J1298" s="1084"/>
      <c r="K1298" s="1084"/>
      <c r="L1298" s="1113"/>
      <c r="M1298" s="977">
        <v>250</v>
      </c>
    </row>
    <row r="1299" spans="1:16" s="1086" customFormat="1" ht="25.15" hidden="1" customHeight="1">
      <c r="A1299" s="1156">
        <f t="shared" si="118"/>
        <v>0</v>
      </c>
      <c r="B1299" s="1332" t="s">
        <v>1307</v>
      </c>
      <c r="C1299" s="1332"/>
      <c r="D1299" s="1081"/>
      <c r="E1299" s="1082" t="str">
        <f>VLOOKUP($B1299,DG!A:D,DG!$B$2,)</f>
        <v>03.4002</v>
      </c>
      <c r="F1299" s="1083" t="str">
        <f>VLOOKUP($B1299,DG!A:D,DG!$C$2,)</f>
        <v>Đầu cosse ép Cu 50mm2</v>
      </c>
      <c r="G1299" s="1094" t="str">
        <f>VLOOKUP($B1299,DG!A:D,DG!$D$2,)</f>
        <v>cái</v>
      </c>
      <c r="H1299" s="1170"/>
      <c r="I1299" s="1262">
        <f t="shared" si="119"/>
        <v>0</v>
      </c>
      <c r="J1299" s="1084"/>
      <c r="K1299" s="1084"/>
      <c r="L1299" s="1113"/>
      <c r="M1299" s="977">
        <v>250</v>
      </c>
    </row>
    <row r="1300" spans="1:16" s="1086" customFormat="1" ht="25.15" hidden="1" customHeight="1">
      <c r="A1300" s="1156">
        <f t="shared" si="118"/>
        <v>0</v>
      </c>
      <c r="B1300" s="1157" t="s">
        <v>1597</v>
      </c>
      <c r="C1300" s="1157"/>
      <c r="D1300" s="1081"/>
      <c r="E1300" s="1082" t="str">
        <f>VLOOKUP($B1300,DG!A:D,DG!$B$2,)</f>
        <v>06.3231</v>
      </c>
      <c r="F1300" s="1083" t="str">
        <f>VLOOKUP($B1300,DG!A:D,DG!$C$2,)&amp;": CD-250"</f>
        <v>Cổ dê kẹp ống PVC  21: CD-250</v>
      </c>
      <c r="G1300" s="1082" t="str">
        <f>VLOOKUP($B1300,DG!A:D,DG!$D$2,)</f>
        <v>bộ</v>
      </c>
      <c r="H1300" s="1170"/>
      <c r="I1300" s="1262">
        <f t="shared" si="119"/>
        <v>0</v>
      </c>
      <c r="J1300" s="1084"/>
      <c r="K1300" s="1084"/>
      <c r="L1300" s="1085"/>
      <c r="M1300" s="977">
        <v>250</v>
      </c>
    </row>
    <row r="1301" spans="1:16" s="1086" customFormat="1" ht="25.15" hidden="1" customHeight="1">
      <c r="A1301" s="1156">
        <f t="shared" si="118"/>
        <v>0</v>
      </c>
      <c r="B1301" s="1157" t="s">
        <v>1355</v>
      </c>
      <c r="C1301" s="1157"/>
      <c r="D1301" s="1081"/>
      <c r="E1301" s="1082">
        <f>VLOOKUP($B1301,DG!A:D,DG!$B$2,)</f>
        <v>0</v>
      </c>
      <c r="F1301" s="1083" t="s">
        <v>823</v>
      </c>
      <c r="G1301" s="1082" t="str">
        <f>VLOOKUP($B1301,DG!A:D,DG!$D$2,)</f>
        <v>bộ</v>
      </c>
      <c r="H1301" s="1873"/>
      <c r="I1301" s="1262">
        <f t="shared" si="119"/>
        <v>0</v>
      </c>
      <c r="J1301" s="1084"/>
      <c r="K1301" s="1084"/>
      <c r="L1301" s="1085"/>
      <c r="M1301" s="977">
        <v>250</v>
      </c>
    </row>
    <row r="1302" spans="1:16" s="1086" customFormat="1" ht="25.15" hidden="1" customHeight="1">
      <c r="A1302" s="1156">
        <f t="shared" ref="A1302:A1367" si="120">IF(I1302&gt;0,1,0)</f>
        <v>0</v>
      </c>
      <c r="B1302" s="1332" t="s">
        <v>2191</v>
      </c>
      <c r="C1302" s="1332"/>
      <c r="D1302" s="1081"/>
      <c r="E1302" s="1082" t="str">
        <f>VLOOKUP($B1302,DG!A:D,DG!$B$2,)</f>
        <v>04.7002</v>
      </c>
      <c r="F1302" s="1083" t="str">
        <f>VLOOKUP($B1302,DG!A:D,DG!$C$2,)</f>
        <v>Kéo dây tiếp địa trong TBA</v>
      </c>
      <c r="G1302" s="1082" t="str">
        <f>VLOOKUP($B1302,DG!A:D,DG!$D$2,)</f>
        <v>mét</v>
      </c>
      <c r="H1302" s="1170">
        <v>45</v>
      </c>
      <c r="I1302" s="1262">
        <f t="shared" si="119"/>
        <v>0</v>
      </c>
      <c r="J1302" s="1084"/>
      <c r="K1302" s="1084"/>
      <c r="L1302" s="1085"/>
      <c r="M1302" s="977">
        <v>250</v>
      </c>
    </row>
    <row r="1303" spans="1:16" s="1086" customFormat="1" ht="25.15" hidden="1" customHeight="1">
      <c r="A1303" s="1156">
        <f t="shared" si="120"/>
        <v>0</v>
      </c>
      <c r="B1303" s="1157" t="s">
        <v>904</v>
      </c>
      <c r="C1303" s="1157"/>
      <c r="D1303" s="1081"/>
      <c r="E1303" s="1082" t="str">
        <f>VLOOKUP($B1303,DG!A:D,DG!$B$2,)</f>
        <v>04.7001</v>
      </c>
      <c r="F1303" s="1083" t="str">
        <f>VLOOKUP($B1303,DG!A:D,DG!$C$2,)</f>
        <v>Đóng cọc tiếp địa trong TBA</v>
      </c>
      <c r="G1303" s="1082" t="str">
        <f>VLOOKUP($B1303,DG!A:D,DG!$D$2,)</f>
        <v>cọc</v>
      </c>
      <c r="H1303" s="1170">
        <f>H1294</f>
        <v>0</v>
      </c>
      <c r="I1303" s="1262">
        <f t="shared" si="119"/>
        <v>0</v>
      </c>
      <c r="J1303" s="1084"/>
      <c r="K1303" s="1084"/>
      <c r="L1303" s="1085"/>
      <c r="M1303" s="977">
        <v>250</v>
      </c>
    </row>
    <row r="1304" spans="1:16" s="1086" customFormat="1" ht="25.15" hidden="1" customHeight="1">
      <c r="A1304" s="1156">
        <f t="shared" si="120"/>
        <v>0</v>
      </c>
      <c r="B1304" s="1332" t="str">
        <f>"dtd"&amp;chitiet!G5</f>
        <v>dtd3</v>
      </c>
      <c r="C1304" s="1332"/>
      <c r="D1304" s="1081"/>
      <c r="E1304" s="1082" t="str">
        <f>VLOOKUP($B1304,DG!A:D,DG!$B$2,)</f>
        <v>03.3123</v>
      </c>
      <c r="F1304" s="1083" t="str">
        <f>VLOOKUP($B1304,DG!A:D,DG!$C$2,)</f>
        <v>Đào rãnh tiếp địa đất cấp 3</v>
      </c>
      <c r="G1304" s="1082" t="str">
        <f>VLOOKUP($B1304,DG!A:D,DG!$D$2,)</f>
        <v>m3</v>
      </c>
      <c r="H1304" s="1170">
        <v>3.5</v>
      </c>
      <c r="I1304" s="1262">
        <f t="shared" si="119"/>
        <v>0</v>
      </c>
      <c r="J1304" s="1084"/>
      <c r="K1304" s="1084"/>
      <c r="L1304" s="1085"/>
      <c r="M1304" s="977">
        <v>250</v>
      </c>
    </row>
    <row r="1305" spans="1:16" s="1086" customFormat="1" ht="25.15" hidden="1" customHeight="1">
      <c r="A1305" s="1156">
        <f t="shared" si="120"/>
        <v>0</v>
      </c>
      <c r="B1305" s="1157" t="str">
        <f>"datd"&amp;chitiet!G5</f>
        <v>datd3</v>
      </c>
      <c r="C1305" s="1157"/>
      <c r="D1305" s="1081"/>
      <c r="E1305" s="1082" t="str">
        <f>VLOOKUP($B1305,DG!A:D,DG!$B$2,)</f>
        <v>03.4123</v>
      </c>
      <c r="F1305" s="1083" t="str">
        <f>VLOOKUP($B1305,DG!A:D,DG!$C$2,)</f>
        <v>Đắp đất rãnh tiếp độ chặt k=0,85</v>
      </c>
      <c r="G1305" s="1082" t="str">
        <f>VLOOKUP($B1305,DG!A:D,DG!$D$2,)</f>
        <v>m3</v>
      </c>
      <c r="H1305" s="1170">
        <f>H1304</f>
        <v>3.5</v>
      </c>
      <c r="I1305" s="1262">
        <f t="shared" si="119"/>
        <v>0</v>
      </c>
      <c r="J1305" s="1084"/>
      <c r="K1305" s="1084"/>
      <c r="L1305" s="1085"/>
      <c r="M1305" s="977">
        <v>250</v>
      </c>
    </row>
    <row r="1306" spans="1:16" s="1086" customFormat="1" ht="25.15" hidden="1" customHeight="1">
      <c r="A1306" s="1156">
        <f t="shared" si="120"/>
        <v>0</v>
      </c>
      <c r="B1306" s="1327"/>
      <c r="C1306" s="1327"/>
      <c r="D1306" s="1087">
        <f>IF(H1306&gt;0,D1291+1,D1291)</f>
        <v>3</v>
      </c>
      <c r="E1306" s="1088"/>
      <c r="F1306" s="1089" t="s">
        <v>3742</v>
      </c>
      <c r="G1306" s="1087" t="s">
        <v>2394</v>
      </c>
      <c r="H1306" s="1889"/>
      <c r="I1306" s="1262">
        <f t="shared" si="119"/>
        <v>0</v>
      </c>
      <c r="J1306" s="1084"/>
      <c r="K1306" s="1084"/>
      <c r="L1306" s="1085"/>
      <c r="M1306" s="977">
        <v>250</v>
      </c>
    </row>
    <row r="1307" spans="1:16" s="1086" customFormat="1" ht="25.15" hidden="1" customHeight="1">
      <c r="A1307" s="1156">
        <f>IF(A1306&gt;0,1,0)</f>
        <v>0</v>
      </c>
      <c r="B1307" s="1327"/>
      <c r="C1307" s="1327"/>
      <c r="D1307" s="1081"/>
      <c r="E1307" s="1091"/>
      <c r="F1307" s="1370" t="s">
        <v>2287</v>
      </c>
      <c r="G1307" s="1093"/>
      <c r="H1307" s="1873"/>
      <c r="I1307" s="1262">
        <f t="shared" si="119"/>
        <v>0</v>
      </c>
      <c r="J1307" s="1084"/>
      <c r="K1307" s="1084"/>
      <c r="L1307" s="1085"/>
      <c r="M1307" s="977">
        <v>250</v>
      </c>
    </row>
    <row r="1308" spans="1:16" s="1086" customFormat="1" ht="25.15" hidden="1" customHeight="1">
      <c r="A1308" s="1156">
        <f t="shared" si="120"/>
        <v>0</v>
      </c>
      <c r="B1308" s="1327" t="s">
        <v>653</v>
      </c>
      <c r="C1308" s="1327"/>
      <c r="D1308" s="1093"/>
      <c r="E1308" s="1094">
        <f>VLOOKUP($B1308,DG!A:D,DG!$B$2,)</f>
        <v>0</v>
      </c>
      <c r="F1308" s="1095" t="str">
        <f>VLOOKUP($B1308,DG!A:D,DG!$C$2,)</f>
        <v>Ximăng (PC40)</v>
      </c>
      <c r="G1308" s="1094" t="str">
        <f>VLOOKUP($B1308,DG!A:D,DG!$D$2,)</f>
        <v>kg</v>
      </c>
      <c r="H1308" s="1873">
        <f>H1306*M1311</f>
        <v>0</v>
      </c>
      <c r="I1308" s="1262">
        <f t="shared" si="119"/>
        <v>0</v>
      </c>
      <c r="J1308" s="1084"/>
      <c r="K1308" s="1084"/>
      <c r="L1308" s="1085"/>
      <c r="M1308" s="977">
        <v>250</v>
      </c>
    </row>
    <row r="1309" spans="1:16" s="1086" customFormat="1" ht="25.15" hidden="1" customHeight="1">
      <c r="A1309" s="1156">
        <f t="shared" si="120"/>
        <v>0</v>
      </c>
      <c r="B1309" s="1327" t="s">
        <v>4441</v>
      </c>
      <c r="C1309" s="1327"/>
      <c r="D1309" s="1081"/>
      <c r="E1309" s="1094">
        <f>VLOOKUP($B1309,DG!A:D,DG!$B$2,)</f>
        <v>0</v>
      </c>
      <c r="F1309" s="1095" t="str">
        <f>VLOOKUP($B1309,DG!A:D,DG!$C$2,)</f>
        <v>Cát vàng</v>
      </c>
      <c r="G1309" s="1094" t="str">
        <f>VLOOKUP($B1309,DG!A:D,DG!$D$2,)</f>
        <v>m3</v>
      </c>
      <c r="H1309" s="1873">
        <f>H1306*N1311</f>
        <v>0</v>
      </c>
      <c r="I1309" s="1262">
        <f t="shared" si="119"/>
        <v>0</v>
      </c>
      <c r="J1309" s="1084"/>
      <c r="K1309" s="1084"/>
      <c r="L1309" s="1085"/>
      <c r="M1309" s="977">
        <v>250</v>
      </c>
    </row>
    <row r="1310" spans="1:16" s="1086" customFormat="1" ht="25.15" hidden="1" customHeight="1">
      <c r="A1310" s="1156">
        <f t="shared" si="120"/>
        <v>0</v>
      </c>
      <c r="B1310" s="1327" t="s">
        <v>216</v>
      </c>
      <c r="C1310" s="1327"/>
      <c r="D1310" s="1081"/>
      <c r="E1310" s="1094">
        <f>VLOOKUP($B1310,DG!A:D,DG!$B$2,)</f>
        <v>0</v>
      </c>
      <c r="F1310" s="1095" t="str">
        <f>VLOOKUP($B1310,DG!A:D,DG!$C$2,)</f>
        <v>Đá 1x2</v>
      </c>
      <c r="G1310" s="1094" t="str">
        <f>VLOOKUP($B1310,DG!A:D,DG!$D$2,)</f>
        <v>m3</v>
      </c>
      <c r="H1310" s="1873">
        <f>H1306*O1311</f>
        <v>0</v>
      </c>
      <c r="I1310" s="1262">
        <f t="shared" si="119"/>
        <v>0</v>
      </c>
      <c r="J1310" s="1084"/>
      <c r="K1310" s="1084"/>
      <c r="L1310" s="1085"/>
      <c r="M1310" s="977">
        <v>250</v>
      </c>
    </row>
    <row r="1311" spans="1:16" s="1086" customFormat="1" ht="25.15" hidden="1" customHeight="1">
      <c r="A1311" s="1156">
        <f t="shared" si="120"/>
        <v>0</v>
      </c>
      <c r="B1311" s="1327" t="s">
        <v>654</v>
      </c>
      <c r="C1311" s="1327"/>
      <c r="D1311" s="1093"/>
      <c r="E1311" s="1094" t="str">
        <f>VLOOKUP($B1311,DG!A:D,DG!$B$2,)</f>
        <v>04.1203c</v>
      </c>
      <c r="F1311" s="1095" t="str">
        <f>VLOOKUP($B1311,DG!A:D,DG!$C$2,)</f>
        <v>Đổ bê tông móng trụ &lt;=250cm-M200 đá 1x2</v>
      </c>
      <c r="G1311" s="1094" t="str">
        <f>VLOOKUP($B1311,DG!A:D,DG!$D$2,)</f>
        <v>m3</v>
      </c>
      <c r="H1311" s="1873">
        <f>H1306*(0.4*3*1-2*3.14*0.15^2*0.4)*1.025</f>
        <v>0</v>
      </c>
      <c r="I1311" s="1262">
        <f t="shared" si="119"/>
        <v>0</v>
      </c>
      <c r="J1311" s="1084"/>
      <c r="K1311" s="1084"/>
      <c r="L1311" s="1085"/>
      <c r="M1311" s="977">
        <v>250</v>
      </c>
      <c r="N1311" s="1096">
        <f>1.025*0.45</f>
        <v>0.46124999999999999</v>
      </c>
      <c r="O1311" s="1096">
        <f>1.025*0.866</f>
        <v>0.88764999999999994</v>
      </c>
      <c r="P1311" s="1240"/>
    </row>
    <row r="1312" spans="1:16" s="1086" customFormat="1" ht="25.15" hidden="1" customHeight="1">
      <c r="A1312" s="1156">
        <f t="shared" si="120"/>
        <v>0</v>
      </c>
      <c r="B1312" s="1327"/>
      <c r="C1312" s="1327"/>
      <c r="D1312" s="1087">
        <f>IF(H1312&gt;0,D1306+1,D1306)</f>
        <v>3</v>
      </c>
      <c r="E1312" s="1088"/>
      <c r="F1312" s="1089" t="s">
        <v>3743</v>
      </c>
      <c r="G1312" s="1087" t="s">
        <v>2394</v>
      </c>
      <c r="H1312" s="1889"/>
      <c r="I1312" s="1262">
        <f t="shared" si="119"/>
        <v>0</v>
      </c>
      <c r="J1312" s="1084"/>
      <c r="K1312" s="1084"/>
      <c r="L1312" s="1085"/>
      <c r="M1312" s="977">
        <v>250</v>
      </c>
    </row>
    <row r="1313" spans="1:16" s="1086" customFormat="1" ht="25.15" hidden="1" customHeight="1">
      <c r="A1313" s="1156">
        <f>IF(A1312&gt;0,1,0)</f>
        <v>0</v>
      </c>
      <c r="B1313" s="1327"/>
      <c r="C1313" s="1327"/>
      <c r="D1313" s="1081"/>
      <c r="E1313" s="1091"/>
      <c r="F1313" s="1370" t="s">
        <v>2287</v>
      </c>
      <c r="G1313" s="1093"/>
      <c r="H1313" s="1873"/>
      <c r="I1313" s="1262">
        <f t="shared" si="119"/>
        <v>0</v>
      </c>
      <c r="J1313" s="1084"/>
      <c r="K1313" s="1084"/>
      <c r="L1313" s="1085"/>
      <c r="M1313" s="977">
        <v>250</v>
      </c>
    </row>
    <row r="1314" spans="1:16" s="1086" customFormat="1" ht="25.15" hidden="1" customHeight="1">
      <c r="A1314" s="1156">
        <f t="shared" si="120"/>
        <v>0</v>
      </c>
      <c r="B1314" s="1327" t="s">
        <v>653</v>
      </c>
      <c r="C1314" s="1327"/>
      <c r="D1314" s="1093"/>
      <c r="E1314" s="1094">
        <f>VLOOKUP($B1314,DG!A:D,DG!$B$2,)</f>
        <v>0</v>
      </c>
      <c r="F1314" s="1095" t="str">
        <f>VLOOKUP($B1314,DG!A:D,DG!$C$2,)</f>
        <v>Ximăng (PC40)</v>
      </c>
      <c r="G1314" s="1094" t="str">
        <f>VLOOKUP($B1314,DG!A:D,DG!$D$2,)</f>
        <v>kg</v>
      </c>
      <c r="H1314" s="1873">
        <f>H1317*M1317</f>
        <v>0</v>
      </c>
      <c r="I1314" s="1262">
        <f t="shared" si="119"/>
        <v>0</v>
      </c>
      <c r="J1314" s="1084"/>
      <c r="K1314" s="1084"/>
      <c r="L1314" s="1085"/>
      <c r="M1314" s="977">
        <v>250</v>
      </c>
    </row>
    <row r="1315" spans="1:16" s="1086" customFormat="1" ht="25.15" hidden="1" customHeight="1">
      <c r="A1315" s="1156">
        <f t="shared" si="120"/>
        <v>0</v>
      </c>
      <c r="B1315" s="1327" t="s">
        <v>4441</v>
      </c>
      <c r="C1315" s="1327"/>
      <c r="D1315" s="1081"/>
      <c r="E1315" s="1094">
        <f>VLOOKUP($B1315,DG!A:D,DG!$B$2,)</f>
        <v>0</v>
      </c>
      <c r="F1315" s="1095" t="str">
        <f>VLOOKUP($B1315,DG!A:D,DG!$C$2,)</f>
        <v>Cát vàng</v>
      </c>
      <c r="G1315" s="1094" t="str">
        <f>VLOOKUP($B1315,DG!A:D,DG!$D$2,)</f>
        <v>m3</v>
      </c>
      <c r="H1315" s="1890">
        <f>H1317*N1317</f>
        <v>0</v>
      </c>
      <c r="I1315" s="1262">
        <f t="shared" si="119"/>
        <v>0</v>
      </c>
      <c r="J1315" s="1084"/>
      <c r="K1315" s="1084"/>
      <c r="L1315" s="1085"/>
      <c r="M1315" s="977">
        <v>250</v>
      </c>
    </row>
    <row r="1316" spans="1:16" s="1086" customFormat="1" ht="25.15" hidden="1" customHeight="1">
      <c r="A1316" s="1156">
        <f t="shared" si="120"/>
        <v>0</v>
      </c>
      <c r="B1316" s="1327" t="s">
        <v>216</v>
      </c>
      <c r="C1316" s="1327"/>
      <c r="D1316" s="1081"/>
      <c r="E1316" s="1094">
        <f>VLOOKUP($B1316,DG!A:D,DG!$B$2,)</f>
        <v>0</v>
      </c>
      <c r="F1316" s="1095" t="str">
        <f>VLOOKUP($B1316,DG!A:D,DG!$C$2,)</f>
        <v>Đá 1x2</v>
      </c>
      <c r="G1316" s="1094" t="str">
        <f>VLOOKUP($B1316,DG!A:D,DG!$D$2,)</f>
        <v>m3</v>
      </c>
      <c r="H1316" s="1890">
        <f>H1317*O1317</f>
        <v>0</v>
      </c>
      <c r="I1316" s="1262">
        <f t="shared" si="119"/>
        <v>0</v>
      </c>
      <c r="J1316" s="1084"/>
      <c r="K1316" s="1084"/>
      <c r="L1316" s="1085"/>
      <c r="M1316" s="977">
        <v>250</v>
      </c>
    </row>
    <row r="1317" spans="1:16" s="1086" customFormat="1" ht="25.15" hidden="1" customHeight="1">
      <c r="A1317" s="1156">
        <f t="shared" si="120"/>
        <v>0</v>
      </c>
      <c r="B1317" s="1327" t="s">
        <v>654</v>
      </c>
      <c r="C1317" s="1327"/>
      <c r="D1317" s="1093"/>
      <c r="E1317" s="1094" t="str">
        <f>VLOOKUP($B1317,DG!A:D,DG!$B$2,)</f>
        <v>04.1203c</v>
      </c>
      <c r="F1317" s="1095" t="str">
        <f>VLOOKUP($B1317,DG!A:D,DG!$C$2,)</f>
        <v>Đổ bê tông móng trụ &lt;=250cm-M200 đá 1x2</v>
      </c>
      <c r="G1317" s="1094" t="str">
        <f>VLOOKUP($B1317,DG!A:D,DG!$D$2,)</f>
        <v>m3</v>
      </c>
      <c r="H1317" s="1873">
        <f>H1312*0.2*0.2*(0.2+0.2+0.8+0.8+2*4)</f>
        <v>0</v>
      </c>
      <c r="I1317" s="1262">
        <f t="shared" si="119"/>
        <v>0</v>
      </c>
      <c r="J1317" s="1084"/>
      <c r="K1317" s="1084"/>
      <c r="L1317" s="1085"/>
      <c r="M1317" s="977">
        <v>250</v>
      </c>
      <c r="N1317" s="1096">
        <f>1.025*0.45</f>
        <v>0.46124999999999999</v>
      </c>
      <c r="O1317" s="1096">
        <f>1.025*0.866</f>
        <v>0.88764999999999994</v>
      </c>
      <c r="P1317" s="1240"/>
    </row>
    <row r="1318" spans="1:16" s="1086" customFormat="1" ht="25.15" hidden="1" customHeight="1">
      <c r="A1318" s="1156">
        <f t="shared" si="120"/>
        <v>0</v>
      </c>
      <c r="B1318" s="1327"/>
      <c r="C1318" s="1327"/>
      <c r="D1318" s="1087">
        <f>IF(H1318&gt;0,D1312+1,D1312)</f>
        <v>4</v>
      </c>
      <c r="E1318" s="1088"/>
      <c r="F1318" s="1089" t="s">
        <v>3760</v>
      </c>
      <c r="G1318" s="1087" t="s">
        <v>2394</v>
      </c>
      <c r="H1318" s="1889">
        <v>1</v>
      </c>
      <c r="I1318" s="1262">
        <f t="shared" si="119"/>
        <v>0</v>
      </c>
      <c r="J1318" s="1084"/>
      <c r="K1318" s="1084"/>
      <c r="L1318" s="1113"/>
      <c r="M1318" s="977">
        <v>250</v>
      </c>
    </row>
    <row r="1319" spans="1:16" s="1086" customFormat="1" ht="25.15" hidden="1" customHeight="1">
      <c r="A1319" s="1156">
        <f>IF(A1318&gt;0,1,0)</f>
        <v>0</v>
      </c>
      <c r="B1319" s="1327"/>
      <c r="C1319" s="1327"/>
      <c r="D1319" s="1081"/>
      <c r="E1319" s="1091"/>
      <c r="F1319" s="1370" t="s">
        <v>2287</v>
      </c>
      <c r="G1319" s="1093"/>
      <c r="H1319" s="1873"/>
      <c r="I1319" s="1262">
        <f t="shared" si="119"/>
        <v>0</v>
      </c>
      <c r="J1319" s="1084"/>
      <c r="K1319" s="1084"/>
      <c r="L1319" s="1113"/>
      <c r="M1319" s="977">
        <v>250</v>
      </c>
    </row>
    <row r="1320" spans="1:16" s="1086" customFormat="1" ht="25.15" hidden="1" customHeight="1">
      <c r="A1320" s="1156">
        <f t="shared" si="120"/>
        <v>0</v>
      </c>
      <c r="B1320" s="76" t="s">
        <v>1509</v>
      </c>
      <c r="C1320" s="76"/>
      <c r="D1320" s="1093"/>
      <c r="E1320" s="1094" t="str">
        <f>VLOOKUP($B1320,DG!A:D,DG!$B$2,)</f>
        <v>05.1002</v>
      </c>
      <c r="F1320" s="1095" t="str">
        <f>VLOOKUP($B1320,DG!A:D,DG!$C$2,)</f>
        <v>Vỏ tủ trạm giàn 2 ngăn + khóa tủ</v>
      </c>
      <c r="G1320" s="1094" t="str">
        <f>VLOOKUP($B1320,DG!A:D,DG!$D$2,)</f>
        <v>cái</v>
      </c>
      <c r="H1320" s="1873">
        <f>H1318</f>
        <v>1</v>
      </c>
      <c r="I1320" s="1262">
        <f t="shared" si="119"/>
        <v>0</v>
      </c>
      <c r="J1320" s="1084"/>
      <c r="K1320" s="1084"/>
      <c r="L1320" s="1113"/>
      <c r="M1320" s="977">
        <v>250</v>
      </c>
    </row>
    <row r="1321" spans="1:16" s="1086" customFormat="1" ht="25.15" hidden="1" customHeight="1">
      <c r="A1321" s="1156">
        <f t="shared" si="120"/>
        <v>0</v>
      </c>
      <c r="B1321" s="82" t="s">
        <v>1792</v>
      </c>
      <c r="C1321" s="82"/>
      <c r="D1321" s="1093"/>
      <c r="E1321" s="1094">
        <f>VLOOKUP($B1321,DG!A:D,DG!$B$2,)</f>
        <v>0</v>
      </c>
      <c r="F1321" s="1095" t="str">
        <f>VLOOKUP($B1321,DG!A:D,DG!$C$2,)</f>
        <v>Boulon 16x50+ 2 long đền vuông D18-50x50x3/Zn</v>
      </c>
      <c r="G1321" s="1094" t="str">
        <f>VLOOKUP($B1321,DG!A:D,DG!$D$2,)</f>
        <v>bộ</v>
      </c>
      <c r="H1321" s="1873"/>
      <c r="I1321" s="1262">
        <f t="shared" si="119"/>
        <v>0</v>
      </c>
      <c r="J1321" s="1084"/>
      <c r="K1321" s="1084"/>
      <c r="L1321" s="1113"/>
      <c r="M1321" s="977">
        <v>250</v>
      </c>
    </row>
    <row r="1322" spans="1:16" s="1086" customFormat="1" ht="25.15" hidden="1" customHeight="1">
      <c r="A1322" s="1156">
        <f t="shared" si="120"/>
        <v>0</v>
      </c>
      <c r="B1322" s="1327" t="s">
        <v>882</v>
      </c>
      <c r="C1322" s="1327"/>
      <c r="D1322" s="1081"/>
      <c r="E1322" s="1094">
        <f>VLOOKUP($B1322,DG!A:D,DG!$B$2,)</f>
        <v>0</v>
      </c>
      <c r="F1322" s="1095" t="str">
        <f>VLOOKUP($B1322,DG!A:D,DG!$C$2,)</f>
        <v xml:space="preserve">Bakelit 550x450 dầy 10mm </v>
      </c>
      <c r="G1322" s="1094" t="str">
        <f>VLOOKUP($B1322,DG!A:D,DG!$D$2,)</f>
        <v>cái</v>
      </c>
      <c r="H1322" s="1873">
        <v>3</v>
      </c>
      <c r="I1322" s="1262">
        <f t="shared" si="119"/>
        <v>0</v>
      </c>
      <c r="J1322" s="1084"/>
      <c r="K1322" s="1084"/>
      <c r="L1322" s="1113"/>
      <c r="M1322" s="977">
        <v>250</v>
      </c>
    </row>
    <row r="1323" spans="1:16" s="1086" customFormat="1" ht="25.15" hidden="1" customHeight="1">
      <c r="A1323" s="1156">
        <f t="shared" si="120"/>
        <v>0</v>
      </c>
      <c r="B1323" s="1327" t="s">
        <v>289</v>
      </c>
      <c r="C1323" s="1327"/>
      <c r="D1323" s="1093"/>
      <c r="E1323" s="1094" t="str">
        <f>VLOOKUP($B1323,DG!A:D,DG!$B$2,)</f>
        <v>06.3191</v>
      </c>
      <c r="F1323" s="1095" t="str">
        <f>VLOOKUP($B1323,DG!A:D,DG!$C$2,)</f>
        <v>Bảng tên trạm, bảng báo nguy hiểm + đinh vít</v>
      </c>
      <c r="G1323" s="1094" t="str">
        <f>VLOOKUP($B1323,DG!A:D,DG!$D$2,)</f>
        <v>bộ</v>
      </c>
      <c r="H1323" s="1873">
        <v>1</v>
      </c>
      <c r="I1323" s="1262">
        <f t="shared" si="119"/>
        <v>0</v>
      </c>
      <c r="J1323" s="1084"/>
      <c r="K1323" s="1084"/>
      <c r="L1323" s="1113"/>
      <c r="M1323" s="977">
        <v>250</v>
      </c>
    </row>
    <row r="1324" spans="1:16" s="1086" customFormat="1" ht="25.15" hidden="1" customHeight="1">
      <c r="A1324" s="1156">
        <f t="shared" si="120"/>
        <v>0</v>
      </c>
      <c r="B1324" s="1327"/>
      <c r="C1324" s="1327"/>
      <c r="D1324" s="1087">
        <f>IF(H1324&gt;0,D1318+1,D1318)</f>
        <v>4</v>
      </c>
      <c r="E1324" s="1088"/>
      <c r="F1324" s="1089" t="s">
        <v>3745</v>
      </c>
      <c r="G1324" s="1087" t="s">
        <v>2541</v>
      </c>
      <c r="H1324" s="1889">
        <f>H1198*0</f>
        <v>0</v>
      </c>
      <c r="I1324" s="1262">
        <f t="shared" ref="I1324:I1389" si="121">IF(M1324=$M$23,H1324+J1324-K1324,0)</f>
        <v>0</v>
      </c>
      <c r="J1324" s="1084"/>
      <c r="K1324" s="1084"/>
      <c r="L1324" s="1085"/>
      <c r="M1324" s="977">
        <v>250</v>
      </c>
    </row>
    <row r="1325" spans="1:16" s="1086" customFormat="1" ht="25.15" hidden="1" customHeight="1">
      <c r="A1325" s="1156">
        <f>IF(A1324&gt;0,1,0)</f>
        <v>0</v>
      </c>
      <c r="B1325" s="1327"/>
      <c r="C1325" s="1327"/>
      <c r="D1325" s="1081"/>
      <c r="E1325" s="1091"/>
      <c r="F1325" s="1370" t="s">
        <v>2287</v>
      </c>
      <c r="G1325" s="1093"/>
      <c r="H1325" s="1873"/>
      <c r="I1325" s="1262">
        <f t="shared" si="121"/>
        <v>0</v>
      </c>
      <c r="J1325" s="1084"/>
      <c r="K1325" s="1084"/>
      <c r="L1325" s="1085"/>
      <c r="M1325" s="977">
        <v>250</v>
      </c>
    </row>
    <row r="1326" spans="1:16" s="1086" customFormat="1" ht="25.15" hidden="1" customHeight="1">
      <c r="A1326" s="1156">
        <f t="shared" si="120"/>
        <v>0</v>
      </c>
      <c r="B1326" s="1327" t="s">
        <v>4441</v>
      </c>
      <c r="C1326" s="1327"/>
      <c r="D1326" s="1093"/>
      <c r="E1326" s="1094">
        <f>VLOOKUP($B1326,DG!A:D,DG!$B$2,)</f>
        <v>0</v>
      </c>
      <c r="F1326" s="1111" t="str">
        <f>VLOOKUP($B1326,DG!A:D,DG!$C$2,)&amp;": 0,315m3/m"</f>
        <v>Cát vàng: 0,315m3/m</v>
      </c>
      <c r="G1326" s="1094" t="str">
        <f>VLOOKUP($B1326,DG!A:D,DG!$D$2,)</f>
        <v>m3</v>
      </c>
      <c r="H1326" s="1873">
        <f>H1324*0.315</f>
        <v>0</v>
      </c>
      <c r="I1326" s="1262">
        <f t="shared" si="121"/>
        <v>0</v>
      </c>
      <c r="J1326" s="1084"/>
      <c r="K1326" s="1084"/>
      <c r="L1326" s="1085"/>
      <c r="M1326" s="977">
        <v>250</v>
      </c>
    </row>
    <row r="1327" spans="1:16" s="1086" customFormat="1" ht="25.15" hidden="1" customHeight="1">
      <c r="A1327" s="1156">
        <f t="shared" si="120"/>
        <v>0</v>
      </c>
      <c r="B1327" s="1329" t="s">
        <v>520</v>
      </c>
      <c r="C1327" s="1329"/>
      <c r="D1327" s="1093"/>
      <c r="E1327" s="1094">
        <f>VLOOKUP($B1327,DG!A:D,DG!$B$2,)</f>
        <v>0</v>
      </c>
      <c r="F1327" s="1111" t="str">
        <f>VLOOKUP($B1327,DG!A:D,DG!$C$2,)&amp;": 0,092m3/m"</f>
        <v>Đá 2x4: 0,092m3/m</v>
      </c>
      <c r="G1327" s="1094" t="str">
        <f>VLOOKUP($B1327,DG!A:D,DG!$D$2,)</f>
        <v>m3</v>
      </c>
      <c r="H1327" s="1873">
        <f>0.092*H1324</f>
        <v>0</v>
      </c>
      <c r="I1327" s="1262">
        <f t="shared" si="121"/>
        <v>0</v>
      </c>
      <c r="J1327" s="1084"/>
      <c r="K1327" s="1084"/>
      <c r="L1327" s="1085"/>
      <c r="M1327" s="977">
        <v>250</v>
      </c>
    </row>
    <row r="1328" spans="1:16" s="1086" customFormat="1" ht="25.15" hidden="1" customHeight="1">
      <c r="A1328" s="1156">
        <f t="shared" si="120"/>
        <v>0</v>
      </c>
      <c r="B1328" s="1329" t="s">
        <v>1681</v>
      </c>
      <c r="C1328" s="1329"/>
      <c r="D1328" s="1093"/>
      <c r="E1328" s="1094">
        <f>VLOOKUP($B1328,DG!A:D,DG!$B$2,)</f>
        <v>0</v>
      </c>
      <c r="F1328" s="1111" t="str">
        <f>VLOOKUP($B1328,DG!A:D,DG!$C$2,)&amp;": 3,3vieân/m"</f>
        <v>Gạch tàu: 3,3vieân/m</v>
      </c>
      <c r="G1328" s="1094" t="str">
        <f>VLOOKUP($B1328,DG!A:D,DG!$D$2,)</f>
        <v>viên</v>
      </c>
      <c r="H1328" s="1873">
        <f>3.3*H1324</f>
        <v>0</v>
      </c>
      <c r="I1328" s="1262">
        <f t="shared" si="121"/>
        <v>0</v>
      </c>
      <c r="J1328" s="1084"/>
      <c r="K1328" s="1084"/>
      <c r="L1328" s="1085"/>
      <c r="M1328" s="977">
        <v>250</v>
      </c>
    </row>
    <row r="1329" spans="1:14" s="1086" customFormat="1" ht="25.15" hidden="1" customHeight="1">
      <c r="A1329" s="1156">
        <f t="shared" si="120"/>
        <v>0</v>
      </c>
      <c r="B1329" s="1329" t="s">
        <v>1682</v>
      </c>
      <c r="C1329" s="1329"/>
      <c r="D1329" s="1093"/>
      <c r="E1329" s="1094">
        <f>VLOOKUP($B1329,DG!A:D,DG!$B$2,)</f>
        <v>0</v>
      </c>
      <c r="F1329" s="1111" t="str">
        <f>VLOOKUP($B1329,DG!A:D,DG!$C$2,)&amp;": 0,4m2/m"</f>
        <v>Tấm nilông màu cảnh báo: 0,4m2/m</v>
      </c>
      <c r="G1329" s="1094" t="str">
        <f>VLOOKUP($B1329,DG!A:D,DG!$D$2,)</f>
        <v>m2</v>
      </c>
      <c r="H1329" s="1873">
        <f>0.4*H1324</f>
        <v>0</v>
      </c>
      <c r="I1329" s="1262">
        <f t="shared" si="121"/>
        <v>0</v>
      </c>
      <c r="J1329" s="1084"/>
      <c r="K1329" s="1084"/>
      <c r="L1329" s="1085"/>
      <c r="M1329" s="977">
        <v>250</v>
      </c>
    </row>
    <row r="1330" spans="1:14" s="1086" customFormat="1" ht="25.15" hidden="1" customHeight="1">
      <c r="A1330" s="1156">
        <f t="shared" si="120"/>
        <v>0</v>
      </c>
      <c r="B1330" s="1329" t="s">
        <v>1523</v>
      </c>
      <c r="C1330" s="1329"/>
      <c r="D1330" s="1081"/>
      <c r="E1330" s="1094">
        <f>VLOOKUP($B1330,DG!A:D,DG!$B$2,)</f>
        <v>0</v>
      </c>
      <c r="F1330" s="1111" t="str">
        <f>VLOOKUP($B1330,DG!A:D,DG!$C$2,)</f>
        <v>Ống PVC D140x6,7mm</v>
      </c>
      <c r="G1330" s="1094" t="str">
        <f>VLOOKUP($B1330,DG!A:D,DG!$D$2,)</f>
        <v>m</v>
      </c>
      <c r="H1330" s="1873">
        <f>1*H1324</f>
        <v>0</v>
      </c>
      <c r="I1330" s="1262">
        <f t="shared" si="121"/>
        <v>0</v>
      </c>
      <c r="J1330" s="1084"/>
      <c r="K1330" s="1084"/>
      <c r="L1330" s="1085"/>
      <c r="M1330" s="977">
        <v>250</v>
      </c>
    </row>
    <row r="1331" spans="1:14" s="1086" customFormat="1" ht="25.15" hidden="1" customHeight="1">
      <c r="A1331" s="1156">
        <f t="shared" si="120"/>
        <v>0</v>
      </c>
      <c r="B1331" s="1329" t="s">
        <v>1684</v>
      </c>
      <c r="C1331" s="1329"/>
      <c r="D1331" s="1093"/>
      <c r="E1331" s="1094" t="str">
        <f>VLOOKUP($B1331,DG!A:D,DG!$B$2,)</f>
        <v>03.7000</v>
      </c>
      <c r="F1331" s="1111" t="str">
        <f>VLOOKUP($B1331,DG!A:D,DG!$C$2,)&amp;" + ñaép ñaù"</f>
        <v>Đắp cát  + ñaép ñaù</v>
      </c>
      <c r="G1331" s="1094" t="str">
        <f>VLOOKUP($B1331,DG!A:D,DG!$D$2,)</f>
        <v>m3</v>
      </c>
      <c r="H1331" s="1873">
        <f>H1326+H1327</f>
        <v>0</v>
      </c>
      <c r="I1331" s="1262">
        <f t="shared" si="121"/>
        <v>0</v>
      </c>
      <c r="J1331" s="1084"/>
      <c r="K1331" s="1084"/>
      <c r="L1331" s="1085"/>
      <c r="M1331" s="977">
        <v>250</v>
      </c>
    </row>
    <row r="1332" spans="1:14" s="1086" customFormat="1" ht="25.15" hidden="1" customHeight="1">
      <c r="A1332" s="1156">
        <f t="shared" si="120"/>
        <v>0</v>
      </c>
      <c r="B1332" s="1329" t="s">
        <v>144</v>
      </c>
      <c r="C1332" s="1329"/>
      <c r="D1332" s="1093"/>
      <c r="E1332" s="1094" t="str">
        <f>VLOOKUP($B1332,DG!A:D,DG!$B$2,)</f>
        <v>03.3103</v>
      </c>
      <c r="F1332" s="1111" t="str">
        <f>VLOOKUP($B1332,DG!A:D,DG!$C$2,)&amp;" : 0,48m3/m"</f>
        <v>Đào mương cáp ngầm đất cấp 3 : 0,48m3/m</v>
      </c>
      <c r="G1332" s="1094" t="str">
        <f>VLOOKUP($B1332,DG!A:D,DG!$D$2,)</f>
        <v>m3</v>
      </c>
      <c r="H1332" s="1873">
        <f>H1324*0.48</f>
        <v>0</v>
      </c>
      <c r="I1332" s="1262">
        <f t="shared" si="121"/>
        <v>0</v>
      </c>
      <c r="J1332" s="1084"/>
      <c r="K1332" s="1084"/>
      <c r="L1332" s="1085"/>
      <c r="M1332" s="977">
        <v>250</v>
      </c>
    </row>
    <row r="1333" spans="1:14" s="1086" customFormat="1" ht="25.15" hidden="1" customHeight="1">
      <c r="A1333" s="1156">
        <f t="shared" si="120"/>
        <v>0</v>
      </c>
      <c r="B1333" s="1329" t="s">
        <v>529</v>
      </c>
      <c r="C1333" s="1329"/>
      <c r="D1333" s="1093"/>
      <c r="E1333" s="1094" t="str">
        <f>VLOOKUP($B1333,DG!A:D,DG!$B$2,)</f>
        <v>03.3203</v>
      </c>
      <c r="F1333" s="1111" t="str">
        <f>VLOOKUP($B1333,DG!A:D,DG!$C$2,)&amp;" : 0,073m3/m"</f>
        <v>Đắp đất mương cáp ngầm, đất cấp 3 : 0,073m3/m</v>
      </c>
      <c r="G1333" s="1094" t="str">
        <f>VLOOKUP($B1333,DG!A:D,DG!$D$2,)</f>
        <v>m3</v>
      </c>
      <c r="H1333" s="1873">
        <f>H1324*0.073</f>
        <v>0</v>
      </c>
      <c r="I1333" s="1262">
        <f t="shared" si="121"/>
        <v>0</v>
      </c>
      <c r="J1333" s="1084"/>
      <c r="K1333" s="1084"/>
      <c r="L1333" s="1085"/>
      <c r="M1333" s="977">
        <v>250</v>
      </c>
      <c r="N1333" s="1136">
        <v>0.47499999999999998</v>
      </c>
    </row>
    <row r="1334" spans="1:14" s="1086" customFormat="1" ht="25.15" hidden="1" customHeight="1">
      <c r="A1334" s="1156">
        <f t="shared" si="120"/>
        <v>0</v>
      </c>
      <c r="B1334" s="1327"/>
      <c r="C1334" s="1327"/>
      <c r="D1334" s="1087">
        <f>IF(H1334&gt;0,D1324+1,D1324)</f>
        <v>4</v>
      </c>
      <c r="E1334" s="1088"/>
      <c r="F1334" s="1089" t="s">
        <v>3746</v>
      </c>
      <c r="G1334" s="1087" t="s">
        <v>2394</v>
      </c>
      <c r="H1334" s="1889">
        <f>H1343</f>
        <v>0</v>
      </c>
      <c r="I1334" s="1262">
        <f t="shared" si="121"/>
        <v>0</v>
      </c>
      <c r="J1334" s="1084"/>
      <c r="K1334" s="1084"/>
      <c r="L1334" s="1085"/>
      <c r="M1334" s="977">
        <v>250</v>
      </c>
      <c r="N1334" s="1136">
        <v>0.88100000000000001</v>
      </c>
    </row>
    <row r="1335" spans="1:14" s="1086" customFormat="1" ht="25.15" hidden="1" customHeight="1">
      <c r="A1335" s="1156">
        <f>IF(A1334&gt;0,1,0)</f>
        <v>0</v>
      </c>
      <c r="B1335" s="1327"/>
      <c r="C1335" s="1327"/>
      <c r="D1335" s="1081"/>
      <c r="E1335" s="1091"/>
      <c r="F1335" s="1370" t="s">
        <v>2287</v>
      </c>
      <c r="G1335" s="1093"/>
      <c r="H1335" s="1873"/>
      <c r="I1335" s="1262">
        <f t="shared" si="121"/>
        <v>0</v>
      </c>
      <c r="J1335" s="1084"/>
      <c r="K1335" s="1084"/>
      <c r="L1335" s="1085"/>
      <c r="M1335" s="977">
        <v>250</v>
      </c>
    </row>
    <row r="1336" spans="1:14" s="1086" customFormat="1" ht="25.15" hidden="1" customHeight="1">
      <c r="A1336" s="1156">
        <f t="shared" si="120"/>
        <v>0</v>
      </c>
      <c r="B1336" s="1327" t="s">
        <v>623</v>
      </c>
      <c r="C1336" s="1327"/>
      <c r="D1336" s="1093"/>
      <c r="E1336" s="1094" t="str">
        <f>VLOOKUP($B1336,DG!A:D,DG!$B$2,)</f>
        <v>07.2204</v>
      </c>
      <c r="F1336" s="1095" t="str">
        <f>VLOOKUP($B1336,DG!A:D,DG!$C$2,)</f>
        <v>ÔÁng sắt tráng kẽm D140</v>
      </c>
      <c r="G1336" s="1094" t="str">
        <f>VLOOKUP($B1336,DG!A:D,DG!$D$2,)</f>
        <v>mét</v>
      </c>
      <c r="H1336" s="1873">
        <f>H1334*5*0</f>
        <v>0</v>
      </c>
      <c r="I1336" s="1262">
        <f t="shared" si="121"/>
        <v>0</v>
      </c>
      <c r="J1336" s="1084"/>
      <c r="K1336" s="1084"/>
      <c r="L1336" s="1085"/>
      <c r="M1336" s="977">
        <v>250</v>
      </c>
    </row>
    <row r="1337" spans="1:14" s="1086" customFormat="1" ht="25.15" hidden="1" customHeight="1">
      <c r="A1337" s="1156">
        <f t="shared" si="120"/>
        <v>0</v>
      </c>
      <c r="B1337" s="1329" t="s">
        <v>473</v>
      </c>
      <c r="C1337" s="1329"/>
      <c r="D1337" s="1081"/>
      <c r="E1337" s="1094">
        <f>VLOOKUP($B1337,DG!A:D,DG!$B$2,)</f>
        <v>0</v>
      </c>
      <c r="F1337" s="1095" t="str">
        <f>VLOOKUP($B1337,DG!A:D,DG!$C$2,)</f>
        <v>Co sừng 90 độ PVC 140</v>
      </c>
      <c r="G1337" s="1094" t="str">
        <f>VLOOKUP($B1337,DG!A:D,DG!$D$2,)</f>
        <v>cái</v>
      </c>
      <c r="H1337" s="1873">
        <f>H1334*0</f>
        <v>0</v>
      </c>
      <c r="I1337" s="1262">
        <f t="shared" si="121"/>
        <v>0</v>
      </c>
      <c r="J1337" s="1084"/>
      <c r="K1337" s="1084"/>
      <c r="L1337" s="1085"/>
      <c r="M1337" s="977">
        <v>250</v>
      </c>
    </row>
    <row r="1338" spans="1:14" s="1086" customFormat="1" ht="25.15" hidden="1" customHeight="1">
      <c r="A1338" s="1156">
        <f t="shared" si="120"/>
        <v>0</v>
      </c>
      <c r="B1338" s="1327" t="s">
        <v>120</v>
      </c>
      <c r="C1338" s="1327"/>
      <c r="D1338" s="1093"/>
      <c r="E1338" s="1094" t="str">
        <f>VLOOKUP($B1338,DG!A:D,DG!$B$2,)</f>
        <v>06.3231</v>
      </c>
      <c r="F1338" s="1095" t="str">
        <f>VLOOKUP($B1338,DG!A:D,DG!$C$2,)</f>
        <v>Cổ dê giữ ống STK D140 vào tường+Boulon+long đền+tắc ke sắt</v>
      </c>
      <c r="G1338" s="1094" t="str">
        <f>VLOOKUP($B1338,DG!A:D,DG!$D$2,)</f>
        <v>bộ</v>
      </c>
      <c r="H1338" s="1873">
        <f>H1334*2*0</f>
        <v>0</v>
      </c>
      <c r="I1338" s="1262">
        <f t="shared" si="121"/>
        <v>0</v>
      </c>
      <c r="J1338" s="1084"/>
      <c r="K1338" s="1084"/>
      <c r="L1338" s="1085"/>
      <c r="M1338" s="977">
        <v>250</v>
      </c>
    </row>
    <row r="1339" spans="1:14" s="1086" customFormat="1" ht="25.15" hidden="1" customHeight="1">
      <c r="A1339" s="1156">
        <f t="shared" si="120"/>
        <v>0</v>
      </c>
      <c r="B1339" s="1157" t="s">
        <v>1414</v>
      </c>
      <c r="C1339" s="1157"/>
      <c r="D1339" s="1093"/>
      <c r="E1339" s="1094">
        <f>VLOOKUP($B1339,DG!A:D,DG!$B$2,)</f>
        <v>0</v>
      </c>
      <c r="F1339" s="1095" t="str">
        <f>VLOOKUP($B1339,DG!A:D,DG!$C$2,)</f>
        <v>Giá đỡ cáp ngầm (V63x6)</v>
      </c>
      <c r="G1339" s="1094" t="str">
        <f>VLOOKUP($B1339,DG!A:D,DG!$D$2,)</f>
        <v>bộ</v>
      </c>
      <c r="H1339" s="1873">
        <f>H1334*0</f>
        <v>0</v>
      </c>
      <c r="I1339" s="1262">
        <f t="shared" si="121"/>
        <v>0</v>
      </c>
      <c r="J1339" s="1084"/>
      <c r="K1339" s="1084"/>
      <c r="L1339" s="1085"/>
      <c r="M1339" s="977">
        <v>250</v>
      </c>
    </row>
    <row r="1340" spans="1:14" s="1086" customFormat="1" ht="25.15" hidden="1" customHeight="1">
      <c r="A1340" s="1156">
        <f t="shared" si="120"/>
        <v>0</v>
      </c>
      <c r="B1340" s="1157" t="s">
        <v>2146</v>
      </c>
      <c r="C1340" s="1157"/>
      <c r="D1340" s="1093"/>
      <c r="E1340" s="1094">
        <f>VLOOKUP($B1340,DG!A:D,DG!$B$2,)</f>
        <v>0</v>
      </c>
      <c r="F1340" s="1095" t="str">
        <f>VLOOKUP($B1340,DG!A:D,DG!$C$2,)</f>
        <v>Giá đỡ cáp trung hạ thế</v>
      </c>
      <c r="G1340" s="1094" t="str">
        <f>VLOOKUP($B1340,DG!A:D,DG!$D$2,)</f>
        <v>bộ</v>
      </c>
      <c r="H1340" s="1873">
        <f>H1334</f>
        <v>0</v>
      </c>
      <c r="I1340" s="1262">
        <f t="shared" si="121"/>
        <v>0</v>
      </c>
      <c r="J1340" s="1084"/>
      <c r="K1340" s="1084"/>
      <c r="L1340" s="1085"/>
      <c r="M1340" s="977">
        <v>250</v>
      </c>
    </row>
    <row r="1341" spans="1:14" s="1086" customFormat="1" ht="25.15" hidden="1" customHeight="1">
      <c r="A1341" s="1156">
        <f t="shared" si="120"/>
        <v>0</v>
      </c>
      <c r="B1341" s="1327" t="s">
        <v>1415</v>
      </c>
      <c r="C1341" s="1327"/>
      <c r="D1341" s="1081"/>
      <c r="E1341" s="1094" t="str">
        <f>VLOOKUP($B1341,DG!A:D,DG!$B$2,)</f>
        <v>05.6101</v>
      </c>
      <c r="F1341" s="1095" t="str">
        <f>VLOOKUP($B1341,DG!A:D,DG!$C$2,)</f>
        <v>Lắp Giá đỡ cáp</v>
      </c>
      <c r="G1341" s="1094" t="str">
        <f>VLOOKUP($B1341,DG!A:D,DG!$D$2,)</f>
        <v>bộ</v>
      </c>
      <c r="H1341" s="1873">
        <f>H1339+H1340</f>
        <v>0</v>
      </c>
      <c r="I1341" s="1262">
        <f t="shared" si="121"/>
        <v>0</v>
      </c>
      <c r="J1341" s="1084"/>
      <c r="K1341" s="1084"/>
      <c r="L1341" s="1085"/>
      <c r="M1341" s="977">
        <v>250</v>
      </c>
    </row>
    <row r="1342" spans="1:14" s="1086" customFormat="1" ht="25.15" hidden="1" customHeight="1">
      <c r="A1342" s="1156">
        <f t="shared" si="120"/>
        <v>0</v>
      </c>
      <c r="B1342" s="1327" t="s">
        <v>289</v>
      </c>
      <c r="C1342" s="1327"/>
      <c r="D1342" s="1093"/>
      <c r="E1342" s="1094" t="str">
        <f>VLOOKUP($B1342,DG!A:D,DG!$B$2,)</f>
        <v>06.3191</v>
      </c>
      <c r="F1342" s="1095" t="str">
        <f>VLOOKUP($B1342,DG!A:D,DG!$C$2,)</f>
        <v>Bảng tên trạm, bảng báo nguy hiểm + đinh vít</v>
      </c>
      <c r="G1342" s="1094" t="str">
        <f>VLOOKUP($B1342,DG!A:D,DG!$D$2,)</f>
        <v>bộ</v>
      </c>
      <c r="H1342" s="1873">
        <f>H1334*0</f>
        <v>0</v>
      </c>
      <c r="I1342" s="1262">
        <f t="shared" si="121"/>
        <v>0</v>
      </c>
      <c r="J1342" s="1084"/>
      <c r="K1342" s="1084"/>
      <c r="L1342" s="1085"/>
      <c r="M1342" s="977">
        <v>250</v>
      </c>
    </row>
    <row r="1343" spans="1:14" s="1086" customFormat="1" ht="25.15" hidden="1" customHeight="1">
      <c r="A1343" s="1156">
        <f t="shared" si="120"/>
        <v>0</v>
      </c>
      <c r="B1343" s="1327"/>
      <c r="C1343" s="1327"/>
      <c r="D1343" s="1087">
        <f>IF(H1343&gt;0,D1334+1,D1334)</f>
        <v>4</v>
      </c>
      <c r="E1343" s="1088"/>
      <c r="F1343" s="1097" t="s">
        <v>3747</v>
      </c>
      <c r="G1343" s="1087" t="s">
        <v>2394</v>
      </c>
      <c r="H1343" s="1889">
        <f>H1198*0</f>
        <v>0</v>
      </c>
      <c r="I1343" s="1262">
        <f t="shared" si="121"/>
        <v>0</v>
      </c>
      <c r="J1343" s="1084"/>
      <c r="K1343" s="1084"/>
      <c r="L1343" s="1085"/>
      <c r="M1343" s="977">
        <v>250</v>
      </c>
    </row>
    <row r="1344" spans="1:14" s="1086" customFormat="1" ht="25.15" hidden="1" customHeight="1">
      <c r="A1344" s="1156">
        <f>IF(A1343&gt;0,1,0)</f>
        <v>0</v>
      </c>
      <c r="B1344" s="1327"/>
      <c r="C1344" s="1327"/>
      <c r="D1344" s="1081"/>
      <c r="E1344" s="1091"/>
      <c r="F1344" s="1371" t="s">
        <v>2287</v>
      </c>
      <c r="G1344" s="1081"/>
      <c r="H1344" s="1890"/>
      <c r="I1344" s="1262">
        <f t="shared" si="121"/>
        <v>0</v>
      </c>
      <c r="J1344" s="1084"/>
      <c r="K1344" s="1084"/>
      <c r="L1344" s="1085"/>
      <c r="M1344" s="977">
        <v>250</v>
      </c>
    </row>
    <row r="1345" spans="1:13" s="1086" customFormat="1" ht="25.15" hidden="1" customHeight="1">
      <c r="A1345" s="1156">
        <f t="shared" si="120"/>
        <v>0</v>
      </c>
      <c r="B1345" s="1157" t="s">
        <v>470</v>
      </c>
      <c r="C1345" s="1157"/>
      <c r="D1345" s="1093"/>
      <c r="E1345" s="1082">
        <f>VLOOKUP($B1345,DG!A:D,DG!$B$2,)</f>
        <v>0</v>
      </c>
      <c r="F1345" s="1083" t="str">
        <f>VLOOKUP($B1345,DG!A:D,DG!$C$2,)&amp;": trong möông vaø leân MBA"</f>
        <v>Cáp 24kV C/XLPE/DSTA/PVC3x50: trong möông vaø leân MBA</v>
      </c>
      <c r="G1345" s="1082" t="str">
        <f>VLOOKUP($B1345,DG!A:D,DG!$D$2,)</f>
        <v>mét</v>
      </c>
      <c r="H1345" s="1873">
        <f>H1324+H1343*8</f>
        <v>0</v>
      </c>
      <c r="I1345" s="1262">
        <f t="shared" si="121"/>
        <v>0</v>
      </c>
      <c r="J1345" s="1084"/>
      <c r="K1345" s="1084"/>
      <c r="L1345" s="1085"/>
      <c r="M1345" s="977">
        <v>250</v>
      </c>
    </row>
    <row r="1346" spans="1:13" s="1086" customFormat="1" ht="25.15" hidden="1" customHeight="1">
      <c r="A1346" s="1156">
        <f t="shared" si="120"/>
        <v>0</v>
      </c>
      <c r="B1346" s="1157" t="s">
        <v>271</v>
      </c>
      <c r="C1346" s="1157"/>
      <c r="D1346" s="1093"/>
      <c r="E1346" s="1082">
        <f>VLOOKUP($B1346,DG!A:D,DG!$B$2,)</f>
        <v>0</v>
      </c>
      <c r="F1346" s="1083" t="str">
        <f>VLOOKUP($B1346,DG!A:D,DG!$C$2,)&amp;": trung tính"</f>
        <v>Cáp 24KV C/XLPE/PVC 50mm2: trung tính</v>
      </c>
      <c r="G1346" s="1082" t="str">
        <f>VLOOKUP($B1346,DG!A:D,DG!$D$2,)</f>
        <v>mét</v>
      </c>
      <c r="H1346" s="1873">
        <f>H1345</f>
        <v>0</v>
      </c>
      <c r="I1346" s="1262">
        <f t="shared" si="121"/>
        <v>0</v>
      </c>
      <c r="J1346" s="1084"/>
      <c r="K1346" s="1084"/>
      <c r="L1346" s="1085"/>
      <c r="M1346" s="977">
        <v>250</v>
      </c>
    </row>
    <row r="1347" spans="1:13" s="1086" customFormat="1" ht="25.15" hidden="1" customHeight="1">
      <c r="A1347" s="1156">
        <f t="shared" si="120"/>
        <v>0</v>
      </c>
      <c r="B1347" s="1157" t="s">
        <v>271</v>
      </c>
      <c r="C1347" s="1157"/>
      <c r="D1347" s="1093"/>
      <c r="E1347" s="1082">
        <f>VLOOKUP($B1347,DG!A:D,DG!$B$2,)</f>
        <v>0</v>
      </c>
      <c r="F1347" s="1083" t="str">
        <f>VLOOKUP($B1347,DG!A:D,DG!$C$2,)&amp;": 0,5m/pha töø FCO xuoáng MBA"</f>
        <v>Cáp 24KV C/XLPE/PVC 50mm2: 0,5m/pha töø FCO xuoáng MBA</v>
      </c>
      <c r="G1347" s="1082" t="str">
        <f>VLOOKUP($B1347,DG!A:D,DG!$D$2,)</f>
        <v>mét</v>
      </c>
      <c r="H1347" s="1873">
        <f>H1343*0.5*3*0</f>
        <v>0</v>
      </c>
      <c r="I1347" s="1262">
        <f t="shared" si="121"/>
        <v>0</v>
      </c>
      <c r="J1347" s="1084"/>
      <c r="K1347" s="1084"/>
      <c r="L1347" s="1085"/>
      <c r="M1347" s="977">
        <v>250</v>
      </c>
    </row>
    <row r="1348" spans="1:13" s="1086" customFormat="1" ht="25.15" hidden="1" customHeight="1">
      <c r="A1348" s="1156">
        <f t="shared" si="120"/>
        <v>0</v>
      </c>
      <c r="B1348" s="1157" t="s">
        <v>1357</v>
      </c>
      <c r="C1348" s="1157"/>
      <c r="D1348" s="1093"/>
      <c r="E1348" s="1082">
        <f>VLOOKUP($B1348,DG!A:D,DG!$B$2,)</f>
        <v>0</v>
      </c>
      <c r="F1348" s="1083" t="str">
        <f>VLOOKUP($B1348,DG!A:D,DG!$C$2,)</f>
        <v>Đầu cáp ngầm 24KV 3x50mm2 outdoor</v>
      </c>
      <c r="G1348" s="1082" t="str">
        <f>VLOOKUP($B1348,DG!A:D,DG!$D$2,)</f>
        <v>cái</v>
      </c>
      <c r="H1348" s="1873">
        <f>H1343</f>
        <v>0</v>
      </c>
      <c r="I1348" s="1262">
        <f t="shared" si="121"/>
        <v>0</v>
      </c>
      <c r="J1348" s="1084"/>
      <c r="K1348" s="1084"/>
      <c r="L1348" s="1085"/>
      <c r="M1348" s="977">
        <v>250</v>
      </c>
    </row>
    <row r="1349" spans="1:13" s="1086" customFormat="1" ht="25.15" hidden="1" customHeight="1">
      <c r="A1349" s="1156">
        <f t="shared" si="120"/>
        <v>0</v>
      </c>
      <c r="B1349" s="1157" t="s">
        <v>470</v>
      </c>
      <c r="C1349" s="1157"/>
      <c r="D1349" s="1093"/>
      <c r="E1349" s="1082">
        <f>VLOOKUP($B1349,DG!A:D,DG!$B$2,)</f>
        <v>0</v>
      </c>
      <c r="F1349" s="1083" t="str">
        <f>VLOOKUP($B1349,DG!A:D,DG!$C$2,)&amp;": töø tuû LBS ñeán MBA"</f>
        <v>Cáp 24kV C/XLPE/DSTA/PVC3x50: töø tuû LBS ñeán MBA</v>
      </c>
      <c r="G1349" s="1082" t="str">
        <f>VLOOKUP($B1349,DG!A:D,DG!$D$2,)</f>
        <v>mét</v>
      </c>
      <c r="H1349" s="1873">
        <f>(1.2+2.4)*H1343*0</f>
        <v>0</v>
      </c>
      <c r="I1349" s="1262">
        <f t="shared" si="121"/>
        <v>0</v>
      </c>
      <c r="J1349" s="1084"/>
      <c r="K1349" s="1084"/>
      <c r="L1349" s="1085"/>
      <c r="M1349" s="977">
        <v>250</v>
      </c>
    </row>
    <row r="1350" spans="1:13" s="1086" customFormat="1" ht="25.15" hidden="1" customHeight="1">
      <c r="A1350" s="1156">
        <f t="shared" si="120"/>
        <v>0</v>
      </c>
      <c r="B1350" s="1157" t="s">
        <v>271</v>
      </c>
      <c r="C1350" s="1157"/>
      <c r="D1350" s="1093"/>
      <c r="E1350" s="1082">
        <f>VLOOKUP($B1350,DG!A:D,DG!$B$2,)</f>
        <v>0</v>
      </c>
      <c r="F1350" s="1083" t="str">
        <f>VLOOKUP($B1350,DG!A:D,DG!$C$2,)&amp;": töø tuû LBS ñeán MBA"</f>
        <v>Cáp 24KV C/XLPE/PVC 50mm2: töø tuû LBS ñeán MBA</v>
      </c>
      <c r="G1350" s="1082" t="str">
        <f>VLOOKUP($B1350,DG!A:D,DG!$D$2,)</f>
        <v>mét</v>
      </c>
      <c r="H1350" s="1873">
        <f>H1343*1.2*0</f>
        <v>0</v>
      </c>
      <c r="I1350" s="1262">
        <f t="shared" si="121"/>
        <v>0</v>
      </c>
      <c r="J1350" s="1084"/>
      <c r="K1350" s="1084"/>
      <c r="L1350" s="1085"/>
      <c r="M1350" s="977">
        <v>250</v>
      </c>
    </row>
    <row r="1351" spans="1:13" s="1086" customFormat="1" ht="25.15" hidden="1" customHeight="1">
      <c r="A1351" s="1156">
        <f t="shared" si="120"/>
        <v>0</v>
      </c>
      <c r="B1351" s="1157" t="s">
        <v>1358</v>
      </c>
      <c r="C1351" s="1157"/>
      <c r="D1351" s="1093"/>
      <c r="E1351" s="1082">
        <f>VLOOKUP($B1351,DG!A:D,DG!$B$2,)</f>
        <v>0</v>
      </c>
      <c r="F1351" s="1083" t="str">
        <f>VLOOKUP($B1351,DG!A:D,DG!$C$2,)</f>
        <v>Đầu cáp ngầm 24KV 3x50mm2 indoor</v>
      </c>
      <c r="G1351" s="1082" t="str">
        <f>VLOOKUP($B1351,DG!A:D,DG!$D$2,)</f>
        <v>cái</v>
      </c>
      <c r="H1351" s="1873">
        <f>H1343</f>
        <v>0</v>
      </c>
      <c r="I1351" s="1262">
        <f t="shared" si="121"/>
        <v>0</v>
      </c>
      <c r="J1351" s="1084"/>
      <c r="K1351" s="1084"/>
      <c r="L1351" s="1085"/>
      <c r="M1351" s="977">
        <v>250</v>
      </c>
    </row>
    <row r="1352" spans="1:13" s="1086" customFormat="1" ht="25.15" hidden="1" customHeight="1">
      <c r="A1352" s="1156">
        <f t="shared" si="120"/>
        <v>0</v>
      </c>
      <c r="B1352" s="1157" t="s">
        <v>1680</v>
      </c>
      <c r="C1352" s="1157"/>
      <c r="D1352" s="1093"/>
      <c r="E1352" s="1082" t="str">
        <f>VLOOKUP($B1352,DG!A:D,DG!$B$2,)</f>
        <v>07.4312</v>
      </c>
      <c r="F1352" s="1083" t="str">
        <f>VLOOKUP($B1352,DG!A:D,DG!$C$2,)</f>
        <v>Lắp đầu cáp trung thế 3x50mm2, 70mm2</v>
      </c>
      <c r="G1352" s="1082" t="str">
        <f>VLOOKUP($B1352,DG!A:D,DG!$D$2,)</f>
        <v>cái</v>
      </c>
      <c r="H1352" s="1873">
        <f>H1348+H1351</f>
        <v>0</v>
      </c>
      <c r="I1352" s="1262">
        <f t="shared" si="121"/>
        <v>0</v>
      </c>
      <c r="J1352" s="1084"/>
      <c r="K1352" s="1084"/>
      <c r="L1352" s="1085"/>
      <c r="M1352" s="977">
        <v>250</v>
      </c>
    </row>
    <row r="1353" spans="1:13" s="1086" customFormat="1" ht="25.15" hidden="1" customHeight="1">
      <c r="A1353" s="1156">
        <f t="shared" si="120"/>
        <v>0</v>
      </c>
      <c r="B1353" s="1157" t="s">
        <v>1206</v>
      </c>
      <c r="C1353" s="1157"/>
      <c r="D1353" s="1093"/>
      <c r="E1353" s="1082" t="str">
        <f>VLOOKUP($B1353,DG!A:D,DG!$B$2,)</f>
        <v>03.1405</v>
      </c>
      <c r="F1353" s="1083" t="str">
        <f>VLOOKUP($B1353,DG!A:D,DG!$C$2,)</f>
        <v>Lắp cáp trong ống bảo vệ trong TBA loại &lt;=6kg</v>
      </c>
      <c r="G1353" s="1082" t="str">
        <f>VLOOKUP($B1353,DG!A:D,DG!$D$2,)</f>
        <v>mét</v>
      </c>
      <c r="H1353" s="1873">
        <f>H1345+H1349</f>
        <v>0</v>
      </c>
      <c r="I1353" s="1262">
        <f t="shared" si="121"/>
        <v>0</v>
      </c>
      <c r="J1353" s="1084"/>
      <c r="K1353" s="1084"/>
      <c r="L1353" s="1085"/>
      <c r="M1353" s="977">
        <v>250</v>
      </c>
    </row>
    <row r="1354" spans="1:13" s="1086" customFormat="1" ht="25.15" hidden="1" customHeight="1">
      <c r="A1354" s="1156">
        <f t="shared" si="120"/>
        <v>0</v>
      </c>
      <c r="B1354" s="1157" t="s">
        <v>1203</v>
      </c>
      <c r="C1354" s="1157"/>
      <c r="D1354" s="1093"/>
      <c r="E1354" s="1082" t="str">
        <f>VLOOKUP($B1354,DG!A:D,DG!$B$2,)</f>
        <v>03.1402</v>
      </c>
      <c r="F1354" s="1083" t="str">
        <f>VLOOKUP($B1354,DG!A:D,DG!$C$2,)</f>
        <v>Lắp cáp trong ống bảo vệ trong TBA loại &lt;=2kg</v>
      </c>
      <c r="G1354" s="1082" t="str">
        <f>VLOOKUP($B1354,DG!A:D,DG!$D$2,)</f>
        <v>mét</v>
      </c>
      <c r="H1354" s="1873">
        <f>H1346+H1350</f>
        <v>0</v>
      </c>
      <c r="I1354" s="1262">
        <f t="shared" si="121"/>
        <v>0</v>
      </c>
      <c r="J1354" s="1084"/>
      <c r="K1354" s="1084"/>
      <c r="L1354" s="1085"/>
      <c r="M1354" s="977">
        <v>250</v>
      </c>
    </row>
    <row r="1355" spans="1:13" s="1086" customFormat="1" ht="25.15" hidden="1" customHeight="1">
      <c r="A1355" s="1156">
        <f t="shared" si="120"/>
        <v>0</v>
      </c>
      <c r="B1355" s="1157" t="s">
        <v>1530</v>
      </c>
      <c r="C1355" s="1157"/>
      <c r="D1355" s="1093"/>
      <c r="E1355" s="1082" t="str">
        <f>VLOOKUP($B1355,DG!A:D,DG!$B$2,)</f>
        <v>04.4201</v>
      </c>
      <c r="F1355" s="1083" t="str">
        <f>VLOOKUP($B1355,DG!A:D,DG!$C$2,)</f>
        <v>Lắp cáp đồng xuống thiết bị D ≤ 95mm2</v>
      </c>
      <c r="G1355" s="1082" t="str">
        <f>VLOOKUP($B1355,DG!A:D,DG!$D$2,)</f>
        <v>m</v>
      </c>
      <c r="H1355" s="1873">
        <f>H1347</f>
        <v>0</v>
      </c>
      <c r="I1355" s="1262">
        <f t="shared" si="121"/>
        <v>0</v>
      </c>
      <c r="J1355" s="1084"/>
      <c r="K1355" s="1084"/>
      <c r="L1355" s="1085"/>
      <c r="M1355" s="977">
        <v>250</v>
      </c>
    </row>
    <row r="1356" spans="1:13" s="1086" customFormat="1" ht="25.15" hidden="1" customHeight="1">
      <c r="A1356" s="1156">
        <f t="shared" si="120"/>
        <v>0</v>
      </c>
      <c r="B1356" s="1157" t="s">
        <v>1354</v>
      </c>
      <c r="C1356" s="1157"/>
      <c r="D1356" s="1093"/>
      <c r="E1356" s="1082">
        <f>VLOOKUP($B1356,DG!A:D,DG!$B$2,)</f>
        <v>0</v>
      </c>
      <c r="F1356" s="1083" t="str">
        <f>VLOOKUP($B1356,DG!A:D,DG!$C$2,)</f>
        <v>Dây rút cáp</v>
      </c>
      <c r="G1356" s="1082" t="str">
        <f>VLOOKUP($B1356,DG!A:D,DG!$D$2,)</f>
        <v>bọc</v>
      </c>
      <c r="H1356" s="1873">
        <f>H1343*2</f>
        <v>0</v>
      </c>
      <c r="I1356" s="1262">
        <f t="shared" si="121"/>
        <v>0</v>
      </c>
      <c r="J1356" s="1084"/>
      <c r="K1356" s="1084"/>
      <c r="L1356" s="1085"/>
      <c r="M1356" s="977">
        <v>250</v>
      </c>
    </row>
    <row r="1357" spans="1:13" s="1086" customFormat="1" ht="25.15" hidden="1" customHeight="1">
      <c r="A1357" s="1156">
        <f t="shared" si="120"/>
        <v>0</v>
      </c>
      <c r="B1357" s="1327"/>
      <c r="C1357" s="1327"/>
      <c r="D1357" s="1087">
        <f>IF(H1357&gt;0,D1343+1,D1343)</f>
        <v>4</v>
      </c>
      <c r="E1357" s="1088"/>
      <c r="F1357" s="1097" t="s">
        <v>3757</v>
      </c>
      <c r="G1357" s="1087" t="s">
        <v>2394</v>
      </c>
      <c r="H1357" s="1889">
        <f>H1198</f>
        <v>0</v>
      </c>
      <c r="I1357" s="1262">
        <f t="shared" si="121"/>
        <v>0</v>
      </c>
      <c r="J1357" s="1084"/>
      <c r="K1357" s="1084"/>
      <c r="L1357" s="1113"/>
      <c r="M1357" s="977">
        <v>250</v>
      </c>
    </row>
    <row r="1358" spans="1:13" s="1086" customFormat="1" ht="25.15" hidden="1" customHeight="1">
      <c r="A1358" s="1156">
        <f>IF(A1357&gt;0,1,0)</f>
        <v>0</v>
      </c>
      <c r="B1358" s="1327"/>
      <c r="C1358" s="1327"/>
      <c r="D1358" s="1081"/>
      <c r="E1358" s="1091"/>
      <c r="F1358" s="1371" t="s">
        <v>2287</v>
      </c>
      <c r="G1358" s="1081"/>
      <c r="H1358" s="1890"/>
      <c r="I1358" s="1262">
        <f t="shared" si="121"/>
        <v>0</v>
      </c>
      <c r="J1358" s="1084"/>
      <c r="K1358" s="1084"/>
      <c r="L1358" s="1113"/>
      <c r="M1358" s="977">
        <v>250</v>
      </c>
    </row>
    <row r="1359" spans="1:13" s="1086" customFormat="1" ht="25.15" hidden="1" customHeight="1">
      <c r="A1359" s="1156">
        <f t="shared" si="120"/>
        <v>0</v>
      </c>
      <c r="B1359" s="1157" t="s">
        <v>699</v>
      </c>
      <c r="C1359" s="1157">
        <v>7</v>
      </c>
      <c r="D1359" s="1093"/>
      <c r="E1359" s="1082">
        <f>VLOOKUP($B1359,DG!A:D,DG!$B$2,)</f>
        <v>0</v>
      </c>
      <c r="F1359" s="1083" t="str">
        <f>VLOOKUP($B1359,DG!A:D,DG!$C$2,)</f>
        <v>Cáp 24KV CX-25mm2</v>
      </c>
      <c r="G1359" s="1082" t="str">
        <f>VLOOKUP($B1359,DG!A:D,DG!$D$2,)</f>
        <v>mét</v>
      </c>
      <c r="H1359" s="1873">
        <v>21</v>
      </c>
      <c r="I1359" s="1262">
        <f t="shared" si="121"/>
        <v>0</v>
      </c>
      <c r="J1359" s="1084"/>
      <c r="K1359" s="1084"/>
      <c r="L1359" s="1113"/>
      <c r="M1359" s="977">
        <v>250</v>
      </c>
    </row>
    <row r="1360" spans="1:13" s="1086" customFormat="1" ht="25.15" hidden="1" customHeight="1">
      <c r="A1360" s="1156">
        <f t="shared" si="120"/>
        <v>0</v>
      </c>
      <c r="B1360" s="1157" t="s">
        <v>1846</v>
      </c>
      <c r="C1360" s="1157"/>
      <c r="D1360" s="1093"/>
      <c r="E1360" s="1082">
        <f>VLOOKUP($B1360,DG!A:D,DG!$B$2,)</f>
        <v>0</v>
      </c>
      <c r="F1360" s="1083" t="str">
        <f>VLOOKUP($B1360,DG!A:D,DG!$C$2,)</f>
        <v>Bass LL bắt FCO, LA</v>
      </c>
      <c r="G1360" s="1082" t="str">
        <f>VLOOKUP($B1360,DG!A:D,DG!$D$2,)</f>
        <v>bộ</v>
      </c>
      <c r="H1360" s="1911"/>
      <c r="I1360" s="1262">
        <f t="shared" si="121"/>
        <v>0</v>
      </c>
      <c r="J1360" s="1084"/>
      <c r="K1360" s="1084"/>
      <c r="L1360" s="1085"/>
      <c r="M1360" s="977">
        <v>250</v>
      </c>
    </row>
    <row r="1361" spans="1:13" s="1086" customFormat="1" ht="25.15" hidden="1" customHeight="1">
      <c r="A1361" s="1156">
        <f t="shared" si="120"/>
        <v>0</v>
      </c>
      <c r="B1361" s="1157" t="s">
        <v>1484</v>
      </c>
      <c r="C1361" s="1157"/>
      <c r="D1361" s="1093"/>
      <c r="E1361" s="1082" t="str">
        <f>VLOOKUP($B1361,DG!A:D,DG!$B$2,)</f>
        <v>04.3007</v>
      </c>
      <c r="F1361" s="1083" t="str">
        <f>VLOOKUP($B1361,DG!A:D,DG!$C$2,)</f>
        <v>Kẹp quai 2/0</v>
      </c>
      <c r="G1361" s="1082" t="str">
        <f>VLOOKUP($B1361,DG!A:D,DG!$D$2,)</f>
        <v>cái</v>
      </c>
      <c r="H1361" s="1911">
        <f>H1357*3</f>
        <v>0</v>
      </c>
      <c r="I1361" s="1262">
        <f t="shared" si="121"/>
        <v>0</v>
      </c>
      <c r="J1361" s="1084"/>
      <c r="K1361" s="1084"/>
      <c r="L1361" s="1113"/>
      <c r="M1361" s="977">
        <v>250</v>
      </c>
    </row>
    <row r="1362" spans="1:13" s="1086" customFormat="1" ht="25.15" hidden="1" customHeight="1">
      <c r="A1362" s="1156">
        <f t="shared" si="120"/>
        <v>0</v>
      </c>
      <c r="B1362" s="1157" t="s">
        <v>1482</v>
      </c>
      <c r="C1362" s="1157"/>
      <c r="D1362" s="1093"/>
      <c r="E1362" s="1082" t="str">
        <f>VLOOKUP($B1362,DG!A:D,DG!$B$2,)</f>
        <v>04.3007</v>
      </c>
      <c r="F1362" s="1083" t="str">
        <f>VLOOKUP($B1362,DG!A:D,DG!$C$2,)&amp;": "</f>
        <v xml:space="preserve">Kẹp hotline 2/0: </v>
      </c>
      <c r="G1362" s="1082" t="str">
        <f>VLOOKUP($B1362,DG!A:D,DG!$D$2,)</f>
        <v>cái</v>
      </c>
      <c r="H1362" s="1873">
        <f>H1361</f>
        <v>0</v>
      </c>
      <c r="I1362" s="1262">
        <f t="shared" si="121"/>
        <v>0</v>
      </c>
      <c r="J1362" s="1084"/>
      <c r="K1362" s="1084"/>
      <c r="L1362" s="1113"/>
      <c r="M1362" s="977">
        <v>250</v>
      </c>
    </row>
    <row r="1363" spans="1:13" s="1086" customFormat="1" ht="25.15" hidden="1" customHeight="1">
      <c r="A1363" s="1156">
        <f t="shared" si="120"/>
        <v>0</v>
      </c>
      <c r="B1363" s="970" t="s">
        <v>4572</v>
      </c>
      <c r="C1363" s="970"/>
      <c r="D1363" s="1113"/>
      <c r="E1363" s="1082">
        <f>VLOOKUP($B1363,DG!A:D,DG!$B$2,)</f>
        <v>0</v>
      </c>
      <c r="F1363" s="1083" t="str">
        <f>VLOOKUP($B1363,DG!A:D,DG!$C$2,)</f>
        <v>Chụp cách điện kẹp quai</v>
      </c>
      <c r="G1363" s="1082" t="str">
        <f>VLOOKUP($B1363,DG!A:D,DG!$D$2,)</f>
        <v>cái</v>
      </c>
      <c r="H1363" s="1873">
        <v>3</v>
      </c>
      <c r="I1363" s="1262">
        <f t="shared" si="121"/>
        <v>0</v>
      </c>
      <c r="J1363" s="1084"/>
      <c r="K1363" s="1084"/>
      <c r="L1363" s="1113"/>
      <c r="M1363" s="977">
        <v>250</v>
      </c>
    </row>
    <row r="1364" spans="1:13" s="1086" customFormat="1" ht="25.15" hidden="1" customHeight="1">
      <c r="A1364" s="1156">
        <f>IF(I1364&gt;0,1,0)</f>
        <v>0</v>
      </c>
      <c r="B1364" s="970" t="s">
        <v>4378</v>
      </c>
      <c r="C1364" s="970"/>
      <c r="D1364" s="1093"/>
      <c r="E1364" s="1082">
        <f>VLOOKUP($B1364,DG!A:D,DG!$B$2,)</f>
        <v>0</v>
      </c>
      <c r="F1364" s="1083" t="str">
        <f>VLOOKUP($B1364,DG!A:D,DG!$C$2,)</f>
        <v>Chụp cách điện đầu cực MBA</v>
      </c>
      <c r="G1364" s="1082" t="str">
        <f>VLOOKUP($B1364,DG!A:D,DG!$D$2,)</f>
        <v>cái</v>
      </c>
      <c r="H1364" s="1873">
        <v>3</v>
      </c>
      <c r="I1364" s="1262">
        <f>IF(M1364=$M$23,H1364+J1364-K1364,0)</f>
        <v>0</v>
      </c>
      <c r="J1364" s="1084"/>
      <c r="K1364" s="1084"/>
      <c r="L1364" s="1113"/>
      <c r="M1364" s="977">
        <v>250</v>
      </c>
    </row>
    <row r="1365" spans="1:13" s="1086" customFormat="1" ht="25.15" hidden="1" customHeight="1">
      <c r="A1365" s="1156">
        <f>IF(I1365&gt;0,1,0)</f>
        <v>0</v>
      </c>
      <c r="B1365" s="970" t="s">
        <v>4380</v>
      </c>
      <c r="C1365" s="970"/>
      <c r="D1365" s="1093"/>
      <c r="E1365" s="1082">
        <f>VLOOKUP($B1365,DG!A:D,DG!$B$2,)</f>
        <v>0</v>
      </c>
      <c r="F1365" s="1083" t="str">
        <f>VLOOKUP($B1365,DG!A:D,DG!$C$2,)</f>
        <v>Chụp cách điện đầu cực LA</v>
      </c>
      <c r="G1365" s="1082" t="str">
        <f>VLOOKUP($B1365,DG!A:D,DG!$D$2,)</f>
        <v>cái</v>
      </c>
      <c r="H1365" s="1873">
        <v>3</v>
      </c>
      <c r="I1365" s="1262">
        <f>IF(M1365=$M$23,H1365+J1365-K1365,0)</f>
        <v>0</v>
      </c>
      <c r="J1365" s="1084"/>
      <c r="K1365" s="1084"/>
      <c r="L1365" s="1113"/>
      <c r="M1365" s="977">
        <v>250</v>
      </c>
    </row>
    <row r="1366" spans="1:13" s="1086" customFormat="1" ht="25.15" hidden="1" customHeight="1">
      <c r="A1366" s="1156">
        <f t="shared" si="120"/>
        <v>0</v>
      </c>
      <c r="B1366" s="1157" t="s">
        <v>4595</v>
      </c>
      <c r="C1366" s="1157"/>
      <c r="D1366" s="1093"/>
      <c r="E1366" s="1082">
        <f>VLOOKUP($B1366,DG!A:D,DG!$B$2,)</f>
        <v>0</v>
      </c>
      <c r="F1366" s="1083" t="str">
        <f>VLOOKUP($B1366,DG!A:D,DG!$C$2,)</f>
        <v xml:space="preserve">Sứ đứng 24KV </v>
      </c>
      <c r="G1366" s="1082" t="str">
        <f>VLOOKUP($B1366,DG!A:D,DG!$D$2,)</f>
        <v>cái</v>
      </c>
      <c r="H1366" s="1873">
        <v>6</v>
      </c>
      <c r="I1366" s="1262">
        <f t="shared" si="121"/>
        <v>0</v>
      </c>
      <c r="J1366" s="1084"/>
      <c r="K1366" s="1084"/>
      <c r="L1366" s="1113"/>
      <c r="M1366" s="977">
        <v>250</v>
      </c>
    </row>
    <row r="1367" spans="1:13" s="1086" customFormat="1" ht="25.15" hidden="1" customHeight="1">
      <c r="A1367" s="1156">
        <f t="shared" si="120"/>
        <v>0</v>
      </c>
      <c r="B1367" s="970" t="s">
        <v>4596</v>
      </c>
      <c r="C1367" s="970"/>
      <c r="D1367" s="1093"/>
      <c r="E1367" s="1082">
        <f>VLOOKUP($B1367,DG!A:D,DG!$B$2,)</f>
        <v>0</v>
      </c>
      <c r="F1367" s="1083" t="str">
        <f>VLOOKUP($B1367,DG!A:D,DG!$C$2,)</f>
        <v>Chân sứ đứng D20</v>
      </c>
      <c r="G1367" s="1082" t="str">
        <f>VLOOKUP($B1367,DG!A:D,DG!$D$2,)</f>
        <v>cái</v>
      </c>
      <c r="H1367" s="1873">
        <f>H1366</f>
        <v>6</v>
      </c>
      <c r="I1367" s="1262">
        <f t="shared" si="121"/>
        <v>0</v>
      </c>
      <c r="J1367" s="1084"/>
      <c r="K1367" s="1084"/>
      <c r="L1367" s="1113"/>
      <c r="M1367" s="977">
        <v>250</v>
      </c>
    </row>
    <row r="1368" spans="1:13" s="1086" customFormat="1" ht="25.15" hidden="1" customHeight="1">
      <c r="A1368" s="1156">
        <f t="shared" ref="A1368:A1431" si="122">IF(I1368&gt;0,1,0)</f>
        <v>0</v>
      </c>
      <c r="B1368" s="1157" t="s">
        <v>1570</v>
      </c>
      <c r="C1368" s="1157"/>
      <c r="D1368" s="1093"/>
      <c r="E1368" s="1082" t="str">
        <f>VLOOKUP($B1368,DG!A:D,DG!$B$2,)</f>
        <v>06.1115</v>
      </c>
      <c r="F1368" s="1083" t="str">
        <f>VLOOKUP($B1368,DG!A:D,DG!$C$2,)</f>
        <v>Lắp sứ đứng 24KV</v>
      </c>
      <c r="G1368" s="1082" t="str">
        <f>VLOOKUP($B1368,DG!A:D,DG!$D$2,)</f>
        <v>bộ</v>
      </c>
      <c r="H1368" s="1911">
        <f>H1366</f>
        <v>6</v>
      </c>
      <c r="I1368" s="1262">
        <f t="shared" si="121"/>
        <v>0</v>
      </c>
      <c r="J1368" s="1084"/>
      <c r="K1368" s="1084"/>
      <c r="L1368" s="1113"/>
      <c r="M1368" s="977">
        <v>250</v>
      </c>
    </row>
    <row r="1369" spans="1:13" s="1086" customFormat="1" ht="25.15" hidden="1" customHeight="1">
      <c r="A1369" s="1156">
        <f t="shared" si="122"/>
        <v>0</v>
      </c>
      <c r="B1369" s="1157" t="s">
        <v>1915</v>
      </c>
      <c r="C1369" s="1157"/>
      <c r="D1369" s="1093"/>
      <c r="E1369" s="1082">
        <f>VLOOKUP($B1369,DG!A:D,DG!$B$2,)</f>
        <v>0</v>
      </c>
      <c r="F1369" s="1083" t="str">
        <f>VLOOKUP($B1369,DG!A:D,DG!$C$2,)</f>
        <v>Uclevis + sứ ống chỉ</v>
      </c>
      <c r="G1369" s="1082" t="str">
        <f>VLOOKUP($B1369,DG!A:D,DG!$D$2,)</f>
        <v>bộ</v>
      </c>
      <c r="H1369" s="1911"/>
      <c r="I1369" s="1262">
        <f t="shared" si="121"/>
        <v>0</v>
      </c>
      <c r="J1369" s="1084"/>
      <c r="K1369" s="1084"/>
      <c r="L1369" s="1113"/>
      <c r="M1369" s="977">
        <v>250</v>
      </c>
    </row>
    <row r="1370" spans="1:13" s="1086" customFormat="1" ht="25.15" hidden="1" customHeight="1">
      <c r="A1370" s="1156">
        <f t="shared" si="122"/>
        <v>0</v>
      </c>
      <c r="B1370" s="1157" t="s">
        <v>1615</v>
      </c>
      <c r="C1370" s="1157"/>
      <c r="D1370" s="1093"/>
      <c r="E1370" s="1082">
        <f>VLOOKUP($B1370,DG!A:D,DG!$B$2,)</f>
        <v>0</v>
      </c>
      <c r="F1370" s="1083" t="str">
        <f>VLOOKUP($B1370,DG!A:D,DG!$C$2,)</f>
        <v>Boulon 16x300+ 2 long đền vuông D18-50x50x3/Zn</v>
      </c>
      <c r="G1370" s="1082" t="str">
        <f>VLOOKUP($B1370,DG!A:D,DG!$D$2,)</f>
        <v>bộ</v>
      </c>
      <c r="H1370" s="1911">
        <f>H1369</f>
        <v>0</v>
      </c>
      <c r="I1370" s="1262">
        <f t="shared" si="121"/>
        <v>0</v>
      </c>
      <c r="J1370" s="1084"/>
      <c r="K1370" s="1084"/>
      <c r="L1370" s="1113"/>
      <c r="M1370" s="977">
        <v>250</v>
      </c>
    </row>
    <row r="1371" spans="1:13" s="1086" customFormat="1" ht="25.15" hidden="1" customHeight="1">
      <c r="A1371" s="1156">
        <f t="shared" si="122"/>
        <v>0</v>
      </c>
      <c r="B1371" s="1157" t="s">
        <v>1511</v>
      </c>
      <c r="C1371" s="1157"/>
      <c r="D1371" s="1093"/>
      <c r="E1371" s="1082">
        <f>VLOOKUP($B1371,DG!A:D,DG!$B$2,)</f>
        <v>0</v>
      </c>
      <c r="F1371" s="1083" t="str">
        <f>VLOOKUP($B1371,DG!A:D,DG!$C$2,)</f>
        <v>Sứ treo polymer</v>
      </c>
      <c r="G1371" s="1082" t="str">
        <f>VLOOKUP($B1371,DG!A:D,DG!$D$2,)</f>
        <v>chuỗi</v>
      </c>
      <c r="H1371" s="1911">
        <f>H1357*0</f>
        <v>0</v>
      </c>
      <c r="I1371" s="1262">
        <f t="shared" si="121"/>
        <v>0</v>
      </c>
      <c r="J1371" s="1084"/>
      <c r="K1371" s="1084"/>
      <c r="L1371" s="1113"/>
      <c r="M1371" s="977">
        <v>250</v>
      </c>
    </row>
    <row r="1372" spans="1:13" s="1086" customFormat="1" ht="25.15" hidden="1" customHeight="1">
      <c r="A1372" s="1156">
        <f t="shared" si="122"/>
        <v>0</v>
      </c>
      <c r="B1372" s="1157" t="s">
        <v>1491</v>
      </c>
      <c r="C1372" s="1157"/>
      <c r="D1372" s="1093"/>
      <c r="E1372" s="1082">
        <f>VLOOKUP($B1372,DG!A:D,DG!$B$2,)</f>
        <v>0</v>
      </c>
      <c r="F1372" s="1083" t="str">
        <f>VLOOKUP($B1372,DG!A:D,DG!$C$2,)</f>
        <v xml:space="preserve">Móc treo chữ U </v>
      </c>
      <c r="G1372" s="1082" t="str">
        <f>VLOOKUP($B1372,DG!A:D,DG!$D$2,)</f>
        <v>cái</v>
      </c>
      <c r="H1372" s="1911">
        <f>H1371*0</f>
        <v>0</v>
      </c>
      <c r="I1372" s="1262">
        <f t="shared" si="121"/>
        <v>0</v>
      </c>
      <c r="J1372" s="1084"/>
      <c r="K1372" s="1084"/>
      <c r="L1372" s="1113"/>
      <c r="M1372" s="977">
        <v>250</v>
      </c>
    </row>
    <row r="1373" spans="1:13" s="1086" customFormat="1" ht="25.15" hidden="1" customHeight="1">
      <c r="A1373" s="1156">
        <f t="shared" si="122"/>
        <v>0</v>
      </c>
      <c r="B1373" s="1157" t="s">
        <v>1748</v>
      </c>
      <c r="C1373" s="1157"/>
      <c r="D1373" s="1093"/>
      <c r="E1373" s="1082">
        <f>VLOOKUP($B1373,DG!A:D,DG!$B$2,)</f>
        <v>0</v>
      </c>
      <c r="F1373" s="1083" t="str">
        <f>VLOOKUP($B1373,DG!A:D,DG!$C$2,)</f>
        <v>Khóa néo dây cỡ dây 185</v>
      </c>
      <c r="G1373" s="1082" t="str">
        <f>VLOOKUP($B1373,DG!A:D,DG!$D$2,)</f>
        <v>cái</v>
      </c>
      <c r="H1373" s="1911">
        <f>H1371*0</f>
        <v>0</v>
      </c>
      <c r="I1373" s="1262">
        <f t="shared" si="121"/>
        <v>0</v>
      </c>
      <c r="J1373" s="1084"/>
      <c r="K1373" s="1084"/>
      <c r="L1373" s="1113"/>
      <c r="M1373" s="977">
        <v>250</v>
      </c>
    </row>
    <row r="1374" spans="1:13" s="1086" customFormat="1" ht="25.15" hidden="1" customHeight="1">
      <c r="A1374" s="1156">
        <f t="shared" si="122"/>
        <v>0</v>
      </c>
      <c r="B1374" s="1157" t="s">
        <v>479</v>
      </c>
      <c r="C1374" s="1157"/>
      <c r="D1374" s="1093"/>
      <c r="E1374" s="1082">
        <f>VLOOKUP($B1374,DG!A:D,DG!$B$2,)</f>
        <v>0</v>
      </c>
      <c r="F1374" s="1083" t="str">
        <f>VLOOKUP($B1374,DG!A:D,DG!$C$2,)</f>
        <v>Khóa néo dây cỡ dây 35</v>
      </c>
      <c r="G1374" s="1082" t="str">
        <f>VLOOKUP($B1374,DG!A:D,DG!$D$2,)</f>
        <v>cái</v>
      </c>
      <c r="H1374" s="1911">
        <f>H1357*2*0</f>
        <v>0</v>
      </c>
      <c r="I1374" s="1262">
        <f t="shared" si="121"/>
        <v>0</v>
      </c>
      <c r="J1374" s="1084"/>
      <c r="K1374" s="1084"/>
      <c r="L1374" s="1113"/>
      <c r="M1374" s="977">
        <v>250</v>
      </c>
    </row>
    <row r="1375" spans="1:13" s="1086" customFormat="1" ht="25.15" hidden="1" customHeight="1">
      <c r="A1375" s="1156">
        <f t="shared" si="122"/>
        <v>0</v>
      </c>
      <c r="B1375" s="1362" t="s">
        <v>780</v>
      </c>
      <c r="C1375" s="1362"/>
      <c r="D1375" s="1093"/>
      <c r="E1375" s="1082">
        <f>VLOOKUP($B1375,DG!A:D,DG!$B$2,)</f>
        <v>0</v>
      </c>
      <c r="F1375" s="1083" t="str">
        <f>VLOOKUP($B1375,DG!A:D,DG!$C$2,)</f>
        <v>Kẹp 2 rãnh (APC) cỡ dây 185mm2</v>
      </c>
      <c r="G1375" s="1082" t="str">
        <f>VLOOKUP($B1375,DG!A:D,DG!$D$2,)</f>
        <v>cái</v>
      </c>
      <c r="H1375" s="1911">
        <f>H1357*6*0</f>
        <v>0</v>
      </c>
      <c r="I1375" s="1262">
        <f t="shared" si="121"/>
        <v>0</v>
      </c>
      <c r="J1375" s="1084"/>
      <c r="K1375" s="1084"/>
      <c r="L1375" s="1113"/>
      <c r="M1375" s="977">
        <v>250</v>
      </c>
    </row>
    <row r="1376" spans="1:13" s="1086" customFormat="1" ht="25.15" hidden="1" customHeight="1">
      <c r="A1376" s="1156">
        <f t="shared" si="122"/>
        <v>0</v>
      </c>
      <c r="B1376" s="1157" t="s">
        <v>1063</v>
      </c>
      <c r="C1376" s="1157"/>
      <c r="D1376" s="1093"/>
      <c r="E1376" s="1082">
        <f>VLOOKUP($B1376,DG!A:D,DG!$B$2,)</f>
        <v>0</v>
      </c>
      <c r="F1376" s="1083" t="str">
        <f>VLOOKUP($B1376,DG!A:D,DG!$C$2,)</f>
        <v>Boulon mắt 16x250+ 2 long đền vuông D18-50x50x3/Zn</v>
      </c>
      <c r="G1376" s="1082" t="str">
        <f>VLOOKUP($B1376,DG!A:D,DG!$D$2,)</f>
        <v>bộ</v>
      </c>
      <c r="H1376" s="1911">
        <f>H1357*3*0</f>
        <v>0</v>
      </c>
      <c r="I1376" s="1262">
        <f t="shared" si="121"/>
        <v>0</v>
      </c>
      <c r="J1376" s="1084"/>
      <c r="K1376" s="1084"/>
      <c r="L1376" s="1113"/>
      <c r="M1376" s="977">
        <v>250</v>
      </c>
    </row>
    <row r="1377" spans="1:13" s="1086" customFormat="1" ht="25.15" hidden="1" customHeight="1">
      <c r="A1377" s="1156">
        <f t="shared" si="122"/>
        <v>0</v>
      </c>
      <c r="B1377" s="1157" t="s">
        <v>417</v>
      </c>
      <c r="C1377" s="1157"/>
      <c r="D1377" s="1093"/>
      <c r="E1377" s="1082">
        <f>VLOOKUP($B1377,DG!A:D,DG!$B$2,)</f>
        <v>0</v>
      </c>
      <c r="F1377" s="1083" t="str">
        <f>VLOOKUP($B1377,DG!A:D,DG!$C$2,)</f>
        <v>Boulon mắt 16x300+ 2 long đền vuông D18-50x50x3/Zn</v>
      </c>
      <c r="G1377" s="1082" t="str">
        <f>VLOOKUP($B1377,DG!A:D,DG!$D$2,)</f>
        <v>bộ</v>
      </c>
      <c r="H1377" s="1911">
        <f>H1374*3*0</f>
        <v>0</v>
      </c>
      <c r="I1377" s="1262">
        <f t="shared" si="121"/>
        <v>0</v>
      </c>
      <c r="J1377" s="1084"/>
      <c r="K1377" s="1084"/>
      <c r="L1377" s="1113"/>
      <c r="M1377" s="977">
        <v>250</v>
      </c>
    </row>
    <row r="1378" spans="1:13" s="1086" customFormat="1" ht="25.15" hidden="1" customHeight="1">
      <c r="A1378" s="1156">
        <f t="shared" si="122"/>
        <v>0</v>
      </c>
      <c r="B1378" s="1157" t="s">
        <v>1585</v>
      </c>
      <c r="C1378" s="1157"/>
      <c r="D1378" s="1093"/>
      <c r="E1378" s="1082">
        <f>VLOOKUP($B1378,DG!A:D,DG!$B$2,)</f>
        <v>0</v>
      </c>
      <c r="F1378" s="1083" t="str">
        <f>VLOOKUP($B1378,DG!A:D,DG!$C$2,)</f>
        <v>Kẹp ép WR cỡ dây 70mm2</v>
      </c>
      <c r="G1378" s="1082" t="str">
        <f>VLOOKUP($B1378,DG!A:D,DG!$D$2,)</f>
        <v>cái</v>
      </c>
      <c r="H1378" s="1911">
        <f>H1374*0</f>
        <v>0</v>
      </c>
      <c r="I1378" s="1262">
        <f t="shared" si="121"/>
        <v>0</v>
      </c>
      <c r="J1378" s="1084"/>
      <c r="K1378" s="1084"/>
      <c r="L1378" s="1113"/>
      <c r="M1378" s="977">
        <v>250</v>
      </c>
    </row>
    <row r="1379" spans="1:13" s="1086" customFormat="1" ht="25.15" hidden="1" customHeight="1">
      <c r="A1379" s="1156">
        <f t="shared" si="122"/>
        <v>0</v>
      </c>
      <c r="B1379" s="1157" t="s">
        <v>1512</v>
      </c>
      <c r="C1379" s="1157"/>
      <c r="D1379" s="1093"/>
      <c r="E1379" s="1082" t="str">
        <f>VLOOKUP($B1379,DG!A:D,DG!$B$2,)</f>
        <v>06.2201</v>
      </c>
      <c r="F1379" s="1083" t="str">
        <f>VLOOKUP($B1379,DG!A:D,DG!$C$2,)</f>
        <v>Lắp chuỗi sứ néo Polymer</v>
      </c>
      <c r="G1379" s="1082" t="str">
        <f>VLOOKUP($B1379,DG!A:D,DG!$D$2,)</f>
        <v>chuỗi</v>
      </c>
      <c r="H1379" s="1873">
        <f>H1371*0</f>
        <v>0</v>
      </c>
      <c r="I1379" s="1262">
        <f t="shared" si="121"/>
        <v>0</v>
      </c>
      <c r="J1379" s="1084"/>
      <c r="K1379" s="1084"/>
      <c r="L1379" s="1113"/>
      <c r="M1379" s="977">
        <v>250</v>
      </c>
    </row>
    <row r="1380" spans="1:13" s="1086" customFormat="1" ht="25.15" hidden="1" customHeight="1">
      <c r="A1380" s="1156">
        <f t="shared" si="122"/>
        <v>0</v>
      </c>
      <c r="B1380" s="1157" t="s">
        <v>1530</v>
      </c>
      <c r="C1380" s="1157"/>
      <c r="D1380" s="1093"/>
      <c r="E1380" s="1082" t="str">
        <f>VLOOKUP($B1380,DG!A:D,DG!$B$2,)</f>
        <v>04.4201</v>
      </c>
      <c r="F1380" s="1083" t="str">
        <f>VLOOKUP($B1380,DG!A:D,DG!$C$2,)</f>
        <v>Lắp cáp đồng xuống thiết bị D ≤ 95mm2</v>
      </c>
      <c r="G1380" s="1082" t="str">
        <f>VLOOKUP($B1380,DG!A:D,DG!$D$2,)</f>
        <v>m</v>
      </c>
      <c r="H1380" s="1873">
        <f>H1359</f>
        <v>21</v>
      </c>
      <c r="I1380" s="1262">
        <f t="shared" si="121"/>
        <v>0</v>
      </c>
      <c r="J1380" s="1084"/>
      <c r="K1380" s="1084"/>
      <c r="L1380" s="1113"/>
      <c r="M1380" s="977">
        <v>250</v>
      </c>
    </row>
    <row r="1381" spans="1:13" s="1086" customFormat="1" ht="25.15" hidden="1" customHeight="1">
      <c r="A1381" s="1156">
        <f t="shared" si="122"/>
        <v>0</v>
      </c>
      <c r="B1381" s="1327"/>
      <c r="C1381" s="1327"/>
      <c r="D1381" s="1087">
        <f>IF(H1381&gt;0,D1357+1,D1357)</f>
        <v>4</v>
      </c>
      <c r="E1381" s="1088"/>
      <c r="F1381" s="1097" t="s">
        <v>3729</v>
      </c>
      <c r="G1381" s="1087" t="s">
        <v>2394</v>
      </c>
      <c r="H1381" s="1889"/>
      <c r="I1381" s="1262">
        <f t="shared" si="121"/>
        <v>0</v>
      </c>
      <c r="J1381" s="1084"/>
      <c r="K1381" s="1084"/>
      <c r="L1381" s="1085"/>
      <c r="M1381" s="977">
        <v>250</v>
      </c>
    </row>
    <row r="1382" spans="1:13" s="1086" customFormat="1" ht="25.15" hidden="1" customHeight="1">
      <c r="A1382" s="1156">
        <f>IF(A1381&gt;0,1,0)</f>
        <v>0</v>
      </c>
      <c r="B1382" s="1327"/>
      <c r="C1382" s="1327"/>
      <c r="D1382" s="1081"/>
      <c r="E1382" s="1091"/>
      <c r="F1382" s="1371" t="s">
        <v>2287</v>
      </c>
      <c r="G1382" s="1081"/>
      <c r="H1382" s="1890"/>
      <c r="I1382" s="1262">
        <f t="shared" si="121"/>
        <v>0</v>
      </c>
      <c r="J1382" s="1084"/>
      <c r="K1382" s="1084"/>
      <c r="L1382" s="1085"/>
      <c r="M1382" s="977">
        <v>250</v>
      </c>
    </row>
    <row r="1383" spans="1:13" s="1086" customFormat="1" ht="25.15" hidden="1" customHeight="1">
      <c r="A1383" s="1156">
        <f t="shared" si="122"/>
        <v>0</v>
      </c>
      <c r="B1383" s="1327" t="s">
        <v>1494</v>
      </c>
      <c r="C1383" s="1327"/>
      <c r="D1383" s="1093"/>
      <c r="E1383" s="1082" t="str">
        <f>VLOOKUP($B1383,DG!A:D,DG!$B$2,)</f>
        <v>04.8003</v>
      </c>
      <c r="F1383" s="1083" t="str">
        <f>VLOOKUP($B1383,DG!A:D,DG!$C$2,)</f>
        <v xml:space="preserve">Ống PVC D90x3,8mm </v>
      </c>
      <c r="G1383" s="1082" t="str">
        <f>VLOOKUP($B1383,DG!A:D,DG!$D$2,)</f>
        <v>m</v>
      </c>
      <c r="H1383" s="1873">
        <f>H1381*2</f>
        <v>0</v>
      </c>
      <c r="I1383" s="1262">
        <f t="shared" si="121"/>
        <v>0</v>
      </c>
      <c r="J1383" s="1084"/>
      <c r="K1383" s="1084"/>
      <c r="L1383" s="1085"/>
      <c r="M1383" s="977">
        <v>250</v>
      </c>
    </row>
    <row r="1384" spans="1:13" s="1086" customFormat="1" ht="25.15" hidden="1" customHeight="1">
      <c r="A1384" s="1156">
        <f t="shared" si="122"/>
        <v>0</v>
      </c>
      <c r="B1384" s="1327" t="s">
        <v>86</v>
      </c>
      <c r="C1384" s="1327"/>
      <c r="D1384" s="1093"/>
      <c r="E1384" s="1082">
        <f>VLOOKUP($B1384,DG!A:D,DG!$B$2,)</f>
        <v>0</v>
      </c>
      <c r="F1384" s="1083" t="str">
        <f>VLOOKUP($B1384,DG!A:D,DG!$C$2,)</f>
        <v>Co  90 độ PVC 90</v>
      </c>
      <c r="G1384" s="1082" t="str">
        <f>VLOOKUP($B1384,DG!A:D,DG!$D$2,)</f>
        <v>cái</v>
      </c>
      <c r="H1384" s="1873">
        <f>H1381*2</f>
        <v>0</v>
      </c>
      <c r="I1384" s="1262">
        <f t="shared" si="121"/>
        <v>0</v>
      </c>
      <c r="J1384" s="1084"/>
      <c r="K1384" s="1084"/>
      <c r="L1384" s="1085"/>
      <c r="M1384" s="977">
        <v>250</v>
      </c>
    </row>
    <row r="1385" spans="1:13" s="1086" customFormat="1" ht="25.15" hidden="1" customHeight="1">
      <c r="A1385" s="1156">
        <f t="shared" si="122"/>
        <v>0</v>
      </c>
      <c r="B1385" s="1349" t="s">
        <v>276</v>
      </c>
      <c r="C1385" s="1349"/>
      <c r="D1385" s="1093"/>
      <c r="E1385" s="1082" t="str">
        <f>VLOOKUP($B1385,DG!A:D,DG!$B$2,)</f>
        <v>06.3231</v>
      </c>
      <c r="F1385" s="1083" t="str">
        <f>VLOOKUP($B1385,DG!A:D,DG!$C$2,)&amp;": 1 bộ"</f>
        <v>Cổ dê kẹp ống PVC Ø 90: 1 bộ</v>
      </c>
      <c r="G1385" s="1082" t="str">
        <f>VLOOKUP($B1385,DG!A:D,DG!$D$2,)</f>
        <v>bộ</v>
      </c>
      <c r="H1385" s="1873">
        <f>H1381*1.21*0</f>
        <v>0</v>
      </c>
      <c r="I1385" s="1262">
        <f t="shared" si="121"/>
        <v>0</v>
      </c>
      <c r="J1385" s="1084"/>
      <c r="K1385" s="1084"/>
      <c r="L1385" s="1085"/>
      <c r="M1385" s="977">
        <v>250</v>
      </c>
    </row>
    <row r="1386" spans="1:13" s="1086" customFormat="1" ht="25.15" hidden="1" customHeight="1">
      <c r="A1386" s="1156">
        <f t="shared" si="122"/>
        <v>0</v>
      </c>
      <c r="B1386" s="1349" t="s">
        <v>86</v>
      </c>
      <c r="C1386" s="1349"/>
      <c r="D1386" s="1093"/>
      <c r="E1386" s="1082">
        <f>VLOOKUP($B1386,DG!A:D,DG!$B$2,)</f>
        <v>0</v>
      </c>
      <c r="F1386" s="1083" t="str">
        <f>VLOOKUP($B1386,DG!A:D,DG!$C$2,)</f>
        <v>Co  90 độ PVC 90</v>
      </c>
      <c r="G1386" s="1082" t="str">
        <f>VLOOKUP($B1386,DG!A:D,DG!$D$2,)</f>
        <v>cái</v>
      </c>
      <c r="H1386" s="1873">
        <f>H1381*3*0</f>
        <v>0</v>
      </c>
      <c r="I1386" s="1262">
        <f t="shared" si="121"/>
        <v>0</v>
      </c>
      <c r="J1386" s="1084"/>
      <c r="K1386" s="1084"/>
      <c r="L1386" s="1085"/>
      <c r="M1386" s="977">
        <v>250</v>
      </c>
    </row>
    <row r="1387" spans="1:13" s="1086" customFormat="1" ht="25.15" hidden="1" customHeight="1">
      <c r="A1387" s="1156">
        <f t="shared" si="122"/>
        <v>0</v>
      </c>
      <c r="B1387" s="1349" t="s">
        <v>138</v>
      </c>
      <c r="C1387" s="1349"/>
      <c r="D1387" s="1093"/>
      <c r="E1387" s="1082">
        <f>VLOOKUP($B1387,DG!A:D,DG!$B$2,)</f>
        <v>0</v>
      </c>
      <c r="F1387" s="1083" t="str">
        <f>VLOOKUP($B1387,DG!A:D,DG!$C$2,)</f>
        <v>Boulon 12x40+ 2 long đền vuông D14-50x50x3/Zn</v>
      </c>
      <c r="G1387" s="1082" t="str">
        <f>VLOOKUP($B1387,DG!A:D,DG!$D$2,)</f>
        <v>bộ</v>
      </c>
      <c r="H1387" s="1873">
        <f>H1381*2*0</f>
        <v>0</v>
      </c>
      <c r="I1387" s="1262">
        <f t="shared" si="121"/>
        <v>0</v>
      </c>
      <c r="J1387" s="1084"/>
      <c r="K1387" s="1084"/>
      <c r="L1387" s="1085"/>
      <c r="M1387" s="977">
        <v>250</v>
      </c>
    </row>
    <row r="1388" spans="1:13" s="1086" customFormat="1" ht="25.15" hidden="1" customHeight="1">
      <c r="A1388" s="1156">
        <f t="shared" si="122"/>
        <v>0</v>
      </c>
      <c r="B1388" s="1349" t="s">
        <v>1991</v>
      </c>
      <c r="C1388" s="1349"/>
      <c r="D1388" s="1093"/>
      <c r="E1388" s="1082">
        <f>VLOOKUP($B1388,DG!A:D,DG!$B$2,)</f>
        <v>0</v>
      </c>
      <c r="F1388" s="1083" t="str">
        <f>VLOOKUP($B1388,DG!A:D,DG!$C$2,)</f>
        <v>Boulon 12x60+ 2 long đền vuông D14-50x50x3/Zn</v>
      </c>
      <c r="G1388" s="1082" t="str">
        <f>VLOOKUP($B1388,DG!A:D,DG!$D$2,)</f>
        <v>bộ</v>
      </c>
      <c r="H1388" s="1873">
        <f>H1387</f>
        <v>0</v>
      </c>
      <c r="I1388" s="1262">
        <f t="shared" si="121"/>
        <v>0</v>
      </c>
      <c r="J1388" s="1084"/>
      <c r="K1388" s="1084"/>
      <c r="L1388" s="1085"/>
      <c r="M1388" s="977">
        <v>250</v>
      </c>
    </row>
    <row r="1389" spans="1:13" s="1086" customFormat="1" ht="25.15" hidden="1" customHeight="1">
      <c r="A1389" s="1156">
        <f t="shared" si="122"/>
        <v>0</v>
      </c>
      <c r="B1389" s="1327" t="s">
        <v>933</v>
      </c>
      <c r="C1389" s="1327"/>
      <c r="D1389" s="1093"/>
      <c r="E1389" s="1082">
        <f>VLOOKUP($B1389,DG!A:D,DG!$B$2,)</f>
        <v>0</v>
      </c>
      <c r="F1389" s="1083" t="str">
        <f>VLOOKUP($B1389,DG!A:D,DG!$C$2,)</f>
        <v>Khâu ven răng trong D90</v>
      </c>
      <c r="G1389" s="1082" t="str">
        <f>VLOOKUP($B1389,DG!A:D,DG!$D$2,)</f>
        <v>cái</v>
      </c>
      <c r="H1389" s="1873">
        <f>H1381*2*0</f>
        <v>0</v>
      </c>
      <c r="I1389" s="1262">
        <f t="shared" si="121"/>
        <v>0</v>
      </c>
      <c r="J1389" s="1084"/>
      <c r="K1389" s="1084"/>
      <c r="L1389" s="1085"/>
      <c r="M1389" s="977">
        <v>250</v>
      </c>
    </row>
    <row r="1390" spans="1:13" s="1086" customFormat="1" ht="25.15" hidden="1" customHeight="1">
      <c r="A1390" s="1156">
        <f t="shared" si="122"/>
        <v>0</v>
      </c>
      <c r="B1390" s="1327" t="s">
        <v>932</v>
      </c>
      <c r="C1390" s="1327"/>
      <c r="D1390" s="1093"/>
      <c r="E1390" s="1082">
        <f>VLOOKUP($B1390,DG!A:D,DG!$B$2,)</f>
        <v>0</v>
      </c>
      <c r="F1390" s="1083" t="str">
        <f>VLOOKUP($B1390,DG!A:D,DG!$C$2,)</f>
        <v>Khâu ven răng ngoài D90</v>
      </c>
      <c r="G1390" s="1082" t="str">
        <f>VLOOKUP($B1390,DG!A:D,DG!$D$2,)</f>
        <v>cái</v>
      </c>
      <c r="H1390" s="1873">
        <f>H1389</f>
        <v>0</v>
      </c>
      <c r="I1390" s="1262">
        <f t="shared" ref="I1390:I1453" si="123">IF(M1390=$M$23,H1390+J1390-K1390,0)</f>
        <v>0</v>
      </c>
      <c r="J1390" s="1084"/>
      <c r="K1390" s="1084"/>
      <c r="L1390" s="1085"/>
      <c r="M1390" s="977">
        <v>250</v>
      </c>
    </row>
    <row r="1391" spans="1:13" s="1086" customFormat="1" ht="25.15" hidden="1" customHeight="1">
      <c r="A1391" s="1156">
        <f t="shared" si="122"/>
        <v>0</v>
      </c>
      <c r="B1391" s="1157"/>
      <c r="C1391" s="1157"/>
      <c r="D1391" s="1087">
        <f>IF(H1391&gt;0,D1381+1,D1381)</f>
        <v>5</v>
      </c>
      <c r="E1391" s="1088"/>
      <c r="F1391" s="1097" t="s">
        <v>3749</v>
      </c>
      <c r="G1391" s="1087" t="s">
        <v>2394</v>
      </c>
      <c r="H1391" s="1910">
        <f>H1318</f>
        <v>1</v>
      </c>
      <c r="I1391" s="1262">
        <f t="shared" si="123"/>
        <v>0</v>
      </c>
      <c r="J1391" s="1084"/>
      <c r="K1391" s="1084"/>
      <c r="L1391" s="1113"/>
      <c r="M1391" s="977">
        <v>250</v>
      </c>
    </row>
    <row r="1392" spans="1:13" s="1086" customFormat="1" ht="25.15" hidden="1" customHeight="1">
      <c r="A1392" s="1156">
        <f>IF(A1391&gt;0,1,0)</f>
        <v>0</v>
      </c>
      <c r="B1392" s="1157"/>
      <c r="C1392" s="1157"/>
      <c r="D1392" s="1081"/>
      <c r="E1392" s="1091"/>
      <c r="F1392" s="1371" t="s">
        <v>2287</v>
      </c>
      <c r="G1392" s="1081"/>
      <c r="H1392" s="1873"/>
      <c r="I1392" s="1262">
        <f t="shared" si="123"/>
        <v>0</v>
      </c>
      <c r="J1392" s="1084"/>
      <c r="K1392" s="1084"/>
      <c r="L1392" s="1113"/>
      <c r="M1392" s="977">
        <v>250</v>
      </c>
    </row>
    <row r="1393" spans="1:13" s="1086" customFormat="1" ht="25.15" hidden="1" customHeight="1">
      <c r="A1393" s="1156">
        <f t="shared" si="122"/>
        <v>0</v>
      </c>
      <c r="B1393" s="1359" t="s">
        <v>1015</v>
      </c>
      <c r="C1393" s="1359">
        <v>25.5</v>
      </c>
      <c r="D1393" s="1093"/>
      <c r="E1393" s="1082">
        <f>VLOOKUP($B1393,DG!A:D,DG!$B$2,)</f>
        <v>0</v>
      </c>
      <c r="F1393" s="1083" t="str">
        <f>VLOOKUP($B1393,DG!A:D,DG!$C$2,)</f>
        <v>Cáp đồng bọc CV185</v>
      </c>
      <c r="G1393" s="1082" t="str">
        <f>VLOOKUP($B1393,DG!A:D,DG!$D$2,)</f>
        <v>mét</v>
      </c>
      <c r="H1393" s="1873">
        <f>$H$1391*C1393</f>
        <v>25.5</v>
      </c>
      <c r="I1393" s="1262">
        <f t="shared" si="123"/>
        <v>0</v>
      </c>
      <c r="J1393" s="1084"/>
      <c r="K1393" s="1084"/>
      <c r="L1393" s="1113"/>
      <c r="M1393" s="977">
        <v>250</v>
      </c>
    </row>
    <row r="1394" spans="1:13" s="1086" customFormat="1" ht="25.15" hidden="1" customHeight="1">
      <c r="A1394" s="1156">
        <f t="shared" si="122"/>
        <v>0</v>
      </c>
      <c r="B1394" s="1359" t="s">
        <v>274</v>
      </c>
      <c r="C1394" s="1359">
        <v>8.5</v>
      </c>
      <c r="D1394" s="1093"/>
      <c r="E1394" s="1082">
        <f>VLOOKUP($B1394,DG!A:D,DG!$B$2,)</f>
        <v>0</v>
      </c>
      <c r="F1394" s="1083" t="str">
        <f>VLOOKUP($B1394,DG!A:D,DG!$C$2,)</f>
        <v>Cáp đồng bọc CV95</v>
      </c>
      <c r="G1394" s="1082" t="str">
        <f>VLOOKUP($B1394,DG!A:D,DG!$D$2,)</f>
        <v>mét</v>
      </c>
      <c r="H1394" s="1873">
        <f t="shared" ref="H1394:H1414" si="124">$H$1391*C1394</f>
        <v>8.5</v>
      </c>
      <c r="I1394" s="1262">
        <f t="shared" si="123"/>
        <v>0</v>
      </c>
      <c r="J1394" s="1084"/>
      <c r="K1394" s="1084"/>
      <c r="L1394" s="1113"/>
      <c r="M1394" s="977">
        <v>250</v>
      </c>
    </row>
    <row r="1395" spans="1:13" s="1086" customFormat="1" ht="25.15" hidden="1" customHeight="1">
      <c r="A1395" s="1156">
        <f t="shared" si="122"/>
        <v>0</v>
      </c>
      <c r="B1395" s="1327" t="s">
        <v>151</v>
      </c>
      <c r="C1395" s="1327">
        <v>6</v>
      </c>
      <c r="D1395" s="1093"/>
      <c r="E1395" s="1082" t="str">
        <f>VLOOKUP($B1395,DG!A:D,DG!$B$2,)</f>
        <v>03.4007</v>
      </c>
      <c r="F1395" s="1083" t="str">
        <f>VLOOKUP($B1395,DG!A:D,DG!$C$2,)</f>
        <v>Đầu cosse ép Cu 185mm2</v>
      </c>
      <c r="G1395" s="1082" t="str">
        <f>VLOOKUP($B1395,DG!A:D,DG!$D$2,)</f>
        <v>cái</v>
      </c>
      <c r="H1395" s="1873">
        <f t="shared" si="124"/>
        <v>6</v>
      </c>
      <c r="I1395" s="1262">
        <f t="shared" si="123"/>
        <v>0</v>
      </c>
      <c r="J1395" s="1084"/>
      <c r="K1395" s="1084"/>
      <c r="L1395" s="1113"/>
      <c r="M1395" s="977">
        <v>250</v>
      </c>
    </row>
    <row r="1396" spans="1:13" s="1086" customFormat="1" ht="25.15" hidden="1" customHeight="1">
      <c r="A1396" s="1156">
        <f t="shared" si="122"/>
        <v>0</v>
      </c>
      <c r="B1396" s="1327" t="s">
        <v>1309</v>
      </c>
      <c r="C1396" s="1327">
        <v>2</v>
      </c>
      <c r="D1396" s="1093"/>
      <c r="E1396" s="1082" t="str">
        <f>VLOOKUP($B1396,DG!A:D,DG!$B$2,)</f>
        <v>03.4004</v>
      </c>
      <c r="F1396" s="1083" t="str">
        <f>VLOOKUP($B1396,DG!A:D,DG!$C$2,)</f>
        <v>Đầu cosse ép Cu 95mm2</v>
      </c>
      <c r="G1396" s="1082" t="str">
        <f>VLOOKUP($B1396,DG!A:D,DG!$D$2,)</f>
        <v>cái</v>
      </c>
      <c r="H1396" s="1873">
        <f t="shared" si="124"/>
        <v>2</v>
      </c>
      <c r="I1396" s="1262">
        <f t="shared" si="123"/>
        <v>0</v>
      </c>
      <c r="J1396" s="1084"/>
      <c r="K1396" s="1084"/>
      <c r="L1396" s="1113"/>
      <c r="M1396" s="977">
        <v>250</v>
      </c>
    </row>
    <row r="1397" spans="1:13" s="1086" customFormat="1" ht="25.15" hidden="1" customHeight="1">
      <c r="A1397" s="1156">
        <f t="shared" si="122"/>
        <v>0</v>
      </c>
      <c r="B1397" s="1327" t="s">
        <v>150</v>
      </c>
      <c r="C1397" s="1327">
        <v>6</v>
      </c>
      <c r="D1397" s="1093"/>
      <c r="E1397" s="1082">
        <f>VLOOKUP($B1397,DG!A:D,DG!$B$2,)</f>
        <v>0</v>
      </c>
      <c r="F1397" s="1083" t="str">
        <f>VLOOKUP($B1397,DG!A:D,DG!$C$2,)</f>
        <v>Chụp đầu cosse  185mm2</v>
      </c>
      <c r="G1397" s="1082" t="str">
        <f>VLOOKUP($B1397,DG!A:D,DG!$D$2,)</f>
        <v>cái</v>
      </c>
      <c r="H1397" s="1873">
        <f t="shared" si="124"/>
        <v>6</v>
      </c>
      <c r="I1397" s="1262">
        <f t="shared" si="123"/>
        <v>0</v>
      </c>
      <c r="J1397" s="1084"/>
      <c r="K1397" s="1084"/>
      <c r="L1397" s="1113"/>
      <c r="M1397" s="977">
        <v>250</v>
      </c>
    </row>
    <row r="1398" spans="1:13" s="1086" customFormat="1" ht="25.15" hidden="1" customHeight="1">
      <c r="A1398" s="1156">
        <f t="shared" si="122"/>
        <v>0</v>
      </c>
      <c r="B1398" s="1327" t="s">
        <v>94</v>
      </c>
      <c r="C1398" s="1327">
        <v>2</v>
      </c>
      <c r="D1398" s="1093"/>
      <c r="E1398" s="1082">
        <f>VLOOKUP($B1398,DG!A:D,DG!$B$2,)</f>
        <v>0</v>
      </c>
      <c r="F1398" s="1083" t="str">
        <f>VLOOKUP($B1398,DG!A:D,DG!$C$2,)</f>
        <v>Chụp đầu cosse  95mm2</v>
      </c>
      <c r="G1398" s="1082" t="str">
        <f>VLOOKUP($B1398,DG!A:D,DG!$D$2,)</f>
        <v>cái</v>
      </c>
      <c r="H1398" s="1873">
        <f t="shared" si="124"/>
        <v>2</v>
      </c>
      <c r="I1398" s="1262">
        <f t="shared" si="123"/>
        <v>0</v>
      </c>
      <c r="J1398" s="1084"/>
      <c r="K1398" s="1084"/>
      <c r="L1398" s="1113"/>
      <c r="M1398" s="977">
        <v>250</v>
      </c>
    </row>
    <row r="1399" spans="1:13" s="1086" customFormat="1" ht="25.15" hidden="1" customHeight="1">
      <c r="A1399" s="1156">
        <f t="shared" si="122"/>
        <v>0</v>
      </c>
      <c r="B1399" s="1327" t="s">
        <v>1044</v>
      </c>
      <c r="C1399" s="1327">
        <v>6</v>
      </c>
      <c r="D1399" s="1093"/>
      <c r="E1399" s="1082">
        <f>VLOOKUP($B1399,DG!A:D,DG!$B$2,)</f>
        <v>0</v>
      </c>
      <c r="F1399" s="1083" t="str">
        <f>VLOOKUP($B1399,DG!A:D,DG!$C$2,)</f>
        <v xml:space="preserve">Ống PVC D114x4,9mm </v>
      </c>
      <c r="G1399" s="1082" t="str">
        <f>VLOOKUP($B1399,DG!A:D,DG!$D$2,)</f>
        <v>m</v>
      </c>
      <c r="H1399" s="1873">
        <f t="shared" si="124"/>
        <v>6</v>
      </c>
      <c r="I1399" s="1262">
        <f t="shared" si="123"/>
        <v>0</v>
      </c>
      <c r="J1399" s="1084"/>
      <c r="K1399" s="1084"/>
      <c r="L1399" s="1113"/>
      <c r="M1399" s="977">
        <v>250</v>
      </c>
    </row>
    <row r="1400" spans="1:13" s="1086" customFormat="1" ht="25.15" hidden="1" customHeight="1">
      <c r="A1400" s="1156">
        <f t="shared" si="122"/>
        <v>0</v>
      </c>
      <c r="B1400" s="1349" t="s">
        <v>86</v>
      </c>
      <c r="C1400" s="1349">
        <v>1</v>
      </c>
      <c r="D1400" s="1093"/>
      <c r="E1400" s="1082">
        <f>VLOOKUP($B1400,DG!A:D,DG!$B$2,)</f>
        <v>0</v>
      </c>
      <c r="F1400" s="1083" t="str">
        <f>VLOOKUP($B1400,DG!A:D,DG!$C$2,)</f>
        <v>Co  90 độ PVC 90</v>
      </c>
      <c r="G1400" s="1082" t="str">
        <f>VLOOKUP($B1400,DG!A:D,DG!$D$2,)</f>
        <v>cái</v>
      </c>
      <c r="H1400" s="1873">
        <f t="shared" si="124"/>
        <v>1</v>
      </c>
      <c r="I1400" s="1262">
        <f t="shared" si="123"/>
        <v>0</v>
      </c>
      <c r="J1400" s="1084"/>
      <c r="K1400" s="1084"/>
      <c r="L1400" s="1113"/>
      <c r="M1400" s="977">
        <v>250</v>
      </c>
    </row>
    <row r="1401" spans="1:13" s="1086" customFormat="1" ht="25.15" hidden="1" customHeight="1">
      <c r="A1401" s="1156">
        <f t="shared" si="122"/>
        <v>0</v>
      </c>
      <c r="B1401" s="77" t="s">
        <v>1217</v>
      </c>
      <c r="C1401" s="77">
        <v>1</v>
      </c>
      <c r="D1401" s="1093"/>
      <c r="E1401" s="1082">
        <f>VLOOKUP($B1401,DG!A:D,DG!$B$2,)</f>
        <v>0</v>
      </c>
      <c r="F1401" s="1083" t="str">
        <f>VLOOKUP($B1401,DG!A:D,DG!$C$2,)</f>
        <v>Co 135 độ PVC 90</v>
      </c>
      <c r="G1401" s="1082" t="str">
        <f>VLOOKUP($B1401,DG!A:D,DG!$D$2,)</f>
        <v>cái</v>
      </c>
      <c r="H1401" s="1873">
        <f t="shared" si="124"/>
        <v>1</v>
      </c>
      <c r="I1401" s="1262">
        <f t="shared" si="123"/>
        <v>0</v>
      </c>
      <c r="J1401" s="1084"/>
      <c r="K1401" s="1084"/>
      <c r="L1401" s="1113"/>
      <c r="M1401" s="977">
        <v>250</v>
      </c>
    </row>
    <row r="1402" spans="1:13" s="1086" customFormat="1" ht="25.15" hidden="1" customHeight="1">
      <c r="A1402" s="1156">
        <f t="shared" si="122"/>
        <v>0</v>
      </c>
      <c r="B1402" s="1157" t="s">
        <v>1494</v>
      </c>
      <c r="C1402" s="1157">
        <v>12</v>
      </c>
      <c r="D1402" s="1093"/>
      <c r="E1402" s="1082" t="str">
        <f>VLOOKUP($B1402,DG!A:D,DG!$B$2,)</f>
        <v>04.8003</v>
      </c>
      <c r="F1402" s="1083" t="str">
        <f>VLOOKUP($B1402,DG!A:D,DG!$C$2,)</f>
        <v xml:space="preserve">Ống PVC D90x3,8mm </v>
      </c>
      <c r="G1402" s="1082" t="str">
        <f>VLOOKUP($B1402,DG!A:D,DG!$D$2,)</f>
        <v>m</v>
      </c>
      <c r="H1402" s="1873">
        <f t="shared" si="124"/>
        <v>12</v>
      </c>
      <c r="I1402" s="1262">
        <f t="shared" si="123"/>
        <v>0</v>
      </c>
      <c r="J1402" s="1084"/>
      <c r="K1402" s="1084"/>
      <c r="L1402" s="1113"/>
      <c r="M1402" s="977">
        <v>250</v>
      </c>
    </row>
    <row r="1403" spans="1:13" s="1086" customFormat="1" ht="25.15" hidden="1" customHeight="1">
      <c r="A1403" s="1156">
        <f t="shared" si="122"/>
        <v>0</v>
      </c>
      <c r="B1403" s="1349" t="s">
        <v>276</v>
      </c>
      <c r="C1403" s="1349">
        <v>3</v>
      </c>
      <c r="D1403" s="1093"/>
      <c r="E1403" s="1082" t="str">
        <f>VLOOKUP($B1403,DG!A:D,DG!$B$2,)</f>
        <v>06.3231</v>
      </c>
      <c r="F1403" s="1083" t="str">
        <f>VLOOKUP($B1403,DG!A:D,DG!$C$2,)</f>
        <v>Cổ dê kẹp ống PVC Ø 90</v>
      </c>
      <c r="G1403" s="1082" t="str">
        <f>VLOOKUP($B1403,DG!A:D,DG!$D$2,)</f>
        <v>bộ</v>
      </c>
      <c r="H1403" s="1873">
        <f t="shared" si="124"/>
        <v>3</v>
      </c>
      <c r="I1403" s="1262">
        <f t="shared" si="123"/>
        <v>0</v>
      </c>
      <c r="J1403" s="1084"/>
      <c r="K1403" s="1084"/>
      <c r="L1403" s="1113"/>
      <c r="M1403" s="977">
        <v>250</v>
      </c>
    </row>
    <row r="1404" spans="1:13" s="1086" customFormat="1" ht="25.15" hidden="1" customHeight="1">
      <c r="A1404" s="1156">
        <f t="shared" si="122"/>
        <v>0</v>
      </c>
      <c r="B1404" s="1157" t="s">
        <v>1133</v>
      </c>
      <c r="C1404" s="1157">
        <v>3</v>
      </c>
      <c r="D1404" s="1093"/>
      <c r="E1404" s="1082" t="str">
        <f>VLOOKUP($B1404,DG!A:D,DG!$B$2,)</f>
        <v>06.2110</v>
      </c>
      <c r="F1404" s="1083" t="str">
        <f>VLOOKUP($B1404,DG!A:D,DG!$C$2,)</f>
        <v>Lắp cổ dề</v>
      </c>
      <c r="G1404" s="1082" t="str">
        <f>VLOOKUP($B1404,DG!A:D,DG!$D$2,)</f>
        <v>bộ</v>
      </c>
      <c r="H1404" s="1873">
        <f t="shared" si="124"/>
        <v>3</v>
      </c>
      <c r="I1404" s="1262">
        <f t="shared" si="123"/>
        <v>0</v>
      </c>
      <c r="J1404" s="1084"/>
      <c r="K1404" s="1084"/>
      <c r="L1404" s="1113"/>
      <c r="M1404" s="977">
        <v>250</v>
      </c>
    </row>
    <row r="1405" spans="1:13" s="1086" customFormat="1" ht="25.15" hidden="1" customHeight="1">
      <c r="A1405" s="1156">
        <f t="shared" si="122"/>
        <v>0</v>
      </c>
      <c r="B1405" s="1349" t="s">
        <v>4635</v>
      </c>
      <c r="C1405" s="1349">
        <v>1</v>
      </c>
      <c r="D1405" s="1093"/>
      <c r="E1405" s="1082">
        <f>VLOOKUP($B1405,DG!A:D,DG!$B$2,)</f>
        <v>0</v>
      </c>
      <c r="F1405" s="1083" t="str">
        <f>VLOOKUP($B1405,DG!A:D,DG!$C$2,)</f>
        <v>Co sừng 90 độ PVC 114</v>
      </c>
      <c r="G1405" s="1082" t="str">
        <f>VLOOKUP($B1405,DG!A:D,DG!$D$2,)</f>
        <v>cái</v>
      </c>
      <c r="H1405" s="1873">
        <f t="shared" si="124"/>
        <v>1</v>
      </c>
      <c r="I1405" s="1262">
        <f t="shared" si="123"/>
        <v>0</v>
      </c>
      <c r="J1405" s="1084"/>
      <c r="K1405" s="1084"/>
      <c r="L1405" s="1113"/>
      <c r="M1405" s="977">
        <v>250</v>
      </c>
    </row>
    <row r="1406" spans="1:13" s="1086" customFormat="1" ht="25.15" hidden="1" customHeight="1">
      <c r="A1406" s="1156">
        <f t="shared" si="122"/>
        <v>0</v>
      </c>
      <c r="B1406" s="1327" t="s">
        <v>2175</v>
      </c>
      <c r="C1406" s="1327"/>
      <c r="D1406" s="1093"/>
      <c r="E1406" s="1082">
        <f>VLOOKUP($B1406,DG!A:D,DG!$B$2,)</f>
        <v>0</v>
      </c>
      <c r="F1406" s="1083" t="str">
        <f>VLOOKUP($B1406,DG!A:D,DG!$C$2,)</f>
        <v>Khâu ven răng trong D114</v>
      </c>
      <c r="G1406" s="1082" t="str">
        <f>VLOOKUP($B1406,DG!A:D,DG!$D$2,)</f>
        <v>cái</v>
      </c>
      <c r="H1406" s="1873">
        <f t="shared" si="124"/>
        <v>0</v>
      </c>
      <c r="I1406" s="1262">
        <f t="shared" si="123"/>
        <v>0</v>
      </c>
      <c r="J1406" s="1084"/>
      <c r="K1406" s="1084"/>
      <c r="L1406" s="1113"/>
      <c r="M1406" s="977">
        <v>250</v>
      </c>
    </row>
    <row r="1407" spans="1:13" s="1086" customFormat="1" ht="25.15" hidden="1" customHeight="1">
      <c r="A1407" s="1156">
        <f t="shared" si="122"/>
        <v>0</v>
      </c>
      <c r="B1407" s="1327" t="s">
        <v>2176</v>
      </c>
      <c r="C1407" s="1327"/>
      <c r="D1407" s="1093"/>
      <c r="E1407" s="1082">
        <f>VLOOKUP($B1407,DG!A:D,DG!$B$2,)</f>
        <v>0</v>
      </c>
      <c r="F1407" s="1083" t="str">
        <f>VLOOKUP($B1407,DG!A:D,DG!$C$2,)&amp;": "</f>
        <v xml:space="preserve">Khâu ven răng ngoài D114: </v>
      </c>
      <c r="G1407" s="1082" t="str">
        <f>VLOOKUP($B1407,DG!A:D,DG!$D$2,)</f>
        <v>cái</v>
      </c>
      <c r="H1407" s="1873">
        <f t="shared" si="124"/>
        <v>0</v>
      </c>
      <c r="I1407" s="1262">
        <f t="shared" si="123"/>
        <v>0</v>
      </c>
      <c r="J1407" s="1084"/>
      <c r="K1407" s="1084"/>
      <c r="L1407" s="1113"/>
      <c r="M1407" s="977">
        <v>250</v>
      </c>
    </row>
    <row r="1408" spans="1:13" s="1086" customFormat="1" ht="25.15" hidden="1" customHeight="1">
      <c r="A1408" s="1156">
        <f t="shared" si="122"/>
        <v>0</v>
      </c>
      <c r="B1408" s="1327" t="s">
        <v>2082</v>
      </c>
      <c r="C1408" s="1327">
        <v>1</v>
      </c>
      <c r="D1408" s="1093"/>
      <c r="E1408" s="1082">
        <f>VLOOKUP($B1408,DG!A:D,DG!$B$2,)</f>
        <v>0</v>
      </c>
      <c r="F1408" s="1083" t="str">
        <f>VLOOKUP($B1408,DG!A:D,DG!$C$2,)&amp;": "</f>
        <v xml:space="preserve">Keo dán ống PVC (100gr): </v>
      </c>
      <c r="G1408" s="1082" t="str">
        <f>VLOOKUP($B1408,DG!A:D,DG!$D$2,)</f>
        <v>tuýp</v>
      </c>
      <c r="H1408" s="1873">
        <f t="shared" si="124"/>
        <v>1</v>
      </c>
      <c r="I1408" s="1262">
        <f t="shared" si="123"/>
        <v>0</v>
      </c>
      <c r="J1408" s="1084"/>
      <c r="K1408" s="1084"/>
      <c r="L1408" s="1113"/>
      <c r="M1408" s="977">
        <v>250</v>
      </c>
    </row>
    <row r="1409" spans="1:13" s="1086" customFormat="1" ht="25.15" hidden="1" customHeight="1">
      <c r="A1409" s="1156">
        <f t="shared" si="122"/>
        <v>0</v>
      </c>
      <c r="B1409" s="1157" t="s">
        <v>6</v>
      </c>
      <c r="C1409" s="1157">
        <v>1</v>
      </c>
      <c r="D1409" s="1093"/>
      <c r="E1409" s="1082"/>
      <c r="F1409" s="1083" t="str">
        <f>VLOOKUP($B1409,DG!A:D,DG!$C$2,)&amp;":"</f>
        <v>Keo silicon bít miệng ống:</v>
      </c>
      <c r="G1409" s="1082" t="str">
        <f>VLOOKUP($B1409,DG!A:D,DG!$D$2,)</f>
        <v>ống</v>
      </c>
      <c r="H1409" s="1873">
        <f t="shared" si="124"/>
        <v>1</v>
      </c>
      <c r="I1409" s="1262">
        <f t="shared" si="123"/>
        <v>0</v>
      </c>
      <c r="J1409" s="1084"/>
      <c r="K1409" s="1084"/>
      <c r="L1409" s="1085"/>
      <c r="M1409" s="977">
        <v>250</v>
      </c>
    </row>
    <row r="1410" spans="1:13" s="1086" customFormat="1" ht="25.15" hidden="1" customHeight="1">
      <c r="A1410" s="1156">
        <f t="shared" si="122"/>
        <v>0</v>
      </c>
      <c r="B1410" s="1327" t="s">
        <v>2284</v>
      </c>
      <c r="C1410" s="1327">
        <v>4</v>
      </c>
      <c r="D1410" s="1093"/>
      <c r="E1410" s="1082" t="str">
        <f>VLOOKUP($B1410,DG!A:D,DG!$B$2,)</f>
        <v>03.1401</v>
      </c>
      <c r="F1410" s="1083" t="str">
        <f>VLOOKUP($B1410,DG!A:D,DG!$C$2,)</f>
        <v xml:space="preserve">Cáp CVV 4x4mm2  </v>
      </c>
      <c r="G1410" s="1082" t="str">
        <f>VLOOKUP($B1410,DG!A:D,DG!$D$2,)</f>
        <v>mét</v>
      </c>
      <c r="H1410" s="1873">
        <f t="shared" si="124"/>
        <v>4</v>
      </c>
      <c r="I1410" s="1262">
        <f t="shared" si="123"/>
        <v>0</v>
      </c>
      <c r="J1410" s="1084"/>
      <c r="K1410" s="1084"/>
      <c r="L1410" s="1085"/>
      <c r="M1410" s="977">
        <v>250</v>
      </c>
    </row>
    <row r="1411" spans="1:13" s="1086" customFormat="1" ht="25.15" hidden="1" customHeight="1">
      <c r="A1411" s="1156">
        <f t="shared" si="122"/>
        <v>0</v>
      </c>
      <c r="B1411" s="1157" t="s">
        <v>672</v>
      </c>
      <c r="C1411" s="1157">
        <v>2</v>
      </c>
      <c r="D1411" s="1093"/>
      <c r="E1411" s="1082">
        <f>VLOOKUP($B1411,DG!A:D,DG!$B$2,)</f>
        <v>0</v>
      </c>
      <c r="F1411" s="1083" t="str">
        <f>VLOOKUP($B1411,DG!A:D,DG!$C$2,)&amp;":"</f>
        <v>Băng keo cách điện:</v>
      </c>
      <c r="G1411" s="1082" t="str">
        <f>VLOOKUP($B1411,DG!A:D,DG!$D$2,)</f>
        <v>cuộn</v>
      </c>
      <c r="H1411" s="1873">
        <f t="shared" si="124"/>
        <v>2</v>
      </c>
      <c r="I1411" s="1262">
        <f t="shared" si="123"/>
        <v>0</v>
      </c>
      <c r="J1411" s="1084"/>
      <c r="K1411" s="1084"/>
      <c r="L1411" s="1113"/>
      <c r="M1411" s="977">
        <v>250</v>
      </c>
    </row>
    <row r="1412" spans="1:13" s="1086" customFormat="1" ht="25.15" hidden="1" customHeight="1">
      <c r="A1412" s="1156">
        <f t="shared" ref="A1412" si="125">IF(I1412&gt;0,1,0)</f>
        <v>0</v>
      </c>
      <c r="B1412" s="1157" t="s">
        <v>247</v>
      </c>
      <c r="C1412" s="1157">
        <v>9</v>
      </c>
      <c r="D1412" s="1093"/>
      <c r="E1412" s="1082" t="str">
        <f>VLOOKUP($B1412,DG!A:D,DG!$B$2,)</f>
        <v>04.4203</v>
      </c>
      <c r="F1412" s="1083" t="str">
        <f>VLOOKUP($B1412,DG!A:D,DG!$C$2,)&amp;":"</f>
        <v>Lắp cáp đồng xuống thiết bị D &gt; 150mm2:</v>
      </c>
      <c r="G1412" s="1082" t="str">
        <f>VLOOKUP($B1412,DG!A:D,DG!$D$2,)</f>
        <v>m</v>
      </c>
      <c r="H1412" s="1873">
        <f t="shared" si="124"/>
        <v>9</v>
      </c>
      <c r="I1412" s="1262">
        <f t="shared" ref="I1412" si="126">IF(M1412=$M$23,H1412+J1412-K1412,0)</f>
        <v>0</v>
      </c>
      <c r="J1412" s="1084"/>
      <c r="K1412" s="1084"/>
      <c r="L1412" s="1113"/>
      <c r="M1412" s="977">
        <v>250</v>
      </c>
    </row>
    <row r="1413" spans="1:13" s="1086" customFormat="1" ht="25.15" hidden="1" customHeight="1">
      <c r="A1413" s="1156">
        <f t="shared" ref="A1413" si="127">IF(I1413&gt;0,1,0)</f>
        <v>0</v>
      </c>
      <c r="B1413" s="1157" t="s">
        <v>2012</v>
      </c>
      <c r="C1413" s="1157">
        <v>10</v>
      </c>
      <c r="D1413" s="1093"/>
      <c r="E1413" s="1082" t="str">
        <f>VLOOKUP($B1413,DG!A:D,DG!$B$2,)</f>
        <v>04.4202</v>
      </c>
      <c r="F1413" s="1083" t="str">
        <f>VLOOKUP($B1413,DG!A:D,DG!$C$2,)&amp;":"</f>
        <v>Lắp cáp đồng xuống thiết bị D ≤ 150mm2:</v>
      </c>
      <c r="G1413" s="1082" t="str">
        <f>VLOOKUP($B1413,DG!A:D,DG!$D$2,)</f>
        <v>m</v>
      </c>
      <c r="H1413" s="1873">
        <f t="shared" si="124"/>
        <v>10</v>
      </c>
      <c r="I1413" s="1262">
        <f t="shared" ref="I1413" si="128">IF(M1413=$M$23,H1413+J1413-K1413,0)</f>
        <v>0</v>
      </c>
      <c r="J1413" s="1084"/>
      <c r="K1413" s="1084"/>
      <c r="L1413" s="1113"/>
      <c r="M1413" s="977">
        <v>250</v>
      </c>
    </row>
    <row r="1414" spans="1:13" s="1086" customFormat="1" ht="25.15" hidden="1" customHeight="1">
      <c r="A1414" s="1156">
        <f t="shared" si="122"/>
        <v>0</v>
      </c>
      <c r="B1414" s="1157" t="s">
        <v>1221</v>
      </c>
      <c r="C1414" s="1157">
        <v>1</v>
      </c>
      <c r="D1414" s="1093"/>
      <c r="E1414" s="1082" t="str">
        <f>VLOOKUP($B1414,DG!A:D,DG!$B$2,)</f>
        <v>06.3191</v>
      </c>
      <c r="F1414" s="1083" t="str">
        <f>VLOOKUP($B1414,DG!A:D,DG!$C$2,)&amp;":"</f>
        <v>Bảng tên trạm, bảng báo nguy hiểm + đinh vít:</v>
      </c>
      <c r="G1414" s="1082" t="str">
        <f>VLOOKUP($B1414,DG!A:D,DG!$D$2,)</f>
        <v>bộ</v>
      </c>
      <c r="H1414" s="1873">
        <f t="shared" si="124"/>
        <v>1</v>
      </c>
      <c r="I1414" s="1262">
        <f t="shared" si="123"/>
        <v>0</v>
      </c>
      <c r="J1414" s="1084"/>
      <c r="K1414" s="1084"/>
      <c r="L1414" s="1113"/>
      <c r="M1414" s="977">
        <v>250</v>
      </c>
    </row>
    <row r="1415" spans="1:13" s="1086" customFormat="1" ht="25.15" hidden="1" customHeight="1">
      <c r="A1415" s="1156">
        <f t="shared" si="122"/>
        <v>0</v>
      </c>
      <c r="B1415" s="1157"/>
      <c r="C1415" s="1157"/>
      <c r="D1415" s="1087">
        <f>IF(H1415&gt;0,D1391+1,D1391)</f>
        <v>5</v>
      </c>
      <c r="E1415" s="1088"/>
      <c r="F1415" s="1097" t="s">
        <v>3750</v>
      </c>
      <c r="G1415" s="1087" t="s">
        <v>2394</v>
      </c>
      <c r="H1415" s="1910"/>
      <c r="I1415" s="1262">
        <f t="shared" si="123"/>
        <v>0</v>
      </c>
      <c r="J1415" s="1084"/>
      <c r="K1415" s="1084"/>
      <c r="L1415" s="1113"/>
      <c r="M1415" s="977">
        <v>250</v>
      </c>
    </row>
    <row r="1416" spans="1:13" s="1137" customFormat="1" ht="25.15" hidden="1" customHeight="1">
      <c r="A1416" s="1156">
        <f>IF(A1415&gt;0,1,0)</f>
        <v>0</v>
      </c>
      <c r="B1416" s="1360"/>
      <c r="C1416" s="1360"/>
      <c r="D1416" s="1081"/>
      <c r="E1416" s="1091"/>
      <c r="F1416" s="1371" t="s">
        <v>2287</v>
      </c>
      <c r="G1416" s="1081"/>
      <c r="H1416" s="1890"/>
      <c r="I1416" s="1262">
        <f t="shared" si="123"/>
        <v>0</v>
      </c>
      <c r="J1416" s="1084"/>
      <c r="K1416" s="1084"/>
      <c r="L1416" s="1113"/>
      <c r="M1416" s="977">
        <v>250</v>
      </c>
    </row>
    <row r="1417" spans="1:13" s="1086" customFormat="1" ht="25.15" hidden="1" customHeight="1">
      <c r="A1417" s="1156">
        <f t="shared" si="122"/>
        <v>0</v>
      </c>
      <c r="B1417" s="1327" t="s">
        <v>1828</v>
      </c>
      <c r="C1417" s="1327"/>
      <c r="D1417" s="1113"/>
      <c r="E1417" s="1082" t="str">
        <f>VLOOKUP($B1417,DG!A:D,DG!$B$2,)</f>
        <v>03.1401</v>
      </c>
      <c r="F1417" s="1111" t="str">
        <f>VLOOKUP($B1417,DG!A:D,DG!$C$2,)</f>
        <v xml:space="preserve">Cáp CVV 4x2,5mm2  </v>
      </c>
      <c r="G1417" s="1138" t="str">
        <f>VLOOKUP($B1417,DG!A:D,DG!$D$2,)</f>
        <v>mét</v>
      </c>
      <c r="H1417" s="1873">
        <f>H1415*26</f>
        <v>0</v>
      </c>
      <c r="I1417" s="1262">
        <f t="shared" si="123"/>
        <v>0</v>
      </c>
      <c r="J1417" s="1134"/>
      <c r="K1417" s="1134"/>
      <c r="L1417" s="1113"/>
      <c r="M1417" s="977">
        <v>250</v>
      </c>
    </row>
    <row r="1418" spans="1:13" s="1086" customFormat="1" ht="25.15" hidden="1" customHeight="1">
      <c r="A1418" s="1156">
        <f t="shared" si="122"/>
        <v>0</v>
      </c>
      <c r="B1418" s="1327" t="s">
        <v>246</v>
      </c>
      <c r="C1418" s="1327"/>
      <c r="D1418" s="1113"/>
      <c r="E1418" s="1082" t="str">
        <f>VLOOKUP($B1418,DG!A:D,DG!$B$2,)</f>
        <v>05.6101</v>
      </c>
      <c r="F1418" s="1111" t="str">
        <f>VLOOKUP($B1418,DG!A:D,DG!$C$2,)</f>
        <v>Xà kẹp TU, TI U50x32x4 350</v>
      </c>
      <c r="G1418" s="1138" t="str">
        <f>VLOOKUP($B1418,DG!A:D,DG!$D$2,)</f>
        <v>Bộ</v>
      </c>
      <c r="H1418" s="1873">
        <f>H1415*24</f>
        <v>0</v>
      </c>
      <c r="I1418" s="1262">
        <f t="shared" si="123"/>
        <v>0</v>
      </c>
      <c r="J1418" s="1134"/>
      <c r="K1418" s="1134"/>
      <c r="L1418" s="1113"/>
      <c r="M1418" s="977">
        <v>250</v>
      </c>
    </row>
    <row r="1419" spans="1:13" s="1086" customFormat="1" ht="25.15" hidden="1" customHeight="1">
      <c r="A1419" s="1156">
        <f t="shared" si="122"/>
        <v>0</v>
      </c>
      <c r="B1419" s="1327" t="s">
        <v>1871</v>
      </c>
      <c r="C1419" s="1327"/>
      <c r="D1419" s="1093"/>
      <c r="E1419" s="1082" t="str">
        <f>VLOOKUP($B1419,DG!A:D,DG!$B$2,)</f>
        <v>03.4001</v>
      </c>
      <c r="F1419" s="1111" t="str">
        <f>VLOOKUP($B1419,DG!A:D,DG!$C$2,)</f>
        <v xml:space="preserve">Đầu cosse ép Cu 2,5mm2 + bao PVC </v>
      </c>
      <c r="G1419" s="1138" t="str">
        <f>VLOOKUP($B1419,DG!A:D,DG!$D$2,)</f>
        <v>cái</v>
      </c>
      <c r="H1419" s="1873">
        <f>H1415*16</f>
        <v>0</v>
      </c>
      <c r="I1419" s="1262">
        <f t="shared" si="123"/>
        <v>0</v>
      </c>
      <c r="J1419" s="1134"/>
      <c r="K1419" s="1134"/>
      <c r="L1419" s="1113"/>
      <c r="M1419" s="977">
        <v>250</v>
      </c>
    </row>
    <row r="1420" spans="1:13" s="1086" customFormat="1" ht="25.15" hidden="1" customHeight="1">
      <c r="A1420" s="1156">
        <f t="shared" si="122"/>
        <v>0</v>
      </c>
      <c r="B1420" s="1327" t="s">
        <v>1515</v>
      </c>
      <c r="C1420" s="1327"/>
      <c r="D1420" s="1093"/>
      <c r="E1420" s="1082">
        <f>VLOOKUP($B1420,DG!A:D,DG!$B$2,)</f>
        <v>0</v>
      </c>
      <c r="F1420" s="1111" t="str">
        <f>VLOOKUP($B1420,DG!A:D,DG!$C$2,)</f>
        <v>Dây điện đôi 16/10</v>
      </c>
      <c r="G1420" s="1138" t="str">
        <f>VLOOKUP($B1420,DG!A:D,DG!$D$2,)</f>
        <v>mét</v>
      </c>
      <c r="H1420" s="1873">
        <f>2*H1415</f>
        <v>0</v>
      </c>
      <c r="I1420" s="1262">
        <f t="shared" si="123"/>
        <v>0</v>
      </c>
      <c r="J1420" s="1134"/>
      <c r="K1420" s="1134"/>
      <c r="L1420" s="1113"/>
      <c r="M1420" s="977">
        <v>250</v>
      </c>
    </row>
    <row r="1421" spans="1:13" s="1086" customFormat="1" ht="25.15" hidden="1" customHeight="1">
      <c r="A1421" s="1156">
        <f t="shared" si="122"/>
        <v>0</v>
      </c>
      <c r="B1421" s="1327" t="s">
        <v>1116</v>
      </c>
      <c r="C1421" s="1327"/>
      <c r="D1421" s="1093"/>
      <c r="E1421" s="1082">
        <f>VLOOKUP($B1421,DG!A:D,DG!$B$2,)</f>
        <v>0</v>
      </c>
      <c r="F1421" s="1111" t="str">
        <f>VLOOKUP($B1421,DG!A:D,DG!$C$2,)&amp;" (ñaáu TU )"</f>
        <v>Kẹp ép cỡ dây 25mm2 (ñaáu TU )</v>
      </c>
      <c r="G1421" s="1138" t="str">
        <f>VLOOKUP($B1421,DG!A:D,DG!$D$2,)</f>
        <v>cái</v>
      </c>
      <c r="H1421" s="1873">
        <f>+H1415*3</f>
        <v>0</v>
      </c>
      <c r="I1421" s="1262">
        <f t="shared" si="123"/>
        <v>0</v>
      </c>
      <c r="J1421" s="1134"/>
      <c r="K1421" s="1134"/>
      <c r="L1421" s="1113"/>
      <c r="M1421" s="977">
        <v>250</v>
      </c>
    </row>
    <row r="1422" spans="1:13" s="1086" customFormat="1" ht="25.15" hidden="1" customHeight="1">
      <c r="A1422" s="1156">
        <f t="shared" si="122"/>
        <v>0</v>
      </c>
      <c r="B1422" s="1327" t="s">
        <v>2149</v>
      </c>
      <c r="C1422" s="1327"/>
      <c r="D1422" s="1093"/>
      <c r="E1422" s="1082" t="str">
        <f>VLOOKUP($B1422,DG!A:D,DG!$B$2,)</f>
        <v>07.2403</v>
      </c>
      <c r="F1422" s="1111" t="str">
        <f>VLOOKUP($B1422,DG!A:D,DG!$C$2,)</f>
        <v>Ống PVC D42x2,1mm</v>
      </c>
      <c r="G1422" s="1138" t="str">
        <f>VLOOKUP($B1422,DG!A:D,DG!$D$2,)</f>
        <v>m</v>
      </c>
      <c r="H1422" s="1873">
        <f>H1415*16</f>
        <v>0</v>
      </c>
      <c r="I1422" s="1262">
        <f t="shared" si="123"/>
        <v>0</v>
      </c>
      <c r="J1422" s="1134"/>
      <c r="K1422" s="1134"/>
      <c r="L1422" s="1113"/>
      <c r="M1422" s="977">
        <v>250</v>
      </c>
    </row>
    <row r="1423" spans="1:13" s="1086" customFormat="1" ht="25.15" hidden="1" customHeight="1">
      <c r="A1423" s="1156">
        <f t="shared" si="122"/>
        <v>0</v>
      </c>
      <c r="B1423" s="1157" t="s">
        <v>204</v>
      </c>
      <c r="C1423" s="1157"/>
      <c r="D1423" s="1093"/>
      <c r="E1423" s="1082" t="str">
        <f>VLOOKUP($B1423,DG!A:D,DG!$B$2,)</f>
        <v>06.3231</v>
      </c>
      <c r="F1423" s="1111" t="str">
        <f>VLOOKUP($B1423,DG!A:D,DG!$C$2,)</f>
        <v>Cổ dê giữ ống PVC D42</v>
      </c>
      <c r="G1423" s="1138" t="str">
        <f>VLOOKUP($B1423,DG!A:D,DG!$D$2,)</f>
        <v>bộ</v>
      </c>
      <c r="H1423" s="1873">
        <f>H1415*4</f>
        <v>0</v>
      </c>
      <c r="I1423" s="1262">
        <f t="shared" si="123"/>
        <v>0</v>
      </c>
      <c r="J1423" s="1134"/>
      <c r="K1423" s="1134"/>
      <c r="L1423" s="1113"/>
      <c r="M1423" s="977">
        <v>250</v>
      </c>
    </row>
    <row r="1424" spans="1:13" s="1086" customFormat="1" ht="25.15" hidden="1" customHeight="1">
      <c r="A1424" s="1156">
        <f t="shared" si="122"/>
        <v>0</v>
      </c>
      <c r="B1424" s="1327" t="s">
        <v>1621</v>
      </c>
      <c r="C1424" s="1327"/>
      <c r="D1424" s="1093"/>
      <c r="E1424" s="1082">
        <f>VLOOKUP($B1424,DG!A:D,DG!$B$2,)</f>
        <v>0</v>
      </c>
      <c r="F1424" s="1111" t="str">
        <f>VLOOKUP($B1424,DG!A:D,DG!$C$2,)</f>
        <v>Co 90 độ PVC 42</v>
      </c>
      <c r="G1424" s="1138" t="str">
        <f>VLOOKUP($B1424,DG!A:D,DG!$D$2,)</f>
        <v>cái</v>
      </c>
      <c r="H1424" s="1873">
        <f>H1415*5</f>
        <v>0</v>
      </c>
      <c r="I1424" s="1262">
        <f t="shared" si="123"/>
        <v>0</v>
      </c>
      <c r="J1424" s="1134"/>
      <c r="K1424" s="1134"/>
      <c r="L1424" s="1113"/>
      <c r="M1424" s="977">
        <v>250</v>
      </c>
    </row>
    <row r="1425" spans="1:13" s="1086" customFormat="1" ht="25.15" hidden="1" customHeight="1">
      <c r="A1425" s="1156">
        <f t="shared" si="122"/>
        <v>0</v>
      </c>
      <c r="B1425" s="1327" t="s">
        <v>1052</v>
      </c>
      <c r="C1425" s="1327"/>
      <c r="D1425" s="1093"/>
      <c r="E1425" s="1082">
        <f>VLOOKUP($B1425,DG!A:D,DG!$B$2,)</f>
        <v>0</v>
      </c>
      <c r="F1425" s="1111" t="str">
        <f>VLOOKUP($B1425,DG!A:D,DG!$C$2,)</f>
        <v>Co chữ T ống PVC 42</v>
      </c>
      <c r="G1425" s="1138" t="str">
        <f>VLOOKUP($B1425,DG!A:D,DG!$D$2,)</f>
        <v>cái</v>
      </c>
      <c r="H1425" s="1873">
        <f>H1415*5</f>
        <v>0</v>
      </c>
      <c r="I1425" s="1262">
        <f t="shared" si="123"/>
        <v>0</v>
      </c>
      <c r="J1425" s="1134"/>
      <c r="K1425" s="1134"/>
      <c r="L1425" s="1113"/>
      <c r="M1425" s="977">
        <v>250</v>
      </c>
    </row>
    <row r="1426" spans="1:13" s="1086" customFormat="1" ht="25.15" hidden="1" customHeight="1">
      <c r="A1426" s="1156">
        <f t="shared" si="122"/>
        <v>0</v>
      </c>
      <c r="B1426" s="1327" t="s">
        <v>1919</v>
      </c>
      <c r="C1426" s="1327"/>
      <c r="D1426" s="1093"/>
      <c r="E1426" s="1082">
        <f>VLOOKUP($B1426,DG!A:D,DG!$B$2,)</f>
        <v>0</v>
      </c>
      <c r="F1426" s="1111" t="str">
        <f>VLOOKUP($B1426,DG!A:D,DG!$C$2,)</f>
        <v>Nối thẳng ống PVC 42</v>
      </c>
      <c r="G1426" s="1138" t="str">
        <f>VLOOKUP($B1426,DG!A:D,DG!$D$2,)</f>
        <v>cái</v>
      </c>
      <c r="H1426" s="1873">
        <f>H1415</f>
        <v>0</v>
      </c>
      <c r="I1426" s="1262">
        <f t="shared" si="123"/>
        <v>0</v>
      </c>
      <c r="J1426" s="1134"/>
      <c r="K1426" s="1134"/>
      <c r="L1426" s="1113"/>
      <c r="M1426" s="977">
        <v>250</v>
      </c>
    </row>
    <row r="1427" spans="1:13" s="1086" customFormat="1" ht="25.15" hidden="1" customHeight="1">
      <c r="A1427" s="1156">
        <f t="shared" si="122"/>
        <v>0</v>
      </c>
      <c r="B1427" s="1327" t="s">
        <v>699</v>
      </c>
      <c r="C1427" s="1327"/>
      <c r="D1427" s="1093"/>
      <c r="E1427" s="1082">
        <f>VLOOKUP($B1427,DG!A:D,DG!$B$2,)</f>
        <v>0</v>
      </c>
      <c r="F1427" s="1111" t="str">
        <f>VLOOKUP($B1427,DG!A:D,DG!$C$2,)&amp;" ñaáu TU"</f>
        <v>Cáp 24KV CX-25mm2 ñaáu TU</v>
      </c>
      <c r="G1427" s="1138" t="str">
        <f>VLOOKUP($B1427,DG!A:D,DG!$D$2,)</f>
        <v>mét</v>
      </c>
      <c r="H1427" s="1873">
        <f>H1415*2.5*3*0</f>
        <v>0</v>
      </c>
      <c r="I1427" s="1262">
        <f t="shared" si="123"/>
        <v>0</v>
      </c>
      <c r="J1427" s="1134"/>
      <c r="K1427" s="1134"/>
      <c r="L1427" s="1113"/>
      <c r="M1427" s="977">
        <v>250</v>
      </c>
    </row>
    <row r="1428" spans="1:13" s="1086" customFormat="1" ht="25.15" hidden="1" customHeight="1">
      <c r="A1428" s="1156">
        <f t="shared" si="122"/>
        <v>0</v>
      </c>
      <c r="B1428" s="1327" t="s">
        <v>728</v>
      </c>
      <c r="C1428" s="1327"/>
      <c r="D1428" s="1093"/>
      <c r="E1428" s="1082">
        <f>VLOOKUP($B1428,DG!A:D,DG!$B$2,)</f>
        <v>0</v>
      </c>
      <c r="F1428" s="1111" t="str">
        <f>VLOOKUP($B1428,DG!A:D,DG!$C$2,)</f>
        <v>Keo dán ống PVC (500gr)</v>
      </c>
      <c r="G1428" s="1138" t="str">
        <f>VLOOKUP($B1428,DG!A:D,DG!$D$2,)</f>
        <v>lon</v>
      </c>
      <c r="H1428" s="1873">
        <f>H1415</f>
        <v>0</v>
      </c>
      <c r="I1428" s="1262">
        <f t="shared" si="123"/>
        <v>0</v>
      </c>
      <c r="J1428" s="1134"/>
      <c r="K1428" s="1134"/>
      <c r="L1428" s="1113"/>
      <c r="M1428" s="977">
        <v>250</v>
      </c>
    </row>
    <row r="1429" spans="1:13" s="1086" customFormat="1" ht="25.15" hidden="1" customHeight="1">
      <c r="A1429" s="1156">
        <f t="shared" si="122"/>
        <v>0</v>
      </c>
      <c r="B1429" s="1157" t="s">
        <v>672</v>
      </c>
      <c r="C1429" s="1157"/>
      <c r="D1429" s="1093"/>
      <c r="E1429" s="1082">
        <f>VLOOKUP($B1429,DG!A:D,DG!$B$2,)</f>
        <v>0</v>
      </c>
      <c r="F1429" s="1111" t="str">
        <f>VLOOKUP($B1429,DG!A:D,DG!$C$2,)</f>
        <v>Băng keo cách điện</v>
      </c>
      <c r="G1429" s="1138" t="str">
        <f>VLOOKUP($B1429,DG!A:D,DG!$D$2,)</f>
        <v>cuộn</v>
      </c>
      <c r="H1429" s="1873">
        <f>H1415</f>
        <v>0</v>
      </c>
      <c r="I1429" s="1262">
        <f t="shared" si="123"/>
        <v>0</v>
      </c>
      <c r="J1429" s="1084"/>
      <c r="K1429" s="1084"/>
      <c r="L1429" s="1113"/>
      <c r="M1429" s="977">
        <v>250</v>
      </c>
    </row>
    <row r="1430" spans="1:13" s="1086" customFormat="1" ht="25.15" hidden="1" customHeight="1">
      <c r="A1430" s="1156">
        <f t="shared" si="122"/>
        <v>0</v>
      </c>
      <c r="B1430" s="1327" t="s">
        <v>2128</v>
      </c>
      <c r="C1430" s="1327"/>
      <c r="D1430" s="1093"/>
      <c r="E1430" s="1082">
        <f>VLOOKUP($B1430,DG!A:D,DG!$B$2,)</f>
        <v>0</v>
      </c>
      <c r="F1430" s="1111" t="str">
        <f>VLOOKUP($B1430,DG!A:D,DG!$C$2,)</f>
        <v>Khâu ven răng trong D42</v>
      </c>
      <c r="G1430" s="1138" t="str">
        <f>VLOOKUP($B1430,DG!A:D,DG!$D$2,)</f>
        <v>cái</v>
      </c>
      <c r="H1430" s="1873">
        <f>H1415</f>
        <v>0</v>
      </c>
      <c r="I1430" s="1262">
        <f t="shared" si="123"/>
        <v>0</v>
      </c>
      <c r="J1430" s="1084"/>
      <c r="K1430" s="1084"/>
      <c r="L1430" s="1113"/>
      <c r="M1430" s="977">
        <v>250</v>
      </c>
    </row>
    <row r="1431" spans="1:13" s="1086" customFormat="1" ht="25.15" hidden="1" customHeight="1">
      <c r="A1431" s="1156">
        <f t="shared" si="122"/>
        <v>0</v>
      </c>
      <c r="B1431" s="1157" t="s">
        <v>961</v>
      </c>
      <c r="C1431" s="1157"/>
      <c r="D1431" s="1093"/>
      <c r="E1431" s="1082">
        <f>VLOOKUP($B1431,DG!A:D,DG!$B$2,)</f>
        <v>0</v>
      </c>
      <c r="F1431" s="1111" t="str">
        <f>VLOOKUP($B1431,DG!A:D,DG!$C$2,)</f>
        <v>Khâu ven răng ngoài D42</v>
      </c>
      <c r="G1431" s="1138" t="str">
        <f>VLOOKUP($B1431,DG!A:D,DG!$D$2,)</f>
        <v>cái</v>
      </c>
      <c r="H1431" s="1873">
        <f>H1415</f>
        <v>0</v>
      </c>
      <c r="I1431" s="1262">
        <f t="shared" si="123"/>
        <v>0</v>
      </c>
      <c r="J1431" s="1084"/>
      <c r="K1431" s="1084"/>
      <c r="L1431" s="1113"/>
      <c r="M1431" s="977">
        <v>250</v>
      </c>
    </row>
    <row r="1432" spans="1:13" s="1086" customFormat="1" ht="25.15" hidden="1" customHeight="1">
      <c r="A1432" s="1156">
        <f t="shared" ref="A1432:A1493" si="129">IF(I1432&gt;0,1,0)</f>
        <v>0</v>
      </c>
      <c r="B1432" s="1157" t="s">
        <v>319</v>
      </c>
      <c r="C1432" s="1157"/>
      <c r="D1432" s="1093"/>
      <c r="E1432" s="1082" t="str">
        <f>VLOOKUP($B1432,DG!A:D,DG!$B$2,)</f>
        <v>06.3231</v>
      </c>
      <c r="F1432" s="1111" t="str">
        <f>VLOOKUP($B1432,DG!A:D,DG!$C$2,)</f>
        <v>Cổ dê CDĐKĐT( bắt thùng điện kế)</v>
      </c>
      <c r="G1432" s="1138" t="str">
        <f>VLOOKUP($B1432,DG!A:D,DG!$D$2,)</f>
        <v>bộ</v>
      </c>
      <c r="H1432" s="1911">
        <f>H1415*2*0</f>
        <v>0</v>
      </c>
      <c r="I1432" s="1262">
        <f t="shared" si="123"/>
        <v>0</v>
      </c>
      <c r="J1432" s="1084"/>
      <c r="K1432" s="1084"/>
      <c r="L1432" s="1085"/>
      <c r="M1432" s="977">
        <v>250</v>
      </c>
    </row>
    <row r="1433" spans="1:13" s="1086" customFormat="1" ht="25.15" hidden="1" customHeight="1">
      <c r="A1433" s="1156">
        <f t="shared" si="129"/>
        <v>0</v>
      </c>
      <c r="B1433" s="1157" t="s">
        <v>1921</v>
      </c>
      <c r="C1433" s="1157"/>
      <c r="D1433" s="1093"/>
      <c r="E1433" s="1082" t="str">
        <f>VLOOKUP($B1433,DG!A:D,DG!$B$2,)</f>
        <v>05.1101</v>
      </c>
      <c r="F1433" s="1111" t="str">
        <f>VLOOKUP($B1433,DG!A:D,DG!$C$2,)</f>
        <v>Thùng điện kế 450x300x200mm đo đếm trung thế</v>
      </c>
      <c r="G1433" s="1138" t="str">
        <f>VLOOKUP($B1433,DG!A:D,DG!$D$2,)</f>
        <v>cái</v>
      </c>
      <c r="H1433" s="1873">
        <f>H1415*0</f>
        <v>0</v>
      </c>
      <c r="I1433" s="1262">
        <f t="shared" si="123"/>
        <v>0</v>
      </c>
      <c r="J1433" s="1084"/>
      <c r="K1433" s="1084"/>
      <c r="L1433" s="1113"/>
      <c r="M1433" s="977">
        <v>250</v>
      </c>
    </row>
    <row r="1434" spans="1:13" s="1086" customFormat="1" ht="25.15" hidden="1" customHeight="1">
      <c r="A1434" s="1156">
        <f t="shared" si="129"/>
        <v>0</v>
      </c>
      <c r="B1434" s="1157" t="s">
        <v>6</v>
      </c>
      <c r="C1434" s="1157"/>
      <c r="D1434" s="1093"/>
      <c r="E1434" s="1082">
        <f>VLOOKUP($B1434,DG!A:D,DG!$B$2,)</f>
        <v>0</v>
      </c>
      <c r="F1434" s="1111" t="str">
        <f>VLOOKUP($B1434,DG!A:D,DG!$C$2,)</f>
        <v>Keo silicon bít miệng ống</v>
      </c>
      <c r="G1434" s="1138" t="str">
        <f>VLOOKUP($B1434,DG!A:D,DG!$D$2,)</f>
        <v>ống</v>
      </c>
      <c r="H1434" s="1873">
        <f>H1415</f>
        <v>0</v>
      </c>
      <c r="I1434" s="1262">
        <f t="shared" si="123"/>
        <v>0</v>
      </c>
      <c r="J1434" s="1084"/>
      <c r="K1434" s="1084"/>
      <c r="L1434" s="1113"/>
      <c r="M1434" s="977">
        <v>250</v>
      </c>
    </row>
    <row r="1435" spans="1:13" s="1086" customFormat="1" ht="25.15" hidden="1" customHeight="1">
      <c r="A1435" s="1156">
        <f t="shared" si="129"/>
        <v>0</v>
      </c>
      <c r="B1435" s="1157" t="s">
        <v>2147</v>
      </c>
      <c r="C1435" s="1157"/>
      <c r="D1435" s="1093"/>
      <c r="E1435" s="1082">
        <f>VLOOKUP($B1435,DG!A:D,DG!$B$2,)</f>
        <v>0</v>
      </c>
      <c r="F1435" s="1111" t="str">
        <f>VLOOKUP($B1435,DG!A:D,DG!$C$2,)</f>
        <v>Dây đồng trần mềm dẹt</v>
      </c>
      <c r="G1435" s="1138" t="str">
        <f>VLOOKUP($B1435,DG!A:D,DG!$D$2,)</f>
        <v>mét</v>
      </c>
      <c r="H1435" s="1873">
        <f>H1415*4</f>
        <v>0</v>
      </c>
      <c r="I1435" s="1262">
        <f t="shared" si="123"/>
        <v>0</v>
      </c>
      <c r="J1435" s="1084"/>
      <c r="K1435" s="1084"/>
      <c r="L1435" s="1113"/>
      <c r="M1435" s="977">
        <v>250</v>
      </c>
    </row>
    <row r="1436" spans="1:13" s="1086" customFormat="1" ht="25.15" hidden="1" customHeight="1">
      <c r="A1436" s="1156">
        <f t="shared" si="129"/>
        <v>0</v>
      </c>
      <c r="B1436" s="1157" t="s">
        <v>1221</v>
      </c>
      <c r="C1436" s="1157"/>
      <c r="D1436" s="1093"/>
      <c r="E1436" s="1082" t="str">
        <f>VLOOKUP($B1436,DG!A:D,DG!$B$2,)</f>
        <v>06.3191</v>
      </c>
      <c r="F1436" s="1111" t="str">
        <f>VLOOKUP($B1436,DG!A:D,DG!$C$2,)</f>
        <v>Bảng tên trạm, bảng báo nguy hiểm + đinh vít</v>
      </c>
      <c r="G1436" s="1138" t="str">
        <f>VLOOKUP($B1436,DG!A:D,DG!$D$2,)</f>
        <v>bộ</v>
      </c>
      <c r="H1436" s="1873">
        <f>H1415</f>
        <v>0</v>
      </c>
      <c r="I1436" s="1262">
        <f t="shared" si="123"/>
        <v>0</v>
      </c>
      <c r="J1436" s="1084"/>
      <c r="K1436" s="1084"/>
      <c r="L1436" s="1113"/>
      <c r="M1436" s="977">
        <v>250</v>
      </c>
    </row>
    <row r="1437" spans="1:13" s="1086" customFormat="1" ht="25.15" hidden="1" customHeight="1">
      <c r="A1437" s="1156">
        <f t="shared" si="129"/>
        <v>0</v>
      </c>
      <c r="B1437" s="1157" t="s">
        <v>1355</v>
      </c>
      <c r="C1437" s="1157"/>
      <c r="D1437" s="1093"/>
      <c r="E1437" s="1082">
        <f>VLOOKUP($B1437,DG!A:D,DG!$B$2,)</f>
        <v>0</v>
      </c>
      <c r="F1437" s="1111" t="str">
        <f>VLOOKUP($B1437,DG!A:D,DG!$C$2,)&amp;" baét thuøng ÑKÑT"</f>
        <v>Boulon 12x60+ 2 long đền vuông D14-50x50x3/Zn baét thuøng ÑKÑT</v>
      </c>
      <c r="G1437" s="1138" t="str">
        <f>VLOOKUP($B1437,DG!A:D,DG!$D$2,)</f>
        <v>bộ</v>
      </c>
      <c r="H1437" s="1873">
        <f>4*H1415*0</f>
        <v>0</v>
      </c>
      <c r="I1437" s="1262">
        <f t="shared" si="123"/>
        <v>0</v>
      </c>
      <c r="J1437" s="1084"/>
      <c r="K1437" s="1084"/>
      <c r="L1437" s="1113"/>
      <c r="M1437" s="977">
        <v>250</v>
      </c>
    </row>
    <row r="1438" spans="1:13" s="1086" customFormat="1" ht="25.15" hidden="1" customHeight="1">
      <c r="A1438" s="1156">
        <f t="shared" si="129"/>
        <v>0</v>
      </c>
      <c r="B1438" s="1157"/>
      <c r="C1438" s="1157"/>
      <c r="D1438" s="1118"/>
      <c r="E1438" s="1119"/>
      <c r="F1438" s="1108" t="s">
        <v>3751</v>
      </c>
      <c r="G1438" s="1108"/>
      <c r="H1438" s="1897"/>
      <c r="I1438" s="1262">
        <f t="shared" si="123"/>
        <v>0</v>
      </c>
      <c r="J1438" s="1108"/>
      <c r="K1438" s="1108"/>
      <c r="L1438" s="1139"/>
      <c r="M1438" s="977">
        <v>250</v>
      </c>
    </row>
    <row r="1439" spans="1:13" s="1086" customFormat="1" ht="25.15" hidden="1" customHeight="1">
      <c r="A1439" s="1156">
        <f t="shared" si="129"/>
        <v>0</v>
      </c>
      <c r="B1439" s="1157" t="s">
        <v>968</v>
      </c>
      <c r="C1439" s="1157"/>
      <c r="D1439" s="1093"/>
      <c r="E1439" s="1082" t="str">
        <f>VLOOKUP($B1439,DG!A:D,DG!$B$2,)</f>
        <v>02.5114</v>
      </c>
      <c r="F1439" s="1111" t="s">
        <v>3752</v>
      </c>
      <c r="G1439" s="1138" t="str">
        <f>VLOOKUP($B1439,DG!A:D,DG!$D$2,)</f>
        <v>cái</v>
      </c>
      <c r="H1439" s="1873"/>
      <c r="I1439" s="1262">
        <f t="shared" si="123"/>
        <v>0</v>
      </c>
      <c r="J1439" s="1084"/>
      <c r="K1439" s="1084"/>
      <c r="L1439" s="1113" t="s">
        <v>3753</v>
      </c>
      <c r="M1439" s="977">
        <v>250</v>
      </c>
    </row>
    <row r="1440" spans="1:13" s="1086" customFormat="1" ht="25.15" hidden="1" customHeight="1">
      <c r="A1440" s="1156">
        <f t="shared" si="129"/>
        <v>0</v>
      </c>
      <c r="B1440" s="1157" t="s">
        <v>1912</v>
      </c>
      <c r="C1440" s="1157"/>
      <c r="D1440" s="1093"/>
      <c r="E1440" s="1082" t="str">
        <f>VLOOKUP($B1440,DG!A:D,DG!$B$2,)</f>
        <v>05.6011</v>
      </c>
      <c r="F1440" s="1111" t="s">
        <v>2470</v>
      </c>
      <c r="G1440" s="1138" t="str">
        <f>VLOOKUP($B1440,DG!A:D,DG!$D$2,)</f>
        <v>bộ</v>
      </c>
      <c r="H1440" s="1873"/>
      <c r="I1440" s="1262">
        <f t="shared" si="123"/>
        <v>0</v>
      </c>
      <c r="J1440" s="1084"/>
      <c r="K1440" s="1084"/>
      <c r="L1440" s="1085"/>
      <c r="M1440" s="977">
        <v>250</v>
      </c>
    </row>
    <row r="1441" spans="1:13" s="1086" customFormat="1" ht="25.15" hidden="1" customHeight="1">
      <c r="A1441" s="1156">
        <f t="shared" si="129"/>
        <v>0</v>
      </c>
      <c r="B1441" s="1157"/>
      <c r="C1441" s="1157"/>
      <c r="D1441" s="1140"/>
      <c r="E1441" s="1141"/>
      <c r="F1441" s="1108"/>
      <c r="G1441" s="1142"/>
      <c r="H1441" s="1900"/>
      <c r="I1441" s="1262">
        <f t="shared" si="123"/>
        <v>0</v>
      </c>
      <c r="J1441" s="1143"/>
      <c r="K1441" s="1144"/>
      <c r="L1441" s="1110"/>
      <c r="M1441" s="977"/>
    </row>
    <row r="1442" spans="1:13" s="1086" customFormat="1" ht="25.15" hidden="1" customHeight="1">
      <c r="A1442" s="1156">
        <f t="shared" si="129"/>
        <v>0</v>
      </c>
      <c r="B1442" s="1157"/>
      <c r="C1442" s="1157"/>
      <c r="D1442" s="1145"/>
      <c r="F1442" s="1146"/>
      <c r="H1442" s="1902"/>
      <c r="I1442" s="1262">
        <f t="shared" si="123"/>
        <v>0</v>
      </c>
      <c r="M1442" s="977"/>
    </row>
    <row r="1443" spans="1:13" s="1086" customFormat="1" ht="25.15" hidden="1" customHeight="1">
      <c r="A1443" s="1156">
        <f t="shared" si="129"/>
        <v>0</v>
      </c>
      <c r="B1443" s="1353"/>
      <c r="C1443" s="1353"/>
      <c r="D1443" s="983" t="e">
        <f>"BAÛNG TOÅNG HÔÏP VAÄT LIEÄU, NHAÂN COÂNG, MAÙY THI COÂNG : "&amp;#REF!&amp;" TRAÏM 3P_320KVA ÑO ÑEÁM TRUNG THEÁ"</f>
        <v>#REF!</v>
      </c>
      <c r="E1443" s="983"/>
      <c r="F1443" s="983"/>
      <c r="G1443" s="983"/>
      <c r="H1443" s="1894"/>
      <c r="I1443" s="1262">
        <f t="shared" si="123"/>
        <v>0</v>
      </c>
      <c r="J1443" s="1147"/>
      <c r="K1443" s="1147"/>
      <c r="L1443" s="1148"/>
      <c r="M1443" s="977"/>
    </row>
    <row r="1444" spans="1:13" s="1086" customFormat="1" ht="25.15" hidden="1" customHeight="1">
      <c r="A1444" s="1156">
        <f t="shared" si="129"/>
        <v>0</v>
      </c>
      <c r="B1444" s="1327"/>
      <c r="C1444" s="1327"/>
      <c r="D1444" s="1106"/>
      <c r="E1444" s="1107"/>
      <c r="F1444" s="1108" t="s">
        <v>3693</v>
      </c>
      <c r="G1444" s="1109"/>
      <c r="H1444" s="1930"/>
      <c r="I1444" s="1262">
        <f t="shared" si="123"/>
        <v>0</v>
      </c>
      <c r="J1444" s="1109"/>
      <c r="K1444" s="1109"/>
      <c r="L1444" s="1110"/>
      <c r="M1444" s="977">
        <v>320</v>
      </c>
    </row>
    <row r="1445" spans="1:13" s="1086" customFormat="1" ht="25.15" hidden="1" customHeight="1">
      <c r="A1445" s="1156">
        <f t="shared" si="129"/>
        <v>0</v>
      </c>
      <c r="B1445" s="1328" t="s">
        <v>1847</v>
      </c>
      <c r="C1445" s="1328"/>
      <c r="D1445" s="1093">
        <f>IF(H1445&gt;0,1,0)</f>
        <v>0</v>
      </c>
      <c r="E1445" s="1082" t="str">
        <f>VLOOKUP($B1445,DG!A:D,DG!$B$2,)</f>
        <v>01.1145</v>
      </c>
      <c r="F1445" s="1083" t="str">
        <f>VLOOKUP($B1445,DG!A:D,DG!$C$2,)&amp;"-MBA siêu giảm tổn thất"</f>
        <v>Máy biến áp 22/0,4kV- 320kVA-MBA siêu giảm tổn thất</v>
      </c>
      <c r="G1445" s="1082" t="str">
        <f>VLOOKUP($B1445,DG!A:D,DG!$D$2,)</f>
        <v>máy</v>
      </c>
      <c r="H1445" s="1904">
        <f>L12</f>
        <v>0</v>
      </c>
      <c r="I1445" s="1262">
        <f t="shared" si="123"/>
        <v>0</v>
      </c>
      <c r="J1445" s="1111"/>
      <c r="K1445" s="1111"/>
      <c r="L1445" s="1112"/>
      <c r="M1445" s="977">
        <v>320</v>
      </c>
    </row>
    <row r="1446" spans="1:13" s="1086" customFormat="1" ht="25.15" hidden="1" customHeight="1">
      <c r="A1446" s="1156">
        <f t="shared" si="129"/>
        <v>0</v>
      </c>
      <c r="B1446" s="1328" t="s">
        <v>1657</v>
      </c>
      <c r="C1446" s="1328"/>
      <c r="D1446" s="1093">
        <f>IF(H1446&gt;0,D1445+1,D1445)</f>
        <v>0</v>
      </c>
      <c r="E1446" s="1082" t="str">
        <f>VLOOKUP($B1446,DG!A:D,DG!$B$2,)</f>
        <v>02.3155</v>
      </c>
      <c r="F1446" s="1083" t="str">
        <f>VLOOKUP($B1446,DG!A:D,DG!$C$2,)</f>
        <v>FCO 27kV - 100A</v>
      </c>
      <c r="G1446" s="1082" t="str">
        <f>VLOOKUP($B1446,DG!A:D,DG!$D$2,)</f>
        <v>cái</v>
      </c>
      <c r="H1446" s="1873">
        <f>H1445*3</f>
        <v>0</v>
      </c>
      <c r="I1446" s="1262">
        <f t="shared" si="123"/>
        <v>0</v>
      </c>
      <c r="J1446" s="1084"/>
      <c r="K1446" s="1084"/>
      <c r="L1446" s="1113"/>
      <c r="M1446" s="977">
        <v>320</v>
      </c>
    </row>
    <row r="1447" spans="1:13" s="1086" customFormat="1" ht="25.15" hidden="1" customHeight="1">
      <c r="A1447" s="1156">
        <f t="shared" si="129"/>
        <v>0</v>
      </c>
      <c r="B1447" s="1328" t="s">
        <v>4534</v>
      </c>
      <c r="C1447" s="1328"/>
      <c r="D1447" s="1093">
        <f t="shared" ref="D1447:D1453" si="130">IF(H1447&gt;0,D1446+1,D1446)</f>
        <v>0</v>
      </c>
      <c r="E1447" s="1082">
        <f>VLOOKUP($B1447,DG!A:D,DG!$B$2,)</f>
        <v>0</v>
      </c>
      <c r="F1447" s="1083" t="str">
        <f>VLOOKUP($B1447,DG!A:D,DG!$C$2,)</f>
        <v>Dây chảy 10K</v>
      </c>
      <c r="G1447" s="1082" t="str">
        <f>VLOOKUP($B1447,DG!A:D,DG!$D$2,)</f>
        <v>Sợi</v>
      </c>
      <c r="H1447" s="1873">
        <f>H1446</f>
        <v>0</v>
      </c>
      <c r="I1447" s="1262">
        <f t="shared" si="123"/>
        <v>0</v>
      </c>
      <c r="J1447" s="1084"/>
      <c r="K1447" s="1084"/>
      <c r="L1447" s="1113"/>
      <c r="M1447" s="977">
        <v>320</v>
      </c>
    </row>
    <row r="1448" spans="1:13" s="1086" customFormat="1" ht="25.15" hidden="1" customHeight="1">
      <c r="A1448" s="1156">
        <f t="shared" si="129"/>
        <v>0</v>
      </c>
      <c r="B1448" s="1327" t="s">
        <v>1378</v>
      </c>
      <c r="C1448" s="1327"/>
      <c r="D1448" s="1093">
        <f t="shared" si="130"/>
        <v>0</v>
      </c>
      <c r="E1448" s="1082" t="str">
        <f>VLOOKUP($B1448,DG!A:D,DG!$B$2,)</f>
        <v>02.5114</v>
      </c>
      <c r="F1448" s="1083" t="str">
        <f>VLOOKUP($B1448,DG!A:D,DG!$C$2,)</f>
        <v>Chống sét van LA-18KV-10KA</v>
      </c>
      <c r="G1448" s="1082" t="str">
        <f>VLOOKUP($B1448,DG!A:D,DG!$D$2,)</f>
        <v>cái</v>
      </c>
      <c r="H1448" s="1873">
        <f>H1446</f>
        <v>0</v>
      </c>
      <c r="I1448" s="1262">
        <f t="shared" si="123"/>
        <v>0</v>
      </c>
      <c r="J1448" s="1084"/>
      <c r="K1448" s="1084"/>
      <c r="L1448" s="1113"/>
      <c r="M1448" s="977">
        <v>320</v>
      </c>
    </row>
    <row r="1449" spans="1:13" s="1086" customFormat="1" ht="25.15" hidden="1" customHeight="1">
      <c r="A1449" s="1156">
        <f t="shared" si="129"/>
        <v>0</v>
      </c>
      <c r="B1449" s="1328" t="s">
        <v>1464</v>
      </c>
      <c r="C1449" s="1328"/>
      <c r="D1449" s="1093">
        <f t="shared" si="130"/>
        <v>0</v>
      </c>
      <c r="E1449" s="1082" t="str">
        <f>VLOOKUP($B1449,DG!A:D,DG!$B$2,)</f>
        <v>02.8403</v>
      </c>
      <c r="F1449" s="1083" t="str">
        <f>VLOOKUP($B1449,DG!A:D,DG!$C$2,)</f>
        <v>MCCB 3 cực 400V -500A - 50KA</v>
      </c>
      <c r="G1449" s="1082" t="str">
        <f>VLOOKUP($B1449,DG!A:D,DG!$D$2,)</f>
        <v>cái</v>
      </c>
      <c r="H1449" s="1873">
        <f>H1445</f>
        <v>0</v>
      </c>
      <c r="I1449" s="1262">
        <f t="shared" si="123"/>
        <v>0</v>
      </c>
      <c r="J1449" s="1084"/>
      <c r="K1449" s="1084"/>
      <c r="L1449" s="1113"/>
      <c r="M1449" s="977">
        <v>320</v>
      </c>
    </row>
    <row r="1450" spans="1:13" s="1086" customFormat="1" ht="25.15" hidden="1" customHeight="1">
      <c r="A1450" s="1156">
        <f t="shared" si="129"/>
        <v>0</v>
      </c>
      <c r="B1450" s="1328" t="s">
        <v>1463</v>
      </c>
      <c r="C1450" s="1328"/>
      <c r="D1450" s="1093">
        <f t="shared" si="130"/>
        <v>1</v>
      </c>
      <c r="E1450" s="1082" t="str">
        <f>VLOOKUP($B1450,DG!A:D,DG!$B$2,)</f>
        <v>02.8534</v>
      </c>
      <c r="F1450" s="1083" t="str">
        <f>VLOOKUP($B1450,DG!A:D,DG!$C$2,)</f>
        <v>Tủ tụ bù hạ thế 135kVAr</v>
      </c>
      <c r="G1450" s="1082" t="str">
        <f>VLOOKUP($B1450,DG!A:D,DG!$D$2,)</f>
        <v>tủ</v>
      </c>
      <c r="H1450" s="1873">
        <v>1</v>
      </c>
      <c r="I1450" s="1262">
        <f t="shared" si="123"/>
        <v>0</v>
      </c>
      <c r="J1450" s="1084"/>
      <c r="K1450" s="1084"/>
      <c r="L1450" s="1113"/>
      <c r="M1450" s="977">
        <v>320</v>
      </c>
    </row>
    <row r="1451" spans="1:13" s="1086" customFormat="1" ht="25.15" hidden="1" customHeight="1">
      <c r="A1451" s="1156">
        <f t="shared" si="129"/>
        <v>0</v>
      </c>
      <c r="B1451" s="1157" t="s">
        <v>2283</v>
      </c>
      <c r="C1451" s="1157"/>
      <c r="D1451" s="1093">
        <f t="shared" si="130"/>
        <v>1</v>
      </c>
      <c r="E1451" s="1082">
        <f>VLOOKUP($B1451,DG!A:D,DG!$B$2,)</f>
        <v>0</v>
      </c>
      <c r="F1451" s="1083" t="str">
        <f>VLOOKUP($B1451,DG!A:D,DG!$C$2,)</f>
        <v>Biến dòng 600V - 500/5A</v>
      </c>
      <c r="G1451" s="1082" t="str">
        <f>VLOOKUP($B1451,DG!A:D,DG!$D$2,)</f>
        <v>cái</v>
      </c>
      <c r="H1451" s="1905">
        <f>H1445*3</f>
        <v>0</v>
      </c>
      <c r="I1451" s="1262">
        <f t="shared" si="123"/>
        <v>0</v>
      </c>
      <c r="J1451" s="1084"/>
      <c r="K1451" s="1084"/>
      <c r="L1451" s="1114" t="s">
        <v>2612</v>
      </c>
      <c r="M1451" s="977">
        <v>320</v>
      </c>
    </row>
    <row r="1452" spans="1:13" s="1086" customFormat="1" ht="25.15" hidden="1" customHeight="1">
      <c r="A1452" s="1156">
        <f t="shared" si="129"/>
        <v>0</v>
      </c>
      <c r="B1452" s="1328" t="s">
        <v>2195</v>
      </c>
      <c r="C1452" s="1328"/>
      <c r="D1452" s="1093">
        <f t="shared" si="130"/>
        <v>1</v>
      </c>
      <c r="E1452" s="1082" t="str">
        <f>VLOOKUP($B1452,DG!A:D,DG!$B$2,)</f>
        <v>02.1114</v>
      </c>
      <c r="F1452" s="1083" t="str">
        <f>VLOOKUP($B1452,DG!A:D,DG!$C$2,)</f>
        <v>Biến điện áp 12000/120(60)V</v>
      </c>
      <c r="G1452" s="1082" t="str">
        <f>VLOOKUP($B1452,DG!A:D,DG!$D$2,)</f>
        <v>cái</v>
      </c>
      <c r="H1452" s="1905"/>
      <c r="I1452" s="1262">
        <f t="shared" si="123"/>
        <v>0</v>
      </c>
      <c r="J1452" s="1084"/>
      <c r="K1452" s="1084"/>
      <c r="L1452" s="1114" t="s">
        <v>2612</v>
      </c>
      <c r="M1452" s="977">
        <v>320</v>
      </c>
    </row>
    <row r="1453" spans="1:13" s="1086" customFormat="1" ht="25.15" hidden="1" customHeight="1">
      <c r="A1453" s="1156">
        <f t="shared" si="129"/>
        <v>0</v>
      </c>
      <c r="B1453" s="1355" t="s">
        <v>1843</v>
      </c>
      <c r="C1453" s="1355"/>
      <c r="D1453" s="1093">
        <f t="shared" si="130"/>
        <v>1</v>
      </c>
      <c r="E1453" s="1082">
        <f>VLOOKUP($B1453,DG!A:D,DG!$B$2,)</f>
        <v>0</v>
      </c>
      <c r="F1453" s="1083" t="str">
        <f>VLOOKUP($B1453,DG!A:D,DG!$C$2,)</f>
        <v>Điện kế 3 pha điện tử 600V-5A</v>
      </c>
      <c r="G1453" s="1082" t="str">
        <f>VLOOKUP($B1453,DG!A:D,DG!$D$2,)</f>
        <v>cái</v>
      </c>
      <c r="H1453" s="1905">
        <f>H1445</f>
        <v>0</v>
      </c>
      <c r="I1453" s="1262">
        <f t="shared" si="123"/>
        <v>0</v>
      </c>
      <c r="J1453" s="1084"/>
      <c r="K1453" s="1084"/>
      <c r="L1453" s="1115" t="s">
        <v>2612</v>
      </c>
      <c r="M1453" s="977">
        <v>320</v>
      </c>
    </row>
    <row r="1454" spans="1:13" s="1086" customFormat="1" ht="25.15" hidden="1" customHeight="1">
      <c r="A1454" s="1156">
        <f t="shared" si="129"/>
        <v>0</v>
      </c>
      <c r="B1454" s="1327"/>
      <c r="C1454" s="1327"/>
      <c r="D1454" s="1116"/>
      <c r="E1454" s="1117"/>
      <c r="F1454" s="1079"/>
      <c r="G1454" s="1116"/>
      <c r="H1454" s="1883"/>
      <c r="I1454" s="1912">
        <f>IF(M1454=$M$23,1,0)</f>
        <v>0</v>
      </c>
      <c r="J1454" s="1079"/>
      <c r="K1454" s="1116"/>
      <c r="L1454" s="1110"/>
      <c r="M1454" s="977">
        <v>320</v>
      </c>
    </row>
    <row r="1455" spans="1:13" s="1086" customFormat="1" ht="25.15" hidden="1" customHeight="1">
      <c r="A1455" s="1156">
        <f t="shared" si="129"/>
        <v>0</v>
      </c>
      <c r="B1455" s="1327"/>
      <c r="C1455" s="1327"/>
      <c r="D1455" s="1118"/>
      <c r="E1455" s="1119"/>
      <c r="F1455" s="1108" t="s">
        <v>3694</v>
      </c>
      <c r="G1455" s="1108"/>
      <c r="H1455" s="1897"/>
      <c r="I1455" s="1912">
        <f>IF(M1455=$M$23,1,0)</f>
        <v>0</v>
      </c>
      <c r="J1455" s="1108"/>
      <c r="K1455" s="1108"/>
      <c r="L1455" s="1110"/>
      <c r="M1455" s="977">
        <v>320</v>
      </c>
    </row>
    <row r="1456" spans="1:13" s="1086" customFormat="1" ht="25.15" hidden="1" customHeight="1">
      <c r="A1456" s="1156">
        <f t="shared" si="129"/>
        <v>0</v>
      </c>
      <c r="B1456" s="1356"/>
      <c r="C1456" s="1356"/>
      <c r="D1456" s="1120">
        <f>IF(H1456&gt;0,1,0)</f>
        <v>0</v>
      </c>
      <c r="E1456" s="1121"/>
      <c r="F1456" s="1122" t="s">
        <v>3754</v>
      </c>
      <c r="G1456" s="1123" t="s">
        <v>2285</v>
      </c>
      <c r="H1456" s="1906">
        <f>H1445*2*0</f>
        <v>0</v>
      </c>
      <c r="I1456" s="1262">
        <f t="shared" ref="I1456:I1517" si="131">IF(M1456=$M$23,H1456+J1456-K1456,0)</f>
        <v>0</v>
      </c>
      <c r="J1456" s="1124"/>
      <c r="K1456" s="1124"/>
      <c r="L1456" s="1113"/>
      <c r="M1456" s="977">
        <v>320</v>
      </c>
    </row>
    <row r="1457" spans="1:13" s="1086" customFormat="1" ht="25.15" hidden="1" customHeight="1">
      <c r="A1457" s="1156">
        <f t="shared" si="129"/>
        <v>0</v>
      </c>
      <c r="B1457" s="1157" t="s">
        <v>115</v>
      </c>
      <c r="C1457" s="1157"/>
      <c r="D1457" s="1125"/>
      <c r="E1457" s="1082"/>
      <c r="F1457" s="1126" t="str">
        <f>VLOOKUP($B1457,DG!A:D,DG!$C$2,)</f>
        <v>Trụ BTLT 12m F350 dự ứng lực</v>
      </c>
      <c r="G1457" s="1082" t="str">
        <f>VLOOKUP($B1457,DG!A:D,DG!$D$2,)</f>
        <v>trụ</v>
      </c>
      <c r="H1457" s="1907">
        <f>H1456</f>
        <v>0</v>
      </c>
      <c r="I1457" s="1262">
        <f t="shared" si="131"/>
        <v>0</v>
      </c>
      <c r="J1457" s="1111"/>
      <c r="K1457" s="1081"/>
      <c r="L1457" s="1113"/>
      <c r="M1457" s="977">
        <v>320</v>
      </c>
    </row>
    <row r="1458" spans="1:13" s="1086" customFormat="1" ht="25.15" hidden="1" customHeight="1">
      <c r="A1458" s="1156">
        <f t="shared" si="129"/>
        <v>0</v>
      </c>
      <c r="B1458" s="1157" t="s">
        <v>1820</v>
      </c>
      <c r="C1458" s="1157"/>
      <c r="D1458" s="1125"/>
      <c r="E1458" s="1082"/>
      <c r="F1458" s="1126" t="str">
        <f>VLOOKUP($B1458,DG!A:D,DG!$C$2,)</f>
        <v>Vật liệu dựng trụ</v>
      </c>
      <c r="G1458" s="1082" t="str">
        <f>VLOOKUP($B1458,DG!A:D,DG!$D$2,)</f>
        <v>trụ</v>
      </c>
      <c r="H1458" s="1907">
        <f>H1457</f>
        <v>0</v>
      </c>
      <c r="I1458" s="1262">
        <f t="shared" si="131"/>
        <v>0</v>
      </c>
      <c r="J1458" s="1081"/>
      <c r="K1458" s="1081"/>
      <c r="L1458" s="1113"/>
      <c r="M1458" s="977">
        <v>320</v>
      </c>
    </row>
    <row r="1459" spans="1:13" s="1086" customFormat="1" ht="25.15" hidden="1" customHeight="1">
      <c r="A1459" s="1156">
        <f t="shared" si="129"/>
        <v>0</v>
      </c>
      <c r="B1459" s="1157" t="s">
        <v>643</v>
      </c>
      <c r="C1459" s="1157"/>
      <c r="D1459" s="1125"/>
      <c r="E1459" s="1082" t="str">
        <f>VLOOKUP($B1459,DG!A:D,DG!$B$2,)</f>
        <v>04.9203</v>
      </c>
      <c r="F1459" s="1126" t="str">
        <f>VLOOKUP($B1459,DG!A:D,DG!$C$2,)</f>
        <v>Dựng trụ BTLT 12m trong TBA bằng thủ công + cơ giới</v>
      </c>
      <c r="G1459" s="1082" t="str">
        <f>VLOOKUP($B1459,DG!A:D,DG!$D$2,)</f>
        <v>trụ</v>
      </c>
      <c r="H1459" s="1907">
        <f>H1457</f>
        <v>0</v>
      </c>
      <c r="I1459" s="1262">
        <f t="shared" si="131"/>
        <v>0</v>
      </c>
      <c r="J1459" s="1111"/>
      <c r="K1459" s="1111"/>
      <c r="L1459" s="1113"/>
      <c r="M1459" s="977">
        <v>320</v>
      </c>
    </row>
    <row r="1460" spans="1:13" s="1086" customFormat="1" ht="25.15" hidden="1" customHeight="1">
      <c r="A1460" s="1156">
        <f t="shared" si="129"/>
        <v>0</v>
      </c>
      <c r="B1460" s="1356"/>
      <c r="C1460" s="1356"/>
      <c r="D1460" s="1120">
        <f>IF(H1460&gt;0,1,0)</f>
        <v>0</v>
      </c>
      <c r="E1460" s="1121"/>
      <c r="F1460" s="1122" t="s">
        <v>3733</v>
      </c>
      <c r="G1460" s="1123" t="s">
        <v>2285</v>
      </c>
      <c r="H1460" s="1906">
        <f>H1445*2*0</f>
        <v>0</v>
      </c>
      <c r="I1460" s="1262">
        <f t="shared" si="131"/>
        <v>0</v>
      </c>
      <c r="J1460" s="1124"/>
      <c r="K1460" s="1124"/>
      <c r="L1460" s="1085"/>
      <c r="M1460" s="977">
        <v>320</v>
      </c>
    </row>
    <row r="1461" spans="1:13" s="1086" customFormat="1" ht="25.15" hidden="1" customHeight="1">
      <c r="A1461" s="1156">
        <f t="shared" si="129"/>
        <v>0</v>
      </c>
      <c r="B1461" s="1157" t="s">
        <v>114</v>
      </c>
      <c r="C1461" s="1157"/>
      <c r="D1461" s="1125"/>
      <c r="E1461" s="1082"/>
      <c r="F1461" s="1126" t="str">
        <f>VLOOKUP($B1461,DG!A:D,DG!$C$2,)</f>
        <v>Trụ BTLT 10,5m F350 dự ứng lực</v>
      </c>
      <c r="G1461" s="1082" t="str">
        <f>VLOOKUP($B1461,DG!A:D,DG!$D$2,)</f>
        <v>trụ</v>
      </c>
      <c r="H1461" s="1907">
        <f>H1460</f>
        <v>0</v>
      </c>
      <c r="I1461" s="1262">
        <f t="shared" si="131"/>
        <v>0</v>
      </c>
      <c r="J1461" s="1111"/>
      <c r="K1461" s="1081"/>
      <c r="L1461" s="1085"/>
      <c r="M1461" s="977">
        <v>320</v>
      </c>
    </row>
    <row r="1462" spans="1:13" s="1086" customFormat="1" ht="25.15" hidden="1" customHeight="1">
      <c r="A1462" s="1156">
        <f t="shared" si="129"/>
        <v>0</v>
      </c>
      <c r="B1462" s="1157" t="s">
        <v>1820</v>
      </c>
      <c r="C1462" s="1157"/>
      <c r="D1462" s="1125"/>
      <c r="E1462" s="1082"/>
      <c r="F1462" s="1126" t="str">
        <f>VLOOKUP($B1462,DG!A:D,DG!$C$2,)</f>
        <v>Vật liệu dựng trụ</v>
      </c>
      <c r="G1462" s="1082" t="str">
        <f>VLOOKUP($B1462,DG!A:D,DG!$D$2,)</f>
        <v>trụ</v>
      </c>
      <c r="H1462" s="1907">
        <f>H1461</f>
        <v>0</v>
      </c>
      <c r="I1462" s="1262">
        <f t="shared" si="131"/>
        <v>0</v>
      </c>
      <c r="J1462" s="1081"/>
      <c r="K1462" s="1081"/>
      <c r="L1462" s="1085"/>
      <c r="M1462" s="977">
        <v>320</v>
      </c>
    </row>
    <row r="1463" spans="1:13" s="1086" customFormat="1" ht="25.15" hidden="1" customHeight="1">
      <c r="A1463" s="1156">
        <f t="shared" si="129"/>
        <v>0</v>
      </c>
      <c r="B1463" s="1157" t="s">
        <v>644</v>
      </c>
      <c r="C1463" s="1157"/>
      <c r="D1463" s="1125"/>
      <c r="E1463" s="1082" t="str">
        <f>VLOOKUP($B1463,DG!A:D,DG!$B$2,)</f>
        <v>04.9203</v>
      </c>
      <c r="F1463" s="1126" t="str">
        <f>VLOOKUP($B1463,DG!A:D,DG!$C$2,)</f>
        <v>Dựng trụ BTLT 10,5m trong TBA bằng thủ công + cơ giới</v>
      </c>
      <c r="G1463" s="1082" t="str">
        <f>VLOOKUP($B1463,DG!A:D,DG!$D$2,)</f>
        <v>trụ</v>
      </c>
      <c r="H1463" s="1907">
        <f>H1461</f>
        <v>0</v>
      </c>
      <c r="I1463" s="1262">
        <f t="shared" si="131"/>
        <v>0</v>
      </c>
      <c r="J1463" s="1111"/>
      <c r="K1463" s="1111"/>
      <c r="L1463" s="1085"/>
      <c r="M1463" s="977">
        <v>320</v>
      </c>
    </row>
    <row r="1464" spans="1:13" s="1086" customFormat="1" ht="25.15" hidden="1" customHeight="1">
      <c r="A1464" s="1156">
        <f t="shared" si="129"/>
        <v>0</v>
      </c>
      <c r="B1464" s="1357"/>
      <c r="C1464" s="1357"/>
      <c r="D1464" s="1087">
        <f>IF(H1464&gt;0,D1456+1,D1456)</f>
        <v>0</v>
      </c>
      <c r="E1464" s="1121"/>
      <c r="F1464" s="1122" t="s">
        <v>2361</v>
      </c>
      <c r="G1464" s="1123" t="s">
        <v>2336</v>
      </c>
      <c r="H1464" s="1906">
        <f>H1456</f>
        <v>0</v>
      </c>
      <c r="I1464" s="1262">
        <f t="shared" si="131"/>
        <v>0</v>
      </c>
      <c r="J1464" s="1081"/>
      <c r="K1464" s="1081"/>
      <c r="L1464" s="1113"/>
      <c r="M1464" s="977">
        <v>320</v>
      </c>
    </row>
    <row r="1465" spans="1:13" s="1086" customFormat="1" ht="25.15" hidden="1" customHeight="1">
      <c r="A1465" s="1156">
        <f t="shared" si="129"/>
        <v>0</v>
      </c>
      <c r="B1465" s="1334" t="s">
        <v>636</v>
      </c>
      <c r="C1465" s="1334"/>
      <c r="D1465" s="1125"/>
      <c r="E1465" s="1082" t="str">
        <f>VLOOKUP($B1465,DG!A:D,DG!$B$2,)</f>
        <v>04.4001</v>
      </c>
      <c r="F1465" s="1127" t="str">
        <f>VLOOKUP($B1465,DG!A:D,DG!$C$2,)</f>
        <v>Đà cản BTCT 1,2m</v>
      </c>
      <c r="G1465" s="1094" t="str">
        <f>VLOOKUP($B1465,DG!A:D,DG!$D$2,)</f>
        <v>cái</v>
      </c>
      <c r="H1465" s="1907">
        <f>H1464</f>
        <v>0</v>
      </c>
      <c r="I1465" s="1262">
        <f t="shared" si="131"/>
        <v>0</v>
      </c>
      <c r="J1465" s="1111"/>
      <c r="K1465" s="1081"/>
      <c r="L1465" s="1113"/>
      <c r="M1465" s="977">
        <v>320</v>
      </c>
    </row>
    <row r="1466" spans="1:13" s="1086" customFormat="1" ht="25.15" hidden="1" customHeight="1">
      <c r="A1466" s="1156">
        <f t="shared" si="129"/>
        <v>0</v>
      </c>
      <c r="B1466" s="1334" t="s">
        <v>566</v>
      </c>
      <c r="C1466" s="1334"/>
      <c r="D1466" s="1125"/>
      <c r="E1466" s="1094"/>
      <c r="F1466" s="1127" t="str">
        <f>VLOOKUP($B1466,DG!A:D,DG!$C$2,)</f>
        <v>Boulon 22x650+ 2 long đền vuông D24-50x50x3/Zn</v>
      </c>
      <c r="G1466" s="1094" t="str">
        <f>VLOOKUP($B1466,DG!A:D,DG!$D$2,)</f>
        <v>bộ</v>
      </c>
      <c r="H1466" s="1907">
        <f>H1465</f>
        <v>0</v>
      </c>
      <c r="I1466" s="1262">
        <f t="shared" si="131"/>
        <v>0</v>
      </c>
      <c r="J1466" s="1127"/>
      <c r="K1466" s="1081"/>
      <c r="L1466" s="1113"/>
      <c r="M1466" s="977">
        <v>320</v>
      </c>
    </row>
    <row r="1467" spans="1:13" s="1086" customFormat="1" ht="25.15" hidden="1" customHeight="1">
      <c r="A1467" s="1156">
        <f t="shared" si="129"/>
        <v>0</v>
      </c>
      <c r="B1467" s="1334" t="str">
        <f>IF(chitiet!G5=1,"MDD1",IF(chitiet!G5=2,"MDD2",IF(chitiet!G5=3,"MDD3",IF(chitiet!G5=4,"MDD4"))))</f>
        <v>MDD3</v>
      </c>
      <c r="C1467" s="1334"/>
      <c r="D1467" s="1125"/>
      <c r="E1467" s="1094" t="str">
        <f>VLOOKUP($B1467,DG!A:D,DG!$B$2,)</f>
        <v>03.1013</v>
      </c>
      <c r="F1467" s="1127" t="str">
        <f>VLOOKUP($B1467,DG!A:D,DG!$C$2,)</f>
        <v>Đào hố móng đất cấp 3 sâu &gt;1m</v>
      </c>
      <c r="G1467" s="1094" t="str">
        <f>VLOOKUP($B1467,DG!A:D,DG!$D$2,)</f>
        <v>m3</v>
      </c>
      <c r="H1467" s="1908">
        <f>0.87*H1464</f>
        <v>0</v>
      </c>
      <c r="I1467" s="1262">
        <f t="shared" si="131"/>
        <v>0</v>
      </c>
      <c r="J1467" s="1128"/>
      <c r="K1467" s="1081"/>
      <c r="L1467" s="1113"/>
      <c r="M1467" s="977">
        <v>320</v>
      </c>
    </row>
    <row r="1468" spans="1:13" s="1086" customFormat="1" ht="25.15" hidden="1" customHeight="1">
      <c r="A1468" s="1156">
        <f t="shared" si="129"/>
        <v>0</v>
      </c>
      <c r="B1468" s="1334" t="str">
        <f>IF(chitiet!G5=1,"MDAP1",IF(chitiet!G5=2,"MDAP2",IF(chitiet!G5=3,"MDAP3",IF(chitiet!G5=4,"MDAP4"))))</f>
        <v>MDAP3</v>
      </c>
      <c r="C1468" s="1334"/>
      <c r="D1468" s="1125"/>
      <c r="E1468" s="1094" t="str">
        <f>VLOOKUP($B1468,DG!A:D,DG!$B$2,)</f>
        <v>03.4113</v>
      </c>
      <c r="F1468" s="1127" t="str">
        <f>VLOOKUP($B1468,DG!A:D,DG!$C$2,)</f>
        <v>Đắp đất hố móng, độ chặt k=0,95</v>
      </c>
      <c r="G1468" s="1094" t="str">
        <f>VLOOKUP($B1468,DG!A:D,DG!$D$2,)</f>
        <v>m3</v>
      </c>
      <c r="H1468" s="1908">
        <f>0.79*H1464</f>
        <v>0</v>
      </c>
      <c r="I1468" s="1262">
        <f t="shared" si="131"/>
        <v>0</v>
      </c>
      <c r="J1468" s="1128"/>
      <c r="K1468" s="1081"/>
      <c r="L1468" s="1113"/>
      <c r="M1468" s="977">
        <v>320</v>
      </c>
    </row>
    <row r="1469" spans="1:13" s="1086" customFormat="1" ht="25.15" hidden="1" customHeight="1">
      <c r="A1469" s="1156">
        <f t="shared" si="129"/>
        <v>0</v>
      </c>
      <c r="B1469" s="1357"/>
      <c r="C1469" s="1357"/>
      <c r="D1469" s="1087">
        <f>IF(H1469&gt;0,D1461+1,D1461)</f>
        <v>0</v>
      </c>
      <c r="E1469" s="1121"/>
      <c r="F1469" s="1122" t="s">
        <v>3734</v>
      </c>
      <c r="G1469" s="1123" t="s">
        <v>2336</v>
      </c>
      <c r="H1469" s="1906">
        <f>H1460*0</f>
        <v>0</v>
      </c>
      <c r="I1469" s="1262">
        <f t="shared" si="131"/>
        <v>0</v>
      </c>
      <c r="J1469" s="1081"/>
      <c r="K1469" s="1081"/>
      <c r="L1469" s="1085"/>
      <c r="M1469" s="977">
        <v>320</v>
      </c>
    </row>
    <row r="1470" spans="1:13" s="1086" customFormat="1" ht="25.15" hidden="1" customHeight="1">
      <c r="A1470" s="1156">
        <f t="shared" si="129"/>
        <v>0</v>
      </c>
      <c r="B1470" s="1334" t="s">
        <v>636</v>
      </c>
      <c r="C1470" s="1334"/>
      <c r="D1470" s="1125"/>
      <c r="E1470" s="1082" t="str">
        <f>VLOOKUP($B1470,DG!A:D,DG!$B$2,)</f>
        <v>04.4001</v>
      </c>
      <c r="F1470" s="1127" t="str">
        <f>VLOOKUP($B1470,DG!A:D,DG!$C$2,)</f>
        <v>Đà cản BTCT 1,2m</v>
      </c>
      <c r="G1470" s="1094" t="str">
        <f>VLOOKUP($B1470,DG!A:D,DG!$D$2,)</f>
        <v>cái</v>
      </c>
      <c r="H1470" s="1907">
        <f>H1469</f>
        <v>0</v>
      </c>
      <c r="I1470" s="1262">
        <f t="shared" si="131"/>
        <v>0</v>
      </c>
      <c r="J1470" s="1111"/>
      <c r="K1470" s="1081"/>
      <c r="L1470" s="1085"/>
      <c r="M1470" s="977">
        <v>320</v>
      </c>
    </row>
    <row r="1471" spans="1:13" s="1086" customFormat="1" ht="25.15" hidden="1" customHeight="1">
      <c r="A1471" s="1156">
        <f t="shared" si="129"/>
        <v>0</v>
      </c>
      <c r="B1471" s="1334" t="s">
        <v>566</v>
      </c>
      <c r="C1471" s="1334"/>
      <c r="D1471" s="1125"/>
      <c r="E1471" s="1094"/>
      <c r="F1471" s="1127" t="str">
        <f>VLOOKUP($B1471,DG!A:D,DG!$C$2,)</f>
        <v>Boulon 22x650+ 2 long đền vuông D24-50x50x3/Zn</v>
      </c>
      <c r="G1471" s="1094" t="str">
        <f>VLOOKUP($B1471,DG!A:D,DG!$D$2,)</f>
        <v>bộ</v>
      </c>
      <c r="H1471" s="1907">
        <f>H1470</f>
        <v>0</v>
      </c>
      <c r="I1471" s="1262">
        <f t="shared" si="131"/>
        <v>0</v>
      </c>
      <c r="J1471" s="1127"/>
      <c r="K1471" s="1081"/>
      <c r="L1471" s="1085"/>
      <c r="M1471" s="977">
        <v>320</v>
      </c>
    </row>
    <row r="1472" spans="1:13" s="1086" customFormat="1" ht="25.15" hidden="1" customHeight="1">
      <c r="A1472" s="1156">
        <f t="shared" si="129"/>
        <v>0</v>
      </c>
      <c r="B1472" s="1334" t="str">
        <f>IF(chitiet!G5=1,"MDD1",IF(chitiet!G5=2,"MDD2",IF(chitiet!G5=3,"MDD3",IF(chitiet!G5=4,"MDD4"))))</f>
        <v>MDD3</v>
      </c>
      <c r="C1472" s="1334"/>
      <c r="D1472" s="1125"/>
      <c r="E1472" s="1094" t="str">
        <f>VLOOKUP($B1472,DG!A:D,DG!$B$2,)</f>
        <v>03.1013</v>
      </c>
      <c r="F1472" s="1127" t="str">
        <f>VLOOKUP($B1472,DG!A:D,DG!$C$2,)</f>
        <v>Đào hố móng đất cấp 3 sâu &gt;1m</v>
      </c>
      <c r="G1472" s="1094" t="str">
        <f>VLOOKUP($B1472,DG!A:D,DG!$D$2,)</f>
        <v>m3</v>
      </c>
      <c r="H1472" s="1908">
        <f>1.48*H1470</f>
        <v>0</v>
      </c>
      <c r="I1472" s="1262">
        <f t="shared" si="131"/>
        <v>0</v>
      </c>
      <c r="J1472" s="1128"/>
      <c r="K1472" s="1081"/>
      <c r="L1472" s="1085"/>
      <c r="M1472" s="977">
        <v>320</v>
      </c>
    </row>
    <row r="1473" spans="1:13" s="1086" customFormat="1" ht="25.15" hidden="1" customHeight="1">
      <c r="A1473" s="1156">
        <f t="shared" si="129"/>
        <v>0</v>
      </c>
      <c r="B1473" s="1334" t="str">
        <f>IF(chitiet!G5=1,"MDAP1",IF(chitiet!G5=2,"MDAP2",IF(chitiet!G5=3,"MDAP3",IF(chitiet!G5=4,"MDAP4"))))</f>
        <v>MDAP3</v>
      </c>
      <c r="C1473" s="1334"/>
      <c r="D1473" s="1125"/>
      <c r="E1473" s="1094" t="str">
        <f>VLOOKUP($B1473,DG!A:D,DG!$B$2,)</f>
        <v>03.4113</v>
      </c>
      <c r="F1473" s="1127" t="str">
        <f>VLOOKUP($B1473,DG!A:D,DG!$C$2,)</f>
        <v>Đắp đất hố móng, độ chặt k=0,95</v>
      </c>
      <c r="G1473" s="1094" t="str">
        <f>VLOOKUP($B1473,DG!A:D,DG!$D$2,)</f>
        <v>m3</v>
      </c>
      <c r="H1473" s="1908">
        <f>1.39*H1469</f>
        <v>0</v>
      </c>
      <c r="I1473" s="1262">
        <f t="shared" si="131"/>
        <v>0</v>
      </c>
      <c r="J1473" s="1128"/>
      <c r="K1473" s="1081"/>
      <c r="L1473" s="1085"/>
      <c r="M1473" s="977">
        <v>320</v>
      </c>
    </row>
    <row r="1474" spans="1:13" s="1086" customFormat="1" ht="25.15" hidden="1" customHeight="1">
      <c r="A1474" s="1156">
        <f t="shared" si="129"/>
        <v>0</v>
      </c>
      <c r="B1474" s="1327"/>
      <c r="C1474" s="1327"/>
      <c r="D1474" s="1087">
        <f>IF(H1474&gt;0,D1464+1,D1464)</f>
        <v>0</v>
      </c>
      <c r="E1474" s="1129"/>
      <c r="F1474" s="1122" t="s">
        <v>3735</v>
      </c>
      <c r="G1474" s="1120" t="s">
        <v>2394</v>
      </c>
      <c r="H1474" s="1909">
        <f>H1445*1</f>
        <v>0</v>
      </c>
      <c r="I1474" s="1262">
        <f t="shared" si="131"/>
        <v>0</v>
      </c>
      <c r="J1474" s="1130"/>
      <c r="K1474" s="1130"/>
      <c r="L1474" s="1085"/>
      <c r="M1474" s="977">
        <v>320</v>
      </c>
    </row>
    <row r="1475" spans="1:13" s="1086" customFormat="1" ht="25.15" hidden="1" customHeight="1">
      <c r="A1475" s="1156">
        <f>IF(A1474&gt;0,1,0)</f>
        <v>0</v>
      </c>
      <c r="B1475" s="1327"/>
      <c r="C1475" s="1327"/>
      <c r="D1475" s="1081"/>
      <c r="E1475" s="1131"/>
      <c r="F1475" s="1370" t="s">
        <v>2287</v>
      </c>
      <c r="G1475" s="1093"/>
      <c r="H1475" s="1873"/>
      <c r="I1475" s="1262">
        <f t="shared" si="131"/>
        <v>0</v>
      </c>
      <c r="J1475" s="1132"/>
      <c r="K1475" s="1132"/>
      <c r="L1475" s="1085"/>
      <c r="M1475" s="977">
        <v>320</v>
      </c>
    </row>
    <row r="1476" spans="1:13" s="1086" customFormat="1" ht="25.15" hidden="1" customHeight="1">
      <c r="A1476" s="1156">
        <f t="shared" si="129"/>
        <v>0</v>
      </c>
      <c r="B1476" s="1157" t="s">
        <v>1138</v>
      </c>
      <c r="C1476" s="1157"/>
      <c r="D1476" s="1081"/>
      <c r="E1476" s="1094" t="str">
        <f>VLOOKUP($B1476,DG!A:D,DG!$B$2,)</f>
        <v>05.6105</v>
      </c>
      <c r="F1476" s="1083" t="str">
        <f>VLOOKUP($B1476,DG!A:D,DG!$C$2,)&amp;": 2 cái"</f>
        <v>Đà U160x68x5x2800 đỡ MBA: 2 cái</v>
      </c>
      <c r="G1476" s="1082" t="str">
        <f>VLOOKUP($B1476,DG!A:D,DG!$D$2,)</f>
        <v>cái</v>
      </c>
      <c r="H1476" s="1873">
        <v>2</v>
      </c>
      <c r="I1476" s="1262">
        <f t="shared" si="131"/>
        <v>0</v>
      </c>
      <c r="J1476" s="1111"/>
      <c r="K1476" s="1111"/>
      <c r="L1476" s="1085"/>
      <c r="M1476" s="977">
        <v>320</v>
      </c>
    </row>
    <row r="1477" spans="1:13" s="1086" customFormat="1" ht="25.15" hidden="1" customHeight="1">
      <c r="A1477" s="1156">
        <f t="shared" si="129"/>
        <v>0</v>
      </c>
      <c r="B1477" s="1157" t="s">
        <v>1139</v>
      </c>
      <c r="C1477" s="1157"/>
      <c r="D1477" s="1081"/>
      <c r="E1477" s="1094" t="str">
        <f>VLOOKUP($B1477,DG!A:D,DG!$B$2,)</f>
        <v>05.6101</v>
      </c>
      <c r="F1477" s="1083" t="str">
        <f>VLOOKUP($B1477,DG!A:D,DG!$C$2,)&amp;": 4 cái"</f>
        <v>Đà U100x46x4.5x400 : 4 cái</v>
      </c>
      <c r="G1477" s="1082" t="str">
        <f>VLOOKUP($B1477,DG!A:D,DG!$D$2,)</f>
        <v>cái</v>
      </c>
      <c r="H1477" s="1873">
        <v>4</v>
      </c>
      <c r="I1477" s="1262">
        <f t="shared" si="131"/>
        <v>0</v>
      </c>
      <c r="J1477" s="1111"/>
      <c r="K1477" s="1111"/>
      <c r="L1477" s="1085"/>
      <c r="M1477" s="977">
        <v>320</v>
      </c>
    </row>
    <row r="1478" spans="1:13" s="1086" customFormat="1" ht="25.15" hidden="1" customHeight="1">
      <c r="A1478" s="1156">
        <f t="shared" si="129"/>
        <v>0</v>
      </c>
      <c r="B1478" s="1157" t="s">
        <v>1140</v>
      </c>
      <c r="C1478" s="1157"/>
      <c r="D1478" s="1081"/>
      <c r="E1478" s="1094" t="str">
        <f>VLOOKUP($B1478,DG!A:D,DG!$B$2,)</f>
        <v>05.6101</v>
      </c>
      <c r="F1478" s="1083" t="str">
        <f>VLOOKUP($B1478,DG!A:D,DG!$C$2,)&amp;": 2 cái"</f>
        <v>Đà U100x46x5x800 : 2 cái</v>
      </c>
      <c r="G1478" s="1082" t="str">
        <f>VLOOKUP($B1478,DG!A:D,DG!$D$2,)</f>
        <v>cái</v>
      </c>
      <c r="H1478" s="1873">
        <v>2</v>
      </c>
      <c r="I1478" s="1262">
        <f t="shared" si="131"/>
        <v>0</v>
      </c>
      <c r="J1478" s="1111"/>
      <c r="K1478" s="1111"/>
      <c r="L1478" s="1085"/>
      <c r="M1478" s="977">
        <v>320</v>
      </c>
    </row>
    <row r="1479" spans="1:13" s="1086" customFormat="1" ht="25.15" hidden="1" customHeight="1">
      <c r="A1479" s="1156">
        <f t="shared" si="129"/>
        <v>0</v>
      </c>
      <c r="B1479" s="1327" t="s">
        <v>1787</v>
      </c>
      <c r="C1479" s="1327"/>
      <c r="D1479" s="1081"/>
      <c r="E1479" s="1094">
        <f>VLOOKUP($B1479,DG!A:D,DG!$B$2,)</f>
        <v>0</v>
      </c>
      <c r="F1479" s="1083" t="str">
        <f>VLOOKUP($B1479,DG!A:D,DG!$C$2,)</f>
        <v>Boulon 16x400VRS+ 4 long đền vuông D18-50x50x3/Zn</v>
      </c>
      <c r="G1479" s="1082" t="str">
        <f>VLOOKUP($B1479,DG!A:D,DG!$D$2,)</f>
        <v>bộ</v>
      </c>
      <c r="H1479" s="1873">
        <f>H1474*10</f>
        <v>0</v>
      </c>
      <c r="I1479" s="1262">
        <f t="shared" si="131"/>
        <v>0</v>
      </c>
      <c r="J1479" s="1111"/>
      <c r="K1479" s="1111"/>
      <c r="L1479" s="1085"/>
      <c r="M1479" s="977">
        <v>320</v>
      </c>
    </row>
    <row r="1480" spans="1:13" s="1086" customFormat="1" ht="25.15" hidden="1" customHeight="1">
      <c r="A1480" s="1156">
        <f t="shared" si="129"/>
        <v>0</v>
      </c>
      <c r="B1480" s="1327" t="s">
        <v>1085</v>
      </c>
      <c r="C1480" s="1327"/>
      <c r="D1480" s="1081"/>
      <c r="E1480" s="1094">
        <f>VLOOKUP($B1480,DG!A:D,DG!$B$2,)</f>
        <v>0</v>
      </c>
      <c r="F1480" s="1083" t="str">
        <f>VLOOKUP($B1480,DG!A:D,DG!$C$2,)</f>
        <v>Boulon 16x400+ 2 long đền vuông D18-50x50x3/Zn</v>
      </c>
      <c r="G1480" s="1082" t="str">
        <f>VLOOKUP($B1480,DG!A:D,DG!$D$2,)</f>
        <v>bộ</v>
      </c>
      <c r="H1480" s="1873">
        <f>H1474*2</f>
        <v>0</v>
      </c>
      <c r="I1480" s="1262">
        <f t="shared" si="131"/>
        <v>0</v>
      </c>
      <c r="J1480" s="1111"/>
      <c r="K1480" s="1111"/>
      <c r="L1480" s="1085"/>
      <c r="M1480" s="977">
        <v>320</v>
      </c>
    </row>
    <row r="1481" spans="1:13" s="1086" customFormat="1" ht="25.15" hidden="1" customHeight="1">
      <c r="A1481" s="1156">
        <f t="shared" si="129"/>
        <v>0</v>
      </c>
      <c r="B1481" s="1327" t="s">
        <v>1081</v>
      </c>
      <c r="C1481" s="1327"/>
      <c r="D1481" s="1081"/>
      <c r="E1481" s="1094">
        <f>VLOOKUP($B1481,DG!A:D,DG!$B$2,)</f>
        <v>0</v>
      </c>
      <c r="F1481" s="1083" t="str">
        <f>VLOOKUP($B1481,DG!A:D,DG!$C$2,)</f>
        <v>Boulon 16x350+ 2 long đền vuông D18-50x50x3/Zn</v>
      </c>
      <c r="G1481" s="1082" t="str">
        <f>VLOOKUP($B1481,DG!A:D,DG!$D$2,)</f>
        <v>bộ</v>
      </c>
      <c r="H1481" s="1873">
        <f>H1474*12</f>
        <v>0</v>
      </c>
      <c r="I1481" s="1262">
        <f t="shared" si="131"/>
        <v>0</v>
      </c>
      <c r="J1481" s="1111"/>
      <c r="K1481" s="1111"/>
      <c r="L1481" s="1085"/>
      <c r="M1481" s="977">
        <v>320</v>
      </c>
    </row>
    <row r="1482" spans="1:13" s="1086" customFormat="1" ht="25.15" hidden="1" customHeight="1">
      <c r="A1482" s="1156">
        <f t="shared" si="129"/>
        <v>0</v>
      </c>
      <c r="B1482" s="1327" t="s">
        <v>2250</v>
      </c>
      <c r="C1482" s="1327"/>
      <c r="D1482" s="1081"/>
      <c r="E1482" s="1094" t="str">
        <f>VLOOKUP($B1482,DG!A:D,DG!$B$2,)</f>
        <v>05.6044</v>
      </c>
      <c r="F1482" s="1083" t="str">
        <f>VLOOKUP($B1482,DG!A:D,DG!$C$2,)</f>
        <v>Lắp xà cột Pi loại ≤140kg/xà</v>
      </c>
      <c r="G1482" s="1082" t="str">
        <f>VLOOKUP($B1482,DG!A:D,DG!$D$2,)</f>
        <v>bộ</v>
      </c>
      <c r="H1482" s="1873">
        <f>H1474</f>
        <v>0</v>
      </c>
      <c r="I1482" s="1262">
        <f t="shared" si="131"/>
        <v>0</v>
      </c>
      <c r="J1482" s="1111"/>
      <c r="K1482" s="1111"/>
      <c r="L1482" s="1085"/>
      <c r="M1482" s="977">
        <v>320</v>
      </c>
    </row>
    <row r="1483" spans="1:13" s="1086" customFormat="1" ht="25.15" hidden="1" customHeight="1">
      <c r="A1483" s="1156">
        <f t="shared" si="129"/>
        <v>0</v>
      </c>
      <c r="B1483" s="1327"/>
      <c r="C1483" s="1327"/>
      <c r="D1483" s="1087">
        <f>IF(H1483&gt;0,D1474+1,D1474)</f>
        <v>0</v>
      </c>
      <c r="E1483" s="1088"/>
      <c r="F1483" s="1133" t="s">
        <v>4569</v>
      </c>
      <c r="G1483" s="1087" t="s">
        <v>2394</v>
      </c>
      <c r="H1483" s="1889">
        <f>H1474*2</f>
        <v>0</v>
      </c>
      <c r="I1483" s="1262">
        <f t="shared" si="131"/>
        <v>0</v>
      </c>
      <c r="J1483" s="1134"/>
      <c r="K1483" s="1134"/>
      <c r="L1483" s="1085"/>
      <c r="M1483" s="977">
        <v>320</v>
      </c>
    </row>
    <row r="1484" spans="1:13" s="1086" customFormat="1" ht="25.15" hidden="1" customHeight="1">
      <c r="A1484" s="1156">
        <f>IF(A1483&gt;0,1,0)</f>
        <v>0</v>
      </c>
      <c r="B1484" s="1327"/>
      <c r="C1484" s="1327"/>
      <c r="D1484" s="1081"/>
      <c r="E1484" s="1094"/>
      <c r="F1484" s="1370" t="s">
        <v>2287</v>
      </c>
      <c r="G1484" s="1093"/>
      <c r="H1484" s="1913">
        <f>H1483</f>
        <v>0</v>
      </c>
      <c r="I1484" s="1914">
        <f t="shared" si="131"/>
        <v>0</v>
      </c>
      <c r="J1484" s="1134"/>
      <c r="K1484" s="1134"/>
      <c r="L1484" s="1085"/>
      <c r="M1484" s="977">
        <v>320</v>
      </c>
    </row>
    <row r="1485" spans="1:13" s="1086" customFormat="1" ht="25.15" hidden="1" customHeight="1">
      <c r="A1485" s="1156">
        <f t="shared" si="129"/>
        <v>0</v>
      </c>
      <c r="B1485" s="1334" t="s">
        <v>2028</v>
      </c>
      <c r="C1485" s="1334"/>
      <c r="D1485" s="1081"/>
      <c r="E1485" s="1094">
        <f>VLOOKUP($B1485,DG!A:D,DG!$B$2,)</f>
        <v>0</v>
      </c>
      <c r="F1485" s="1083" t="str">
        <f>VLOOKUP($B1485,DG!A:D,DG!$C$2,)</f>
        <v>Sắt góc L75 x75 x8</v>
      </c>
      <c r="G1485" s="1094" t="str">
        <f>VLOOKUP($B1485,DG!A:D,DG!$D$2,)</f>
        <v>kg</v>
      </c>
      <c r="H1485" s="1873">
        <v>1</v>
      </c>
      <c r="I1485" s="1262">
        <f t="shared" si="131"/>
        <v>0</v>
      </c>
      <c r="J1485" s="1111"/>
      <c r="K1485" s="1111"/>
      <c r="L1485" s="1085"/>
      <c r="M1485" s="977">
        <v>320</v>
      </c>
    </row>
    <row r="1486" spans="1:13" s="1086" customFormat="1" ht="25.15" hidden="1" customHeight="1">
      <c r="A1486" s="1156">
        <f t="shared" si="129"/>
        <v>0</v>
      </c>
      <c r="B1486" s="1327" t="s">
        <v>1790</v>
      </c>
      <c r="C1486" s="1327"/>
      <c r="D1486" s="1081"/>
      <c r="E1486" s="1094">
        <f>VLOOKUP($B1486,DG!A:D,DG!$B$2,)</f>
        <v>0</v>
      </c>
      <c r="F1486" s="1083" t="str">
        <f>VLOOKUP($B1486,DG!A:D,DG!$C$2,)</f>
        <v>Boulon 16x300VRS+ 4 long đền vuông D18-50x50x3/Zn</v>
      </c>
      <c r="G1486" s="1094" t="str">
        <f>VLOOKUP($B1486,DG!A:D,DG!$D$2,)</f>
        <v>bộ</v>
      </c>
      <c r="H1486" s="1873"/>
      <c r="I1486" s="1262">
        <f t="shared" si="131"/>
        <v>0</v>
      </c>
      <c r="J1486" s="1111"/>
      <c r="K1486" s="1111"/>
      <c r="L1486" s="1085"/>
      <c r="M1486" s="977">
        <v>320</v>
      </c>
    </row>
    <row r="1487" spans="1:13" s="1086" customFormat="1" ht="25.15" hidden="1" customHeight="1">
      <c r="A1487" s="1156">
        <f t="shared" si="129"/>
        <v>0</v>
      </c>
      <c r="B1487" s="1327" t="s">
        <v>1615</v>
      </c>
      <c r="C1487" s="1327"/>
      <c r="D1487" s="1081"/>
      <c r="E1487" s="1094">
        <f>VLOOKUP($B1487,DG!A:D,DG!$B$2,)</f>
        <v>0</v>
      </c>
      <c r="F1487" s="1083" t="str">
        <f>VLOOKUP($B1487,DG!A:D,DG!$C$2,)</f>
        <v>Boulon 16x300+ 2 long đền vuông D18-50x50x3/Zn</v>
      </c>
      <c r="G1487" s="1094" t="str">
        <f>VLOOKUP($B1487,DG!A:D,DG!$D$2,)</f>
        <v>bộ</v>
      </c>
      <c r="H1487" s="1873">
        <v>2</v>
      </c>
      <c r="I1487" s="1262">
        <f t="shared" si="131"/>
        <v>0</v>
      </c>
      <c r="J1487" s="1111"/>
      <c r="K1487" s="1111"/>
      <c r="L1487" s="1085"/>
      <c r="M1487" s="977">
        <v>320</v>
      </c>
    </row>
    <row r="1488" spans="1:13" s="1086" customFormat="1" ht="25.15" hidden="1" customHeight="1">
      <c r="A1488" s="1156">
        <f t="shared" si="129"/>
        <v>0</v>
      </c>
      <c r="B1488" s="1327" t="s">
        <v>1614</v>
      </c>
      <c r="C1488" s="1327"/>
      <c r="D1488" s="1081"/>
      <c r="E1488" s="1094">
        <f>VLOOKUP($B1488,DG!A:D,DG!$B$2,)</f>
        <v>0</v>
      </c>
      <c r="F1488" s="1083" t="str">
        <f>VLOOKUP($B1488,DG!A:D,DG!$C$2,)</f>
        <v>Boulon 16x250+ 2 long đền vuông D18-50x50x3/Zn</v>
      </c>
      <c r="G1488" s="1094" t="str">
        <f>VLOOKUP($B1488,DG!A:D,DG!$D$2,)</f>
        <v>bộ</v>
      </c>
      <c r="H1488" s="1873"/>
      <c r="I1488" s="1262">
        <f t="shared" si="131"/>
        <v>0</v>
      </c>
      <c r="J1488" s="1111"/>
      <c r="K1488" s="1111"/>
      <c r="L1488" s="1085"/>
      <c r="M1488" s="977">
        <v>320</v>
      </c>
    </row>
    <row r="1489" spans="1:13" s="1086" customFormat="1" ht="25.15" hidden="1" customHeight="1">
      <c r="A1489" s="1156">
        <f t="shared" si="129"/>
        <v>0</v>
      </c>
      <c r="B1489" s="1327" t="s">
        <v>2250</v>
      </c>
      <c r="C1489" s="1327"/>
      <c r="D1489" s="1081"/>
      <c r="E1489" s="1094" t="str">
        <f>VLOOKUP($B1489,DG!A:D,DG!$B$2,)</f>
        <v>05.6044</v>
      </c>
      <c r="F1489" s="1083" t="str">
        <f>VLOOKUP($B1489,DG!A:D,DG!$C$2,)</f>
        <v>Lắp xà cột Pi loại ≤140kg/xà</v>
      </c>
      <c r="G1489" s="1094" t="str">
        <f>VLOOKUP($B1489,DG!A:D,DG!$D$2,)</f>
        <v>bộ</v>
      </c>
      <c r="H1489" s="1873">
        <v>1</v>
      </c>
      <c r="I1489" s="1262">
        <f t="shared" si="131"/>
        <v>0</v>
      </c>
      <c r="J1489" s="1111"/>
      <c r="K1489" s="1111"/>
      <c r="L1489" s="1085"/>
      <c r="M1489" s="977">
        <v>320</v>
      </c>
    </row>
    <row r="1490" spans="1:13" s="1086" customFormat="1" ht="25.15" hidden="1" customHeight="1">
      <c r="A1490" s="1156">
        <f t="shared" si="129"/>
        <v>0</v>
      </c>
      <c r="B1490" s="1327"/>
      <c r="C1490" s="1327"/>
      <c r="D1490" s="1087">
        <f>IF(H1490&gt;0,D1483+1,D1483)</f>
        <v>0</v>
      </c>
      <c r="E1490" s="1088"/>
      <c r="F1490" s="1133" t="s">
        <v>3756</v>
      </c>
      <c r="G1490" s="1087" t="s">
        <v>2394</v>
      </c>
      <c r="H1490" s="1889">
        <f>H1445</f>
        <v>0</v>
      </c>
      <c r="I1490" s="1262">
        <f t="shared" si="131"/>
        <v>0</v>
      </c>
      <c r="J1490" s="1134"/>
      <c r="K1490" s="1134"/>
      <c r="L1490" s="1085"/>
      <c r="M1490" s="977">
        <v>320</v>
      </c>
    </row>
    <row r="1491" spans="1:13" s="1086" customFormat="1" ht="25.15" hidden="1" customHeight="1">
      <c r="A1491" s="1156">
        <f>IF(A1490&gt;0,1,0)</f>
        <v>0</v>
      </c>
      <c r="B1491" s="1327"/>
      <c r="C1491" s="1327"/>
      <c r="D1491" s="1081"/>
      <c r="E1491" s="1091"/>
      <c r="F1491" s="1370" t="s">
        <v>2287</v>
      </c>
      <c r="G1491" s="1093"/>
      <c r="H1491" s="1873"/>
      <c r="I1491" s="1262">
        <f t="shared" si="131"/>
        <v>0</v>
      </c>
      <c r="J1491" s="1134"/>
      <c r="K1491" s="1134"/>
      <c r="L1491" s="1085"/>
      <c r="M1491" s="977">
        <v>320</v>
      </c>
    </row>
    <row r="1492" spans="1:13" s="1086" customFormat="1" ht="25.15" hidden="1" customHeight="1">
      <c r="A1492" s="1156">
        <f t="shared" si="129"/>
        <v>0</v>
      </c>
      <c r="B1492" s="1347" t="s">
        <v>362</v>
      </c>
      <c r="C1492" s="1347"/>
      <c r="D1492" s="1081"/>
      <c r="E1492" s="1094">
        <f>VLOOKUP($B1492,DG!A:D,DG!$B$2,)</f>
        <v>0</v>
      </c>
      <c r="F1492" s="1083" t="str">
        <f>VLOOKUP($B1492,DG!A:D,DG!$C$2,)</f>
        <v>Xà composite 110x800x5</v>
      </c>
      <c r="G1492" s="1094" t="str">
        <f>VLOOKUP($B1492,DG!A:D,DG!$D$2,)</f>
        <v>cái</v>
      </c>
      <c r="H1492" s="1873">
        <v>1</v>
      </c>
      <c r="I1492" s="1262">
        <f t="shared" si="131"/>
        <v>0</v>
      </c>
      <c r="J1492" s="1111"/>
      <c r="K1492" s="1111"/>
      <c r="L1492" s="1085"/>
      <c r="M1492" s="977">
        <v>320</v>
      </c>
    </row>
    <row r="1493" spans="1:13" s="1086" customFormat="1" ht="25.15" hidden="1" customHeight="1">
      <c r="A1493" s="1156">
        <f t="shared" si="129"/>
        <v>0</v>
      </c>
      <c r="B1493" s="1327" t="s">
        <v>1614</v>
      </c>
      <c r="C1493" s="1327"/>
      <c r="D1493" s="1081"/>
      <c r="E1493" s="1094">
        <f>VLOOKUP($B1493,DG!A:D,DG!$B$2,)</f>
        <v>0</v>
      </c>
      <c r="F1493" s="1083" t="str">
        <f>VLOOKUP($B1493,DG!A:D,DG!$C$2,)</f>
        <v>Boulon 16x250+ 2 long đền vuông D18-50x50x3/Zn</v>
      </c>
      <c r="G1493" s="1094" t="str">
        <f>VLOOKUP($B1493,DG!A:D,DG!$D$2,)</f>
        <v>bộ</v>
      </c>
      <c r="H1493" s="1873"/>
      <c r="I1493" s="1262">
        <f t="shared" si="131"/>
        <v>0</v>
      </c>
      <c r="J1493" s="1111"/>
      <c r="K1493" s="1111"/>
      <c r="L1493" s="1085"/>
      <c r="M1493" s="977">
        <v>320</v>
      </c>
    </row>
    <row r="1494" spans="1:13" s="1086" customFormat="1" ht="25.15" hidden="1" customHeight="1">
      <c r="A1494" s="1156">
        <f t="shared" ref="A1494:A1556" si="132">IF(I1494&gt;0,1,0)</f>
        <v>0</v>
      </c>
      <c r="B1494" s="1327" t="s">
        <v>1615</v>
      </c>
      <c r="C1494" s="1327"/>
      <c r="D1494" s="1081"/>
      <c r="E1494" s="1094">
        <f>VLOOKUP($B1494,DG!A:D,DG!$B$2,)</f>
        <v>0</v>
      </c>
      <c r="F1494" s="1083" t="str">
        <f>VLOOKUP($B1494,DG!A:D,DG!$C$2,)</f>
        <v>Boulon 16x300+ 2 long đền vuông D18-50x50x3/Zn</v>
      </c>
      <c r="G1494" s="1094" t="str">
        <f>VLOOKUP($B1494,DG!A:D,DG!$D$2,)</f>
        <v>bộ</v>
      </c>
      <c r="H1494" s="1873">
        <v>2</v>
      </c>
      <c r="I1494" s="1262">
        <f t="shared" si="131"/>
        <v>0</v>
      </c>
      <c r="J1494" s="1111"/>
      <c r="K1494" s="1111"/>
      <c r="L1494" s="1085"/>
      <c r="M1494" s="977">
        <v>320</v>
      </c>
    </row>
    <row r="1495" spans="1:13" s="1086" customFormat="1" ht="25.15" hidden="1" customHeight="1">
      <c r="A1495" s="1156">
        <f t="shared" si="132"/>
        <v>0</v>
      </c>
      <c r="B1495" s="1327" t="s">
        <v>30</v>
      </c>
      <c r="C1495" s="1327"/>
      <c r="D1495" s="1081"/>
      <c r="E1495" s="1094">
        <f>VLOOKUP($B1495,DG!A:D,DG!$B$2,)</f>
        <v>0</v>
      </c>
      <c r="F1495" s="1083" t="str">
        <f>VLOOKUP($B1495,DG!A:D,DG!$C$2,)</f>
        <v>Bass LI bắt FCO</v>
      </c>
      <c r="G1495" s="1094" t="str">
        <f>VLOOKUP($B1495,DG!A:D,DG!$D$2,)</f>
        <v>Bộ</v>
      </c>
      <c r="H1495" s="1873">
        <f>H1446</f>
        <v>0</v>
      </c>
      <c r="I1495" s="1262">
        <f t="shared" si="131"/>
        <v>0</v>
      </c>
      <c r="J1495" s="1111"/>
      <c r="K1495" s="1111"/>
      <c r="L1495" s="1085"/>
      <c r="M1495" s="977">
        <v>320</v>
      </c>
    </row>
    <row r="1496" spans="1:13" s="1086" customFormat="1" ht="25.15" hidden="1" customHeight="1">
      <c r="A1496" s="1156">
        <f t="shared" si="132"/>
        <v>0</v>
      </c>
      <c r="B1496" s="1327" t="s">
        <v>2250</v>
      </c>
      <c r="C1496" s="1327"/>
      <c r="D1496" s="1081"/>
      <c r="E1496" s="1094" t="str">
        <f>VLOOKUP($B1496,DG!A:D,DG!$B$2,)</f>
        <v>05.6044</v>
      </c>
      <c r="F1496" s="1083" t="str">
        <f>VLOOKUP($B1496,DG!A:D,DG!$C$2,)</f>
        <v>Lắp xà cột Pi loại ≤140kg/xà</v>
      </c>
      <c r="G1496" s="1094" t="str">
        <f>VLOOKUP($B1496,DG!A:D,DG!$D$2,)</f>
        <v>bộ</v>
      </c>
      <c r="H1496" s="1873">
        <f>H1445</f>
        <v>0</v>
      </c>
      <c r="I1496" s="1262">
        <f t="shared" si="131"/>
        <v>0</v>
      </c>
      <c r="J1496" s="1149"/>
      <c r="K1496" s="1111"/>
      <c r="L1496" s="1085"/>
      <c r="M1496" s="977">
        <v>320</v>
      </c>
    </row>
    <row r="1497" spans="1:13" s="1086" customFormat="1" ht="25.15" hidden="1" customHeight="1">
      <c r="A1497" s="1156">
        <f t="shared" si="132"/>
        <v>0</v>
      </c>
      <c r="B1497" s="1327"/>
      <c r="C1497" s="1327"/>
      <c r="D1497" s="1087">
        <f>IF(H1497&gt;0,D1490+1,D1490)</f>
        <v>0</v>
      </c>
      <c r="E1497" s="1088"/>
      <c r="F1497" s="1133" t="s">
        <v>3738</v>
      </c>
      <c r="G1497" s="1087" t="s">
        <v>2394</v>
      </c>
      <c r="H1497" s="1889">
        <f>H1445*2</f>
        <v>0</v>
      </c>
      <c r="I1497" s="1262">
        <f t="shared" si="131"/>
        <v>0</v>
      </c>
      <c r="J1497" s="1134"/>
      <c r="K1497" s="1134"/>
      <c r="L1497" s="1085"/>
      <c r="M1497" s="977">
        <v>320</v>
      </c>
    </row>
    <row r="1498" spans="1:13" s="1086" customFormat="1" ht="25.15" hidden="1" customHeight="1">
      <c r="A1498" s="1156">
        <f>IF(A1497&gt;0,1,0)</f>
        <v>0</v>
      </c>
      <c r="B1498" s="1327"/>
      <c r="C1498" s="1327"/>
      <c r="D1498" s="1081"/>
      <c r="E1498" s="1091"/>
      <c r="F1498" s="1370" t="s">
        <v>2287</v>
      </c>
      <c r="G1498" s="1093"/>
      <c r="H1498" s="1873"/>
      <c r="I1498" s="1262">
        <f t="shared" si="131"/>
        <v>0</v>
      </c>
      <c r="J1498" s="1134"/>
      <c r="K1498" s="1134"/>
      <c r="L1498" s="1085"/>
      <c r="M1498" s="977">
        <v>320</v>
      </c>
    </row>
    <row r="1499" spans="1:13" s="1086" customFormat="1" ht="25.15" hidden="1" customHeight="1">
      <c r="A1499" s="1156">
        <f t="shared" si="132"/>
        <v>0</v>
      </c>
      <c r="B1499" s="1327" t="s">
        <v>2028</v>
      </c>
      <c r="C1499" s="1327"/>
      <c r="D1499" s="1081"/>
      <c r="E1499" s="1094">
        <f>VLOOKUP($B1499,DG!A:D,DG!$B$2,)</f>
        <v>0</v>
      </c>
      <c r="F1499" s="1083" t="str">
        <f>VLOOKUP($B1499,DG!A:D,DG!$C$2,)</f>
        <v>Sắt góc L75 x75 x8</v>
      </c>
      <c r="G1499" s="1094" t="str">
        <f>VLOOKUP($B1499,DG!A:D,DG!$D$2,)</f>
        <v>kg</v>
      </c>
      <c r="H1499" s="1873">
        <v>2</v>
      </c>
      <c r="I1499" s="1262">
        <f t="shared" si="131"/>
        <v>0</v>
      </c>
      <c r="J1499" s="1111"/>
      <c r="K1499" s="1111"/>
      <c r="L1499" s="1085"/>
      <c r="M1499" s="977">
        <v>320</v>
      </c>
    </row>
    <row r="1500" spans="1:13" s="1086" customFormat="1" ht="25.15" hidden="1" customHeight="1">
      <c r="A1500" s="1156">
        <f t="shared" si="132"/>
        <v>0</v>
      </c>
      <c r="B1500" s="1327" t="s">
        <v>1085</v>
      </c>
      <c r="C1500" s="1327"/>
      <c r="D1500" s="1081"/>
      <c r="E1500" s="1094">
        <f>VLOOKUP($B1500,DG!A:D,DG!$B$2,)</f>
        <v>0</v>
      </c>
      <c r="F1500" s="1083" t="str">
        <f>VLOOKUP($B1500,DG!A:D,DG!$C$2,)</f>
        <v>Boulon 16x400+ 2 long đền vuông D18-50x50x3/Zn</v>
      </c>
      <c r="G1500" s="1094" t="str">
        <f>VLOOKUP($B1500,DG!A:D,DG!$D$2,)</f>
        <v>bộ</v>
      </c>
      <c r="H1500" s="1873">
        <f>H1497*2</f>
        <v>0</v>
      </c>
      <c r="I1500" s="1262">
        <f t="shared" si="131"/>
        <v>0</v>
      </c>
      <c r="J1500" s="1111"/>
      <c r="K1500" s="1111"/>
      <c r="L1500" s="1085"/>
      <c r="M1500" s="977">
        <v>320</v>
      </c>
    </row>
    <row r="1501" spans="1:13" s="1086" customFormat="1" ht="25.15" hidden="1" customHeight="1">
      <c r="A1501" s="1156">
        <f t="shared" si="132"/>
        <v>0</v>
      </c>
      <c r="B1501" s="1327" t="s">
        <v>138</v>
      </c>
      <c r="C1501" s="1327"/>
      <c r="D1501" s="1081"/>
      <c r="E1501" s="1094">
        <f>VLOOKUP($B1501,DG!A:D,DG!$B$2,)</f>
        <v>0</v>
      </c>
      <c r="F1501" s="1083" t="str">
        <f>VLOOKUP($B1501,DG!A:D,DG!$C$2,)</f>
        <v>Boulon 12x40+ 2 long đền vuông D14-50x50x3/Zn</v>
      </c>
      <c r="G1501" s="1094" t="str">
        <f>VLOOKUP($B1501,DG!A:D,DG!$D$2,)</f>
        <v>bộ</v>
      </c>
      <c r="H1501" s="1873">
        <f>H1497*2</f>
        <v>0</v>
      </c>
      <c r="I1501" s="1262">
        <f t="shared" si="131"/>
        <v>0</v>
      </c>
      <c r="J1501" s="1111"/>
      <c r="K1501" s="1111"/>
      <c r="L1501" s="1085"/>
      <c r="M1501" s="977">
        <v>320</v>
      </c>
    </row>
    <row r="1502" spans="1:13" s="1086" customFormat="1" ht="25.15" hidden="1" customHeight="1">
      <c r="A1502" s="1156">
        <f t="shared" si="132"/>
        <v>0</v>
      </c>
      <c r="B1502" s="1327" t="s">
        <v>2250</v>
      </c>
      <c r="C1502" s="1327"/>
      <c r="D1502" s="1081"/>
      <c r="E1502" s="1094" t="str">
        <f>VLOOKUP($B1502,DG!A:D,DG!$B$2,)</f>
        <v>05.6044</v>
      </c>
      <c r="F1502" s="1083" t="str">
        <f>VLOOKUP($B1502,DG!A:D,DG!$C$2,)</f>
        <v>Lắp xà cột Pi loại ≤140kg/xà</v>
      </c>
      <c r="G1502" s="1094" t="str">
        <f>VLOOKUP($B1502,DG!A:D,DG!$D$2,)</f>
        <v>bộ</v>
      </c>
      <c r="H1502" s="1873">
        <f>H1497/2</f>
        <v>0</v>
      </c>
      <c r="I1502" s="1262">
        <f t="shared" si="131"/>
        <v>0</v>
      </c>
      <c r="J1502" s="1149"/>
      <c r="K1502" s="1111"/>
      <c r="L1502" s="1085"/>
      <c r="M1502" s="977">
        <v>320</v>
      </c>
    </row>
    <row r="1503" spans="1:13" s="1086" customFormat="1" ht="25.15" hidden="1" customHeight="1">
      <c r="A1503" s="1156">
        <f t="shared" si="132"/>
        <v>0</v>
      </c>
      <c r="B1503" s="1327" t="s">
        <v>217</v>
      </c>
      <c r="C1503" s="1327"/>
      <c r="D1503" s="1081"/>
      <c r="E1503" s="1094" t="str">
        <f>VLOOKUP($B1503,DG!A:D,DG!$B$2,)</f>
        <v>02.1115</v>
      </c>
      <c r="F1503" s="1083" t="str">
        <f>VLOOKUP($B1503,DG!A:D,DG!$C$2,)</f>
        <v>Bốc dỡ xà, thép thanh</v>
      </c>
      <c r="G1503" s="1094" t="str">
        <f>VLOOKUP($B1503,DG!A:D,DG!$D$2,)</f>
        <v>tấn</v>
      </c>
      <c r="H1503" s="1873">
        <f>0.05*0</f>
        <v>0</v>
      </c>
      <c r="I1503" s="1262">
        <f t="shared" si="131"/>
        <v>0</v>
      </c>
      <c r="J1503" s="1111"/>
      <c r="K1503" s="1111"/>
      <c r="L1503" s="1085"/>
      <c r="M1503" s="977">
        <v>320</v>
      </c>
    </row>
    <row r="1504" spans="1:13" s="1086" customFormat="1" ht="25.15" hidden="1" customHeight="1">
      <c r="A1504" s="1156">
        <f t="shared" si="132"/>
        <v>0</v>
      </c>
      <c r="B1504" s="1327" t="s">
        <v>1615</v>
      </c>
      <c r="C1504" s="1327"/>
      <c r="D1504" s="1081"/>
      <c r="E1504" s="1094">
        <f>VLOOKUP($B1504,DG!A:D,DG!$B$2,)</f>
        <v>0</v>
      </c>
      <c r="F1504" s="1083" t="str">
        <f>VLOOKUP($B1504,DG!A:D,DG!$C$2,)</f>
        <v>Boulon 16x300+ 2 long đền vuông D18-50x50x3/Zn</v>
      </c>
      <c r="G1504" s="1082" t="s">
        <v>2448</v>
      </c>
      <c r="H1504" s="1873">
        <f>H1497*2*0</f>
        <v>0</v>
      </c>
      <c r="I1504" s="1262">
        <f t="shared" si="131"/>
        <v>0</v>
      </c>
      <c r="J1504" s="1111"/>
      <c r="K1504" s="1111"/>
      <c r="L1504" s="1085"/>
      <c r="M1504" s="977">
        <v>320</v>
      </c>
    </row>
    <row r="1505" spans="1:13" s="1086" customFormat="1" ht="25.15" hidden="1" customHeight="1">
      <c r="A1505" s="1156">
        <f t="shared" si="132"/>
        <v>0</v>
      </c>
      <c r="B1505" s="1327" t="s">
        <v>1614</v>
      </c>
      <c r="C1505" s="1327"/>
      <c r="D1505" s="1081"/>
      <c r="E1505" s="1094">
        <f>VLOOKUP($B1505,DG!A:D,DG!$B$2,)</f>
        <v>0</v>
      </c>
      <c r="F1505" s="1083" t="str">
        <f>VLOOKUP($B1505,DG!A:D,DG!$C$2,)</f>
        <v>Boulon 16x250+ 2 long đền vuông D18-50x50x3/Zn</v>
      </c>
      <c r="G1505" s="1082" t="s">
        <v>2448</v>
      </c>
      <c r="H1505" s="1873">
        <f>2*H1497*2*0</f>
        <v>0</v>
      </c>
      <c r="I1505" s="1262">
        <f t="shared" si="131"/>
        <v>0</v>
      </c>
      <c r="J1505" s="1111"/>
      <c r="K1505" s="1111"/>
      <c r="L1505" s="1085"/>
      <c r="M1505" s="977">
        <v>320</v>
      </c>
    </row>
    <row r="1506" spans="1:13" s="1086" customFormat="1" ht="25.15" hidden="1" customHeight="1" collapsed="1">
      <c r="A1506" s="1156">
        <f t="shared" si="132"/>
        <v>0</v>
      </c>
      <c r="B1506" s="1327"/>
      <c r="C1506" s="1327"/>
      <c r="D1506" s="1087">
        <f>IF(H1506&gt;0,D1497+1,D1497)</f>
        <v>0</v>
      </c>
      <c r="E1506" s="1088"/>
      <c r="F1506" s="1133" t="s">
        <v>3758</v>
      </c>
      <c r="G1506" s="1087" t="s">
        <v>2394</v>
      </c>
      <c r="H1506" s="1889">
        <f>H1445*0</f>
        <v>0</v>
      </c>
      <c r="I1506" s="1262">
        <f t="shared" si="131"/>
        <v>0</v>
      </c>
      <c r="J1506" s="1084"/>
      <c r="K1506" s="1084"/>
      <c r="L1506" s="1113"/>
      <c r="M1506" s="977">
        <v>320</v>
      </c>
    </row>
    <row r="1507" spans="1:13" s="1086" customFormat="1" ht="25.15" hidden="1" customHeight="1">
      <c r="A1507" s="1156">
        <f>IF(A1506&gt;0,1,0)</f>
        <v>0</v>
      </c>
      <c r="B1507" s="1327"/>
      <c r="C1507" s="1327"/>
      <c r="D1507" s="1081"/>
      <c r="E1507" s="1091"/>
      <c r="F1507" s="1370" t="s">
        <v>2287</v>
      </c>
      <c r="G1507" s="1093"/>
      <c r="H1507" s="1873"/>
      <c r="I1507" s="1262">
        <f t="shared" si="131"/>
        <v>0</v>
      </c>
      <c r="J1507" s="1084"/>
      <c r="K1507" s="1084"/>
      <c r="L1507" s="1113"/>
      <c r="M1507" s="977">
        <v>320</v>
      </c>
    </row>
    <row r="1508" spans="1:13" s="1086" customFormat="1" ht="25.15" hidden="1" customHeight="1">
      <c r="A1508" s="1156">
        <f t="shared" si="132"/>
        <v>0</v>
      </c>
      <c r="B1508" s="1327" t="s">
        <v>2028</v>
      </c>
      <c r="C1508" s="1327"/>
      <c r="D1508" s="1081"/>
      <c r="E1508" s="1094">
        <f>VLOOKUP($B1508,DG!A:D,DG!$B$2,)</f>
        <v>0</v>
      </c>
      <c r="F1508" s="1083" t="str">
        <f>VLOOKUP($B1508,DG!A:D,DG!$C$2,)</f>
        <v>Sắt góc L75 x75 x8</v>
      </c>
      <c r="G1508" s="1082" t="s">
        <v>2256</v>
      </c>
      <c r="H1508" s="1873">
        <f>H1506*9.02*(2.4+4*0.07)*2</f>
        <v>0</v>
      </c>
      <c r="I1508" s="1262">
        <f t="shared" si="131"/>
        <v>0</v>
      </c>
      <c r="J1508" s="1084"/>
      <c r="K1508" s="1084"/>
      <c r="L1508" s="1113"/>
      <c r="M1508" s="977">
        <v>320</v>
      </c>
    </row>
    <row r="1509" spans="1:13" s="1086" customFormat="1" ht="25.15" hidden="1" customHeight="1">
      <c r="A1509" s="1156">
        <f t="shared" si="132"/>
        <v>0</v>
      </c>
      <c r="B1509" s="1327" t="s">
        <v>1037</v>
      </c>
      <c r="C1509" s="1327"/>
      <c r="D1509" s="1081"/>
      <c r="E1509" s="1094">
        <f>VLOOKUP($B1509,DG!A:D,DG!$B$2,)</f>
        <v>0</v>
      </c>
      <c r="F1509" s="1083" t="str">
        <f>VLOOKUP($B1509,DG!A:D,DG!$C$2,)&amp;" (Thanh choáng 810)"</f>
        <v>Sắt góc L50 x50 x5 (Thanh choáng 810)</v>
      </c>
      <c r="G1509" s="1082" t="s">
        <v>2256</v>
      </c>
      <c r="H1509" s="1873">
        <f>H1506*3.77*0.81*4</f>
        <v>0</v>
      </c>
      <c r="I1509" s="1262">
        <f t="shared" si="131"/>
        <v>0</v>
      </c>
      <c r="J1509" s="1084"/>
      <c r="K1509" s="1084"/>
      <c r="L1509" s="1113"/>
      <c r="M1509" s="977">
        <v>320</v>
      </c>
    </row>
    <row r="1510" spans="1:13" s="1086" customFormat="1" ht="25.15" hidden="1" customHeight="1">
      <c r="A1510" s="1156">
        <f t="shared" si="132"/>
        <v>0</v>
      </c>
      <c r="B1510" s="1327" t="s">
        <v>1615</v>
      </c>
      <c r="C1510" s="1327"/>
      <c r="D1510" s="1081"/>
      <c r="E1510" s="1094">
        <f>VLOOKUP($B1510,DG!A:D,DG!$B$2,)</f>
        <v>0</v>
      </c>
      <c r="F1510" s="1083" t="str">
        <f>VLOOKUP($B1510,DG!A:D,DG!$C$2,)</f>
        <v>Boulon 16x300+ 2 long đền vuông D18-50x50x3/Zn</v>
      </c>
      <c r="G1510" s="1082" t="s">
        <v>2448</v>
      </c>
      <c r="H1510" s="1873">
        <f>H1506*2</f>
        <v>0</v>
      </c>
      <c r="I1510" s="1262">
        <f t="shared" si="131"/>
        <v>0</v>
      </c>
      <c r="J1510" s="1084"/>
      <c r="K1510" s="1084"/>
      <c r="L1510" s="1113"/>
      <c r="M1510" s="977">
        <v>320</v>
      </c>
    </row>
    <row r="1511" spans="1:13" s="1086" customFormat="1" ht="25.15" hidden="1" customHeight="1">
      <c r="A1511" s="1156">
        <f t="shared" si="132"/>
        <v>0</v>
      </c>
      <c r="B1511" s="1327" t="s">
        <v>1792</v>
      </c>
      <c r="C1511" s="1327"/>
      <c r="D1511" s="1081"/>
      <c r="E1511" s="1094">
        <f>VLOOKUP($B1511,DG!A:D,DG!$B$2,)</f>
        <v>0</v>
      </c>
      <c r="F1511" s="1083" t="str">
        <f>VLOOKUP($B1511,DG!A:D,DG!$C$2,)</f>
        <v>Boulon 16x50+ 2 long đền vuông D18-50x50x3/Zn</v>
      </c>
      <c r="G1511" s="1082" t="s">
        <v>2448</v>
      </c>
      <c r="H1511" s="1873">
        <f>H1506*4</f>
        <v>0</v>
      </c>
      <c r="I1511" s="1262">
        <f t="shared" si="131"/>
        <v>0</v>
      </c>
      <c r="J1511" s="1084"/>
      <c r="K1511" s="1084"/>
      <c r="L1511" s="1113"/>
      <c r="M1511" s="977">
        <v>320</v>
      </c>
    </row>
    <row r="1512" spans="1:13" s="1086" customFormat="1" ht="25.15" hidden="1" customHeight="1">
      <c r="A1512" s="1156">
        <f t="shared" si="132"/>
        <v>0</v>
      </c>
      <c r="B1512" s="1327" t="s">
        <v>1790</v>
      </c>
      <c r="C1512" s="1327"/>
      <c r="D1512" s="1081"/>
      <c r="E1512" s="1094">
        <f>VLOOKUP($B1512,DG!A:D,DG!$B$2,)</f>
        <v>0</v>
      </c>
      <c r="F1512" s="1083" t="str">
        <f>VLOOKUP($B1512,DG!A:D,DG!$C$2,)</f>
        <v>Boulon 16x300VRS+ 4 long đền vuông D18-50x50x3/Zn</v>
      </c>
      <c r="G1512" s="1082" t="s">
        <v>2448</v>
      </c>
      <c r="H1512" s="1873">
        <f>H1506*4</f>
        <v>0</v>
      </c>
      <c r="I1512" s="1262">
        <f t="shared" si="131"/>
        <v>0</v>
      </c>
      <c r="J1512" s="1084"/>
      <c r="K1512" s="1084"/>
      <c r="L1512" s="1113"/>
      <c r="M1512" s="977">
        <v>320</v>
      </c>
    </row>
    <row r="1513" spans="1:13" s="1086" customFormat="1" ht="25.15" hidden="1" customHeight="1">
      <c r="A1513" s="1156">
        <f t="shared" si="132"/>
        <v>0</v>
      </c>
      <c r="B1513" s="1327" t="s">
        <v>517</v>
      </c>
      <c r="C1513" s="1327"/>
      <c r="D1513" s="1081"/>
      <c r="E1513" s="1094" t="str">
        <f>VLOOKUP($B1513,DG!A:D,DG!$B$2,)</f>
        <v>05.6203</v>
      </c>
      <c r="F1513" s="1083" t="str">
        <f>VLOOKUP($B1513,DG!A:D,DG!$C$2,)</f>
        <v>Lắp xà néo ≤ 100kg</v>
      </c>
      <c r="G1513" s="1082" t="s">
        <v>2448</v>
      </c>
      <c r="H1513" s="1873">
        <f>H1506</f>
        <v>0</v>
      </c>
      <c r="I1513" s="1262">
        <f t="shared" si="131"/>
        <v>0</v>
      </c>
      <c r="J1513" s="1084"/>
      <c r="K1513" s="1084"/>
      <c r="L1513" s="1113"/>
      <c r="M1513" s="977">
        <v>320</v>
      </c>
    </row>
    <row r="1514" spans="1:13" s="1086" customFormat="1" ht="25.15" hidden="1" customHeight="1">
      <c r="A1514" s="1156">
        <f t="shared" si="132"/>
        <v>0</v>
      </c>
      <c r="B1514" s="1327"/>
      <c r="C1514" s="1327"/>
      <c r="D1514" s="1087">
        <f>IF(H1514&gt;0,D1506+1,D1506)</f>
        <v>0</v>
      </c>
      <c r="E1514" s="1088"/>
      <c r="F1514" s="1133" t="s">
        <v>3759</v>
      </c>
      <c r="G1514" s="1087" t="s">
        <v>2394</v>
      </c>
      <c r="H1514" s="1889">
        <f>H1445*0</f>
        <v>0</v>
      </c>
      <c r="I1514" s="1262">
        <f t="shared" si="131"/>
        <v>0</v>
      </c>
      <c r="J1514" s="1084"/>
      <c r="K1514" s="1084"/>
      <c r="L1514" s="1113"/>
      <c r="M1514" s="977">
        <v>320</v>
      </c>
    </row>
    <row r="1515" spans="1:13" s="1086" customFormat="1" ht="25.15" hidden="1" customHeight="1">
      <c r="A1515" s="1156">
        <f>IF(A1514&gt;0,1,0)</f>
        <v>0</v>
      </c>
      <c r="B1515" s="1327"/>
      <c r="C1515" s="1327"/>
      <c r="D1515" s="1081"/>
      <c r="E1515" s="1091"/>
      <c r="F1515" s="1370" t="s">
        <v>2287</v>
      </c>
      <c r="G1515" s="1093"/>
      <c r="H1515" s="1873"/>
      <c r="I1515" s="1262">
        <f t="shared" si="131"/>
        <v>0</v>
      </c>
      <c r="J1515" s="1084"/>
      <c r="K1515" s="1084"/>
      <c r="L1515" s="1113"/>
      <c r="M1515" s="977">
        <v>320</v>
      </c>
    </row>
    <row r="1516" spans="1:13" s="1086" customFormat="1" ht="25.15" hidden="1" customHeight="1">
      <c r="A1516" s="1156">
        <f t="shared" si="132"/>
        <v>0</v>
      </c>
      <c r="B1516" s="1327" t="s">
        <v>2028</v>
      </c>
      <c r="C1516" s="1327"/>
      <c r="D1516" s="1081"/>
      <c r="E1516" s="1094">
        <f>VLOOKUP($B1516,DG!A:D,DG!$B$2,)</f>
        <v>0</v>
      </c>
      <c r="F1516" s="1083" t="str">
        <f>VLOOKUP($B1516,DG!A:D,DG!$C$2,)</f>
        <v>Sắt góc L75 x75 x8</v>
      </c>
      <c r="G1516" s="1082" t="s">
        <v>2256</v>
      </c>
      <c r="H1516" s="1873">
        <f>H1514*9.42*(2.2+4*0.07)</f>
        <v>0</v>
      </c>
      <c r="I1516" s="1262">
        <f t="shared" si="131"/>
        <v>0</v>
      </c>
      <c r="J1516" s="1084"/>
      <c r="K1516" s="1084"/>
      <c r="L1516" s="1113"/>
      <c r="M1516" s="977">
        <v>320</v>
      </c>
    </row>
    <row r="1517" spans="1:13" s="1086" customFormat="1" ht="25.15" hidden="1" customHeight="1">
      <c r="A1517" s="1156">
        <f t="shared" si="132"/>
        <v>0</v>
      </c>
      <c r="B1517" s="1327" t="s">
        <v>1037</v>
      </c>
      <c r="C1517" s="1327"/>
      <c r="D1517" s="1081"/>
      <c r="E1517" s="1094">
        <f>VLOOKUP($B1517,DG!A:D,DG!$B$2,)</f>
        <v>0</v>
      </c>
      <c r="F1517" s="1083" t="str">
        <f>VLOOKUP($B1517,DG!A:D,DG!$C$2,)&amp;" (Thanh choáng 810)"</f>
        <v>Sắt góc L50 x50 x5 (Thanh choáng 810)</v>
      </c>
      <c r="G1517" s="1082" t="s">
        <v>2256</v>
      </c>
      <c r="H1517" s="1873">
        <f>H1514*3.77*0.81*2</f>
        <v>0</v>
      </c>
      <c r="I1517" s="1262">
        <f t="shared" si="131"/>
        <v>0</v>
      </c>
      <c r="J1517" s="1084"/>
      <c r="K1517" s="1084"/>
      <c r="L1517" s="1113"/>
      <c r="M1517" s="977">
        <v>320</v>
      </c>
    </row>
    <row r="1518" spans="1:13" s="1086" customFormat="1" ht="25.15" hidden="1" customHeight="1">
      <c r="A1518" s="1156">
        <f t="shared" si="132"/>
        <v>0</v>
      </c>
      <c r="B1518" s="1327" t="s">
        <v>1081</v>
      </c>
      <c r="C1518" s="1327"/>
      <c r="D1518" s="1081"/>
      <c r="E1518" s="1094">
        <f>VLOOKUP($B1518,DG!A:D,DG!$B$2,)</f>
        <v>0</v>
      </c>
      <c r="F1518" s="1083" t="str">
        <f>VLOOKUP($B1518,DG!A:D,DG!$C$2,)</f>
        <v>Boulon 16x350+ 2 long đền vuông D18-50x50x3/Zn</v>
      </c>
      <c r="G1518" s="1082" t="s">
        <v>2448</v>
      </c>
      <c r="H1518" s="1873">
        <f>H1514*2</f>
        <v>0</v>
      </c>
      <c r="I1518" s="1262">
        <f t="shared" ref="I1518:I1581" si="133">IF(M1518=$M$23,H1518+J1518-K1518,0)</f>
        <v>0</v>
      </c>
      <c r="J1518" s="1084"/>
      <c r="K1518" s="1084"/>
      <c r="L1518" s="1113"/>
      <c r="M1518" s="977">
        <v>320</v>
      </c>
    </row>
    <row r="1519" spans="1:13" s="1086" customFormat="1" ht="25.15" hidden="1" customHeight="1">
      <c r="A1519" s="1156">
        <f t="shared" si="132"/>
        <v>0</v>
      </c>
      <c r="B1519" s="1327" t="s">
        <v>1792</v>
      </c>
      <c r="C1519" s="1327"/>
      <c r="D1519" s="1081"/>
      <c r="E1519" s="1094">
        <f>VLOOKUP($B1519,DG!A:D,DG!$B$2,)</f>
        <v>0</v>
      </c>
      <c r="F1519" s="1083" t="str">
        <f>VLOOKUP($B1519,DG!A:D,DG!$C$2,)</f>
        <v>Boulon 16x50+ 2 long đền vuông D18-50x50x3/Zn</v>
      </c>
      <c r="G1519" s="1082" t="s">
        <v>2448</v>
      </c>
      <c r="H1519" s="1873">
        <f>H1514*2</f>
        <v>0</v>
      </c>
      <c r="I1519" s="1262">
        <f t="shared" si="133"/>
        <v>0</v>
      </c>
      <c r="J1519" s="1084"/>
      <c r="K1519" s="1084"/>
      <c r="L1519" s="1113"/>
      <c r="M1519" s="977">
        <v>320</v>
      </c>
    </row>
    <row r="1520" spans="1:13" s="1086" customFormat="1" ht="25.15" hidden="1" customHeight="1">
      <c r="A1520" s="1156">
        <f t="shared" si="132"/>
        <v>0</v>
      </c>
      <c r="B1520" s="1327" t="s">
        <v>1741</v>
      </c>
      <c r="C1520" s="1327"/>
      <c r="D1520" s="1081"/>
      <c r="E1520" s="1094">
        <f>VLOOKUP($B1520,DG!A:D,DG!$B$2,)</f>
        <v>0</v>
      </c>
      <c r="F1520" s="1083" t="str">
        <f>VLOOKUP($B1520,DG!A:D,DG!$C$2,)</f>
        <v>Bass LI bắt FCO</v>
      </c>
      <c r="G1520" s="1082" t="s">
        <v>2448</v>
      </c>
      <c r="H1520" s="1873">
        <f>IF(H1514&gt;0,3,)*0</f>
        <v>0</v>
      </c>
      <c r="I1520" s="1262">
        <f t="shared" si="133"/>
        <v>0</v>
      </c>
      <c r="J1520" s="1084"/>
      <c r="K1520" s="1084"/>
      <c r="L1520" s="1113"/>
      <c r="M1520" s="977">
        <v>320</v>
      </c>
    </row>
    <row r="1521" spans="1:13" s="1086" customFormat="1" ht="25.15" hidden="1" customHeight="1">
      <c r="A1521" s="1156">
        <f t="shared" si="132"/>
        <v>0</v>
      </c>
      <c r="B1521" s="1327" t="s">
        <v>990</v>
      </c>
      <c r="C1521" s="1327"/>
      <c r="D1521" s="1081"/>
      <c r="E1521" s="1094" t="str">
        <f>VLOOKUP($B1521,DG!A:D,DG!$B$2,)</f>
        <v>06.3231</v>
      </c>
      <c r="F1521" s="1083" t="str">
        <f>VLOOKUP($B1521,DG!A:D,DG!$C$2,)</f>
        <v xml:space="preserve">Cổ dê chống lắc 8x80x800 </v>
      </c>
      <c r="G1521" s="1082" t="s">
        <v>2448</v>
      </c>
      <c r="H1521" s="1873">
        <f>H1514*0</f>
        <v>0</v>
      </c>
      <c r="I1521" s="1262">
        <f t="shared" si="133"/>
        <v>0</v>
      </c>
      <c r="J1521" s="1084"/>
      <c r="K1521" s="1084"/>
      <c r="L1521" s="1113"/>
      <c r="M1521" s="977">
        <v>320</v>
      </c>
    </row>
    <row r="1522" spans="1:13" s="1086" customFormat="1" ht="25.15" hidden="1" customHeight="1">
      <c r="A1522" s="1156">
        <f t="shared" si="132"/>
        <v>0</v>
      </c>
      <c r="B1522" s="1327" t="s">
        <v>1445</v>
      </c>
      <c r="C1522" s="1327"/>
      <c r="D1522" s="1081"/>
      <c r="E1522" s="1094" t="str">
        <f>VLOOKUP($B1522,DG!A:D,DG!$B$2,)</f>
        <v>05.6102</v>
      </c>
      <c r="F1522" s="1083" t="str">
        <f>VLOOKUP($B1522,DG!A:D,DG!$C$2,)</f>
        <v>Lắp xà đỡ ≤ 50kg</v>
      </c>
      <c r="G1522" s="1082" t="s">
        <v>2448</v>
      </c>
      <c r="H1522" s="1873">
        <f>H1514</f>
        <v>0</v>
      </c>
      <c r="I1522" s="1262">
        <f t="shared" si="133"/>
        <v>0</v>
      </c>
      <c r="J1522" s="1084"/>
      <c r="K1522" s="1084"/>
      <c r="L1522" s="1113"/>
      <c r="M1522" s="977">
        <v>320</v>
      </c>
    </row>
    <row r="1523" spans="1:13" s="1086" customFormat="1" ht="25.15" hidden="1" customHeight="1">
      <c r="A1523" s="1156">
        <f t="shared" si="132"/>
        <v>0</v>
      </c>
      <c r="B1523" s="1327"/>
      <c r="C1523" s="1327"/>
      <c r="D1523" s="1087">
        <f>IF(H1523&gt;0,D1514+1,D1514)</f>
        <v>0</v>
      </c>
      <c r="E1523" s="1088"/>
      <c r="F1523" s="1133" t="s">
        <v>3741</v>
      </c>
      <c r="G1523" s="1087" t="s">
        <v>2394</v>
      </c>
      <c r="H1523" s="1889">
        <f>H1445</f>
        <v>0</v>
      </c>
      <c r="I1523" s="1262">
        <f t="shared" si="133"/>
        <v>0</v>
      </c>
      <c r="J1523" s="1084"/>
      <c r="K1523" s="1084"/>
      <c r="L1523" s="1113"/>
      <c r="M1523" s="977">
        <v>320</v>
      </c>
    </row>
    <row r="1524" spans="1:13" s="1086" customFormat="1" ht="25.15" hidden="1" customHeight="1">
      <c r="A1524" s="1156">
        <f>IF(A1523&gt;0,1,0)</f>
        <v>0</v>
      </c>
      <c r="B1524" s="1358"/>
      <c r="C1524" s="1358"/>
      <c r="D1524" s="1081"/>
      <c r="E1524" s="1091"/>
      <c r="F1524" s="1370" t="s">
        <v>2287</v>
      </c>
      <c r="G1524" s="1093"/>
      <c r="H1524" s="1873"/>
      <c r="I1524" s="1262">
        <f t="shared" si="133"/>
        <v>0</v>
      </c>
      <c r="J1524" s="1084"/>
      <c r="K1524" s="1084"/>
      <c r="L1524" s="1113"/>
      <c r="M1524" s="977">
        <v>320</v>
      </c>
    </row>
    <row r="1525" spans="1:13" s="1086" customFormat="1" ht="25.15" hidden="1" customHeight="1">
      <c r="A1525" s="1156">
        <f t="shared" si="132"/>
        <v>0</v>
      </c>
      <c r="B1525" s="1327" t="s">
        <v>1035</v>
      </c>
      <c r="C1525" s="1327"/>
      <c r="D1525" s="1081"/>
      <c r="E1525" s="1082">
        <f>VLOOKUP($B1525,DG!A:D,DG!$B$2,)</f>
        <v>0</v>
      </c>
      <c r="F1525" s="1083" t="str">
        <f>VLOOKUP($B1525,DG!A:D,DG!$C$2,)</f>
        <v>Cáp đồng trần M25mm2</v>
      </c>
      <c r="G1525" s="1094" t="str">
        <f>VLOOKUP($B1525,DG!A:D,DG!$D$2,)</f>
        <v>kg</v>
      </c>
      <c r="H1525" s="2214">
        <f>54*0.224*H1523</f>
        <v>0</v>
      </c>
      <c r="I1525" s="1262">
        <f t="shared" si="133"/>
        <v>0</v>
      </c>
      <c r="J1525" s="1084"/>
      <c r="K1525" s="1084"/>
      <c r="L1525" s="1113"/>
      <c r="M1525" s="977">
        <v>320</v>
      </c>
    </row>
    <row r="1526" spans="1:13" s="1086" customFormat="1" ht="25.15" hidden="1" customHeight="1">
      <c r="A1526" s="1156">
        <f t="shared" si="132"/>
        <v>0</v>
      </c>
      <c r="B1526" s="1327" t="s">
        <v>1035</v>
      </c>
      <c r="C1526" s="1327"/>
      <c r="D1526" s="1081"/>
      <c r="E1526" s="1082">
        <f>VLOOKUP($B1526,DG!A:D,DG!$B$2,)</f>
        <v>0</v>
      </c>
      <c r="F1526" s="1083" t="str">
        <f>VLOOKUP($B1526,DG!A:D,DG!$C$2,)</f>
        <v>Cáp đồng trần M25mm2</v>
      </c>
      <c r="G1526" s="1082" t="str">
        <f>VLOOKUP($B1526,DG!A:D,DG!$D$2,)</f>
        <v>kg</v>
      </c>
      <c r="H1526" s="1873">
        <f>17*0.224*H1523*0</f>
        <v>0</v>
      </c>
      <c r="I1526" s="1262">
        <f t="shared" si="133"/>
        <v>0</v>
      </c>
      <c r="J1526" s="1084"/>
      <c r="K1526" s="1084"/>
      <c r="L1526" s="1113"/>
      <c r="M1526" s="977">
        <v>320</v>
      </c>
    </row>
    <row r="1527" spans="1:13" s="1086" customFormat="1" ht="25.15" hidden="1" customHeight="1">
      <c r="A1527" s="1156">
        <f t="shared" si="132"/>
        <v>0</v>
      </c>
      <c r="B1527" s="1157" t="s">
        <v>1513</v>
      </c>
      <c r="C1527" s="1157"/>
      <c r="D1527" s="1081"/>
      <c r="E1527" s="1082">
        <f>VLOOKUP($B1527,DG!A:D,DG!$B$2,)</f>
        <v>0</v>
      </c>
      <c r="F1527" s="1083" t="str">
        <f>VLOOKUP($B1527,DG!A:D,DG!$C$2,)</f>
        <v>Cọc tiếp đất Þ 16- 2,4m + kẹp cọc mạ đồng</v>
      </c>
      <c r="G1527" s="1094" t="str">
        <f>VLOOKUP($B1527,DG!A:D,DG!$D$2,)</f>
        <v>bộ</v>
      </c>
      <c r="H1527" s="1873">
        <f>I2</f>
        <v>10</v>
      </c>
      <c r="I1527" s="1262">
        <f t="shared" si="133"/>
        <v>0</v>
      </c>
      <c r="J1527" s="1084"/>
      <c r="K1527" s="1084"/>
      <c r="L1527" s="1113"/>
      <c r="M1527" s="977">
        <v>320</v>
      </c>
    </row>
    <row r="1528" spans="1:13" s="1086" customFormat="1" ht="25.15" hidden="1" customHeight="1">
      <c r="A1528" s="1156">
        <f t="shared" si="132"/>
        <v>0</v>
      </c>
      <c r="B1528" s="1157" t="s">
        <v>1495</v>
      </c>
      <c r="C1528" s="1157"/>
      <c r="D1528" s="1081"/>
      <c r="E1528" s="1082" t="str">
        <f>VLOOKUP($B1528,DG!A:D,DG!$B$2,)</f>
        <v>07.2403</v>
      </c>
      <c r="F1528" s="1083" t="str">
        <f>VLOOKUP($B1528,DG!A:D,DG!$C$2,)&amp;": 02 trụ"</f>
        <v>Ống PVC D21x1,6mm : 02 trụ</v>
      </c>
      <c r="G1528" s="1082" t="str">
        <f>VLOOKUP($B1528,DG!A:D,DG!$D$2,)</f>
        <v>m</v>
      </c>
      <c r="H1528" s="1873">
        <v>8</v>
      </c>
      <c r="I1528" s="1262">
        <f t="shared" si="133"/>
        <v>0</v>
      </c>
      <c r="J1528" s="1084"/>
      <c r="K1528" s="1084"/>
      <c r="L1528" s="1085"/>
      <c r="M1528" s="977">
        <v>320</v>
      </c>
    </row>
    <row r="1529" spans="1:13" s="1086" customFormat="1" ht="25.15" hidden="1" customHeight="1">
      <c r="A1529" s="1156">
        <f t="shared" si="132"/>
        <v>0</v>
      </c>
      <c r="B1529" s="1332" t="s">
        <v>1584</v>
      </c>
      <c r="C1529" s="1332"/>
      <c r="D1529" s="1081"/>
      <c r="E1529" s="1082">
        <f>VLOOKUP($B1529,DG!A:D,DG!$B$2,)</f>
        <v>0</v>
      </c>
      <c r="F1529" s="1083" t="str">
        <f>VLOOKUP($B1529,DG!A:D,DG!$C$2,)&amp; " bắt dây trung tính "</f>
        <v xml:space="preserve">Kẹp ép WR cỡ dây 50mm2 bắt dây trung tính </v>
      </c>
      <c r="G1529" s="1094" t="str">
        <f>VLOOKUP($B1529,DG!A:D,DG!$D$2,)</f>
        <v>cái</v>
      </c>
      <c r="H1529" s="1873">
        <f>2*H1523</f>
        <v>0</v>
      </c>
      <c r="I1529" s="1262">
        <f t="shared" si="133"/>
        <v>0</v>
      </c>
      <c r="J1529" s="1084"/>
      <c r="K1529" s="1084"/>
      <c r="L1529" s="1113"/>
      <c r="M1529" s="977">
        <v>320</v>
      </c>
    </row>
    <row r="1530" spans="1:13" s="1086" customFormat="1" ht="25.15" hidden="1" customHeight="1">
      <c r="A1530" s="1156">
        <f t="shared" si="132"/>
        <v>0</v>
      </c>
      <c r="B1530" s="1332" t="s">
        <v>1400</v>
      </c>
      <c r="C1530" s="1332"/>
      <c r="D1530" s="1135"/>
      <c r="E1530" s="1082">
        <f>VLOOKUP($B1530,DG!A:D,DG!$B$2,)</f>
        <v>0</v>
      </c>
      <c r="F1530" s="1083" t="str">
        <f>VLOOKUP($B1530,DG!A:D,DG!$C$2,)&amp;": bắt lưới tiếp địa"</f>
        <v>Kẹp ép cỡ dây 25mm2: bắt lưới tiếp địa</v>
      </c>
      <c r="G1530" s="1094" t="str">
        <f>VLOOKUP($B1530,DG!A:D,DG!$D$2,)</f>
        <v>cái</v>
      </c>
      <c r="H1530" s="1873">
        <f>H1523*12</f>
        <v>0</v>
      </c>
      <c r="I1530" s="1262">
        <f t="shared" si="133"/>
        <v>0</v>
      </c>
      <c r="J1530" s="1084"/>
      <c r="K1530" s="1084"/>
      <c r="L1530" s="1113"/>
      <c r="M1530" s="977">
        <v>320</v>
      </c>
    </row>
    <row r="1531" spans="1:13" s="1086" customFormat="1" ht="25.15" hidden="1" customHeight="1">
      <c r="A1531" s="1156">
        <f t="shared" si="132"/>
        <v>0</v>
      </c>
      <c r="B1531" s="1157" t="s">
        <v>138</v>
      </c>
      <c r="C1531" s="1157"/>
      <c r="D1531" s="1081"/>
      <c r="E1531" s="1082">
        <f>VLOOKUP($B1531,DG!A:D,DG!$B$2,)</f>
        <v>0</v>
      </c>
      <c r="F1531" s="1083" t="str">
        <f>VLOOKUP($B1531,DG!A:D,DG!$C$2,)</f>
        <v>Boulon 12x40+ 2 long đền vuông D14-50x50x3/Zn</v>
      </c>
      <c r="G1531" s="1094" t="str">
        <f>VLOOKUP($B1531,DG!A:D,DG!$D$2,)</f>
        <v>bộ</v>
      </c>
      <c r="H1531" s="1873"/>
      <c r="I1531" s="1262">
        <f t="shared" si="133"/>
        <v>0</v>
      </c>
      <c r="J1531" s="1084"/>
      <c r="K1531" s="1084"/>
      <c r="L1531" s="1113"/>
      <c r="M1531" s="977">
        <v>320</v>
      </c>
    </row>
    <row r="1532" spans="1:13" s="1086" customFormat="1" ht="25.15" hidden="1" customHeight="1">
      <c r="A1532" s="1156">
        <f t="shared" si="132"/>
        <v>0</v>
      </c>
      <c r="B1532" s="1157" t="s">
        <v>104</v>
      </c>
      <c r="C1532" s="1157"/>
      <c r="D1532" s="1081"/>
      <c r="E1532" s="1082" t="str">
        <f>VLOOKUP($B1532,DG!A:D,DG!$B$2,)</f>
        <v>03.4001</v>
      </c>
      <c r="F1532" s="1083" t="str">
        <f>VLOOKUP($B1532,DG!A:D,DG!$C$2,)</f>
        <v>Đầu cosse ép Cu 25mm2</v>
      </c>
      <c r="G1532" s="1094" t="str">
        <f>VLOOKUP($B1532,DG!A:D,DG!$D$2,)</f>
        <v>cái</v>
      </c>
      <c r="H1532" s="1873"/>
      <c r="I1532" s="1262">
        <f t="shared" si="133"/>
        <v>0</v>
      </c>
      <c r="J1532" s="1084"/>
      <c r="K1532" s="1084"/>
      <c r="L1532" s="1113"/>
      <c r="M1532" s="977">
        <v>320</v>
      </c>
    </row>
    <row r="1533" spans="1:13" s="1086" customFormat="1" ht="25.15" hidden="1" customHeight="1">
      <c r="A1533" s="1156">
        <f t="shared" si="132"/>
        <v>0</v>
      </c>
      <c r="B1533" s="1157" t="s">
        <v>525</v>
      </c>
      <c r="C1533" s="1157"/>
      <c r="D1533" s="1081"/>
      <c r="E1533" s="1082" t="str">
        <f>VLOOKUP($B1533,DG!A:D,DG!$B$2,)</f>
        <v>06.3231</v>
      </c>
      <c r="F1533" s="1083" t="str">
        <f>VLOOKUP($B1533,DG!A:D,DG!$C$2,)&amp;": 02 bộ CD-250"</f>
        <v>Cổ dê kẹp ống PVC  21: 02 bộ CD-250</v>
      </c>
      <c r="G1533" s="1082" t="str">
        <f>VLOOKUP($B1533,DG!A:D,DG!$D$2,)</f>
        <v>bộ</v>
      </c>
      <c r="H1533" s="1873"/>
      <c r="I1533" s="1262">
        <f t="shared" si="133"/>
        <v>0</v>
      </c>
      <c r="J1533" s="1084"/>
      <c r="K1533" s="1084"/>
      <c r="L1533" s="1085"/>
      <c r="M1533" s="977">
        <v>320</v>
      </c>
    </row>
    <row r="1534" spans="1:13" s="1086" customFormat="1" ht="25.15" hidden="1" customHeight="1">
      <c r="A1534" s="1156">
        <f t="shared" si="132"/>
        <v>0</v>
      </c>
      <c r="B1534" s="1157" t="s">
        <v>525</v>
      </c>
      <c r="C1534" s="1157"/>
      <c r="D1534" s="1081"/>
      <c r="E1534" s="1082" t="str">
        <f>VLOOKUP($B1534,DG!A:D,DG!$B$2,)</f>
        <v>06.3231</v>
      </c>
      <c r="F1534" s="1083" t="str">
        <f>VLOOKUP($B1534,DG!A:D,DG!$C$2,)&amp;": 02 bộ CD-280"</f>
        <v>Cổ dê kẹp ống PVC  21: 02 bộ CD-280</v>
      </c>
      <c r="G1534" s="1082" t="str">
        <f>VLOOKUP($B1534,DG!A:D,DG!$D$2,)</f>
        <v>bộ</v>
      </c>
      <c r="H1534" s="1873">
        <v>1</v>
      </c>
      <c r="I1534" s="1262">
        <f t="shared" si="133"/>
        <v>0</v>
      </c>
      <c r="J1534" s="1084"/>
      <c r="K1534" s="1084"/>
      <c r="L1534" s="1085"/>
      <c r="M1534" s="977">
        <v>320</v>
      </c>
    </row>
    <row r="1535" spans="1:13" s="1086" customFormat="1" ht="25.15" hidden="1" customHeight="1">
      <c r="A1535" s="1156">
        <f t="shared" si="132"/>
        <v>0</v>
      </c>
      <c r="B1535" s="1157" t="s">
        <v>525</v>
      </c>
      <c r="C1535" s="1157"/>
      <c r="D1535" s="1081"/>
      <c r="E1535" s="1082" t="str">
        <f>VLOOKUP($B1535,DG!A:D,DG!$B$2,)</f>
        <v>06.3231</v>
      </c>
      <c r="F1535" s="1083" t="str">
        <f>VLOOKUP($B1535,DG!A:D,DG!$C$2,)&amp;": 02 bộ CD-320"</f>
        <v>Cổ dê kẹp ống PVC  21: 02 bộ CD-320</v>
      </c>
      <c r="G1535" s="1082" t="str">
        <f>VLOOKUP($B1535,DG!A:D,DG!$D$2,)</f>
        <v>bộ</v>
      </c>
      <c r="H1535" s="1873">
        <v>1</v>
      </c>
      <c r="I1535" s="1262">
        <f t="shared" si="133"/>
        <v>0</v>
      </c>
      <c r="J1535" s="1084"/>
      <c r="K1535" s="1084"/>
      <c r="L1535" s="1085"/>
      <c r="M1535" s="977">
        <v>320</v>
      </c>
    </row>
    <row r="1536" spans="1:13" s="1086" customFormat="1" ht="25.15" hidden="1" customHeight="1">
      <c r="A1536" s="1156">
        <f t="shared" si="132"/>
        <v>0</v>
      </c>
      <c r="B1536" s="1157" t="s">
        <v>1133</v>
      </c>
      <c r="C1536" s="1157"/>
      <c r="D1536" s="1081"/>
      <c r="E1536" s="1082" t="str">
        <f>VLOOKUP($B1536,DG!A:D,DG!$B$2,)</f>
        <v>06.2110</v>
      </c>
      <c r="F1536" s="1083" t="str">
        <f>VLOOKUP($B1536,DG!A:D,DG!$C$2,)&amp;": 06 bộ"</f>
        <v>Lắp cổ dề: 06 bộ</v>
      </c>
      <c r="G1536" s="1082" t="str">
        <f>VLOOKUP($B1536,DG!A:D,DG!$D$2,)</f>
        <v>bộ</v>
      </c>
      <c r="H1536" s="1873">
        <f>H1523*2</f>
        <v>0</v>
      </c>
      <c r="I1536" s="1262">
        <f t="shared" si="133"/>
        <v>0</v>
      </c>
      <c r="J1536" s="1084"/>
      <c r="K1536" s="1084"/>
      <c r="L1536" s="1085"/>
      <c r="M1536" s="977">
        <v>320</v>
      </c>
    </row>
    <row r="1537" spans="1:16" s="1086" customFormat="1" ht="25.15" hidden="1" customHeight="1">
      <c r="A1537" s="1156">
        <f t="shared" si="132"/>
        <v>0</v>
      </c>
      <c r="B1537" s="1157" t="s">
        <v>138</v>
      </c>
      <c r="C1537" s="1157"/>
      <c r="D1537" s="1081"/>
      <c r="E1537" s="1082">
        <f>VLOOKUP($B1537,DG!A:D,DG!$B$2,)</f>
        <v>0</v>
      </c>
      <c r="F1537" s="1083" t="str">
        <f>VLOOKUP($B1537,DG!A:D,DG!$C$2,)</f>
        <v>Boulon 12x40+ 2 long đền vuông D14-50x50x3/Zn</v>
      </c>
      <c r="G1537" s="1082" t="str">
        <f>VLOOKUP($B1537,DG!A:D,DG!$D$2,)</f>
        <v>bộ</v>
      </c>
      <c r="H1537" s="1873"/>
      <c r="I1537" s="1262">
        <f t="shared" si="133"/>
        <v>0</v>
      </c>
      <c r="J1537" s="1084"/>
      <c r="K1537" s="1084"/>
      <c r="L1537" s="1085"/>
      <c r="M1537" s="977">
        <v>320</v>
      </c>
    </row>
    <row r="1538" spans="1:16" s="1086" customFormat="1" ht="25.15" hidden="1" customHeight="1">
      <c r="A1538" s="1156">
        <f t="shared" si="132"/>
        <v>0</v>
      </c>
      <c r="B1538" s="1157" t="s">
        <v>1991</v>
      </c>
      <c r="C1538" s="1157"/>
      <c r="D1538" s="1081"/>
      <c r="E1538" s="1082">
        <f>VLOOKUP($B1538,DG!A:D,DG!$B$2,)</f>
        <v>0</v>
      </c>
      <c r="F1538" s="1083" t="str">
        <f>VLOOKUP($B1538,DG!A:D,DG!$C$2,)</f>
        <v>Boulon 12x60+ 2 long đền vuông D14-50x50x3/Zn</v>
      </c>
      <c r="G1538" s="1082" t="str">
        <f>VLOOKUP($B1538,DG!A:D,DG!$D$2,)</f>
        <v>bộ</v>
      </c>
      <c r="H1538" s="1873"/>
      <c r="I1538" s="1262">
        <f t="shared" si="133"/>
        <v>0</v>
      </c>
      <c r="J1538" s="1084"/>
      <c r="K1538" s="1084"/>
      <c r="L1538" s="1085"/>
      <c r="M1538" s="977">
        <v>320</v>
      </c>
    </row>
    <row r="1539" spans="1:16" s="1086" customFormat="1" ht="25.15" hidden="1" customHeight="1">
      <c r="A1539" s="1156">
        <f t="shared" si="132"/>
        <v>0</v>
      </c>
      <c r="B1539" s="1157" t="s">
        <v>1590</v>
      </c>
      <c r="C1539" s="1157"/>
      <c r="D1539" s="1081"/>
      <c r="E1539" s="1082">
        <f>VLOOKUP($B1539,DG!A:D,DG!$B$2,)</f>
        <v>0</v>
      </c>
      <c r="F1539" s="1083" t="str">
        <f>VLOOKUP($B1539,DG!A:D,DG!$C$2,)</f>
        <v>Giếng tiếp địa khoan đất</v>
      </c>
      <c r="G1539" s="1082" t="str">
        <f>VLOOKUP($B1539,DG!A:D,DG!$D$2,)</f>
        <v>Cái</v>
      </c>
      <c r="H1539" s="1873">
        <f>M3*H1523</f>
        <v>0</v>
      </c>
      <c r="I1539" s="1262">
        <f t="shared" si="133"/>
        <v>0</v>
      </c>
      <c r="J1539" s="1084"/>
      <c r="K1539" s="1084"/>
      <c r="L1539" s="1113"/>
      <c r="M1539" s="977">
        <v>320</v>
      </c>
    </row>
    <row r="1540" spans="1:16" s="1086" customFormat="1" ht="25.15" hidden="1" customHeight="1">
      <c r="A1540" s="1156">
        <f t="shared" si="132"/>
        <v>0</v>
      </c>
      <c r="B1540" s="1157" t="str">
        <f>"DTD"&amp;chitiet!G5</f>
        <v>DTD3</v>
      </c>
      <c r="C1540" s="1157"/>
      <c r="D1540" s="1093"/>
      <c r="E1540" s="1082" t="str">
        <f>VLOOKUP($B1540,DG!A:D,DG!$B$2,)</f>
        <v>03.3123</v>
      </c>
      <c r="F1540" s="1083" t="str">
        <f>VLOOKUP($B1540,DG!A:D,DG!$C$2,)</f>
        <v>Đào rãnh tiếp địa đất cấp 3</v>
      </c>
      <c r="G1540" s="1094" t="str">
        <f>VLOOKUP($B1540,DG!A:D,DG!$D$2,)</f>
        <v>m3</v>
      </c>
      <c r="H1540" s="1170">
        <f>0.3*0.2*36*H1523</f>
        <v>0</v>
      </c>
      <c r="I1540" s="1262">
        <f t="shared" si="133"/>
        <v>0</v>
      </c>
      <c r="J1540" s="1084"/>
      <c r="K1540" s="1084"/>
      <c r="L1540" s="1113"/>
      <c r="M1540" s="977">
        <v>320</v>
      </c>
    </row>
    <row r="1541" spans="1:16" s="1086" customFormat="1" ht="25.15" hidden="1" customHeight="1">
      <c r="A1541" s="1156">
        <f t="shared" si="132"/>
        <v>0</v>
      </c>
      <c r="B1541" s="1157" t="str">
        <f>"DATD"&amp;chitiet!G5</f>
        <v>DATD3</v>
      </c>
      <c r="C1541" s="1157"/>
      <c r="D1541" s="1093"/>
      <c r="E1541" s="1082" t="str">
        <f>VLOOKUP($B1541,DG!A:D,DG!$B$2,)</f>
        <v>03.4123</v>
      </c>
      <c r="F1541" s="1083" t="str">
        <f>VLOOKUP($B1541,DG!A:D,DG!$C$2,)</f>
        <v>Đắp đất rãnh tiếp độ chặt k=0,85</v>
      </c>
      <c r="G1541" s="1094" t="str">
        <f>VLOOKUP($B1541,DG!A:D,DG!$D$2,)</f>
        <v>m3</v>
      </c>
      <c r="H1541" s="1170">
        <f>H1540</f>
        <v>0</v>
      </c>
      <c r="I1541" s="1262">
        <f t="shared" si="133"/>
        <v>0</v>
      </c>
      <c r="J1541" s="1084"/>
      <c r="K1541" s="1084"/>
      <c r="L1541" s="1113"/>
      <c r="M1541" s="977">
        <v>320</v>
      </c>
    </row>
    <row r="1542" spans="1:16" s="1086" customFormat="1" ht="25.15" hidden="1" customHeight="1">
      <c r="A1542" s="1156">
        <f t="shared" si="132"/>
        <v>0</v>
      </c>
      <c r="B1542" s="1157" t="s">
        <v>904</v>
      </c>
      <c r="C1542" s="1157"/>
      <c r="D1542" s="1093"/>
      <c r="E1542" s="1082" t="str">
        <f>VLOOKUP($B1542,DG!A:D,DG!$B$2,)</f>
        <v>04.7001</v>
      </c>
      <c r="F1542" s="1083" t="str">
        <f>VLOOKUP($B1542,DG!A:D,DG!$C$2,)</f>
        <v>Đóng cọc tiếp địa trong TBA</v>
      </c>
      <c r="G1542" s="1094" t="str">
        <f>VLOOKUP($B1542,DG!A:D,DG!$D$2,)</f>
        <v>cọc</v>
      </c>
      <c r="H1542" s="1170">
        <f>H1527</f>
        <v>10</v>
      </c>
      <c r="I1542" s="1262">
        <f t="shared" si="133"/>
        <v>0</v>
      </c>
      <c r="J1542" s="1084"/>
      <c r="K1542" s="1084"/>
      <c r="L1542" s="1113"/>
      <c r="M1542" s="977">
        <v>320</v>
      </c>
    </row>
    <row r="1543" spans="1:16" s="1086" customFormat="1" ht="25.15" hidden="1" customHeight="1">
      <c r="A1543" s="1156">
        <f t="shared" si="132"/>
        <v>0</v>
      </c>
      <c r="B1543" s="1157" t="s">
        <v>1442</v>
      </c>
      <c r="C1543" s="1157"/>
      <c r="D1543" s="1081"/>
      <c r="E1543" s="1082" t="str">
        <f>VLOOKUP($B1543,DG!A:D,DG!$B$2,)</f>
        <v>04.7002</v>
      </c>
      <c r="F1543" s="1083" t="str">
        <f>VLOOKUP($B1543,DG!A:D,DG!$C$2,)</f>
        <v>Kéo dây tiếp địa trong TBA</v>
      </c>
      <c r="G1543" s="1094" t="str">
        <f>VLOOKUP($B1543,DG!A:D,DG!$D$2,)</f>
        <v>mét</v>
      </c>
      <c r="H1543" s="1873">
        <v>45</v>
      </c>
      <c r="I1543" s="1262">
        <f t="shared" si="133"/>
        <v>0</v>
      </c>
      <c r="J1543" s="1084"/>
      <c r="K1543" s="1084"/>
      <c r="L1543" s="1113"/>
      <c r="M1543" s="977">
        <v>320</v>
      </c>
    </row>
    <row r="1544" spans="1:16" s="1086" customFormat="1" ht="25.15" hidden="1" customHeight="1">
      <c r="A1544" s="1156">
        <f t="shared" si="132"/>
        <v>0</v>
      </c>
      <c r="B1544" s="1327"/>
      <c r="C1544" s="1327"/>
      <c r="D1544" s="1087">
        <f>IF(H1544&gt;0,D1523+1,D1523)</f>
        <v>1</v>
      </c>
      <c r="E1544" s="1088"/>
      <c r="F1544" s="1089" t="s">
        <v>4846</v>
      </c>
      <c r="G1544" s="1087" t="s">
        <v>2394</v>
      </c>
      <c r="H1544" s="1889">
        <v>1</v>
      </c>
      <c r="I1544" s="1262">
        <f t="shared" si="133"/>
        <v>0</v>
      </c>
      <c r="J1544" s="1084"/>
      <c r="K1544" s="1084"/>
      <c r="L1544" s="1085"/>
      <c r="M1544" s="977">
        <v>320</v>
      </c>
    </row>
    <row r="1545" spans="1:16" s="1086" customFormat="1" ht="25.15" hidden="1" customHeight="1">
      <c r="A1545" s="1156">
        <f>IF(A1544&gt;0,1,0)</f>
        <v>0</v>
      </c>
      <c r="B1545" s="1327"/>
      <c r="C1545" s="1327"/>
      <c r="D1545" s="1081"/>
      <c r="E1545" s="1091"/>
      <c r="F1545" s="1370" t="s">
        <v>2287</v>
      </c>
      <c r="G1545" s="1093"/>
      <c r="H1545" s="1873"/>
      <c r="I1545" s="1262">
        <f t="shared" si="133"/>
        <v>0</v>
      </c>
      <c r="J1545" s="1084"/>
      <c r="K1545" s="1084"/>
      <c r="L1545" s="1085"/>
      <c r="M1545" s="977">
        <v>320</v>
      </c>
    </row>
    <row r="1546" spans="1:16" s="1086" customFormat="1" ht="25.15" hidden="1" customHeight="1">
      <c r="A1546" s="1156">
        <f t="shared" si="132"/>
        <v>0</v>
      </c>
      <c r="B1546" s="1327" t="s">
        <v>653</v>
      </c>
      <c r="C1546" s="1327"/>
      <c r="D1546" s="1093"/>
      <c r="E1546" s="1094">
        <f>VLOOKUP($B1546,DG!A:D,DG!$B$2,)</f>
        <v>0</v>
      </c>
      <c r="F1546" s="1095" t="str">
        <f>VLOOKUP($B1546,DG!A:D,DG!$C$2,)</f>
        <v>Ximăng (PC40)</v>
      </c>
      <c r="G1546" s="1094" t="str">
        <f>VLOOKUP($B1546,DG!A:D,DG!$D$2,)</f>
        <v>kg</v>
      </c>
      <c r="H1546" s="1873">
        <v>370</v>
      </c>
      <c r="I1546" s="1262">
        <f t="shared" si="133"/>
        <v>0</v>
      </c>
      <c r="J1546" s="1084"/>
      <c r="K1546" s="1084"/>
      <c r="L1546" s="1085"/>
      <c r="M1546" s="977">
        <v>320</v>
      </c>
    </row>
    <row r="1547" spans="1:16" s="1086" customFormat="1" ht="25.15" hidden="1" customHeight="1">
      <c r="A1547" s="1156">
        <f t="shared" si="132"/>
        <v>0</v>
      </c>
      <c r="B1547" s="1327" t="s">
        <v>4441</v>
      </c>
      <c r="C1547" s="1327"/>
      <c r="D1547" s="1081"/>
      <c r="E1547" s="1094">
        <f>VLOOKUP($B1547,DG!A:D,DG!$B$2,)</f>
        <v>0</v>
      </c>
      <c r="F1547" s="1095" t="str">
        <f>VLOOKUP($B1547,DG!A:D,DG!$C$2,)</f>
        <v>Cát vàng</v>
      </c>
      <c r="G1547" s="1094" t="str">
        <f>VLOOKUP($B1547,DG!A:D,DG!$D$2,)</f>
        <v>m3</v>
      </c>
      <c r="H1547" s="1873">
        <v>0.46</v>
      </c>
      <c r="I1547" s="1262">
        <f t="shared" si="133"/>
        <v>0</v>
      </c>
      <c r="J1547" s="1084"/>
      <c r="K1547" s="1084"/>
      <c r="L1547" s="1085"/>
      <c r="M1547" s="977">
        <v>320</v>
      </c>
    </row>
    <row r="1548" spans="1:16" s="1086" customFormat="1" ht="25.15" hidden="1" customHeight="1">
      <c r="A1548" s="1156">
        <f t="shared" si="132"/>
        <v>0</v>
      </c>
      <c r="B1548" s="1327" t="s">
        <v>216</v>
      </c>
      <c r="C1548" s="1327"/>
      <c r="D1548" s="1081"/>
      <c r="E1548" s="1094">
        <f>VLOOKUP($B1548,DG!A:D,DG!$B$2,)</f>
        <v>0</v>
      </c>
      <c r="F1548" s="1095" t="str">
        <f>VLOOKUP($B1548,DG!A:D,DG!$C$2,)</f>
        <v>Đá 1x2</v>
      </c>
      <c r="G1548" s="1094" t="str">
        <f>VLOOKUP($B1548,DG!A:D,DG!$D$2,)</f>
        <v>m3</v>
      </c>
      <c r="H1548" s="1873">
        <v>0.89</v>
      </c>
      <c r="I1548" s="1262">
        <f t="shared" si="133"/>
        <v>0</v>
      </c>
      <c r="J1548" s="1084"/>
      <c r="K1548" s="1084"/>
      <c r="L1548" s="1085"/>
      <c r="M1548" s="977">
        <v>320</v>
      </c>
    </row>
    <row r="1549" spans="1:16" s="1086" customFormat="1" ht="25.15" hidden="1" customHeight="1">
      <c r="A1549" s="1156">
        <f t="shared" si="132"/>
        <v>0</v>
      </c>
      <c r="B1549" s="1327" t="s">
        <v>654</v>
      </c>
      <c r="C1549" s="1327"/>
      <c r="D1549" s="1093"/>
      <c r="E1549" s="1094" t="str">
        <f>VLOOKUP($B1549,DG!A:D,DG!$B$2,)</f>
        <v>04.1203c</v>
      </c>
      <c r="F1549" s="1095" t="str">
        <f>VLOOKUP($B1549,DG!A:D,DG!$C$2,)</f>
        <v>Đổ bê tông móng trụ &lt;=250cm-M200 đá 1x2</v>
      </c>
      <c r="G1549" s="1094" t="str">
        <f>VLOOKUP($B1549,DG!A:D,DG!$D$2,)</f>
        <v>m3</v>
      </c>
      <c r="H1549" s="1873">
        <v>1.17</v>
      </c>
      <c r="I1549" s="1262">
        <f t="shared" si="133"/>
        <v>0</v>
      </c>
      <c r="J1549" s="1084"/>
      <c r="K1549" s="1084"/>
      <c r="L1549" s="1085"/>
      <c r="M1549" s="977">
        <v>320</v>
      </c>
      <c r="N1549" s="1096">
        <f>1.025*0.45</f>
        <v>0.46124999999999999</v>
      </c>
      <c r="O1549" s="1096">
        <f>1.025*0.866</f>
        <v>0.88764999999999994</v>
      </c>
      <c r="P1549" s="1240"/>
    </row>
    <row r="1550" spans="1:16" s="1086" customFormat="1" ht="25.15" hidden="1" customHeight="1">
      <c r="A1550" s="1156">
        <f t="shared" si="132"/>
        <v>0</v>
      </c>
      <c r="B1550" s="1327"/>
      <c r="C1550" s="1327"/>
      <c r="D1550" s="1087">
        <f>IF(H1550&gt;0,D1544+1,D1544)</f>
        <v>1</v>
      </c>
      <c r="E1550" s="1088"/>
      <c r="F1550" s="1089" t="s">
        <v>3743</v>
      </c>
      <c r="G1550" s="1087" t="s">
        <v>2394</v>
      </c>
      <c r="H1550" s="1889"/>
      <c r="I1550" s="1262">
        <f t="shared" si="133"/>
        <v>0</v>
      </c>
      <c r="J1550" s="1084"/>
      <c r="K1550" s="1084"/>
      <c r="L1550" s="1085"/>
      <c r="M1550" s="977">
        <v>320</v>
      </c>
    </row>
    <row r="1551" spans="1:16" s="1086" customFormat="1" ht="25.15" hidden="1" customHeight="1">
      <c r="A1551" s="1156">
        <f>IF(A1550&gt;0,1,0)</f>
        <v>0</v>
      </c>
      <c r="B1551" s="1327"/>
      <c r="C1551" s="1327"/>
      <c r="D1551" s="1081"/>
      <c r="E1551" s="1091"/>
      <c r="F1551" s="1370" t="s">
        <v>2287</v>
      </c>
      <c r="G1551" s="1093"/>
      <c r="H1551" s="1873"/>
      <c r="I1551" s="1262">
        <f t="shared" si="133"/>
        <v>0</v>
      </c>
      <c r="J1551" s="1084"/>
      <c r="K1551" s="1084"/>
      <c r="L1551" s="1085"/>
      <c r="M1551" s="977">
        <v>320</v>
      </c>
    </row>
    <row r="1552" spans="1:16" s="1086" customFormat="1" ht="25.15" hidden="1" customHeight="1">
      <c r="A1552" s="1156">
        <f t="shared" si="132"/>
        <v>0</v>
      </c>
      <c r="B1552" s="1327" t="s">
        <v>653</v>
      </c>
      <c r="C1552" s="1327"/>
      <c r="D1552" s="1093"/>
      <c r="E1552" s="1094">
        <f>VLOOKUP($B1552,DG!A:D,DG!$B$2,)</f>
        <v>0</v>
      </c>
      <c r="F1552" s="1095" t="str">
        <f>VLOOKUP($B1552,DG!A:D,DG!$C$2,)</f>
        <v>Ximăng (PC40)</v>
      </c>
      <c r="G1552" s="1094" t="str">
        <f>VLOOKUP($B1552,DG!A:D,DG!$D$2,)</f>
        <v>kg</v>
      </c>
      <c r="H1552" s="1873">
        <f>H1555*M1555</f>
        <v>0</v>
      </c>
      <c r="I1552" s="1262">
        <f t="shared" si="133"/>
        <v>0</v>
      </c>
      <c r="J1552" s="1084"/>
      <c r="K1552" s="1084"/>
      <c r="L1552" s="1085"/>
      <c r="M1552" s="977">
        <v>320</v>
      </c>
    </row>
    <row r="1553" spans="1:16" s="1086" customFormat="1" ht="25.15" hidden="1" customHeight="1">
      <c r="A1553" s="1156">
        <f t="shared" si="132"/>
        <v>0</v>
      </c>
      <c r="B1553" s="1327" t="s">
        <v>4441</v>
      </c>
      <c r="C1553" s="1327"/>
      <c r="D1553" s="1081"/>
      <c r="E1553" s="1094">
        <f>VLOOKUP($B1553,DG!A:D,DG!$B$2,)</f>
        <v>0</v>
      </c>
      <c r="F1553" s="1095" t="str">
        <f>VLOOKUP($B1553,DG!A:D,DG!$C$2,)</f>
        <v>Cát vàng</v>
      </c>
      <c r="G1553" s="1094" t="str">
        <f>VLOOKUP($B1553,DG!A:D,DG!$D$2,)</f>
        <v>m3</v>
      </c>
      <c r="H1553" s="1890">
        <f>H1555*N1555</f>
        <v>0</v>
      </c>
      <c r="I1553" s="1262">
        <f t="shared" si="133"/>
        <v>0</v>
      </c>
      <c r="J1553" s="1084"/>
      <c r="K1553" s="1084"/>
      <c r="L1553" s="1085"/>
      <c r="M1553" s="977">
        <v>320</v>
      </c>
    </row>
    <row r="1554" spans="1:16" s="1086" customFormat="1" ht="25.15" hidden="1" customHeight="1">
      <c r="A1554" s="1156">
        <f t="shared" si="132"/>
        <v>0</v>
      </c>
      <c r="B1554" s="1327" t="s">
        <v>216</v>
      </c>
      <c r="C1554" s="1327"/>
      <c r="D1554" s="1081"/>
      <c r="E1554" s="1094">
        <f>VLOOKUP($B1554,DG!A:D,DG!$B$2,)</f>
        <v>0</v>
      </c>
      <c r="F1554" s="1095" t="str">
        <f>VLOOKUP($B1554,DG!A:D,DG!$C$2,)</f>
        <v>Đá 1x2</v>
      </c>
      <c r="G1554" s="1094" t="str">
        <f>VLOOKUP($B1554,DG!A:D,DG!$D$2,)</f>
        <v>m3</v>
      </c>
      <c r="H1554" s="1890">
        <f>H1555*O1555</f>
        <v>0</v>
      </c>
      <c r="I1554" s="1262">
        <f t="shared" si="133"/>
        <v>0</v>
      </c>
      <c r="J1554" s="1084"/>
      <c r="K1554" s="1084"/>
      <c r="L1554" s="1085"/>
      <c r="M1554" s="977">
        <v>320</v>
      </c>
    </row>
    <row r="1555" spans="1:16" s="1086" customFormat="1" ht="25.15" hidden="1" customHeight="1">
      <c r="A1555" s="1156">
        <f t="shared" si="132"/>
        <v>0</v>
      </c>
      <c r="B1555" s="1327" t="s">
        <v>654</v>
      </c>
      <c r="C1555" s="1327"/>
      <c r="D1555" s="1093"/>
      <c r="E1555" s="1094" t="str">
        <f>VLOOKUP($B1555,DG!A:D,DG!$B$2,)</f>
        <v>04.1203c</v>
      </c>
      <c r="F1555" s="1095" t="str">
        <f>VLOOKUP($B1555,DG!A:D,DG!$C$2,)</f>
        <v>Đổ bê tông móng trụ &lt;=250cm-M200 đá 1x2</v>
      </c>
      <c r="G1555" s="1094" t="str">
        <f>VLOOKUP($B1555,DG!A:D,DG!$D$2,)</f>
        <v>m3</v>
      </c>
      <c r="H1555" s="1873">
        <f>H1550*0.2*0.2*(0.2+0.2+0.8+0.8+2*4)</f>
        <v>0</v>
      </c>
      <c r="I1555" s="1262">
        <f t="shared" si="133"/>
        <v>0</v>
      </c>
      <c r="J1555" s="1084"/>
      <c r="K1555" s="1084"/>
      <c r="L1555" s="1085"/>
      <c r="M1555" s="977">
        <v>320</v>
      </c>
      <c r="N1555" s="1096">
        <f>1.025*0.45</f>
        <v>0.46124999999999999</v>
      </c>
      <c r="O1555" s="1096">
        <f>1.025*0.866</f>
        <v>0.88764999999999994</v>
      </c>
      <c r="P1555" s="1240"/>
    </row>
    <row r="1556" spans="1:16" s="1086" customFormat="1" ht="25.15" hidden="1" customHeight="1">
      <c r="A1556" s="1156">
        <f t="shared" si="132"/>
        <v>0</v>
      </c>
      <c r="B1556" s="1327"/>
      <c r="C1556" s="1327"/>
      <c r="D1556" s="1087">
        <f>IF(H1556&gt;0,D1550+1,D1550)</f>
        <v>2</v>
      </c>
      <c r="E1556" s="1088"/>
      <c r="F1556" s="1089" t="s">
        <v>3760</v>
      </c>
      <c r="G1556" s="1087" t="s">
        <v>2394</v>
      </c>
      <c r="H1556" s="1889">
        <v>1</v>
      </c>
      <c r="I1556" s="1262">
        <f t="shared" si="133"/>
        <v>0</v>
      </c>
      <c r="J1556" s="1084"/>
      <c r="K1556" s="1084"/>
      <c r="L1556" s="1113"/>
      <c r="M1556" s="977">
        <v>320</v>
      </c>
    </row>
    <row r="1557" spans="1:16" s="1086" customFormat="1" ht="25.15" hidden="1" customHeight="1">
      <c r="A1557" s="1156">
        <f>IF(A1556&gt;0,1,0)</f>
        <v>0</v>
      </c>
      <c r="B1557" s="1327"/>
      <c r="C1557" s="1327"/>
      <c r="D1557" s="1081"/>
      <c r="E1557" s="1091"/>
      <c r="F1557" s="1370" t="s">
        <v>2287</v>
      </c>
      <c r="G1557" s="1093"/>
      <c r="H1557" s="1873"/>
      <c r="I1557" s="1262">
        <f t="shared" si="133"/>
        <v>0</v>
      </c>
      <c r="J1557" s="1084"/>
      <c r="K1557" s="1084"/>
      <c r="L1557" s="1113"/>
      <c r="M1557" s="977">
        <v>320</v>
      </c>
    </row>
    <row r="1558" spans="1:16" s="1086" customFormat="1" ht="25.15" hidden="1" customHeight="1">
      <c r="A1558" s="1156">
        <f t="shared" ref="A1558:A1623" si="134">IF(I1558&gt;0,1,0)</f>
        <v>0</v>
      </c>
      <c r="B1558" s="1333" t="s">
        <v>1028</v>
      </c>
      <c r="C1558" s="1333"/>
      <c r="D1558" s="1093"/>
      <c r="E1558" s="1094" t="str">
        <f>VLOOKUP($B1558,DG!A:D,DG!$B$2,)</f>
        <v>05.1102</v>
      </c>
      <c r="F1558" s="1095" t="str">
        <f>VLOOKUP($B1558,DG!A:D,DG!$C$2,)&amp;" + thanh baét MCCB + bulong"</f>
        <v>Vỏ tủ + khóa tủ + thanh baét MCCB + bulong</v>
      </c>
      <c r="G1558" s="1094" t="str">
        <f>VLOOKUP($B1558,DG!A:D,DG!$D$2,)</f>
        <v>cái</v>
      </c>
      <c r="H1558" s="1873">
        <f>H1556</f>
        <v>1</v>
      </c>
      <c r="I1558" s="1262">
        <f t="shared" si="133"/>
        <v>0</v>
      </c>
      <c r="J1558" s="1084"/>
      <c r="K1558" s="1084"/>
      <c r="L1558" s="1113"/>
      <c r="M1558" s="977">
        <v>320</v>
      </c>
    </row>
    <row r="1559" spans="1:16" s="1086" customFormat="1" ht="25.15" hidden="1" customHeight="1">
      <c r="A1559" s="1156">
        <f t="shared" si="134"/>
        <v>0</v>
      </c>
      <c r="B1559" s="1359" t="s">
        <v>1233</v>
      </c>
      <c r="C1559" s="1359"/>
      <c r="D1559" s="1093"/>
      <c r="E1559" s="1094" t="str">
        <f>VLOOKUP($B1559,DG!A:D,DG!$B$2,)</f>
        <v>05.1102</v>
      </c>
      <c r="F1559" s="1095" t="str">
        <f>VLOOKUP($B1559,DG!A:D,DG!$C$2,)</f>
        <v>Khung đỡ tủ MCCB và tủ bù</v>
      </c>
      <c r="G1559" s="1094" t="str">
        <f>VLOOKUP($B1559,DG!A:D,DG!$D$2,)</f>
        <v>trọn bộ</v>
      </c>
      <c r="H1559" s="1873"/>
      <c r="I1559" s="1262">
        <f t="shared" si="133"/>
        <v>0</v>
      </c>
      <c r="J1559" s="1084"/>
      <c r="K1559" s="1084"/>
      <c r="L1559" s="1113"/>
      <c r="M1559" s="977">
        <v>320</v>
      </c>
    </row>
    <row r="1560" spans="1:16" s="1086" customFormat="1" ht="25.15" hidden="1" customHeight="1">
      <c r="A1560" s="1156">
        <f t="shared" si="134"/>
        <v>0</v>
      </c>
      <c r="B1560" s="1327" t="s">
        <v>1540</v>
      </c>
      <c r="C1560" s="1327"/>
      <c r="D1560" s="1081"/>
      <c r="E1560" s="1094">
        <f>VLOOKUP($B1560,DG!A:D,DG!$B$2,)</f>
        <v>0</v>
      </c>
      <c r="F1560" s="1095" t="str">
        <f>VLOOKUP($B1560,DG!A:D,DG!$C$2,)</f>
        <v>Giá nới + Thanh cái tủ CB</v>
      </c>
      <c r="G1560" s="1094" t="str">
        <f>VLOOKUP($B1560,DG!A:D,DG!$D$2,)</f>
        <v>bộ</v>
      </c>
      <c r="H1560" s="1890">
        <f>H1556*0</f>
        <v>0</v>
      </c>
      <c r="I1560" s="1262">
        <f t="shared" si="133"/>
        <v>0</v>
      </c>
      <c r="J1560" s="1084"/>
      <c r="K1560" s="1084"/>
      <c r="L1560" s="1113"/>
      <c r="M1560" s="977">
        <v>320</v>
      </c>
    </row>
    <row r="1561" spans="1:16" s="1086" customFormat="1" ht="25.15" hidden="1" customHeight="1">
      <c r="A1561" s="1156">
        <f t="shared" si="134"/>
        <v>0</v>
      </c>
      <c r="B1561" s="1327" t="s">
        <v>882</v>
      </c>
      <c r="C1561" s="1327"/>
      <c r="D1561" s="1081"/>
      <c r="E1561" s="1094">
        <f>VLOOKUP($B1561,DG!A:D,DG!$B$2,)</f>
        <v>0</v>
      </c>
      <c r="F1561" s="1095" t="str">
        <f>VLOOKUP($B1561,DG!A:D,DG!$C$2,)</f>
        <v xml:space="preserve">Bakelit 550x450 dầy 10mm </v>
      </c>
      <c r="G1561" s="1094" t="str">
        <f>VLOOKUP($B1561,DG!A:D,DG!$D$2,)</f>
        <v>cái</v>
      </c>
      <c r="H1561" s="1873">
        <v>3</v>
      </c>
      <c r="I1561" s="1262">
        <f t="shared" si="133"/>
        <v>0</v>
      </c>
      <c r="J1561" s="1084"/>
      <c r="K1561" s="1084"/>
      <c r="L1561" s="1113"/>
      <c r="M1561" s="977">
        <v>320</v>
      </c>
    </row>
    <row r="1562" spans="1:16" s="1086" customFormat="1" ht="25.15" hidden="1" customHeight="1">
      <c r="A1562" s="1156">
        <f t="shared" si="134"/>
        <v>0</v>
      </c>
      <c r="B1562" s="1327" t="s">
        <v>289</v>
      </c>
      <c r="C1562" s="1327"/>
      <c r="D1562" s="1093"/>
      <c r="E1562" s="1094" t="str">
        <f>VLOOKUP($B1562,DG!A:D,DG!$B$2,)</f>
        <v>06.3191</v>
      </c>
      <c r="F1562" s="1095" t="str">
        <f>VLOOKUP($B1562,DG!A:D,DG!$C$2,)</f>
        <v>Bảng tên trạm, bảng báo nguy hiểm + đinh vít</v>
      </c>
      <c r="G1562" s="1094" t="str">
        <f>VLOOKUP($B1562,DG!A:D,DG!$D$2,)</f>
        <v>bộ</v>
      </c>
      <c r="H1562" s="1873">
        <v>1</v>
      </c>
      <c r="I1562" s="1262">
        <f t="shared" si="133"/>
        <v>0</v>
      </c>
      <c r="J1562" s="1084"/>
      <c r="K1562" s="1084"/>
      <c r="L1562" s="1113"/>
      <c r="M1562" s="977">
        <v>320</v>
      </c>
    </row>
    <row r="1563" spans="1:16" s="1086" customFormat="1" ht="25.15" hidden="1" customHeight="1">
      <c r="A1563" s="1156">
        <f t="shared" si="134"/>
        <v>0</v>
      </c>
      <c r="B1563" s="1327"/>
      <c r="C1563" s="1327"/>
      <c r="D1563" s="1087">
        <f>IF(H1563&gt;0,D1556+1,D1556)</f>
        <v>2</v>
      </c>
      <c r="E1563" s="1088"/>
      <c r="F1563" s="1089" t="s">
        <v>3745</v>
      </c>
      <c r="G1563" s="1087" t="s">
        <v>2541</v>
      </c>
      <c r="H1563" s="1889">
        <f>H1445*0</f>
        <v>0</v>
      </c>
      <c r="I1563" s="1262">
        <f t="shared" si="133"/>
        <v>0</v>
      </c>
      <c r="J1563" s="1084"/>
      <c r="K1563" s="1084"/>
      <c r="L1563" s="1085"/>
      <c r="M1563" s="977">
        <v>320</v>
      </c>
    </row>
    <row r="1564" spans="1:16" s="1086" customFormat="1" ht="25.15" hidden="1" customHeight="1">
      <c r="A1564" s="1156">
        <f>IF(A1563&gt;0,1,0)</f>
        <v>0</v>
      </c>
      <c r="B1564" s="1327"/>
      <c r="C1564" s="1327"/>
      <c r="D1564" s="1081"/>
      <c r="E1564" s="1091"/>
      <c r="F1564" s="1370" t="s">
        <v>2287</v>
      </c>
      <c r="G1564" s="1093"/>
      <c r="H1564" s="1873"/>
      <c r="I1564" s="1262">
        <f t="shared" si="133"/>
        <v>0</v>
      </c>
      <c r="J1564" s="1084"/>
      <c r="K1564" s="1084"/>
      <c r="L1564" s="1085"/>
      <c r="M1564" s="977">
        <v>320</v>
      </c>
    </row>
    <row r="1565" spans="1:16" s="1086" customFormat="1" ht="25.15" hidden="1" customHeight="1">
      <c r="A1565" s="1156">
        <f t="shared" si="134"/>
        <v>0</v>
      </c>
      <c r="B1565" s="1329" t="s">
        <v>754</v>
      </c>
      <c r="C1565" s="1329"/>
      <c r="D1565" s="1093"/>
      <c r="E1565" s="1094" t="e">
        <f>VLOOKUP($B1565,DG!A:D,DG!$B$2,)</f>
        <v>#N/A</v>
      </c>
      <c r="F1565" s="1111" t="e">
        <f>VLOOKUP($B1565,DG!A:D,DG!$C$2,)&amp;": 0,315m3/m"</f>
        <v>#N/A</v>
      </c>
      <c r="G1565" s="1094" t="e">
        <f>VLOOKUP($B1565,DG!A:D,DG!$D$2,)</f>
        <v>#N/A</v>
      </c>
      <c r="H1565" s="1873">
        <f>H1563*0.315</f>
        <v>0</v>
      </c>
      <c r="I1565" s="1262">
        <f t="shared" si="133"/>
        <v>0</v>
      </c>
      <c r="J1565" s="1084"/>
      <c r="K1565" s="1084"/>
      <c r="L1565" s="1085"/>
      <c r="M1565" s="977">
        <v>320</v>
      </c>
    </row>
    <row r="1566" spans="1:16" s="1086" customFormat="1" ht="25.15" hidden="1" customHeight="1">
      <c r="A1566" s="1156">
        <f t="shared" si="134"/>
        <v>0</v>
      </c>
      <c r="B1566" s="1329" t="s">
        <v>520</v>
      </c>
      <c r="C1566" s="1329"/>
      <c r="D1566" s="1093"/>
      <c r="E1566" s="1094">
        <f>VLOOKUP($B1566,DG!A:D,DG!$B$2,)</f>
        <v>0</v>
      </c>
      <c r="F1566" s="1111" t="str">
        <f>VLOOKUP($B1566,DG!A:D,DG!$C$2,)&amp;": 0,092m3/m"</f>
        <v>Đá 2x4: 0,092m3/m</v>
      </c>
      <c r="G1566" s="1094" t="str">
        <f>VLOOKUP($B1566,DG!A:D,DG!$D$2,)</f>
        <v>m3</v>
      </c>
      <c r="H1566" s="1873">
        <f>0.092*H1563</f>
        <v>0</v>
      </c>
      <c r="I1566" s="1262">
        <f t="shared" si="133"/>
        <v>0</v>
      </c>
      <c r="J1566" s="1084"/>
      <c r="K1566" s="1084"/>
      <c r="L1566" s="1085"/>
      <c r="M1566" s="977">
        <v>320</v>
      </c>
    </row>
    <row r="1567" spans="1:16" s="1086" customFormat="1" ht="25.15" hidden="1" customHeight="1">
      <c r="A1567" s="1156">
        <f t="shared" si="134"/>
        <v>0</v>
      </c>
      <c r="B1567" s="1329" t="s">
        <v>1681</v>
      </c>
      <c r="C1567" s="1329"/>
      <c r="D1567" s="1093"/>
      <c r="E1567" s="1094">
        <f>VLOOKUP($B1567,DG!A:D,DG!$B$2,)</f>
        <v>0</v>
      </c>
      <c r="F1567" s="1111" t="str">
        <f>VLOOKUP($B1567,DG!A:D,DG!$C$2,)&amp;": 3,3vieân/m"</f>
        <v>Gạch tàu: 3,3vieân/m</v>
      </c>
      <c r="G1567" s="1094" t="str">
        <f>VLOOKUP($B1567,DG!A:D,DG!$D$2,)</f>
        <v>viên</v>
      </c>
      <c r="H1567" s="1873">
        <f>3.3*H1563</f>
        <v>0</v>
      </c>
      <c r="I1567" s="1262">
        <f t="shared" si="133"/>
        <v>0</v>
      </c>
      <c r="J1567" s="1084"/>
      <c r="K1567" s="1084"/>
      <c r="L1567" s="1085"/>
      <c r="M1567" s="977">
        <v>320</v>
      </c>
    </row>
    <row r="1568" spans="1:16" s="1086" customFormat="1" ht="25.15" hidden="1" customHeight="1">
      <c r="A1568" s="1156">
        <f t="shared" si="134"/>
        <v>0</v>
      </c>
      <c r="B1568" s="1329" t="s">
        <v>1682</v>
      </c>
      <c r="C1568" s="1329"/>
      <c r="D1568" s="1093"/>
      <c r="E1568" s="1094">
        <f>VLOOKUP($B1568,DG!A:D,DG!$B$2,)</f>
        <v>0</v>
      </c>
      <c r="F1568" s="1111" t="str">
        <f>VLOOKUP($B1568,DG!A:D,DG!$C$2,)&amp;": 0,4m2/m"</f>
        <v>Tấm nilông màu cảnh báo: 0,4m2/m</v>
      </c>
      <c r="G1568" s="1094" t="str">
        <f>VLOOKUP($B1568,DG!A:D,DG!$D$2,)</f>
        <v>m2</v>
      </c>
      <c r="H1568" s="1873">
        <f>0.4*H1563</f>
        <v>0</v>
      </c>
      <c r="I1568" s="1262">
        <f t="shared" si="133"/>
        <v>0</v>
      </c>
      <c r="J1568" s="1084"/>
      <c r="K1568" s="1084"/>
      <c r="L1568" s="1085"/>
      <c r="M1568" s="977">
        <v>320</v>
      </c>
    </row>
    <row r="1569" spans="1:14" s="1086" customFormat="1" ht="25.15" hidden="1" customHeight="1">
      <c r="A1569" s="1156">
        <f t="shared" si="134"/>
        <v>0</v>
      </c>
      <c r="B1569" s="1329" t="s">
        <v>1523</v>
      </c>
      <c r="C1569" s="1329"/>
      <c r="D1569" s="1081"/>
      <c r="E1569" s="1094">
        <f>VLOOKUP($B1569,DG!A:D,DG!$B$2,)</f>
        <v>0</v>
      </c>
      <c r="F1569" s="1111" t="str">
        <f>VLOOKUP($B1569,DG!A:D,DG!$C$2,)</f>
        <v>Ống PVC D140x6,7mm</v>
      </c>
      <c r="G1569" s="1094" t="str">
        <f>VLOOKUP($B1569,DG!A:D,DG!$D$2,)</f>
        <v>m</v>
      </c>
      <c r="H1569" s="1873">
        <f>1*H1563</f>
        <v>0</v>
      </c>
      <c r="I1569" s="1262">
        <f t="shared" si="133"/>
        <v>0</v>
      </c>
      <c r="J1569" s="1084"/>
      <c r="K1569" s="1084"/>
      <c r="L1569" s="1085"/>
      <c r="M1569" s="977">
        <v>320</v>
      </c>
    </row>
    <row r="1570" spans="1:14" s="1086" customFormat="1" ht="25.15" hidden="1" customHeight="1">
      <c r="A1570" s="1156">
        <f t="shared" si="134"/>
        <v>0</v>
      </c>
      <c r="B1570" s="1329" t="s">
        <v>1684</v>
      </c>
      <c r="C1570" s="1329"/>
      <c r="D1570" s="1093"/>
      <c r="E1570" s="1094" t="str">
        <f>VLOOKUP($B1570,DG!A:D,DG!$B$2,)</f>
        <v>03.7000</v>
      </c>
      <c r="F1570" s="1111" t="str">
        <f>VLOOKUP($B1570,DG!A:D,DG!$C$2,)&amp;" + ñaép ñaù"</f>
        <v>Đắp cát  + ñaép ñaù</v>
      </c>
      <c r="G1570" s="1094" t="str">
        <f>VLOOKUP($B1570,DG!A:D,DG!$D$2,)</f>
        <v>m3</v>
      </c>
      <c r="H1570" s="1873">
        <f>H1565+H1566</f>
        <v>0</v>
      </c>
      <c r="I1570" s="1262">
        <f t="shared" si="133"/>
        <v>0</v>
      </c>
      <c r="J1570" s="1084"/>
      <c r="K1570" s="1084"/>
      <c r="L1570" s="1085"/>
      <c r="M1570" s="977">
        <v>320</v>
      </c>
    </row>
    <row r="1571" spans="1:14" s="1086" customFormat="1" ht="25.15" hidden="1" customHeight="1">
      <c r="A1571" s="1156">
        <f t="shared" si="134"/>
        <v>0</v>
      </c>
      <c r="B1571" s="1329" t="s">
        <v>144</v>
      </c>
      <c r="C1571" s="1329"/>
      <c r="D1571" s="1093"/>
      <c r="E1571" s="1094" t="str">
        <f>VLOOKUP($B1571,DG!A:D,DG!$B$2,)</f>
        <v>03.3103</v>
      </c>
      <c r="F1571" s="1111" t="str">
        <f>VLOOKUP($B1571,DG!A:D,DG!$C$2,)&amp;" : 0,48m3/m"</f>
        <v>Đào mương cáp ngầm đất cấp 3 : 0,48m3/m</v>
      </c>
      <c r="G1571" s="1094" t="str">
        <f>VLOOKUP($B1571,DG!A:D,DG!$D$2,)</f>
        <v>m3</v>
      </c>
      <c r="H1571" s="1873">
        <f>H1563*0.48</f>
        <v>0</v>
      </c>
      <c r="I1571" s="1262">
        <f t="shared" si="133"/>
        <v>0</v>
      </c>
      <c r="J1571" s="1084"/>
      <c r="K1571" s="1084"/>
      <c r="L1571" s="1085"/>
      <c r="M1571" s="977">
        <v>320</v>
      </c>
    </row>
    <row r="1572" spans="1:14" s="1086" customFormat="1" ht="25.15" hidden="1" customHeight="1">
      <c r="A1572" s="1156">
        <f t="shared" si="134"/>
        <v>0</v>
      </c>
      <c r="B1572" s="1329" t="s">
        <v>529</v>
      </c>
      <c r="C1572" s="1329"/>
      <c r="D1572" s="1093"/>
      <c r="E1572" s="1094" t="str">
        <f>VLOOKUP($B1572,DG!A:D,DG!$B$2,)</f>
        <v>03.3203</v>
      </c>
      <c r="F1572" s="1111" t="str">
        <f>VLOOKUP($B1572,DG!A:D,DG!$C$2,)&amp;" : 0,073m3/m"</f>
        <v>Đắp đất mương cáp ngầm, đất cấp 3 : 0,073m3/m</v>
      </c>
      <c r="G1572" s="1094" t="str">
        <f>VLOOKUP($B1572,DG!A:D,DG!$D$2,)</f>
        <v>m3</v>
      </c>
      <c r="H1572" s="1873">
        <f>H1563*0.073</f>
        <v>0</v>
      </c>
      <c r="I1572" s="1262">
        <f t="shared" si="133"/>
        <v>0</v>
      </c>
      <c r="J1572" s="1084"/>
      <c r="K1572" s="1084"/>
      <c r="L1572" s="1085"/>
      <c r="M1572" s="977">
        <v>320</v>
      </c>
      <c r="N1572" s="1136">
        <v>0.47499999999999998</v>
      </c>
    </row>
    <row r="1573" spans="1:14" s="1086" customFormat="1" ht="25.15" hidden="1" customHeight="1">
      <c r="A1573" s="1156">
        <f t="shared" si="134"/>
        <v>0</v>
      </c>
      <c r="B1573" s="1327"/>
      <c r="C1573" s="1327"/>
      <c r="D1573" s="1087">
        <f>IF(H1573&gt;0,D1563+1,D1563)</f>
        <v>2</v>
      </c>
      <c r="E1573" s="1088"/>
      <c r="F1573" s="1089" t="s">
        <v>3746</v>
      </c>
      <c r="G1573" s="1087" t="s">
        <v>2394</v>
      </c>
      <c r="H1573" s="1889">
        <f>H1582</f>
        <v>0</v>
      </c>
      <c r="I1573" s="1262">
        <f t="shared" si="133"/>
        <v>0</v>
      </c>
      <c r="J1573" s="1084"/>
      <c r="K1573" s="1084"/>
      <c r="L1573" s="1085"/>
      <c r="M1573" s="977">
        <v>320</v>
      </c>
      <c r="N1573" s="1136">
        <v>0.88100000000000001</v>
      </c>
    </row>
    <row r="1574" spans="1:14" s="1086" customFormat="1" ht="25.15" hidden="1" customHeight="1">
      <c r="A1574" s="1156">
        <f>IF(A1573&gt;0,1,0)</f>
        <v>0</v>
      </c>
      <c r="B1574" s="1327"/>
      <c r="C1574" s="1327"/>
      <c r="D1574" s="1081"/>
      <c r="E1574" s="1091"/>
      <c r="F1574" s="1370" t="s">
        <v>2287</v>
      </c>
      <c r="G1574" s="1093"/>
      <c r="H1574" s="1873"/>
      <c r="I1574" s="1262">
        <f t="shared" si="133"/>
        <v>0</v>
      </c>
      <c r="J1574" s="1084"/>
      <c r="K1574" s="1084"/>
      <c r="L1574" s="1085"/>
      <c r="M1574" s="977">
        <v>320</v>
      </c>
    </row>
    <row r="1575" spans="1:14" s="1086" customFormat="1" ht="25.15" hidden="1" customHeight="1">
      <c r="A1575" s="1156">
        <f t="shared" si="134"/>
        <v>0</v>
      </c>
      <c r="B1575" s="1327" t="s">
        <v>623</v>
      </c>
      <c r="C1575" s="1327"/>
      <c r="D1575" s="1093"/>
      <c r="E1575" s="1094" t="str">
        <f>VLOOKUP($B1575,DG!A:D,DG!$B$2,)</f>
        <v>07.2204</v>
      </c>
      <c r="F1575" s="1095" t="str">
        <f>VLOOKUP($B1575,DG!A:D,DG!$C$2,)</f>
        <v>ÔÁng sắt tráng kẽm D140</v>
      </c>
      <c r="G1575" s="1094" t="str">
        <f>VLOOKUP($B1575,DG!A:D,DG!$D$2,)</f>
        <v>mét</v>
      </c>
      <c r="H1575" s="1873">
        <f>H1573*5*0</f>
        <v>0</v>
      </c>
      <c r="I1575" s="1262">
        <f t="shared" si="133"/>
        <v>0</v>
      </c>
      <c r="J1575" s="1084"/>
      <c r="K1575" s="1084"/>
      <c r="L1575" s="1085"/>
      <c r="M1575" s="977">
        <v>320</v>
      </c>
    </row>
    <row r="1576" spans="1:14" s="1086" customFormat="1" ht="25.15" hidden="1" customHeight="1">
      <c r="A1576" s="1156">
        <f t="shared" si="134"/>
        <v>0</v>
      </c>
      <c r="B1576" s="1329" t="s">
        <v>473</v>
      </c>
      <c r="C1576" s="1329"/>
      <c r="D1576" s="1081"/>
      <c r="E1576" s="1094">
        <f>VLOOKUP($B1576,DG!A:D,DG!$B$2,)</f>
        <v>0</v>
      </c>
      <c r="F1576" s="1095" t="str">
        <f>VLOOKUP($B1576,DG!A:D,DG!$C$2,)</f>
        <v>Co sừng 90 độ PVC 140</v>
      </c>
      <c r="G1576" s="1094" t="str">
        <f>VLOOKUP($B1576,DG!A:D,DG!$D$2,)</f>
        <v>cái</v>
      </c>
      <c r="H1576" s="1873">
        <f>H1573*0</f>
        <v>0</v>
      </c>
      <c r="I1576" s="1262">
        <f t="shared" si="133"/>
        <v>0</v>
      </c>
      <c r="J1576" s="1084"/>
      <c r="K1576" s="1084"/>
      <c r="L1576" s="1085"/>
      <c r="M1576" s="977">
        <v>320</v>
      </c>
    </row>
    <row r="1577" spans="1:14" s="1086" customFormat="1" ht="25.15" hidden="1" customHeight="1">
      <c r="A1577" s="1156">
        <f t="shared" si="134"/>
        <v>0</v>
      </c>
      <c r="B1577" s="1327" t="s">
        <v>120</v>
      </c>
      <c r="C1577" s="1327"/>
      <c r="D1577" s="1093"/>
      <c r="E1577" s="1094" t="str">
        <f>VLOOKUP($B1577,DG!A:D,DG!$B$2,)</f>
        <v>06.3231</v>
      </c>
      <c r="F1577" s="1095" t="str">
        <f>VLOOKUP($B1577,DG!A:D,DG!$C$2,)</f>
        <v>Cổ dê giữ ống STK D140 vào tường+Boulon+long đền+tắc ke sắt</v>
      </c>
      <c r="G1577" s="1094" t="str">
        <f>VLOOKUP($B1577,DG!A:D,DG!$D$2,)</f>
        <v>bộ</v>
      </c>
      <c r="H1577" s="1873">
        <f>H1573*2*0</f>
        <v>0</v>
      </c>
      <c r="I1577" s="1262">
        <f t="shared" si="133"/>
        <v>0</v>
      </c>
      <c r="J1577" s="1084"/>
      <c r="K1577" s="1084"/>
      <c r="L1577" s="1085"/>
      <c r="M1577" s="977">
        <v>320</v>
      </c>
    </row>
    <row r="1578" spans="1:14" s="1086" customFormat="1" ht="25.15" hidden="1" customHeight="1">
      <c r="A1578" s="1156">
        <f t="shared" si="134"/>
        <v>0</v>
      </c>
      <c r="B1578" s="1157" t="s">
        <v>1414</v>
      </c>
      <c r="C1578" s="1157"/>
      <c r="D1578" s="1093"/>
      <c r="E1578" s="1094">
        <f>VLOOKUP($B1578,DG!A:D,DG!$B$2,)</f>
        <v>0</v>
      </c>
      <c r="F1578" s="1095" t="str">
        <f>VLOOKUP($B1578,DG!A:D,DG!$C$2,)</f>
        <v>Giá đỡ cáp ngầm (V63x6)</v>
      </c>
      <c r="G1578" s="1094" t="str">
        <f>VLOOKUP($B1578,DG!A:D,DG!$D$2,)</f>
        <v>bộ</v>
      </c>
      <c r="H1578" s="1873">
        <f>H1573*0</f>
        <v>0</v>
      </c>
      <c r="I1578" s="1262">
        <f t="shared" si="133"/>
        <v>0</v>
      </c>
      <c r="J1578" s="1084"/>
      <c r="K1578" s="1084"/>
      <c r="L1578" s="1085"/>
      <c r="M1578" s="977">
        <v>320</v>
      </c>
    </row>
    <row r="1579" spans="1:14" s="1086" customFormat="1" ht="25.15" hidden="1" customHeight="1">
      <c r="A1579" s="1156">
        <f t="shared" si="134"/>
        <v>0</v>
      </c>
      <c r="B1579" s="1157" t="s">
        <v>2146</v>
      </c>
      <c r="C1579" s="1157"/>
      <c r="D1579" s="1093"/>
      <c r="E1579" s="1094">
        <f>VLOOKUP($B1579,DG!A:D,DG!$B$2,)</f>
        <v>0</v>
      </c>
      <c r="F1579" s="1095" t="str">
        <f>VLOOKUP($B1579,DG!A:D,DG!$C$2,)</f>
        <v>Giá đỡ cáp trung hạ thế</v>
      </c>
      <c r="G1579" s="1094" t="str">
        <f>VLOOKUP($B1579,DG!A:D,DG!$D$2,)</f>
        <v>bộ</v>
      </c>
      <c r="H1579" s="1873">
        <f>H1573</f>
        <v>0</v>
      </c>
      <c r="I1579" s="1262">
        <f t="shared" si="133"/>
        <v>0</v>
      </c>
      <c r="J1579" s="1084"/>
      <c r="K1579" s="1084"/>
      <c r="L1579" s="1085"/>
      <c r="M1579" s="977">
        <v>320</v>
      </c>
    </row>
    <row r="1580" spans="1:14" s="1086" customFormat="1" ht="25.15" hidden="1" customHeight="1">
      <c r="A1580" s="1156">
        <f t="shared" si="134"/>
        <v>0</v>
      </c>
      <c r="B1580" s="1327" t="s">
        <v>1415</v>
      </c>
      <c r="C1580" s="1327"/>
      <c r="D1580" s="1081"/>
      <c r="E1580" s="1094" t="str">
        <f>VLOOKUP($B1580,DG!A:D,DG!$B$2,)</f>
        <v>05.6101</v>
      </c>
      <c r="F1580" s="1095" t="str">
        <f>VLOOKUP($B1580,DG!A:D,DG!$C$2,)</f>
        <v>Lắp Giá đỡ cáp</v>
      </c>
      <c r="G1580" s="1094" t="str">
        <f>VLOOKUP($B1580,DG!A:D,DG!$D$2,)</f>
        <v>bộ</v>
      </c>
      <c r="H1580" s="1873">
        <f>H1578+H1579</f>
        <v>0</v>
      </c>
      <c r="I1580" s="1262">
        <f t="shared" si="133"/>
        <v>0</v>
      </c>
      <c r="J1580" s="1084"/>
      <c r="K1580" s="1084"/>
      <c r="L1580" s="1085"/>
      <c r="M1580" s="977">
        <v>320</v>
      </c>
    </row>
    <row r="1581" spans="1:14" s="1086" customFormat="1" ht="25.15" hidden="1" customHeight="1">
      <c r="A1581" s="1156">
        <f t="shared" si="134"/>
        <v>0</v>
      </c>
      <c r="B1581" s="1327" t="s">
        <v>289</v>
      </c>
      <c r="C1581" s="1327"/>
      <c r="D1581" s="1093"/>
      <c r="E1581" s="1094" t="str">
        <f>VLOOKUP($B1581,DG!A:D,DG!$B$2,)</f>
        <v>06.3191</v>
      </c>
      <c r="F1581" s="1095" t="str">
        <f>VLOOKUP($B1581,DG!A:D,DG!$C$2,)</f>
        <v>Bảng tên trạm, bảng báo nguy hiểm + đinh vít</v>
      </c>
      <c r="G1581" s="1094" t="str">
        <f>VLOOKUP($B1581,DG!A:D,DG!$D$2,)</f>
        <v>bộ</v>
      </c>
      <c r="H1581" s="1873">
        <f>H1573*0</f>
        <v>0</v>
      </c>
      <c r="I1581" s="1262">
        <f t="shared" si="133"/>
        <v>0</v>
      </c>
      <c r="J1581" s="1084"/>
      <c r="K1581" s="1084"/>
      <c r="L1581" s="1085"/>
      <c r="M1581" s="977">
        <v>320</v>
      </c>
    </row>
    <row r="1582" spans="1:14" s="1086" customFormat="1" ht="41.45" hidden="1" customHeight="1">
      <c r="A1582" s="1156">
        <f t="shared" si="134"/>
        <v>0</v>
      </c>
      <c r="B1582" s="1327"/>
      <c r="C1582" s="1327"/>
      <c r="D1582" s="1087">
        <f>IF(H1582&gt;0,D1573+1,D1573)</f>
        <v>2</v>
      </c>
      <c r="E1582" s="1088"/>
      <c r="F1582" s="2215" t="s">
        <v>3761</v>
      </c>
      <c r="G1582" s="1087" t="s">
        <v>2394</v>
      </c>
      <c r="H1582" s="1889">
        <f>H1445*0</f>
        <v>0</v>
      </c>
      <c r="I1582" s="1262">
        <f t="shared" ref="I1582:I1650" si="135">IF(M1582=$M$23,H1582+J1582-K1582,0)</f>
        <v>0</v>
      </c>
      <c r="J1582" s="1084"/>
      <c r="K1582" s="1084"/>
      <c r="L1582" s="1085"/>
      <c r="M1582" s="977">
        <v>320</v>
      </c>
    </row>
    <row r="1583" spans="1:14" s="1086" customFormat="1" ht="25.15" hidden="1" customHeight="1">
      <c r="A1583" s="1156">
        <f>IF(A1582&gt;0,1,0)</f>
        <v>0</v>
      </c>
      <c r="B1583" s="1327"/>
      <c r="C1583" s="1327"/>
      <c r="D1583" s="1081"/>
      <c r="E1583" s="1091"/>
      <c r="F1583" s="1371" t="s">
        <v>2287</v>
      </c>
      <c r="G1583" s="1081"/>
      <c r="H1583" s="1890"/>
      <c r="I1583" s="1262">
        <f t="shared" si="135"/>
        <v>0</v>
      </c>
      <c r="J1583" s="1084"/>
      <c r="K1583" s="1084"/>
      <c r="L1583" s="1085"/>
      <c r="M1583" s="977">
        <v>320</v>
      </c>
    </row>
    <row r="1584" spans="1:14" s="1086" customFormat="1" ht="25.15" hidden="1" customHeight="1">
      <c r="A1584" s="1156">
        <f t="shared" si="134"/>
        <v>0</v>
      </c>
      <c r="B1584" s="1157" t="s">
        <v>470</v>
      </c>
      <c r="C1584" s="1157"/>
      <c r="D1584" s="1093"/>
      <c r="E1584" s="1082">
        <f>VLOOKUP($B1584,DG!A:D,DG!$B$2,)</f>
        <v>0</v>
      </c>
      <c r="F1584" s="1083" t="str">
        <f>VLOOKUP($B1584,DG!A:D,DG!$C$2,)&amp;": trong möông vaø leân MBA"</f>
        <v>Cáp 24kV C/XLPE/DSTA/PVC3x50: trong möông vaø leân MBA</v>
      </c>
      <c r="G1584" s="1082" t="str">
        <f>VLOOKUP($B1584,DG!A:D,DG!$D$2,)</f>
        <v>mét</v>
      </c>
      <c r="H1584" s="1873">
        <f>H1563+H1582*8</f>
        <v>0</v>
      </c>
      <c r="I1584" s="1262">
        <f t="shared" si="135"/>
        <v>0</v>
      </c>
      <c r="J1584" s="1084"/>
      <c r="K1584" s="1084"/>
      <c r="L1584" s="1085"/>
      <c r="M1584" s="977">
        <v>320</v>
      </c>
    </row>
    <row r="1585" spans="1:13" s="1086" customFormat="1" ht="25.15" hidden="1" customHeight="1">
      <c r="A1585" s="1156">
        <f t="shared" si="134"/>
        <v>0</v>
      </c>
      <c r="B1585" s="1157" t="s">
        <v>271</v>
      </c>
      <c r="C1585" s="1157"/>
      <c r="D1585" s="1093"/>
      <c r="E1585" s="1082">
        <f>VLOOKUP($B1585,DG!A:D,DG!$B$2,)</f>
        <v>0</v>
      </c>
      <c r="F1585" s="1083" t="str">
        <f>VLOOKUP($B1585,DG!A:D,DG!$C$2,)&amp;": trung tính"</f>
        <v>Cáp 24KV C/XLPE/PVC 50mm2: trung tính</v>
      </c>
      <c r="G1585" s="1082" t="str">
        <f>VLOOKUP($B1585,DG!A:D,DG!$D$2,)</f>
        <v>mét</v>
      </c>
      <c r="H1585" s="1873">
        <f>H1584</f>
        <v>0</v>
      </c>
      <c r="I1585" s="1262">
        <f t="shared" si="135"/>
        <v>0</v>
      </c>
      <c r="J1585" s="1084"/>
      <c r="K1585" s="1084"/>
      <c r="L1585" s="1085"/>
      <c r="M1585" s="977">
        <v>320</v>
      </c>
    </row>
    <row r="1586" spans="1:13" s="1086" customFormat="1" ht="25.15" hidden="1" customHeight="1">
      <c r="A1586" s="1156">
        <f t="shared" si="134"/>
        <v>0</v>
      </c>
      <c r="B1586" s="1157" t="s">
        <v>271</v>
      </c>
      <c r="C1586" s="1157"/>
      <c r="D1586" s="1093"/>
      <c r="E1586" s="1082">
        <f>VLOOKUP($B1586,DG!A:D,DG!$B$2,)</f>
        <v>0</v>
      </c>
      <c r="F1586" s="1083" t="str">
        <f>VLOOKUP($B1586,DG!A:D,DG!$C$2,)&amp;": 0,5m/pha töø FCO xuoáng MBA"</f>
        <v>Cáp 24KV C/XLPE/PVC 50mm2: 0,5m/pha töø FCO xuoáng MBA</v>
      </c>
      <c r="G1586" s="1082" t="str">
        <f>VLOOKUP($B1586,DG!A:D,DG!$D$2,)</f>
        <v>mét</v>
      </c>
      <c r="H1586" s="1873">
        <f>H1582*0.5*3*0</f>
        <v>0</v>
      </c>
      <c r="I1586" s="1262">
        <f t="shared" si="135"/>
        <v>0</v>
      </c>
      <c r="J1586" s="1084"/>
      <c r="K1586" s="1084"/>
      <c r="L1586" s="1085"/>
      <c r="M1586" s="977">
        <v>320</v>
      </c>
    </row>
    <row r="1587" spans="1:13" s="1086" customFormat="1" ht="25.15" hidden="1" customHeight="1">
      <c r="A1587" s="1156">
        <f t="shared" si="134"/>
        <v>0</v>
      </c>
      <c r="B1587" s="1157" t="s">
        <v>1357</v>
      </c>
      <c r="C1587" s="1157"/>
      <c r="D1587" s="1093"/>
      <c r="E1587" s="1082">
        <f>VLOOKUP($B1587,DG!A:D,DG!$B$2,)</f>
        <v>0</v>
      </c>
      <c r="F1587" s="1083" t="str">
        <f>VLOOKUP($B1587,DG!A:D,DG!$C$2,)</f>
        <v>Đầu cáp ngầm 24KV 3x50mm2 outdoor</v>
      </c>
      <c r="G1587" s="1082" t="str">
        <f>VLOOKUP($B1587,DG!A:D,DG!$D$2,)</f>
        <v>cái</v>
      </c>
      <c r="H1587" s="1873">
        <f>H1582</f>
        <v>0</v>
      </c>
      <c r="I1587" s="1262">
        <f t="shared" si="135"/>
        <v>0</v>
      </c>
      <c r="J1587" s="1084"/>
      <c r="K1587" s="1084"/>
      <c r="L1587" s="1085"/>
      <c r="M1587" s="977">
        <v>320</v>
      </c>
    </row>
    <row r="1588" spans="1:13" s="1086" customFormat="1" ht="25.15" hidden="1" customHeight="1">
      <c r="A1588" s="1156">
        <f t="shared" si="134"/>
        <v>0</v>
      </c>
      <c r="B1588" s="1157" t="s">
        <v>470</v>
      </c>
      <c r="C1588" s="1157"/>
      <c r="D1588" s="1093"/>
      <c r="E1588" s="1082">
        <f>VLOOKUP($B1588,DG!A:D,DG!$B$2,)</f>
        <v>0</v>
      </c>
      <c r="F1588" s="1083" t="str">
        <f>VLOOKUP($B1588,DG!A:D,DG!$C$2,)&amp;": töø tuû LBS ñeán MBA"</f>
        <v>Cáp 24kV C/XLPE/DSTA/PVC3x50: töø tuû LBS ñeán MBA</v>
      </c>
      <c r="G1588" s="1082" t="str">
        <f>VLOOKUP($B1588,DG!A:D,DG!$D$2,)</f>
        <v>mét</v>
      </c>
      <c r="H1588" s="1873">
        <f>(1.2+2.4)*H1582*0</f>
        <v>0</v>
      </c>
      <c r="I1588" s="1262">
        <f t="shared" si="135"/>
        <v>0</v>
      </c>
      <c r="J1588" s="1084"/>
      <c r="K1588" s="1084"/>
      <c r="L1588" s="1085"/>
      <c r="M1588" s="977">
        <v>320</v>
      </c>
    </row>
    <row r="1589" spans="1:13" s="1086" customFormat="1" ht="25.15" hidden="1" customHeight="1">
      <c r="A1589" s="1156">
        <f t="shared" si="134"/>
        <v>0</v>
      </c>
      <c r="B1589" s="1157" t="s">
        <v>271</v>
      </c>
      <c r="C1589" s="1157"/>
      <c r="D1589" s="1093"/>
      <c r="E1589" s="1082">
        <f>VLOOKUP($B1589,DG!A:D,DG!$B$2,)</f>
        <v>0</v>
      </c>
      <c r="F1589" s="1083" t="str">
        <f>VLOOKUP($B1589,DG!A:D,DG!$C$2,)&amp;": töø tuû LBS ñeán MBA"</f>
        <v>Cáp 24KV C/XLPE/PVC 50mm2: töø tuû LBS ñeán MBA</v>
      </c>
      <c r="G1589" s="1082" t="str">
        <f>VLOOKUP($B1589,DG!A:D,DG!$D$2,)</f>
        <v>mét</v>
      </c>
      <c r="H1589" s="1873">
        <f>H1582*1.2*0</f>
        <v>0</v>
      </c>
      <c r="I1589" s="1262">
        <f t="shared" si="135"/>
        <v>0</v>
      </c>
      <c r="J1589" s="1084"/>
      <c r="K1589" s="1084"/>
      <c r="L1589" s="1085"/>
      <c r="M1589" s="977">
        <v>320</v>
      </c>
    </row>
    <row r="1590" spans="1:13" s="1086" customFormat="1" ht="25.15" hidden="1" customHeight="1">
      <c r="A1590" s="1156">
        <f t="shared" si="134"/>
        <v>0</v>
      </c>
      <c r="B1590" s="1157" t="s">
        <v>1358</v>
      </c>
      <c r="C1590" s="1157"/>
      <c r="D1590" s="1093"/>
      <c r="E1590" s="1082">
        <f>VLOOKUP($B1590,DG!A:D,DG!$B$2,)</f>
        <v>0</v>
      </c>
      <c r="F1590" s="1083" t="str">
        <f>VLOOKUP($B1590,DG!A:D,DG!$C$2,)</f>
        <v>Đầu cáp ngầm 24KV 3x50mm2 indoor</v>
      </c>
      <c r="G1590" s="1082" t="str">
        <f>VLOOKUP($B1590,DG!A:D,DG!$D$2,)</f>
        <v>cái</v>
      </c>
      <c r="H1590" s="1873">
        <f>H1582</f>
        <v>0</v>
      </c>
      <c r="I1590" s="1262">
        <f t="shared" si="135"/>
        <v>0</v>
      </c>
      <c r="J1590" s="1084"/>
      <c r="K1590" s="1084"/>
      <c r="L1590" s="1085"/>
      <c r="M1590" s="977">
        <v>320</v>
      </c>
    </row>
    <row r="1591" spans="1:13" s="1086" customFormat="1" ht="25.15" hidden="1" customHeight="1">
      <c r="A1591" s="1156">
        <f t="shared" si="134"/>
        <v>0</v>
      </c>
      <c r="B1591" s="1157" t="s">
        <v>1680</v>
      </c>
      <c r="C1591" s="1157"/>
      <c r="D1591" s="1093"/>
      <c r="E1591" s="1082" t="str">
        <f>VLOOKUP($B1591,DG!A:D,DG!$B$2,)</f>
        <v>07.4312</v>
      </c>
      <c r="F1591" s="1083" t="str">
        <f>VLOOKUP($B1591,DG!A:D,DG!$C$2,)</f>
        <v>Lắp đầu cáp trung thế 3x50mm2, 70mm2</v>
      </c>
      <c r="G1591" s="1082" t="str">
        <f>VLOOKUP($B1591,DG!A:D,DG!$D$2,)</f>
        <v>cái</v>
      </c>
      <c r="H1591" s="1873">
        <f>H1587+H1590</f>
        <v>0</v>
      </c>
      <c r="I1591" s="1262">
        <f t="shared" si="135"/>
        <v>0</v>
      </c>
      <c r="J1591" s="1084"/>
      <c r="K1591" s="1084"/>
      <c r="L1591" s="1085"/>
      <c r="M1591" s="977">
        <v>320</v>
      </c>
    </row>
    <row r="1592" spans="1:13" s="1086" customFormat="1" ht="25.15" hidden="1" customHeight="1">
      <c r="A1592" s="1156">
        <f t="shared" si="134"/>
        <v>0</v>
      </c>
      <c r="B1592" s="1157" t="s">
        <v>1206</v>
      </c>
      <c r="C1592" s="1157"/>
      <c r="D1592" s="1093"/>
      <c r="E1592" s="1082" t="str">
        <f>VLOOKUP($B1592,DG!A:D,DG!$B$2,)</f>
        <v>03.1405</v>
      </c>
      <c r="F1592" s="1083" t="str">
        <f>VLOOKUP($B1592,DG!A:D,DG!$C$2,)</f>
        <v>Lắp cáp trong ống bảo vệ trong TBA loại &lt;=6kg</v>
      </c>
      <c r="G1592" s="1082" t="str">
        <f>VLOOKUP($B1592,DG!A:D,DG!$D$2,)</f>
        <v>mét</v>
      </c>
      <c r="H1592" s="1873">
        <f>H1584+H1588</f>
        <v>0</v>
      </c>
      <c r="I1592" s="1262">
        <f t="shared" si="135"/>
        <v>0</v>
      </c>
      <c r="J1592" s="1084"/>
      <c r="K1592" s="1084"/>
      <c r="L1592" s="1085"/>
      <c r="M1592" s="977">
        <v>320</v>
      </c>
    </row>
    <row r="1593" spans="1:13" s="1086" customFormat="1" ht="25.15" hidden="1" customHeight="1">
      <c r="A1593" s="1156">
        <f t="shared" si="134"/>
        <v>0</v>
      </c>
      <c r="B1593" s="1157" t="s">
        <v>1203</v>
      </c>
      <c r="C1593" s="1157"/>
      <c r="D1593" s="1093"/>
      <c r="E1593" s="1082" t="str">
        <f>VLOOKUP($B1593,DG!A:D,DG!$B$2,)</f>
        <v>03.1402</v>
      </c>
      <c r="F1593" s="1083" t="str">
        <f>VLOOKUP($B1593,DG!A:D,DG!$C$2,)</f>
        <v>Lắp cáp trong ống bảo vệ trong TBA loại &lt;=2kg</v>
      </c>
      <c r="G1593" s="1082" t="str">
        <f>VLOOKUP($B1593,DG!A:D,DG!$D$2,)</f>
        <v>mét</v>
      </c>
      <c r="H1593" s="1873">
        <f>H1585+H1589</f>
        <v>0</v>
      </c>
      <c r="I1593" s="1262">
        <f t="shared" si="135"/>
        <v>0</v>
      </c>
      <c r="J1593" s="1084"/>
      <c r="K1593" s="1084"/>
      <c r="L1593" s="1085"/>
      <c r="M1593" s="977">
        <v>320</v>
      </c>
    </row>
    <row r="1594" spans="1:13" s="1086" customFormat="1" ht="25.15" hidden="1" customHeight="1">
      <c r="A1594" s="1156">
        <f t="shared" si="134"/>
        <v>0</v>
      </c>
      <c r="B1594" s="1157" t="s">
        <v>1530</v>
      </c>
      <c r="C1594" s="1157"/>
      <c r="D1594" s="1093"/>
      <c r="E1594" s="1082" t="str">
        <f>VLOOKUP($B1594,DG!A:D,DG!$B$2,)</f>
        <v>04.4201</v>
      </c>
      <c r="F1594" s="1083" t="str">
        <f>VLOOKUP($B1594,DG!A:D,DG!$C$2,)</f>
        <v>Lắp cáp đồng xuống thiết bị D ≤ 95mm2</v>
      </c>
      <c r="G1594" s="1082" t="str">
        <f>VLOOKUP($B1594,DG!A:D,DG!$D$2,)</f>
        <v>m</v>
      </c>
      <c r="H1594" s="1873">
        <f>H1586</f>
        <v>0</v>
      </c>
      <c r="I1594" s="1262">
        <f t="shared" si="135"/>
        <v>0</v>
      </c>
      <c r="J1594" s="1084"/>
      <c r="K1594" s="1084"/>
      <c r="L1594" s="1085"/>
      <c r="M1594" s="977">
        <v>320</v>
      </c>
    </row>
    <row r="1595" spans="1:13" s="1086" customFormat="1" ht="25.15" hidden="1" customHeight="1">
      <c r="A1595" s="1156">
        <f t="shared" si="134"/>
        <v>0</v>
      </c>
      <c r="B1595" s="1157" t="s">
        <v>1354</v>
      </c>
      <c r="C1595" s="1157"/>
      <c r="D1595" s="1093"/>
      <c r="E1595" s="1082">
        <f>VLOOKUP($B1595,DG!A:D,DG!$B$2,)</f>
        <v>0</v>
      </c>
      <c r="F1595" s="1083" t="str">
        <f>VLOOKUP($B1595,DG!A:D,DG!$C$2,)</f>
        <v>Dây rút cáp</v>
      </c>
      <c r="G1595" s="1082" t="str">
        <f>VLOOKUP($B1595,DG!A:D,DG!$D$2,)</f>
        <v>bọc</v>
      </c>
      <c r="H1595" s="1873">
        <f>H1582*2</f>
        <v>0</v>
      </c>
      <c r="I1595" s="1262">
        <f t="shared" si="135"/>
        <v>0</v>
      </c>
      <c r="J1595" s="1084"/>
      <c r="K1595" s="1084"/>
      <c r="L1595" s="1085"/>
      <c r="M1595" s="977">
        <v>320</v>
      </c>
    </row>
    <row r="1596" spans="1:13" s="1086" customFormat="1" ht="25.15" hidden="1" customHeight="1">
      <c r="A1596" s="1156">
        <f t="shared" si="134"/>
        <v>0</v>
      </c>
      <c r="B1596" s="1327"/>
      <c r="C1596" s="1327"/>
      <c r="D1596" s="1087">
        <f>IF(H1596&gt;0,D1582+1,D1582)</f>
        <v>2</v>
      </c>
      <c r="E1596" s="1088"/>
      <c r="F1596" s="1097" t="s">
        <v>3762</v>
      </c>
      <c r="G1596" s="1087" t="s">
        <v>2394</v>
      </c>
      <c r="H1596" s="1889">
        <f>H1445</f>
        <v>0</v>
      </c>
      <c r="I1596" s="1262">
        <f t="shared" si="135"/>
        <v>0</v>
      </c>
      <c r="J1596" s="1084"/>
      <c r="K1596" s="1084"/>
      <c r="L1596" s="1113"/>
      <c r="M1596" s="977">
        <v>320</v>
      </c>
    </row>
    <row r="1597" spans="1:13" s="1086" customFormat="1" ht="25.15" hidden="1" customHeight="1">
      <c r="A1597" s="1156">
        <f>IF(A1596&gt;0,1,0)</f>
        <v>0</v>
      </c>
      <c r="B1597" s="1327"/>
      <c r="C1597" s="1327"/>
      <c r="D1597" s="1081"/>
      <c r="E1597" s="1091"/>
      <c r="F1597" s="1371" t="s">
        <v>2287</v>
      </c>
      <c r="G1597" s="1081"/>
      <c r="H1597" s="1890"/>
      <c r="I1597" s="1262">
        <f t="shared" si="135"/>
        <v>0</v>
      </c>
      <c r="J1597" s="1084"/>
      <c r="K1597" s="1084"/>
      <c r="L1597" s="1113"/>
      <c r="M1597" s="977">
        <v>320</v>
      </c>
    </row>
    <row r="1598" spans="1:13" s="1086" customFormat="1" ht="25.15" hidden="1" customHeight="1">
      <c r="A1598" s="1156">
        <f t="shared" si="134"/>
        <v>0</v>
      </c>
      <c r="B1598" s="1157" t="s">
        <v>699</v>
      </c>
      <c r="C1598" s="1157"/>
      <c r="D1598" s="1093"/>
      <c r="E1598" s="1082">
        <f>VLOOKUP($B1598,DG!A:D,DG!$B$2,)</f>
        <v>0</v>
      </c>
      <c r="F1598" s="1083" t="str">
        <f>VLOOKUP($B1598,DG!A:D,DG!$C$2,)&amp;": 9m/1pha"</f>
        <v>Cáp 24KV CX-25mm2: 9m/1pha</v>
      </c>
      <c r="G1598" s="1082" t="str">
        <f>VLOOKUP($B1598,DG!A:D,DG!$D$2,)</f>
        <v>mét</v>
      </c>
      <c r="H1598" s="1873">
        <f>H1596*(9)*3</f>
        <v>0</v>
      </c>
      <c r="I1598" s="1262">
        <f t="shared" si="135"/>
        <v>0</v>
      </c>
      <c r="J1598" s="1084"/>
      <c r="K1598" s="1084"/>
      <c r="L1598" s="1113"/>
      <c r="M1598" s="977">
        <v>320</v>
      </c>
    </row>
    <row r="1599" spans="1:13" s="1086" customFormat="1" ht="25.15" hidden="1" customHeight="1">
      <c r="A1599" s="1156">
        <f t="shared" si="134"/>
        <v>0</v>
      </c>
      <c r="B1599" s="1157" t="s">
        <v>699</v>
      </c>
      <c r="C1599" s="1157"/>
      <c r="D1599" s="1093"/>
      <c r="E1599" s="1082">
        <f>VLOOKUP($B1599,DG!A:D,DG!$B$2,)</f>
        <v>0</v>
      </c>
      <c r="F1599" s="1083" t="str">
        <f>VLOOKUP($B1599,DG!A:D,DG!$C$2,)&amp;": 1m/1pha ñaáu noái  LA"</f>
        <v>Cáp 24KV CX-25mm2: 1m/1pha ñaáu noái  LA</v>
      </c>
      <c r="G1599" s="1082" t="str">
        <f>VLOOKUP($B1599,DG!A:D,DG!$D$2,)</f>
        <v>mét</v>
      </c>
      <c r="H1599" s="1873">
        <f>H1596*3*1*0</f>
        <v>0</v>
      </c>
      <c r="I1599" s="1262">
        <f t="shared" si="135"/>
        <v>0</v>
      </c>
      <c r="J1599" s="1084"/>
      <c r="K1599" s="1084"/>
      <c r="L1599" s="1113"/>
      <c r="M1599" s="977">
        <v>320</v>
      </c>
    </row>
    <row r="1600" spans="1:13" s="1086" customFormat="1" ht="25.15" hidden="1" customHeight="1">
      <c r="A1600" s="1156">
        <f t="shared" ref="A1600" si="136">IF(I1600&gt;0,1,0)</f>
        <v>0</v>
      </c>
      <c r="B1600" s="1157" t="s">
        <v>548</v>
      </c>
      <c r="C1600" s="1157"/>
      <c r="D1600" s="1093"/>
      <c r="E1600" s="1082" t="str">
        <f>VLOOKUP($B1600,DG!A:D,DG!$B$2,)</f>
        <v>03.4001</v>
      </c>
      <c r="F1600" s="1083" t="str">
        <f>VLOOKUP($B1600,DG!A:D,DG!$C$2,)&amp;": 1m/1pha ñaáu noái  LA"</f>
        <v>Đầu cosse ép Cu-Al 25mm2: 1m/1pha ñaáu noái  LA</v>
      </c>
      <c r="G1600" s="1082" t="str">
        <f>VLOOKUP($B1600,DG!A:D,DG!$D$2,)</f>
        <v>cái</v>
      </c>
      <c r="H1600" s="1873">
        <v>6</v>
      </c>
      <c r="I1600" s="1262">
        <f t="shared" ref="I1600" si="137">IF(M1600=$M$23,H1600+J1600-K1600,0)</f>
        <v>0</v>
      </c>
      <c r="J1600" s="1084"/>
      <c r="K1600" s="1084"/>
      <c r="L1600" s="1113"/>
      <c r="M1600" s="977">
        <v>320</v>
      </c>
    </row>
    <row r="1601" spans="1:13" s="1086" customFormat="1" ht="25.15" hidden="1" customHeight="1">
      <c r="A1601" s="1156">
        <f t="shared" si="134"/>
        <v>0</v>
      </c>
      <c r="B1601" s="1157" t="s">
        <v>1117</v>
      </c>
      <c r="C1601" s="1157"/>
      <c r="D1601" s="1093"/>
      <c r="E1601" s="1082">
        <f>VLOOKUP($B1601,DG!A:D,DG!$B$2,)</f>
        <v>0</v>
      </c>
      <c r="F1601" s="1083" t="str">
        <f>VLOOKUP($B1601,DG!A:D,DG!$C$2,)</f>
        <v>Kẹp ép cỡ dây 25mm2</v>
      </c>
      <c r="G1601" s="1082" t="str">
        <f>VLOOKUP($B1601,DG!A:D,DG!$D$2,)</f>
        <v>cái</v>
      </c>
      <c r="H1601" s="1873">
        <f>H1596*3*2*0</f>
        <v>0</v>
      </c>
      <c r="I1601" s="1262">
        <f t="shared" si="135"/>
        <v>0</v>
      </c>
      <c r="J1601" s="1084"/>
      <c r="K1601" s="1084"/>
      <c r="L1601" s="1085"/>
      <c r="M1601" s="977">
        <v>320</v>
      </c>
    </row>
    <row r="1602" spans="1:13" s="1086" customFormat="1" ht="25.15" hidden="1" customHeight="1">
      <c r="A1602" s="1156">
        <f t="shared" si="134"/>
        <v>0</v>
      </c>
      <c r="B1602" s="1157" t="s">
        <v>1846</v>
      </c>
      <c r="C1602" s="1157"/>
      <c r="D1602" s="1093"/>
      <c r="E1602" s="1082">
        <f>VLOOKUP($B1602,DG!A:D,DG!$B$2,)</f>
        <v>0</v>
      </c>
      <c r="F1602" s="1083" t="str">
        <f>VLOOKUP($B1602,DG!A:D,DG!$C$2,)</f>
        <v>Bass LL bắt FCO, LA</v>
      </c>
      <c r="G1602" s="1082" t="str">
        <f>VLOOKUP($B1602,DG!A:D,DG!$D$2,)</f>
        <v>bộ</v>
      </c>
      <c r="H1602" s="1873">
        <f>H1596*3*2*0</f>
        <v>0</v>
      </c>
      <c r="I1602" s="1262">
        <f t="shared" si="135"/>
        <v>0</v>
      </c>
      <c r="J1602" s="1084"/>
      <c r="K1602" s="1084"/>
      <c r="L1602" s="1085"/>
      <c r="M1602" s="977">
        <v>320</v>
      </c>
    </row>
    <row r="1603" spans="1:13" s="1086" customFormat="1" ht="25.15" hidden="1" customHeight="1">
      <c r="A1603" s="1156">
        <f t="shared" si="134"/>
        <v>0</v>
      </c>
      <c r="B1603" s="1157" t="s">
        <v>4494</v>
      </c>
      <c r="C1603" s="1157"/>
      <c r="D1603" s="1093"/>
      <c r="E1603" s="1082" t="str">
        <f>VLOOKUP($B1603,DG!A:D,DG!$B$2,)</f>
        <v>04.3007</v>
      </c>
      <c r="F1603" s="1083" t="str">
        <f>VLOOKUP($B1603,DG!A:D,DG!$C$2,)</f>
        <v>Kẹp quai 2/0 + chụp cách điện</v>
      </c>
      <c r="G1603" s="1082" t="str">
        <f>VLOOKUP($B1603,DG!A:D,DG!$D$2,)</f>
        <v>bộ</v>
      </c>
      <c r="H1603" s="1873">
        <f>H1596*3</f>
        <v>0</v>
      </c>
      <c r="I1603" s="1262">
        <f t="shared" si="135"/>
        <v>0</v>
      </c>
      <c r="J1603" s="1084"/>
      <c r="K1603" s="1084"/>
      <c r="L1603" s="1113"/>
      <c r="M1603" s="977">
        <v>320</v>
      </c>
    </row>
    <row r="1604" spans="1:13" s="1086" customFormat="1" ht="25.15" hidden="1" customHeight="1">
      <c r="A1604" s="1156">
        <f t="shared" si="134"/>
        <v>0</v>
      </c>
      <c r="B1604" s="1157" t="s">
        <v>1482</v>
      </c>
      <c r="C1604" s="1157"/>
      <c r="D1604" s="1093"/>
      <c r="E1604" s="1082" t="str">
        <f>VLOOKUP($B1604,DG!A:D,DG!$B$2,)</f>
        <v>04.3007</v>
      </c>
      <c r="F1604" s="1083" t="str">
        <f>VLOOKUP($B1604,DG!A:D,DG!$C$2,)</f>
        <v>Kẹp hotline 2/0</v>
      </c>
      <c r="G1604" s="1082" t="str">
        <f>VLOOKUP($B1604,DG!A:D,DG!$D$2,)</f>
        <v>cái</v>
      </c>
      <c r="H1604" s="1873">
        <f>H1603</f>
        <v>0</v>
      </c>
      <c r="I1604" s="1262">
        <f t="shared" si="135"/>
        <v>0</v>
      </c>
      <c r="J1604" s="1084"/>
      <c r="K1604" s="1084"/>
      <c r="L1604" s="1113"/>
      <c r="M1604" s="977">
        <v>320</v>
      </c>
    </row>
    <row r="1605" spans="1:13" s="1086" customFormat="1" ht="25.15" hidden="1" customHeight="1">
      <c r="A1605" s="1156">
        <f t="shared" si="134"/>
        <v>0</v>
      </c>
      <c r="B1605" s="1157" t="s">
        <v>698</v>
      </c>
      <c r="C1605" s="1157"/>
      <c r="D1605" s="1113"/>
      <c r="E1605" s="1082">
        <f>VLOOKUP($B1605,DG!A:D,DG!$B$2,)</f>
        <v>0</v>
      </c>
      <c r="F1605" s="1083" t="str">
        <f>VLOOKUP($B1605,DG!A:D,DG!$C$2,)</f>
        <v xml:space="preserve">Sứ đứng 24KV </v>
      </c>
      <c r="G1605" s="1082" t="str">
        <f>VLOOKUP($B1605,DG!A:D,DG!$D$2,)</f>
        <v>cái</v>
      </c>
      <c r="H1605" s="1873">
        <v>3</v>
      </c>
      <c r="I1605" s="1262">
        <f t="shared" si="135"/>
        <v>0</v>
      </c>
      <c r="J1605" s="1084"/>
      <c r="K1605" s="1084"/>
      <c r="L1605" s="1113"/>
      <c r="M1605" s="977">
        <v>320</v>
      </c>
    </row>
    <row r="1606" spans="1:13" s="1086" customFormat="1" ht="25.15" hidden="1" customHeight="1">
      <c r="A1606" s="1156">
        <f t="shared" ref="A1606" si="138">IF(I1606&gt;0,1,0)</f>
        <v>0</v>
      </c>
      <c r="B1606" s="1157" t="s">
        <v>1270</v>
      </c>
      <c r="C1606" s="1157"/>
      <c r="D1606" s="1093"/>
      <c r="E1606" s="1082">
        <f>VLOOKUP($B1606,DG!A:D,DG!$B$2,)</f>
        <v>0</v>
      </c>
      <c r="F1606" s="1083" t="str">
        <f>VLOOKUP($B1606,DG!A:D,DG!$C$2,)</f>
        <v>Chân sứ đứng D20</v>
      </c>
      <c r="G1606" s="1082" t="str">
        <f>VLOOKUP($B1606,DG!A:D,DG!$D$2,)</f>
        <v>cái</v>
      </c>
      <c r="H1606" s="1873">
        <f>H1604</f>
        <v>0</v>
      </c>
      <c r="I1606" s="1262">
        <f t="shared" ref="I1606" si="139">IF(M1606=$M$23,H1606+J1606-K1606,0)</f>
        <v>0</v>
      </c>
      <c r="J1606" s="1084"/>
      <c r="K1606" s="1084"/>
      <c r="L1606" s="1113"/>
      <c r="M1606" s="977">
        <v>320</v>
      </c>
    </row>
    <row r="1607" spans="1:13" s="1086" customFormat="1" ht="25.15" hidden="1" customHeight="1">
      <c r="A1607" s="1156">
        <f t="shared" si="134"/>
        <v>0</v>
      </c>
      <c r="B1607" s="1157" t="s">
        <v>4754</v>
      </c>
      <c r="C1607" s="1157"/>
      <c r="D1607" s="1093"/>
      <c r="E1607" s="1082">
        <f>VLOOKUP($B1607,DG!A:D,DG!$B$2,)</f>
        <v>0</v>
      </c>
      <c r="F1607" s="1083" t="str">
        <f>VLOOKUP($B1607,DG!A:D,DG!$C$2,)</f>
        <v>Dây buộc đầu sứ TTF cỡ dây 50mm2</v>
      </c>
      <c r="G1607" s="1082" t="str">
        <f>VLOOKUP($B1607,DG!A:D,DG!$D$2,)</f>
        <v>cái</v>
      </c>
      <c r="H1607" s="1873">
        <f>H1605</f>
        <v>3</v>
      </c>
      <c r="I1607" s="1262">
        <f t="shared" si="135"/>
        <v>0</v>
      </c>
      <c r="J1607" s="1084"/>
      <c r="K1607" s="1084"/>
      <c r="L1607" s="1113"/>
      <c r="M1607" s="977">
        <v>320</v>
      </c>
    </row>
    <row r="1608" spans="1:13" s="1086" customFormat="1" ht="25.15" hidden="1" customHeight="1">
      <c r="A1608" s="1156">
        <f t="shared" si="134"/>
        <v>0</v>
      </c>
      <c r="B1608" s="1363" t="s">
        <v>381</v>
      </c>
      <c r="C1608" s="1363"/>
      <c r="D1608" s="1093"/>
      <c r="E1608" s="1082">
        <f>VLOOKUP($B1608,DG!A:D,DG!$B$2,)</f>
        <v>0</v>
      </c>
      <c r="F1608" s="1083" t="str">
        <f>VLOOKUP($B1608,DG!A:D,DG!$C$2,)</f>
        <v>Chụp đầu cực FCO (bộ 2 cái)</v>
      </c>
      <c r="G1608" s="1082" t="str">
        <f>VLOOKUP($B1608,DG!A:D,DG!$D$2,)</f>
        <v>bộ</v>
      </c>
      <c r="H1608" s="1911">
        <v>3</v>
      </c>
      <c r="I1608" s="1262">
        <f t="shared" si="135"/>
        <v>0</v>
      </c>
      <c r="J1608" s="1084"/>
      <c r="K1608" s="1084"/>
      <c r="L1608" s="1113"/>
      <c r="M1608" s="977">
        <v>320</v>
      </c>
    </row>
    <row r="1609" spans="1:13" s="1086" customFormat="1" ht="25.15" hidden="1" customHeight="1">
      <c r="A1609" s="1156">
        <f t="shared" si="134"/>
        <v>0</v>
      </c>
      <c r="B1609" s="1363" t="s">
        <v>379</v>
      </c>
      <c r="C1609" s="1363"/>
      <c r="D1609" s="1093"/>
      <c r="E1609" s="1082">
        <f>VLOOKUP($B1609,DG!A:D,DG!$B$2,)</f>
        <v>0</v>
      </c>
      <c r="F1609" s="1083" t="str">
        <f>VLOOKUP($B1609,DG!A:D,DG!$C$2,)</f>
        <v>Chụp đầu cực LA</v>
      </c>
      <c r="G1609" s="1082" t="str">
        <f>VLOOKUP($B1609,DG!A:D,DG!$D$2,)</f>
        <v>cái</v>
      </c>
      <c r="H1609" s="1911">
        <f>H1596*3</f>
        <v>0</v>
      </c>
      <c r="I1609" s="1262">
        <f t="shared" si="135"/>
        <v>0</v>
      </c>
      <c r="J1609" s="1084"/>
      <c r="K1609" s="1084"/>
      <c r="L1609" s="1113"/>
      <c r="M1609" s="977">
        <v>320</v>
      </c>
    </row>
    <row r="1610" spans="1:13" s="1086" customFormat="1" ht="25.15" hidden="1" customHeight="1">
      <c r="A1610" s="1156">
        <f t="shared" si="134"/>
        <v>0</v>
      </c>
      <c r="B1610" s="1363" t="s">
        <v>380</v>
      </c>
      <c r="C1610" s="1363"/>
      <c r="D1610" s="1093"/>
      <c r="E1610" s="1082">
        <f>VLOOKUP($B1610,DG!A:D,DG!$B$2,)</f>
        <v>0</v>
      </c>
      <c r="F1610" s="1083" t="str">
        <f>VLOOKUP($B1610,DG!A:D,DG!$C$2,)</f>
        <v>Chụp đầu MBA</v>
      </c>
      <c r="G1610" s="1082" t="str">
        <f>VLOOKUP($B1610,DG!A:D,DG!$D$2,)</f>
        <v>cái</v>
      </c>
      <c r="H1610" s="1911">
        <f>H1609</f>
        <v>0</v>
      </c>
      <c r="I1610" s="1262">
        <f t="shared" si="135"/>
        <v>0</v>
      </c>
      <c r="J1610" s="1084"/>
      <c r="K1610" s="1084"/>
      <c r="L1610" s="1113"/>
      <c r="M1610" s="977">
        <v>320</v>
      </c>
    </row>
    <row r="1611" spans="1:13" s="1086" customFormat="1" ht="25.15" hidden="1" customHeight="1">
      <c r="A1611" s="1156">
        <f t="shared" si="134"/>
        <v>0</v>
      </c>
      <c r="B1611" s="1157" t="s">
        <v>1570</v>
      </c>
      <c r="C1611" s="1157"/>
      <c r="D1611" s="1093"/>
      <c r="E1611" s="1082" t="str">
        <f>VLOOKUP($B1611,DG!A:D,DG!$B$2,)</f>
        <v>06.1115</v>
      </c>
      <c r="F1611" s="1083" t="str">
        <f>VLOOKUP($B1611,DG!A:D,DG!$C$2,)</f>
        <v>Lắp sứ đứng 24KV</v>
      </c>
      <c r="G1611" s="1082" t="str">
        <f>VLOOKUP($B1611,DG!A:D,DG!$D$2,)</f>
        <v>bộ</v>
      </c>
      <c r="H1611" s="1873">
        <f>H1605</f>
        <v>3</v>
      </c>
      <c r="I1611" s="1262">
        <f t="shared" si="135"/>
        <v>0</v>
      </c>
      <c r="J1611" s="1084"/>
      <c r="K1611" s="1084"/>
      <c r="L1611" s="1113"/>
      <c r="M1611" s="977">
        <v>320</v>
      </c>
    </row>
    <row r="1612" spans="1:13" s="1086" customFormat="1" ht="25.15" hidden="1" customHeight="1">
      <c r="A1612" s="1156">
        <f t="shared" si="134"/>
        <v>0</v>
      </c>
      <c r="B1612" s="1157" t="s">
        <v>235</v>
      </c>
      <c r="C1612" s="1157"/>
      <c r="D1612" s="1093"/>
      <c r="E1612" s="1082" t="str">
        <f>VLOOKUP($B1612,DG!A:D,DG!$B$2,)</f>
        <v>06.1115</v>
      </c>
      <c r="F1612" s="1083" t="str">
        <f>VLOOKUP($B1612,DG!A:D,DG!$C$2,)</f>
        <v>Tháo sứ đứng 24KV</v>
      </c>
      <c r="G1612" s="1082" t="str">
        <f>VLOOKUP($B1612,DG!A:D,DG!$D$2,)</f>
        <v>bộ</v>
      </c>
      <c r="H1612" s="1873"/>
      <c r="I1612" s="1262">
        <f t="shared" si="135"/>
        <v>0</v>
      </c>
      <c r="J1612" s="1084"/>
      <c r="K1612" s="1084"/>
      <c r="L1612" s="1113"/>
      <c r="M1612" s="977">
        <v>320</v>
      </c>
    </row>
    <row r="1613" spans="1:13" s="1086" customFormat="1" ht="25.15" hidden="1" customHeight="1">
      <c r="A1613" s="1156">
        <f t="shared" si="134"/>
        <v>0</v>
      </c>
      <c r="B1613" s="1157" t="s">
        <v>1512</v>
      </c>
      <c r="C1613" s="1157"/>
      <c r="D1613" s="1093"/>
      <c r="E1613" s="1082" t="str">
        <f>VLOOKUP($B1613,DG!A:D,DG!$B$2,)</f>
        <v>06.2201</v>
      </c>
      <c r="F1613" s="1083" t="str">
        <f>VLOOKUP($B1613,DG!A:D,DG!$C$2,)</f>
        <v>Lắp chuỗi sứ néo Polymer</v>
      </c>
      <c r="G1613" s="1082" t="str">
        <f>VLOOKUP($B1613,DG!A:D,DG!$D$2,)</f>
        <v>chuỗi</v>
      </c>
      <c r="H1613" s="1873">
        <f>H1608</f>
        <v>3</v>
      </c>
      <c r="I1613" s="1262">
        <f t="shared" si="135"/>
        <v>0</v>
      </c>
      <c r="J1613" s="1084"/>
      <c r="K1613" s="1084"/>
      <c r="L1613" s="1113"/>
      <c r="M1613" s="977">
        <v>320</v>
      </c>
    </row>
    <row r="1614" spans="1:13" s="1086" customFormat="1" ht="25.15" hidden="1" customHeight="1">
      <c r="A1614" s="1156">
        <f t="shared" si="134"/>
        <v>0</v>
      </c>
      <c r="B1614" s="1157" t="s">
        <v>1530</v>
      </c>
      <c r="C1614" s="1157"/>
      <c r="D1614" s="1093"/>
      <c r="E1614" s="1082" t="str">
        <f>VLOOKUP($B1614,DG!A:D,DG!$B$2,)</f>
        <v>04.4201</v>
      </c>
      <c r="F1614" s="1083" t="str">
        <f>VLOOKUP($B1614,DG!A:D,DG!$C$2,)</f>
        <v>Lắp cáp đồng xuống thiết bị D ≤ 95mm2</v>
      </c>
      <c r="G1614" s="1082" t="str">
        <f>VLOOKUP($B1614,DG!A:D,DG!$D$2,)</f>
        <v>m</v>
      </c>
      <c r="H1614" s="1873">
        <f>H1598+H1599</f>
        <v>0</v>
      </c>
      <c r="I1614" s="1262">
        <f t="shared" si="135"/>
        <v>0</v>
      </c>
      <c r="J1614" s="1084"/>
      <c r="K1614" s="1084"/>
      <c r="L1614" s="1113"/>
      <c r="M1614" s="977">
        <v>320</v>
      </c>
    </row>
    <row r="1615" spans="1:13" s="1086" customFormat="1" ht="25.15" hidden="1" customHeight="1">
      <c r="A1615" s="1156">
        <f t="shared" si="134"/>
        <v>0</v>
      </c>
      <c r="B1615" s="1327"/>
      <c r="C1615" s="1327"/>
      <c r="D1615" s="1087">
        <f>IF(H1615&gt;0,D1596+1,D1596)</f>
        <v>2</v>
      </c>
      <c r="E1615" s="1088"/>
      <c r="F1615" s="1097" t="s">
        <v>3729</v>
      </c>
      <c r="G1615" s="1087" t="s">
        <v>2394</v>
      </c>
      <c r="H1615" s="1889"/>
      <c r="I1615" s="1262">
        <f t="shared" si="135"/>
        <v>0</v>
      </c>
      <c r="J1615" s="1084"/>
      <c r="K1615" s="1084"/>
      <c r="L1615" s="1085"/>
      <c r="M1615" s="977">
        <v>320</v>
      </c>
    </row>
    <row r="1616" spans="1:13" s="1086" customFormat="1" ht="25.15" hidden="1" customHeight="1">
      <c r="A1616" s="1156">
        <f>IF(A1615&gt;0,1,0)</f>
        <v>0</v>
      </c>
      <c r="B1616" s="1327"/>
      <c r="C1616" s="1327"/>
      <c r="D1616" s="1081"/>
      <c r="E1616" s="1091"/>
      <c r="F1616" s="1371" t="s">
        <v>2287</v>
      </c>
      <c r="G1616" s="1081"/>
      <c r="H1616" s="1890"/>
      <c r="I1616" s="1262">
        <f t="shared" si="135"/>
        <v>0</v>
      </c>
      <c r="J1616" s="1084"/>
      <c r="K1616" s="1084"/>
      <c r="L1616" s="1085"/>
      <c r="M1616" s="977">
        <v>320</v>
      </c>
    </row>
    <row r="1617" spans="1:13" s="1086" customFormat="1" ht="25.15" hidden="1" customHeight="1">
      <c r="A1617" s="1156">
        <f t="shared" si="134"/>
        <v>0</v>
      </c>
      <c r="B1617" s="1327" t="s">
        <v>1494</v>
      </c>
      <c r="C1617" s="1327"/>
      <c r="D1617" s="1093"/>
      <c r="E1617" s="1082" t="str">
        <f>VLOOKUP($B1617,DG!A:D,DG!$B$2,)</f>
        <v>04.8003</v>
      </c>
      <c r="F1617" s="1083" t="str">
        <f>VLOOKUP($B1617,DG!A:D,DG!$C$2,)</f>
        <v xml:space="preserve">Ống PVC D90x3,8mm </v>
      </c>
      <c r="G1617" s="1082" t="str">
        <f>VLOOKUP($B1617,DG!A:D,DG!$D$2,)</f>
        <v>m</v>
      </c>
      <c r="H1617" s="1873">
        <v>2</v>
      </c>
      <c r="I1617" s="1262">
        <f t="shared" si="135"/>
        <v>0</v>
      </c>
      <c r="J1617" s="1084"/>
      <c r="K1617" s="1084"/>
      <c r="L1617" s="1085"/>
      <c r="M1617" s="977">
        <v>320</v>
      </c>
    </row>
    <row r="1618" spans="1:13" s="1086" customFormat="1" ht="25.15" hidden="1" customHeight="1">
      <c r="A1618" s="1156">
        <f t="shared" si="134"/>
        <v>0</v>
      </c>
      <c r="B1618" s="1327" t="s">
        <v>86</v>
      </c>
      <c r="C1618" s="1327"/>
      <c r="D1618" s="1093"/>
      <c r="E1618" s="1082">
        <f>VLOOKUP($B1618,DG!A:D,DG!$B$2,)</f>
        <v>0</v>
      </c>
      <c r="F1618" s="1083" t="str">
        <f>VLOOKUP($B1618,DG!A:D,DG!$C$2,)</f>
        <v>Co  90 độ PVC 90</v>
      </c>
      <c r="G1618" s="1082" t="str">
        <f>VLOOKUP($B1618,DG!A:D,DG!$D$2,)</f>
        <v>cái</v>
      </c>
      <c r="H1618" s="1873">
        <v>2</v>
      </c>
      <c r="I1618" s="1262">
        <f t="shared" si="135"/>
        <v>0</v>
      </c>
      <c r="J1618" s="1084"/>
      <c r="K1618" s="1084"/>
      <c r="L1618" s="1085"/>
      <c r="M1618" s="977">
        <v>320</v>
      </c>
    </row>
    <row r="1619" spans="1:13" s="1086" customFormat="1" ht="25.15" hidden="1" customHeight="1">
      <c r="A1619" s="1156">
        <f t="shared" si="134"/>
        <v>0</v>
      </c>
      <c r="B1619" s="1327" t="s">
        <v>933</v>
      </c>
      <c r="C1619" s="1327"/>
      <c r="D1619" s="1093"/>
      <c r="E1619" s="1082">
        <f>VLOOKUP($B1619,DG!A:D,DG!$B$2,)</f>
        <v>0</v>
      </c>
      <c r="F1619" s="1083" t="str">
        <f>VLOOKUP($B1619,DG!A:D,DG!$C$2,)</f>
        <v>Khâu ven răng trong D90</v>
      </c>
      <c r="G1619" s="1082" t="str">
        <f>VLOOKUP($B1619,DG!A:D,DG!$D$2,)</f>
        <v>cái</v>
      </c>
      <c r="H1619" s="1873">
        <v>2</v>
      </c>
      <c r="I1619" s="1262">
        <f t="shared" si="135"/>
        <v>0</v>
      </c>
      <c r="J1619" s="1084"/>
      <c r="K1619" s="1084"/>
      <c r="L1619" s="1085"/>
      <c r="M1619" s="977">
        <v>320</v>
      </c>
    </row>
    <row r="1620" spans="1:13" s="1086" customFormat="1" ht="25.15" hidden="1" customHeight="1">
      <c r="A1620" s="1156">
        <f t="shared" si="134"/>
        <v>0</v>
      </c>
      <c r="B1620" s="1327" t="s">
        <v>932</v>
      </c>
      <c r="C1620" s="1327"/>
      <c r="D1620" s="1093"/>
      <c r="E1620" s="1082">
        <f>VLOOKUP($B1620,DG!A:D,DG!$B$2,)</f>
        <v>0</v>
      </c>
      <c r="F1620" s="1083" t="str">
        <f>VLOOKUP($B1620,DG!A:D,DG!$C$2,)</f>
        <v>Khâu ven răng ngoài D90</v>
      </c>
      <c r="G1620" s="1082" t="str">
        <f>VLOOKUP($B1620,DG!A:D,DG!$D$2,)</f>
        <v>cái</v>
      </c>
      <c r="H1620" s="1873">
        <v>2</v>
      </c>
      <c r="I1620" s="1262">
        <f t="shared" si="135"/>
        <v>0</v>
      </c>
      <c r="J1620" s="1084"/>
      <c r="K1620" s="1084"/>
      <c r="L1620" s="1085"/>
      <c r="M1620" s="977">
        <v>320</v>
      </c>
    </row>
    <row r="1621" spans="1:13" s="1086" customFormat="1" ht="25.15" hidden="1" customHeight="1">
      <c r="A1621" s="1156">
        <f t="shared" si="134"/>
        <v>0</v>
      </c>
      <c r="B1621" s="1157"/>
      <c r="C1621" s="1157"/>
      <c r="D1621" s="1087">
        <f>IF(H1621&gt;0,D1615+1,D1615)</f>
        <v>3</v>
      </c>
      <c r="E1621" s="1088"/>
      <c r="F1621" s="1097" t="s">
        <v>3763</v>
      </c>
      <c r="G1621" s="1087" t="s">
        <v>2394</v>
      </c>
      <c r="H1621" s="1910">
        <f>H1556</f>
        <v>1</v>
      </c>
      <c r="I1621" s="1262">
        <f t="shared" si="135"/>
        <v>0</v>
      </c>
      <c r="J1621" s="1084"/>
      <c r="K1621" s="1084"/>
      <c r="L1621" s="1113"/>
      <c r="M1621" s="977">
        <v>320</v>
      </c>
    </row>
    <row r="1622" spans="1:13" s="1086" customFormat="1" ht="25.15" hidden="1" customHeight="1">
      <c r="A1622" s="1156">
        <f>IF(A1621&gt;0,1,0)</f>
        <v>0</v>
      </c>
      <c r="B1622" s="1157"/>
      <c r="C1622" s="1157"/>
      <c r="D1622" s="1081"/>
      <c r="E1622" s="1091"/>
      <c r="F1622" s="1371" t="s">
        <v>2287</v>
      </c>
      <c r="G1622" s="1081"/>
      <c r="H1622" s="1873"/>
      <c r="I1622" s="1262">
        <f t="shared" si="135"/>
        <v>0</v>
      </c>
      <c r="J1622" s="1084"/>
      <c r="K1622" s="1084"/>
      <c r="L1622" s="1113"/>
      <c r="M1622" s="977">
        <v>320</v>
      </c>
    </row>
    <row r="1623" spans="1:13" s="1086" customFormat="1" ht="25.15" hidden="1" customHeight="1">
      <c r="A1623" s="1156">
        <f t="shared" si="134"/>
        <v>0</v>
      </c>
      <c r="B1623" s="1359" t="s">
        <v>1576</v>
      </c>
      <c r="C1623" s="1359"/>
      <c r="D1623" s="1093"/>
      <c r="E1623" s="1082">
        <f>VLOOKUP($B1623,DG!A:D,DG!$B$2,)</f>
        <v>0</v>
      </c>
      <c r="F1623" s="1083" t="str">
        <f>VLOOKUP($B1623,DG!A:D,DG!$C$2,)</f>
        <v>Cáp đồng bọc CV240</v>
      </c>
      <c r="G1623" s="1082" t="str">
        <f>VLOOKUP($B1623,DG!A:D,DG!$D$2,)</f>
        <v>mét</v>
      </c>
      <c r="H1623" s="1873">
        <f>8*3*H1621*L12</f>
        <v>0</v>
      </c>
      <c r="I1623" s="1262">
        <f t="shared" si="135"/>
        <v>0</v>
      </c>
      <c r="J1623" s="1084"/>
      <c r="K1623" s="1084"/>
      <c r="L1623" s="1113"/>
      <c r="M1623" s="977">
        <v>320</v>
      </c>
    </row>
    <row r="1624" spans="1:13" s="1086" customFormat="1" ht="25.15" hidden="1" customHeight="1">
      <c r="A1624" s="1156">
        <f t="shared" ref="A1624:A1688" si="140">IF(I1624&gt;0,1,0)</f>
        <v>0</v>
      </c>
      <c r="B1624" s="1359" t="s">
        <v>1015</v>
      </c>
      <c r="C1624" s="1359"/>
      <c r="D1624" s="1093"/>
      <c r="E1624" s="1082">
        <f>VLOOKUP($B1624,DG!A:D,DG!$B$2,)</f>
        <v>0</v>
      </c>
      <c r="F1624" s="1083" t="str">
        <f>VLOOKUP($B1624,DG!A:D,DG!$C$2,)</f>
        <v>Cáp đồng bọc CV185</v>
      </c>
      <c r="G1624" s="1082" t="str">
        <f>VLOOKUP($B1624,DG!A:D,DG!$D$2,)</f>
        <v>mét</v>
      </c>
      <c r="H1624" s="1873">
        <f>8*H1621</f>
        <v>8</v>
      </c>
      <c r="I1624" s="1262">
        <f t="shared" si="135"/>
        <v>0</v>
      </c>
      <c r="J1624" s="1084"/>
      <c r="K1624" s="1084"/>
      <c r="L1624" s="1113"/>
      <c r="M1624" s="977">
        <v>320</v>
      </c>
    </row>
    <row r="1625" spans="1:13" s="1086" customFormat="1" ht="25.15" hidden="1" customHeight="1">
      <c r="A1625" s="1156">
        <f t="shared" si="140"/>
        <v>0</v>
      </c>
      <c r="B1625" s="1327" t="s">
        <v>2164</v>
      </c>
      <c r="C1625" s="1327"/>
      <c r="D1625" s="1093"/>
      <c r="E1625" s="1082" t="str">
        <f>VLOOKUP($B1625,DG!A:D,DG!$B$2,)</f>
        <v>03.4008</v>
      </c>
      <c r="F1625" s="1083" t="str">
        <f>VLOOKUP($B1625,DG!A:D,DG!$C$2,)&amp;": "</f>
        <v xml:space="preserve">Đầu cosse ép Cu 240mm2: </v>
      </c>
      <c r="G1625" s="1082" t="str">
        <f>VLOOKUP($B1625,DG!A:D,DG!$D$2,)</f>
        <v>cái</v>
      </c>
      <c r="H1625" s="1873">
        <f>H1621*6</f>
        <v>6</v>
      </c>
      <c r="I1625" s="1262">
        <f t="shared" si="135"/>
        <v>0</v>
      </c>
      <c r="J1625" s="1084"/>
      <c r="K1625" s="1084"/>
      <c r="L1625" s="1113"/>
      <c r="M1625" s="977">
        <v>320</v>
      </c>
    </row>
    <row r="1626" spans="1:13" s="1086" customFormat="1" ht="25.15" hidden="1" customHeight="1">
      <c r="A1626" s="1156">
        <f t="shared" si="140"/>
        <v>0</v>
      </c>
      <c r="B1626" s="1327" t="s">
        <v>151</v>
      </c>
      <c r="C1626" s="1327"/>
      <c r="D1626" s="1093"/>
      <c r="E1626" s="1082" t="str">
        <f>VLOOKUP($B1626,DG!A:D,DG!$B$2,)</f>
        <v>03.4007</v>
      </c>
      <c r="F1626" s="1083" t="str">
        <f>VLOOKUP($B1626,DG!A:D,DG!$C$2,)&amp;": "</f>
        <v xml:space="preserve">Đầu cosse ép Cu 185mm2: </v>
      </c>
      <c r="G1626" s="1082" t="str">
        <f>VLOOKUP($B1626,DG!A:D,DG!$D$2,)</f>
        <v>cái</v>
      </c>
      <c r="H1626" s="1873">
        <f>H1621*2</f>
        <v>2</v>
      </c>
      <c r="I1626" s="1262">
        <f t="shared" si="135"/>
        <v>0</v>
      </c>
      <c r="J1626" s="1084"/>
      <c r="K1626" s="1084"/>
      <c r="L1626" s="1113"/>
      <c r="M1626" s="977">
        <v>320</v>
      </c>
    </row>
    <row r="1627" spans="1:13" s="1086" customFormat="1" ht="25.15" hidden="1" customHeight="1">
      <c r="A1627" s="1156">
        <f t="shared" si="140"/>
        <v>0</v>
      </c>
      <c r="B1627" s="1327" t="s">
        <v>90</v>
      </c>
      <c r="C1627" s="1327"/>
      <c r="D1627" s="1093"/>
      <c r="E1627" s="1082">
        <f>VLOOKUP($B1627,DG!A:D,DG!$B$2,)</f>
        <v>0</v>
      </c>
      <c r="F1627" s="1083" t="str">
        <f>VLOOKUP($B1627,DG!A:D,DG!$C$2,)&amp;": "</f>
        <v xml:space="preserve">Chụp đầu cosse  240mm2: </v>
      </c>
      <c r="G1627" s="1082" t="str">
        <f>VLOOKUP($B1627,DG!A:D,DG!$D$2,)</f>
        <v>cái</v>
      </c>
      <c r="H1627" s="1873">
        <f>H1625</f>
        <v>6</v>
      </c>
      <c r="I1627" s="1262">
        <f t="shared" si="135"/>
        <v>0</v>
      </c>
      <c r="J1627" s="1084"/>
      <c r="K1627" s="1084"/>
      <c r="L1627" s="1113"/>
      <c r="M1627" s="977">
        <v>320</v>
      </c>
    </row>
    <row r="1628" spans="1:13" s="1086" customFormat="1" ht="25.15" hidden="1" customHeight="1">
      <c r="A1628" s="1156">
        <f t="shared" si="140"/>
        <v>0</v>
      </c>
      <c r="B1628" s="1327" t="s">
        <v>150</v>
      </c>
      <c r="C1628" s="1327"/>
      <c r="D1628" s="1093"/>
      <c r="E1628" s="1082">
        <f>VLOOKUP($B1628,DG!A:D,DG!$B$2,)</f>
        <v>0</v>
      </c>
      <c r="F1628" s="1083" t="str">
        <f>VLOOKUP($B1628,DG!A:D,DG!$C$2,)&amp;": "</f>
        <v xml:space="preserve">Chụp đầu cosse  185mm2: </v>
      </c>
      <c r="G1628" s="1082" t="str">
        <f>VLOOKUP($B1628,DG!A:D,DG!$D$2,)</f>
        <v>cái</v>
      </c>
      <c r="H1628" s="1873">
        <f>H1626</f>
        <v>2</v>
      </c>
      <c r="I1628" s="1262">
        <f t="shared" si="135"/>
        <v>0</v>
      </c>
      <c r="J1628" s="1084"/>
      <c r="K1628" s="1084"/>
      <c r="L1628" s="1113"/>
      <c r="M1628" s="977">
        <v>320</v>
      </c>
    </row>
    <row r="1629" spans="1:13" s="1086" customFormat="1" ht="25.15" hidden="1" customHeight="1">
      <c r="A1629" s="1156">
        <f t="shared" si="140"/>
        <v>0</v>
      </c>
      <c r="B1629" s="1327" t="s">
        <v>1044</v>
      </c>
      <c r="C1629" s="1327"/>
      <c r="D1629" s="1093"/>
      <c r="E1629" s="1082">
        <f>VLOOKUP($B1629,DG!A:D,DG!$B$2,)</f>
        <v>0</v>
      </c>
      <c r="F1629" s="1083" t="str">
        <f>VLOOKUP($B1629,DG!A:D,DG!$C$2,)</f>
        <v xml:space="preserve">Ống PVC D114x4,9mm </v>
      </c>
      <c r="G1629" s="1082" t="str">
        <f>VLOOKUP($B1629,DG!A:D,DG!$D$2,)</f>
        <v>m</v>
      </c>
      <c r="H1629" s="1873">
        <f>IF(H1621&gt;2,0,6*H1621*H1621)</f>
        <v>6</v>
      </c>
      <c r="I1629" s="1262">
        <f t="shared" si="135"/>
        <v>0</v>
      </c>
      <c r="J1629" s="1084"/>
      <c r="K1629" s="1084"/>
      <c r="L1629" s="1113"/>
      <c r="M1629" s="977">
        <v>320</v>
      </c>
    </row>
    <row r="1630" spans="1:13" s="1086" customFormat="1" ht="25.15" hidden="1" customHeight="1">
      <c r="A1630" s="1156">
        <f t="shared" si="140"/>
        <v>0</v>
      </c>
      <c r="B1630" s="1157" t="s">
        <v>733</v>
      </c>
      <c r="C1630" s="1157"/>
      <c r="D1630" s="1093"/>
      <c r="E1630" s="1082" t="str">
        <f>VLOOKUP($B1630,DG!A:D,DG!$B$2,)</f>
        <v>06.3231</v>
      </c>
      <c r="F1630" s="1083" t="str">
        <f>VLOOKUP($B1630,DG!A:D,DG!$C$2,)&amp;": 01 bộ CD-250"</f>
        <v>Cổ dê kẹp ống PVC Ø 114: 01 bộ CD-250</v>
      </c>
      <c r="G1630" s="1082" t="str">
        <f>VLOOKUP($B1630,DG!A:D,DG!$D$2,)</f>
        <v>bộ</v>
      </c>
      <c r="H1630" s="1873">
        <v>1</v>
      </c>
      <c r="I1630" s="1262">
        <f t="shared" si="135"/>
        <v>0</v>
      </c>
      <c r="J1630" s="1084"/>
      <c r="K1630" s="1084"/>
      <c r="L1630" s="1113"/>
      <c r="M1630" s="977">
        <v>320</v>
      </c>
    </row>
    <row r="1631" spans="1:13" s="1086" customFormat="1" ht="25.15" hidden="1" customHeight="1">
      <c r="A1631" s="1156">
        <f t="shared" si="140"/>
        <v>0</v>
      </c>
      <c r="B1631" s="1157" t="s">
        <v>733</v>
      </c>
      <c r="C1631" s="1157"/>
      <c r="D1631" s="1093"/>
      <c r="E1631" s="1082" t="str">
        <f>VLOOKUP($B1631,DG!A:D,DG!$B$2,)</f>
        <v>06.3231</v>
      </c>
      <c r="F1631" s="1083" t="str">
        <f>VLOOKUP($B1631,DG!A:D,DG!$C$2,)&amp;": 01 bộ CD-280"</f>
        <v>Cổ dê kẹp ống PVC Ø 114: 01 bộ CD-280</v>
      </c>
      <c r="G1631" s="1082" t="str">
        <f>VLOOKUP($B1631,DG!A:D,DG!$D$2,)</f>
        <v>bộ</v>
      </c>
      <c r="H1631" s="1873">
        <v>1</v>
      </c>
      <c r="I1631" s="1262">
        <f t="shared" si="135"/>
        <v>0</v>
      </c>
      <c r="J1631" s="1084"/>
      <c r="K1631" s="1084"/>
      <c r="L1631" s="1113"/>
      <c r="M1631" s="977">
        <v>320</v>
      </c>
    </row>
    <row r="1632" spans="1:13" s="1086" customFormat="1" ht="25.15" hidden="1" customHeight="1">
      <c r="A1632" s="1156">
        <f t="shared" si="140"/>
        <v>0</v>
      </c>
      <c r="B1632" s="1157" t="s">
        <v>733</v>
      </c>
      <c r="C1632" s="1157"/>
      <c r="D1632" s="1093"/>
      <c r="E1632" s="1082" t="str">
        <f>VLOOKUP($B1632,DG!A:D,DG!$B$2,)</f>
        <v>06.3231</v>
      </c>
      <c r="F1632" s="1083" t="str">
        <f>VLOOKUP($B1632,DG!A:D,DG!$C$2,)&amp;": CD-320"</f>
        <v>Cổ dê kẹp ống PVC Ø 114: CD-320</v>
      </c>
      <c r="G1632" s="1082" t="str">
        <f>VLOOKUP($B1632,DG!A:D,DG!$D$2,)</f>
        <v>bộ</v>
      </c>
      <c r="H1632" s="1873">
        <f>H1621*0</f>
        <v>0</v>
      </c>
      <c r="I1632" s="1262">
        <f t="shared" si="135"/>
        <v>0</v>
      </c>
      <c r="J1632" s="1084"/>
      <c r="K1632" s="1084"/>
      <c r="L1632" s="1113"/>
      <c r="M1632" s="977">
        <v>320</v>
      </c>
    </row>
    <row r="1633" spans="1:13" s="1086" customFormat="1" ht="25.15" hidden="1" customHeight="1">
      <c r="A1633" s="1156">
        <f t="shared" si="140"/>
        <v>0</v>
      </c>
      <c r="B1633" s="1157" t="s">
        <v>1133</v>
      </c>
      <c r="C1633" s="1157"/>
      <c r="D1633" s="1093"/>
      <c r="E1633" s="1082" t="str">
        <f>VLOOKUP($B1633,DG!A:D,DG!$B$2,)</f>
        <v>06.2110</v>
      </c>
      <c r="F1633" s="1083" t="str">
        <f>VLOOKUP($B1633,DG!A:D,DG!$C$2,)</f>
        <v>Lắp cổ dề</v>
      </c>
      <c r="G1633" s="1082" t="str">
        <f>VLOOKUP($B1633,DG!A:D,DG!$D$2,)</f>
        <v>bộ</v>
      </c>
      <c r="H1633" s="1873">
        <v>2</v>
      </c>
      <c r="I1633" s="1262">
        <f t="shared" si="135"/>
        <v>0</v>
      </c>
      <c r="J1633" s="1084"/>
      <c r="K1633" s="1084"/>
      <c r="L1633" s="1113"/>
      <c r="M1633" s="977">
        <v>320</v>
      </c>
    </row>
    <row r="1634" spans="1:13" s="1086" customFormat="1" ht="25.15" hidden="1" customHeight="1">
      <c r="A1634" s="1156">
        <f t="shared" si="140"/>
        <v>0</v>
      </c>
      <c r="B1634" s="1349" t="s">
        <v>138</v>
      </c>
      <c r="C1634" s="1349"/>
      <c r="D1634" s="1093"/>
      <c r="E1634" s="1082">
        <f>VLOOKUP($B1634,DG!A:D,DG!$B$2,)</f>
        <v>0</v>
      </c>
      <c r="F1634" s="1083" t="str">
        <f>VLOOKUP($B1634,DG!A:D,DG!$C$2,)</f>
        <v>Boulon 12x40+ 2 long đền vuông D14-50x50x3/Zn</v>
      </c>
      <c r="G1634" s="1082" t="str">
        <f>VLOOKUP($B1634,DG!A:D,DG!$D$2,)</f>
        <v>bộ</v>
      </c>
      <c r="H1634" s="1873"/>
      <c r="I1634" s="1262">
        <f t="shared" si="135"/>
        <v>0</v>
      </c>
      <c r="J1634" s="1084"/>
      <c r="K1634" s="1084"/>
      <c r="L1634" s="1113"/>
      <c r="M1634" s="977">
        <v>320</v>
      </c>
    </row>
    <row r="1635" spans="1:13" s="1086" customFormat="1" ht="25.15" hidden="1" customHeight="1">
      <c r="A1635" s="1156">
        <f t="shared" si="140"/>
        <v>0</v>
      </c>
      <c r="B1635" s="1349" t="s">
        <v>1991</v>
      </c>
      <c r="C1635" s="1349"/>
      <c r="D1635" s="1093"/>
      <c r="E1635" s="1082">
        <f>VLOOKUP($B1635,DG!A:D,DG!$B$2,)</f>
        <v>0</v>
      </c>
      <c r="F1635" s="1083" t="str">
        <f>VLOOKUP($B1635,DG!A:D,DG!$C$2,)</f>
        <v>Boulon 12x60+ 2 long đền vuông D14-50x50x3/Zn</v>
      </c>
      <c r="G1635" s="1082" t="str">
        <f>VLOOKUP($B1635,DG!A:D,DG!$D$2,)</f>
        <v>bộ</v>
      </c>
      <c r="H1635" s="1873"/>
      <c r="I1635" s="1262">
        <f t="shared" si="135"/>
        <v>0</v>
      </c>
      <c r="J1635" s="1084"/>
      <c r="K1635" s="1084"/>
      <c r="L1635" s="1113"/>
      <c r="M1635" s="977">
        <v>320</v>
      </c>
    </row>
    <row r="1636" spans="1:13" s="1086" customFormat="1" ht="25.15" hidden="1" customHeight="1">
      <c r="A1636" s="1156">
        <f t="shared" si="140"/>
        <v>0</v>
      </c>
      <c r="B1636" s="1327" t="s">
        <v>1045</v>
      </c>
      <c r="C1636" s="1327"/>
      <c r="D1636" s="1093"/>
      <c r="E1636" s="1082">
        <f>VLOOKUP($B1636,DG!A:D,DG!$B$2,)</f>
        <v>0</v>
      </c>
      <c r="F1636" s="1083" t="str">
        <f>VLOOKUP($B1636,DG!A:D,DG!$C$2,)</f>
        <v>Co sừng 90 độ PVC 114</v>
      </c>
      <c r="G1636" s="1082" t="str">
        <f>VLOOKUP($B1636,DG!A:D,DG!$D$2,)</f>
        <v>cái</v>
      </c>
      <c r="H1636" s="1873">
        <v>1</v>
      </c>
      <c r="I1636" s="1262">
        <f t="shared" si="135"/>
        <v>0</v>
      </c>
      <c r="J1636" s="1084"/>
      <c r="K1636" s="1084"/>
      <c r="L1636" s="1113"/>
      <c r="M1636" s="977">
        <v>320</v>
      </c>
    </row>
    <row r="1637" spans="1:13" s="1086" customFormat="1" ht="25.15" hidden="1" customHeight="1">
      <c r="A1637" s="1156">
        <f t="shared" ref="A1637:A1638" si="141">IF(I1637&gt;0,1,0)</f>
        <v>0</v>
      </c>
      <c r="B1637" s="1327" t="s">
        <v>2125</v>
      </c>
      <c r="C1637" s="1327"/>
      <c r="D1637" s="1093"/>
      <c r="E1637" s="1082">
        <f>VLOOKUP($B1637,DG!A:D,DG!$B$2,)</f>
        <v>0</v>
      </c>
      <c r="F1637" s="1083" t="str">
        <f>VLOOKUP($B1637,DG!A:D,DG!$C$2,)</f>
        <v>Co  90 độ PVC 114</v>
      </c>
      <c r="G1637" s="1082" t="str">
        <f>VLOOKUP($B1637,DG!A:D,DG!$D$2,)</f>
        <v>cái</v>
      </c>
      <c r="H1637" s="1873">
        <f>H1619*1</f>
        <v>2</v>
      </c>
      <c r="I1637" s="1262">
        <f t="shared" ref="I1637:I1638" si="142">IF(M1637=$M$23,H1637+J1637-K1637,0)</f>
        <v>0</v>
      </c>
      <c r="J1637" s="1084"/>
      <c r="K1637" s="1084"/>
      <c r="L1637" s="1113"/>
      <c r="M1637" s="977">
        <v>320</v>
      </c>
    </row>
    <row r="1638" spans="1:13" s="1086" customFormat="1" ht="25.15" hidden="1" customHeight="1">
      <c r="A1638" s="1156">
        <f t="shared" si="141"/>
        <v>0</v>
      </c>
      <c r="B1638" s="1327" t="s">
        <v>4813</v>
      </c>
      <c r="C1638" s="1327"/>
      <c r="D1638" s="1093"/>
      <c r="E1638" s="1082">
        <f>VLOOKUP($B1638,DG!A:D,DG!$B$2,)</f>
        <v>0</v>
      </c>
      <c r="F1638" s="1083" t="str">
        <f>VLOOKUP($B1638,DG!A:D,DG!$C$2,)</f>
        <v>Co 135 độ PVC 114</v>
      </c>
      <c r="G1638" s="1082" t="str">
        <f>VLOOKUP($B1638,DG!A:D,DG!$D$2,)</f>
        <v>cái</v>
      </c>
      <c r="H1638" s="1873">
        <v>1</v>
      </c>
      <c r="I1638" s="1262">
        <f t="shared" si="142"/>
        <v>0</v>
      </c>
      <c r="J1638" s="1084"/>
      <c r="K1638" s="1084"/>
      <c r="L1638" s="1113"/>
      <c r="M1638" s="977">
        <v>320</v>
      </c>
    </row>
    <row r="1639" spans="1:13" s="1086" customFormat="1" ht="25.15" hidden="1" customHeight="1">
      <c r="A1639" s="1156">
        <f t="shared" si="140"/>
        <v>0</v>
      </c>
      <c r="B1639" s="1327" t="s">
        <v>2175</v>
      </c>
      <c r="C1639" s="1327"/>
      <c r="D1639" s="1093"/>
      <c r="E1639" s="1082">
        <f>VLOOKUP($B1639,DG!A:D,DG!$B$2,)</f>
        <v>0</v>
      </c>
      <c r="F1639" s="1083" t="str">
        <f>VLOOKUP($B1639,DG!A:D,DG!$C$2,)</f>
        <v>Khâu ven răng trong D114</v>
      </c>
      <c r="G1639" s="1082" t="str">
        <f>VLOOKUP($B1639,DG!A:D,DG!$D$2,)</f>
        <v>cái</v>
      </c>
      <c r="H1639" s="1873">
        <f>H1621*1</f>
        <v>1</v>
      </c>
      <c r="I1639" s="1262">
        <f t="shared" si="135"/>
        <v>0</v>
      </c>
      <c r="J1639" s="1084"/>
      <c r="K1639" s="1084"/>
      <c r="L1639" s="1113"/>
      <c r="M1639" s="977">
        <v>320</v>
      </c>
    </row>
    <row r="1640" spans="1:13" s="1086" customFormat="1" ht="25.15" hidden="1" customHeight="1">
      <c r="A1640" s="1156">
        <f t="shared" si="140"/>
        <v>0</v>
      </c>
      <c r="B1640" s="1327" t="s">
        <v>2176</v>
      </c>
      <c r="C1640" s="1327"/>
      <c r="D1640" s="1093"/>
      <c r="E1640" s="1082">
        <f>VLOOKUP($B1640,DG!A:D,DG!$B$2,)</f>
        <v>0</v>
      </c>
      <c r="F1640" s="1083" t="str">
        <f>VLOOKUP($B1640,DG!A:D,DG!$C$2,)&amp;": "</f>
        <v xml:space="preserve">Khâu ven răng ngoài D114: </v>
      </c>
      <c r="G1640" s="1082" t="str">
        <f>VLOOKUP($B1640,DG!A:D,DG!$D$2,)</f>
        <v>cái</v>
      </c>
      <c r="H1640" s="1873">
        <f>H1639</f>
        <v>1</v>
      </c>
      <c r="I1640" s="1262">
        <f t="shared" si="135"/>
        <v>0</v>
      </c>
      <c r="J1640" s="1084"/>
      <c r="K1640" s="1084"/>
      <c r="L1640" s="1113"/>
      <c r="M1640" s="977">
        <v>320</v>
      </c>
    </row>
    <row r="1641" spans="1:13" s="1086" customFormat="1" ht="25.15" hidden="1" customHeight="1">
      <c r="A1641" s="1156">
        <f t="shared" si="140"/>
        <v>0</v>
      </c>
      <c r="B1641" s="1327" t="s">
        <v>2082</v>
      </c>
      <c r="C1641" s="1327"/>
      <c r="D1641" s="1093"/>
      <c r="E1641" s="1082">
        <f>VLOOKUP($B1641,DG!A:D,DG!$B$2,)</f>
        <v>0</v>
      </c>
      <c r="F1641" s="1083" t="str">
        <f>VLOOKUP($B1641,DG!A:D,DG!$C$2,)&amp;": "</f>
        <v xml:space="preserve">Keo dán ống PVC (100gr): </v>
      </c>
      <c r="G1641" s="1082" t="str">
        <f>VLOOKUP($B1641,DG!A:D,DG!$D$2,)</f>
        <v>tuýp</v>
      </c>
      <c r="H1641" s="1873">
        <f>H1640</f>
        <v>1</v>
      </c>
      <c r="I1641" s="1262">
        <f t="shared" si="135"/>
        <v>0</v>
      </c>
      <c r="J1641" s="1084"/>
      <c r="K1641" s="1084"/>
      <c r="L1641" s="1113"/>
      <c r="M1641" s="977">
        <v>320</v>
      </c>
    </row>
    <row r="1642" spans="1:13" s="1086" customFormat="1" ht="25.15" hidden="1" customHeight="1">
      <c r="A1642" s="1156">
        <f t="shared" si="140"/>
        <v>0</v>
      </c>
      <c r="B1642" s="1157" t="s">
        <v>6</v>
      </c>
      <c r="C1642" s="1157"/>
      <c r="D1642" s="1093"/>
      <c r="E1642" s="1082"/>
      <c r="F1642" s="1083" t="str">
        <f>VLOOKUP($B1642,DG!A:D,DG!$C$2,)&amp;":"</f>
        <v>Keo silicon bít miệng ống:</v>
      </c>
      <c r="G1642" s="1082" t="str">
        <f>VLOOKUP($B1642,DG!A:D,DG!$D$2,)</f>
        <v>ống</v>
      </c>
      <c r="H1642" s="1873">
        <f>H1641</f>
        <v>1</v>
      </c>
      <c r="I1642" s="1262">
        <f t="shared" si="135"/>
        <v>0</v>
      </c>
      <c r="J1642" s="1084"/>
      <c r="K1642" s="1084"/>
      <c r="L1642" s="1085"/>
      <c r="M1642" s="977">
        <v>320</v>
      </c>
    </row>
    <row r="1643" spans="1:13" s="1086" customFormat="1" ht="25.15" hidden="1" customHeight="1">
      <c r="A1643" s="1156">
        <f t="shared" si="140"/>
        <v>0</v>
      </c>
      <c r="B1643" s="1327" t="s">
        <v>2284</v>
      </c>
      <c r="C1643" s="1327"/>
      <c r="D1643" s="1093"/>
      <c r="E1643" s="1082" t="str">
        <f>VLOOKUP($B1643,DG!A:D,DG!$B$2,)</f>
        <v>03.1401</v>
      </c>
      <c r="F1643" s="1083" t="str">
        <f>VLOOKUP($B1643,DG!A:D,DG!$C$2,)</f>
        <v xml:space="preserve">Cáp CVV 4x4mm2  </v>
      </c>
      <c r="G1643" s="1082" t="str">
        <f>VLOOKUP($B1643,DG!A:D,DG!$D$2,)</f>
        <v>mét</v>
      </c>
      <c r="H1643" s="1873">
        <f>IF(H1650&gt;0,0,H1621*4)</f>
        <v>4</v>
      </c>
      <c r="I1643" s="1262">
        <f t="shared" si="135"/>
        <v>0</v>
      </c>
      <c r="J1643" s="1084"/>
      <c r="K1643" s="1084"/>
      <c r="L1643" s="1085"/>
      <c r="M1643" s="977">
        <v>320</v>
      </c>
    </row>
    <row r="1644" spans="1:13" s="1086" customFormat="1" ht="25.15" hidden="1" customHeight="1">
      <c r="A1644" s="1156">
        <f t="shared" si="140"/>
        <v>0</v>
      </c>
      <c r="B1644" s="1327" t="s">
        <v>1353</v>
      </c>
      <c r="C1644" s="1327"/>
      <c r="D1644" s="1093"/>
      <c r="E1644" s="1082">
        <f>VLOOKUP($B1644,DG!A:D,DG!$B$2,)</f>
        <v>0</v>
      </c>
      <c r="F1644" s="1083" t="str">
        <f>VLOOKUP($B1644,DG!A:D,DG!$C$2,)</f>
        <v>Dây rút cáp</v>
      </c>
      <c r="G1644" s="1082" t="str">
        <f>VLOOKUP($B1644,DG!A:D,DG!$D$2,)</f>
        <v>bọc</v>
      </c>
      <c r="H1644" s="1915"/>
      <c r="I1644" s="1262">
        <f t="shared" si="135"/>
        <v>0</v>
      </c>
      <c r="J1644" s="1084"/>
      <c r="K1644" s="1084"/>
      <c r="L1644" s="1085"/>
      <c r="M1644" s="977">
        <v>320</v>
      </c>
    </row>
    <row r="1645" spans="1:13" s="1086" customFormat="1" ht="25.15" hidden="1" customHeight="1">
      <c r="A1645" s="1156">
        <f t="shared" si="140"/>
        <v>0</v>
      </c>
      <c r="B1645" s="1157" t="s">
        <v>672</v>
      </c>
      <c r="C1645" s="1157"/>
      <c r="D1645" s="1093"/>
      <c r="E1645" s="1082">
        <f>VLOOKUP($B1645,DG!A:D,DG!$B$2,)</f>
        <v>0</v>
      </c>
      <c r="F1645" s="1083" t="str">
        <f>VLOOKUP($B1645,DG!A:D,DG!$C$2,)&amp;":"</f>
        <v>Băng keo cách điện:</v>
      </c>
      <c r="G1645" s="1082" t="str">
        <f>VLOOKUP($B1645,DG!A:D,DG!$D$2,)</f>
        <v>cuộn</v>
      </c>
      <c r="H1645" s="1873">
        <f>H1642*2</f>
        <v>2</v>
      </c>
      <c r="I1645" s="1262">
        <f t="shared" si="135"/>
        <v>0</v>
      </c>
      <c r="J1645" s="1084"/>
      <c r="K1645" s="1084"/>
      <c r="L1645" s="1113"/>
      <c r="M1645" s="977">
        <v>320</v>
      </c>
    </row>
    <row r="1646" spans="1:13" s="1086" customFormat="1" ht="25.15" hidden="1" customHeight="1">
      <c r="A1646" s="1156">
        <f t="shared" si="140"/>
        <v>0</v>
      </c>
      <c r="B1646" s="1157" t="s">
        <v>1415</v>
      </c>
      <c r="C1646" s="1157"/>
      <c r="D1646" s="1093"/>
      <c r="E1646" s="1082" t="str">
        <f>VLOOKUP($B1646,DG!A:D,DG!$B$2,)</f>
        <v>05.6101</v>
      </c>
      <c r="F1646" s="1083" t="str">
        <f>VLOOKUP($B1646,DG!A:D,DG!$C$2,)&amp;":"</f>
        <v>Lắp Giá đỡ cáp:</v>
      </c>
      <c r="G1646" s="1082" t="str">
        <f>VLOOKUP($B1646,DG!A:D,DG!$D$2,)</f>
        <v>bộ</v>
      </c>
      <c r="H1646" s="1873"/>
      <c r="I1646" s="1262">
        <f t="shared" si="135"/>
        <v>0</v>
      </c>
      <c r="J1646" s="1084"/>
      <c r="K1646" s="1084"/>
      <c r="L1646" s="1113"/>
      <c r="M1646" s="977">
        <v>320</v>
      </c>
    </row>
    <row r="1647" spans="1:13" s="1086" customFormat="1" ht="25.15" hidden="1" customHeight="1">
      <c r="A1647" s="1156">
        <f t="shared" si="140"/>
        <v>0</v>
      </c>
      <c r="B1647" s="1157" t="s">
        <v>247</v>
      </c>
      <c r="C1647" s="1157"/>
      <c r="D1647" s="1093"/>
      <c r="E1647" s="1082" t="str">
        <f>VLOOKUP($B1647,DG!A:D,DG!$B$2,)</f>
        <v>04.4203</v>
      </c>
      <c r="F1647" s="1083" t="str">
        <f>VLOOKUP($B1647,DG!A:D,DG!$C$2,)&amp;":"</f>
        <v>Lắp cáp đồng xuống thiết bị D &gt; 150mm2:</v>
      </c>
      <c r="G1647" s="1082" t="str">
        <f>VLOOKUP($B1647,DG!A:D,DG!$D$2,)</f>
        <v>m</v>
      </c>
      <c r="H1647" s="1873">
        <f>H1623+H1624</f>
        <v>8</v>
      </c>
      <c r="I1647" s="1262">
        <f t="shared" si="135"/>
        <v>0</v>
      </c>
      <c r="J1647" s="1084"/>
      <c r="K1647" s="1084"/>
      <c r="L1647" s="1113"/>
      <c r="M1647" s="977">
        <v>320</v>
      </c>
    </row>
    <row r="1648" spans="1:13" s="1086" customFormat="1" ht="25.15" hidden="1" customHeight="1">
      <c r="A1648" s="1156">
        <f t="shared" si="140"/>
        <v>0</v>
      </c>
      <c r="B1648" s="1157" t="s">
        <v>2012</v>
      </c>
      <c r="C1648" s="1157"/>
      <c r="D1648" s="1093"/>
      <c r="E1648" s="1082" t="str">
        <f>VLOOKUP($B1648,DG!A:D,DG!$B$2,)</f>
        <v>04.4202</v>
      </c>
      <c r="F1648" s="1083" t="str">
        <f>VLOOKUP($B1648,DG!A:D,DG!$C$2,)&amp;":"</f>
        <v>Lắp cáp đồng xuống thiết bị D ≤ 150mm2:</v>
      </c>
      <c r="G1648" s="1082" t="str">
        <f>VLOOKUP($B1648,DG!A:D,DG!$D$2,)</f>
        <v>m</v>
      </c>
      <c r="H1648" s="1873"/>
      <c r="I1648" s="1262">
        <f t="shared" si="135"/>
        <v>0</v>
      </c>
      <c r="J1648" s="1084"/>
      <c r="K1648" s="1084"/>
      <c r="L1648" s="1085"/>
      <c r="M1648" s="977">
        <v>320</v>
      </c>
    </row>
    <row r="1649" spans="1:13" s="1086" customFormat="1" ht="25.15" hidden="1" customHeight="1">
      <c r="A1649" s="1156">
        <f t="shared" si="140"/>
        <v>0</v>
      </c>
      <c r="B1649" s="1157" t="s">
        <v>242</v>
      </c>
      <c r="C1649" s="1157"/>
      <c r="D1649" s="1093"/>
      <c r="E1649" s="1082">
        <f>VLOOKUP($B1649,DG!A:D,DG!$B$2,)</f>
        <v>0</v>
      </c>
      <c r="F1649" s="1083" t="str">
        <f>VLOOKUP($B1649,DG!A:D,DG!$C$2,)&amp;":"</f>
        <v>Bộ móng tủ bù 0,2x0,2x0,4x4móng:</v>
      </c>
      <c r="G1649" s="1082" t="str">
        <f>VLOOKUP($B1649,DG!A:D,DG!$D$2,)</f>
        <v>trọn bộ</v>
      </c>
      <c r="H1649" s="1873">
        <f>H1621*1*0</f>
        <v>0</v>
      </c>
      <c r="I1649" s="1262">
        <f t="shared" si="135"/>
        <v>0</v>
      </c>
      <c r="J1649" s="1084"/>
      <c r="K1649" s="1084"/>
      <c r="L1649" s="1085"/>
      <c r="M1649" s="977">
        <v>320</v>
      </c>
    </row>
    <row r="1650" spans="1:13" s="1086" customFormat="1" ht="25.15" hidden="1" customHeight="1">
      <c r="A1650" s="1156">
        <f t="shared" si="140"/>
        <v>0</v>
      </c>
      <c r="B1650" s="1157"/>
      <c r="C1650" s="1157"/>
      <c r="D1650" s="1087">
        <f>IF(H1650&gt;0,D1621+1,D1621)</f>
        <v>3</v>
      </c>
      <c r="E1650" s="1088"/>
      <c r="F1650" s="1097" t="s">
        <v>3750</v>
      </c>
      <c r="G1650" s="1087" t="s">
        <v>2394</v>
      </c>
      <c r="H1650" s="1910">
        <f>H1452/3</f>
        <v>0</v>
      </c>
      <c r="I1650" s="1262">
        <f t="shared" si="135"/>
        <v>0</v>
      </c>
      <c r="J1650" s="1084"/>
      <c r="K1650" s="1084"/>
      <c r="L1650" s="1113"/>
      <c r="M1650" s="977">
        <v>320</v>
      </c>
    </row>
    <row r="1651" spans="1:13" s="1137" customFormat="1" ht="25.15" hidden="1" customHeight="1">
      <c r="A1651" s="1156">
        <f>IF(A1650&gt;0,1,0)</f>
        <v>0</v>
      </c>
      <c r="B1651" s="1360"/>
      <c r="C1651" s="1360"/>
      <c r="D1651" s="1081"/>
      <c r="E1651" s="1091"/>
      <c r="F1651" s="1371" t="s">
        <v>2287</v>
      </c>
      <c r="G1651" s="1081"/>
      <c r="H1651" s="1890"/>
      <c r="I1651" s="1262">
        <f t="shared" ref="I1651:I1714" si="143">IF(M1651=$M$23,H1651+J1651-K1651,0)</f>
        <v>0</v>
      </c>
      <c r="J1651" s="1084"/>
      <c r="K1651" s="1084"/>
      <c r="L1651" s="1113"/>
      <c r="M1651" s="977">
        <v>320</v>
      </c>
    </row>
    <row r="1652" spans="1:13" s="1086" customFormat="1" ht="25.15" hidden="1" customHeight="1">
      <c r="A1652" s="1156">
        <f t="shared" si="140"/>
        <v>0</v>
      </c>
      <c r="B1652" s="1327" t="s">
        <v>1828</v>
      </c>
      <c r="C1652" s="1327"/>
      <c r="D1652" s="1113"/>
      <c r="E1652" s="1082" t="str">
        <f>VLOOKUP($B1652,DG!A:D,DG!$B$2,)</f>
        <v>03.1401</v>
      </c>
      <c r="F1652" s="1111" t="str">
        <f>VLOOKUP($B1652,DG!A:D,DG!$C$2,)</f>
        <v xml:space="preserve">Cáp CVV 4x2,5mm2  </v>
      </c>
      <c r="G1652" s="1138" t="str">
        <f>VLOOKUP($B1652,DG!A:D,DG!$D$2,)</f>
        <v>mét</v>
      </c>
      <c r="H1652" s="1873">
        <f>H1650*26</f>
        <v>0</v>
      </c>
      <c r="I1652" s="1262">
        <f t="shared" si="143"/>
        <v>0</v>
      </c>
      <c r="J1652" s="1134"/>
      <c r="K1652" s="1134"/>
      <c r="L1652" s="1113"/>
      <c r="M1652" s="977">
        <v>320</v>
      </c>
    </row>
    <row r="1653" spans="1:13" s="1086" customFormat="1" ht="25.15" hidden="1" customHeight="1">
      <c r="A1653" s="1156">
        <f t="shared" si="140"/>
        <v>0</v>
      </c>
      <c r="B1653" s="1327" t="s">
        <v>246</v>
      </c>
      <c r="C1653" s="1327"/>
      <c r="D1653" s="1113"/>
      <c r="E1653" s="1082" t="str">
        <f>VLOOKUP($B1653,DG!A:D,DG!$B$2,)</f>
        <v>05.6101</v>
      </c>
      <c r="F1653" s="1111" t="str">
        <f>VLOOKUP($B1653,DG!A:D,DG!$C$2,)</f>
        <v>Xà kẹp TU, TI U50x32x4 350</v>
      </c>
      <c r="G1653" s="1138" t="str">
        <f>VLOOKUP($B1653,DG!A:D,DG!$D$2,)</f>
        <v>Bộ</v>
      </c>
      <c r="H1653" s="1873">
        <f>H1650*24</f>
        <v>0</v>
      </c>
      <c r="I1653" s="1262">
        <f t="shared" si="143"/>
        <v>0</v>
      </c>
      <c r="J1653" s="1134"/>
      <c r="K1653" s="1134"/>
      <c r="L1653" s="1113"/>
      <c r="M1653" s="977">
        <v>320</v>
      </c>
    </row>
    <row r="1654" spans="1:13" s="1086" customFormat="1" ht="25.15" hidden="1" customHeight="1">
      <c r="A1654" s="1156">
        <f t="shared" si="140"/>
        <v>0</v>
      </c>
      <c r="B1654" s="1327" t="s">
        <v>1871</v>
      </c>
      <c r="C1654" s="1327"/>
      <c r="D1654" s="1093"/>
      <c r="E1654" s="1082" t="str">
        <f>VLOOKUP($B1654,DG!A:D,DG!$B$2,)</f>
        <v>03.4001</v>
      </c>
      <c r="F1654" s="1111" t="str">
        <f>VLOOKUP($B1654,DG!A:D,DG!$C$2,)</f>
        <v xml:space="preserve">Đầu cosse ép Cu 2,5mm2 + bao PVC </v>
      </c>
      <c r="G1654" s="1138" t="str">
        <f>VLOOKUP($B1654,DG!A:D,DG!$D$2,)</f>
        <v>cái</v>
      </c>
      <c r="H1654" s="1873">
        <f>H1650*16</f>
        <v>0</v>
      </c>
      <c r="I1654" s="1262">
        <f t="shared" si="143"/>
        <v>0</v>
      </c>
      <c r="J1654" s="1134"/>
      <c r="K1654" s="1134"/>
      <c r="L1654" s="1113"/>
      <c r="M1654" s="977">
        <v>320</v>
      </c>
    </row>
    <row r="1655" spans="1:13" s="1086" customFormat="1" ht="25.15" hidden="1" customHeight="1">
      <c r="A1655" s="1156">
        <f t="shared" si="140"/>
        <v>0</v>
      </c>
      <c r="B1655" s="1327" t="s">
        <v>1515</v>
      </c>
      <c r="C1655" s="1327"/>
      <c r="D1655" s="1093"/>
      <c r="E1655" s="1082">
        <f>VLOOKUP($B1655,DG!A:D,DG!$B$2,)</f>
        <v>0</v>
      </c>
      <c r="F1655" s="1111" t="str">
        <f>VLOOKUP($B1655,DG!A:D,DG!$C$2,)</f>
        <v>Dây điện đôi 16/10</v>
      </c>
      <c r="G1655" s="1138" t="str">
        <f>VLOOKUP($B1655,DG!A:D,DG!$D$2,)</f>
        <v>mét</v>
      </c>
      <c r="H1655" s="1873">
        <f>2*H1650</f>
        <v>0</v>
      </c>
      <c r="I1655" s="1262">
        <f t="shared" si="143"/>
        <v>0</v>
      </c>
      <c r="J1655" s="1134"/>
      <c r="K1655" s="1134"/>
      <c r="L1655" s="1113"/>
      <c r="M1655" s="977">
        <v>320</v>
      </c>
    </row>
    <row r="1656" spans="1:13" s="1086" customFormat="1" ht="25.15" hidden="1" customHeight="1">
      <c r="A1656" s="1156">
        <f t="shared" si="140"/>
        <v>0</v>
      </c>
      <c r="B1656" s="1327" t="s">
        <v>1116</v>
      </c>
      <c r="C1656" s="1327"/>
      <c r="D1656" s="1093"/>
      <c r="E1656" s="1082">
        <f>VLOOKUP($B1656,DG!A:D,DG!$B$2,)</f>
        <v>0</v>
      </c>
      <c r="F1656" s="1111" t="str">
        <f>VLOOKUP($B1656,DG!A:D,DG!$C$2,)&amp;" (ñaáu TU )"</f>
        <v>Kẹp ép cỡ dây 25mm2 (ñaáu TU )</v>
      </c>
      <c r="G1656" s="1138" t="str">
        <f>VLOOKUP($B1656,DG!A:D,DG!$D$2,)</f>
        <v>cái</v>
      </c>
      <c r="H1656" s="1873">
        <f>+H1650*3</f>
        <v>0</v>
      </c>
      <c r="I1656" s="1262">
        <f t="shared" si="143"/>
        <v>0</v>
      </c>
      <c r="J1656" s="1134"/>
      <c r="K1656" s="1134"/>
      <c r="L1656" s="1113"/>
      <c r="M1656" s="977">
        <v>320</v>
      </c>
    </row>
    <row r="1657" spans="1:13" s="1086" customFormat="1" ht="25.15" hidden="1" customHeight="1">
      <c r="A1657" s="1156">
        <f t="shared" si="140"/>
        <v>0</v>
      </c>
      <c r="B1657" s="1327" t="s">
        <v>2149</v>
      </c>
      <c r="C1657" s="1327"/>
      <c r="D1657" s="1093"/>
      <c r="E1657" s="1082" t="str">
        <f>VLOOKUP($B1657,DG!A:D,DG!$B$2,)</f>
        <v>07.2403</v>
      </c>
      <c r="F1657" s="1111" t="str">
        <f>VLOOKUP($B1657,DG!A:D,DG!$C$2,)</f>
        <v>Ống PVC D42x2,1mm</v>
      </c>
      <c r="G1657" s="1138" t="str">
        <f>VLOOKUP($B1657,DG!A:D,DG!$D$2,)</f>
        <v>m</v>
      </c>
      <c r="H1657" s="1873">
        <f>H1650*14</f>
        <v>0</v>
      </c>
      <c r="I1657" s="1262">
        <f t="shared" si="143"/>
        <v>0</v>
      </c>
      <c r="J1657" s="1134"/>
      <c r="K1657" s="1134"/>
      <c r="L1657" s="1113"/>
      <c r="M1657" s="977">
        <v>320</v>
      </c>
    </row>
    <row r="1658" spans="1:13" s="1086" customFormat="1" ht="25.15" hidden="1" customHeight="1">
      <c r="A1658" s="1156">
        <f t="shared" si="140"/>
        <v>0</v>
      </c>
      <c r="B1658" s="1157" t="s">
        <v>204</v>
      </c>
      <c r="C1658" s="1157"/>
      <c r="D1658" s="1093"/>
      <c r="E1658" s="1082" t="str">
        <f>VLOOKUP($B1658,DG!A:D,DG!$B$2,)</f>
        <v>06.3231</v>
      </c>
      <c r="F1658" s="1111" t="str">
        <f>VLOOKUP($B1658,DG!A:D,DG!$C$2,)&amp;": 4 bộ"</f>
        <v>Cổ dê giữ ống PVC D42: 4 bộ</v>
      </c>
      <c r="G1658" s="1138" t="str">
        <f>VLOOKUP($B1658,DG!A:D,DG!$D$2,)</f>
        <v>bộ</v>
      </c>
      <c r="H1658" s="1873">
        <f>H1650*(0.459+0.482+0.52+0.569)</f>
        <v>0</v>
      </c>
      <c r="I1658" s="1262">
        <f t="shared" si="143"/>
        <v>0</v>
      </c>
      <c r="J1658" s="1134"/>
      <c r="K1658" s="1134"/>
      <c r="L1658" s="1113"/>
      <c r="M1658" s="977">
        <v>320</v>
      </c>
    </row>
    <row r="1659" spans="1:13" s="1086" customFormat="1" ht="25.15" hidden="1" customHeight="1">
      <c r="A1659" s="1156">
        <f t="shared" si="140"/>
        <v>0</v>
      </c>
      <c r="B1659" s="1157" t="s">
        <v>1133</v>
      </c>
      <c r="C1659" s="1157"/>
      <c r="D1659" s="1093"/>
      <c r="E1659" s="1082" t="str">
        <f>VLOOKUP($B1659,DG!A:D,DG!$B$2,)</f>
        <v>06.2110</v>
      </c>
      <c r="F1659" s="1111" t="str">
        <f>VLOOKUP($B1659,DG!A:D,DG!$C$2,)&amp;": 4 bộ"</f>
        <v>Lắp cổ dề: 4 bộ</v>
      </c>
      <c r="G1659" s="1138" t="str">
        <f>VLOOKUP($B1659,DG!A:D,DG!$D$2,)</f>
        <v>bộ</v>
      </c>
      <c r="H1659" s="1873">
        <f>H1650*4</f>
        <v>0</v>
      </c>
      <c r="I1659" s="1262">
        <f t="shared" si="143"/>
        <v>0</v>
      </c>
      <c r="J1659" s="1134"/>
      <c r="K1659" s="1134"/>
      <c r="L1659" s="1113"/>
      <c r="M1659" s="977">
        <v>320</v>
      </c>
    </row>
    <row r="1660" spans="1:13" s="1086" customFormat="1" ht="25.15" hidden="1" customHeight="1">
      <c r="A1660" s="1156">
        <f t="shared" si="140"/>
        <v>0</v>
      </c>
      <c r="B1660" s="1327" t="s">
        <v>1621</v>
      </c>
      <c r="C1660" s="1327"/>
      <c r="D1660" s="1093"/>
      <c r="E1660" s="1082">
        <f>VLOOKUP($B1660,DG!A:D,DG!$B$2,)</f>
        <v>0</v>
      </c>
      <c r="F1660" s="1111" t="str">
        <f>VLOOKUP($B1660,DG!A:D,DG!$C$2,)</f>
        <v>Co 90 độ PVC 42</v>
      </c>
      <c r="G1660" s="1138" t="str">
        <f>VLOOKUP($B1660,DG!A:D,DG!$D$2,)</f>
        <v>cái</v>
      </c>
      <c r="H1660" s="1873">
        <f>H1650*5</f>
        <v>0</v>
      </c>
      <c r="I1660" s="1262">
        <f t="shared" si="143"/>
        <v>0</v>
      </c>
      <c r="J1660" s="1134"/>
      <c r="K1660" s="1134"/>
      <c r="L1660" s="1113"/>
      <c r="M1660" s="977">
        <v>320</v>
      </c>
    </row>
    <row r="1661" spans="1:13" s="1086" customFormat="1" ht="25.15" hidden="1" customHeight="1">
      <c r="A1661" s="1156">
        <f t="shared" si="140"/>
        <v>0</v>
      </c>
      <c r="B1661" s="1327" t="s">
        <v>1052</v>
      </c>
      <c r="C1661" s="1327"/>
      <c r="D1661" s="1093"/>
      <c r="E1661" s="1082">
        <f>VLOOKUP($B1661,DG!A:D,DG!$B$2,)</f>
        <v>0</v>
      </c>
      <c r="F1661" s="1111" t="str">
        <f>VLOOKUP($B1661,DG!A:D,DG!$C$2,)</f>
        <v>Co chữ T ống PVC 42</v>
      </c>
      <c r="G1661" s="1138" t="str">
        <f>VLOOKUP($B1661,DG!A:D,DG!$D$2,)</f>
        <v>cái</v>
      </c>
      <c r="H1661" s="1873">
        <f>H1650*5</f>
        <v>0</v>
      </c>
      <c r="I1661" s="1262">
        <f t="shared" si="143"/>
        <v>0</v>
      </c>
      <c r="J1661" s="1134"/>
      <c r="K1661" s="1134"/>
      <c r="L1661" s="1113"/>
      <c r="M1661" s="977">
        <v>320</v>
      </c>
    </row>
    <row r="1662" spans="1:13" s="1086" customFormat="1" ht="25.15" hidden="1" customHeight="1">
      <c r="A1662" s="1156">
        <f t="shared" si="140"/>
        <v>0</v>
      </c>
      <c r="B1662" s="1327" t="s">
        <v>1919</v>
      </c>
      <c r="C1662" s="1327"/>
      <c r="D1662" s="1093"/>
      <c r="E1662" s="1082">
        <f>VLOOKUP($B1662,DG!A:D,DG!$B$2,)</f>
        <v>0</v>
      </c>
      <c r="F1662" s="1111" t="str">
        <f>VLOOKUP($B1662,DG!A:D,DG!$C$2,)</f>
        <v>Nối thẳng ống PVC 42</v>
      </c>
      <c r="G1662" s="1138" t="str">
        <f>VLOOKUP($B1662,DG!A:D,DG!$D$2,)</f>
        <v>cái</v>
      </c>
      <c r="H1662" s="1873">
        <f>H1650</f>
        <v>0</v>
      </c>
      <c r="I1662" s="1262">
        <f t="shared" si="143"/>
        <v>0</v>
      </c>
      <c r="J1662" s="1134"/>
      <c r="K1662" s="1134"/>
      <c r="L1662" s="1113"/>
      <c r="M1662" s="977">
        <v>320</v>
      </c>
    </row>
    <row r="1663" spans="1:13" s="1086" customFormat="1" ht="25.15" hidden="1" customHeight="1">
      <c r="A1663" s="1156">
        <f t="shared" si="140"/>
        <v>0</v>
      </c>
      <c r="B1663" s="1327" t="s">
        <v>699</v>
      </c>
      <c r="C1663" s="1327"/>
      <c r="D1663" s="1093"/>
      <c r="E1663" s="1082">
        <f>VLOOKUP($B1663,DG!A:D,DG!$B$2,)</f>
        <v>0</v>
      </c>
      <c r="F1663" s="1111" t="str">
        <f>VLOOKUP($B1663,DG!A:D,DG!$C$2,)&amp;" ñaáu TU"</f>
        <v>Cáp 24KV CX-25mm2 ñaáu TU</v>
      </c>
      <c r="G1663" s="1138" t="str">
        <f>VLOOKUP($B1663,DG!A:D,DG!$D$2,)</f>
        <v>mét</v>
      </c>
      <c r="H1663" s="1873">
        <f>H1650*0.8*3</f>
        <v>0</v>
      </c>
      <c r="I1663" s="1262">
        <f t="shared" si="143"/>
        <v>0</v>
      </c>
      <c r="J1663" s="1134"/>
      <c r="K1663" s="1134"/>
      <c r="L1663" s="1113"/>
      <c r="M1663" s="977">
        <v>320</v>
      </c>
    </row>
    <row r="1664" spans="1:13" s="1086" customFormat="1" ht="25.15" hidden="1" customHeight="1">
      <c r="A1664" s="1156">
        <f t="shared" si="140"/>
        <v>0</v>
      </c>
      <c r="B1664" s="1327" t="s">
        <v>2082</v>
      </c>
      <c r="C1664" s="1327"/>
      <c r="D1664" s="1093"/>
      <c r="E1664" s="1082">
        <f>VLOOKUP($B1664,DG!A:D,DG!$B$2,)</f>
        <v>0</v>
      </c>
      <c r="F1664" s="1111" t="str">
        <f>VLOOKUP($B1664,DG!A:D,DG!$C$2,)</f>
        <v>Keo dán ống PVC (100gr)</v>
      </c>
      <c r="G1664" s="1138" t="str">
        <f>VLOOKUP($B1664,DG!A:D,DG!$D$2,)</f>
        <v>tuýp</v>
      </c>
      <c r="H1664" s="1873">
        <f>H1650</f>
        <v>0</v>
      </c>
      <c r="I1664" s="1262">
        <f t="shared" si="143"/>
        <v>0</v>
      </c>
      <c r="J1664" s="1134"/>
      <c r="K1664" s="1134"/>
      <c r="L1664" s="1113"/>
      <c r="M1664" s="977">
        <v>320</v>
      </c>
    </row>
    <row r="1665" spans="1:13" s="1086" customFormat="1" ht="25.15" hidden="1" customHeight="1">
      <c r="A1665" s="1156">
        <f t="shared" si="140"/>
        <v>0</v>
      </c>
      <c r="B1665" s="1157" t="s">
        <v>672</v>
      </c>
      <c r="C1665" s="1157"/>
      <c r="D1665" s="1093"/>
      <c r="E1665" s="1082">
        <f>VLOOKUP($B1665,DG!A:D,DG!$B$2,)</f>
        <v>0</v>
      </c>
      <c r="F1665" s="1111" t="str">
        <f>VLOOKUP($B1665,DG!A:D,DG!$C$2,)</f>
        <v>Băng keo cách điện</v>
      </c>
      <c r="G1665" s="1138" t="str">
        <f>VLOOKUP($B1665,DG!A:D,DG!$D$2,)</f>
        <v>cuộn</v>
      </c>
      <c r="H1665" s="1873">
        <f>H1650</f>
        <v>0</v>
      </c>
      <c r="I1665" s="1262">
        <f t="shared" si="143"/>
        <v>0</v>
      </c>
      <c r="J1665" s="1084"/>
      <c r="K1665" s="1084"/>
      <c r="L1665" s="1113"/>
      <c r="M1665" s="977">
        <v>320</v>
      </c>
    </row>
    <row r="1666" spans="1:13" s="1086" customFormat="1" ht="25.15" hidden="1" customHeight="1">
      <c r="A1666" s="1156">
        <f t="shared" si="140"/>
        <v>0</v>
      </c>
      <c r="B1666" s="1327" t="s">
        <v>2128</v>
      </c>
      <c r="C1666" s="1327"/>
      <c r="D1666" s="1093"/>
      <c r="E1666" s="1082">
        <f>VLOOKUP($B1666,DG!A:D,DG!$B$2,)</f>
        <v>0</v>
      </c>
      <c r="F1666" s="1111" t="str">
        <f>VLOOKUP($B1666,DG!A:D,DG!$C$2,)</f>
        <v>Khâu ven răng trong D42</v>
      </c>
      <c r="G1666" s="1138" t="str">
        <f>VLOOKUP($B1666,DG!A:D,DG!$D$2,)</f>
        <v>cái</v>
      </c>
      <c r="H1666" s="1873">
        <f>H1650</f>
        <v>0</v>
      </c>
      <c r="I1666" s="1262">
        <f t="shared" si="143"/>
        <v>0</v>
      </c>
      <c r="J1666" s="1084"/>
      <c r="K1666" s="1084"/>
      <c r="L1666" s="1113"/>
      <c r="M1666" s="977">
        <v>320</v>
      </c>
    </row>
    <row r="1667" spans="1:13" s="1086" customFormat="1" ht="25.15" hidden="1" customHeight="1">
      <c r="A1667" s="1156">
        <f t="shared" si="140"/>
        <v>0</v>
      </c>
      <c r="B1667" s="1157" t="s">
        <v>961</v>
      </c>
      <c r="C1667" s="1157"/>
      <c r="D1667" s="1093"/>
      <c r="E1667" s="1082">
        <f>VLOOKUP($B1667,DG!A:D,DG!$B$2,)</f>
        <v>0</v>
      </c>
      <c r="F1667" s="1111" t="str">
        <f>VLOOKUP($B1667,DG!A:D,DG!$C$2,)</f>
        <v>Khâu ven răng ngoài D42</v>
      </c>
      <c r="G1667" s="1138" t="str">
        <f>VLOOKUP($B1667,DG!A:D,DG!$D$2,)</f>
        <v>cái</v>
      </c>
      <c r="H1667" s="1873">
        <f>H1650</f>
        <v>0</v>
      </c>
      <c r="I1667" s="1262">
        <f t="shared" si="143"/>
        <v>0</v>
      </c>
      <c r="J1667" s="1084"/>
      <c r="K1667" s="1084"/>
      <c r="L1667" s="1113"/>
      <c r="M1667" s="977">
        <v>320</v>
      </c>
    </row>
    <row r="1668" spans="1:13" s="1086" customFormat="1" ht="25.15" hidden="1" customHeight="1">
      <c r="A1668" s="1156">
        <f t="shared" si="140"/>
        <v>0</v>
      </c>
      <c r="B1668" s="1157" t="s">
        <v>319</v>
      </c>
      <c r="C1668" s="1157"/>
      <c r="D1668" s="1093"/>
      <c r="E1668" s="1082" t="str">
        <f>VLOOKUP($B1668,DG!A:D,DG!$B$2,)</f>
        <v>06.3231</v>
      </c>
      <c r="F1668" s="1111" t="str">
        <f>VLOOKUP($B1668,DG!A:D,DG!$C$2,)&amp;": 02 bộ"</f>
        <v>Cổ dê CDĐKĐT( bắt thùng điện kế): 02 bộ</v>
      </c>
      <c r="G1668" s="1138" t="str">
        <f>VLOOKUP($B1668,DG!A:D,DG!$D$2,)</f>
        <v>bộ</v>
      </c>
      <c r="H1668" s="1911">
        <f>H1650*2*5.85</f>
        <v>0</v>
      </c>
      <c r="I1668" s="1262">
        <f t="shared" si="143"/>
        <v>0</v>
      </c>
      <c r="J1668" s="1084"/>
      <c r="K1668" s="1084"/>
      <c r="L1668" s="1085"/>
      <c r="M1668" s="977">
        <v>320</v>
      </c>
    </row>
    <row r="1669" spans="1:13" s="1086" customFormat="1" ht="25.15" hidden="1" customHeight="1">
      <c r="A1669" s="1156">
        <f t="shared" si="140"/>
        <v>0</v>
      </c>
      <c r="B1669" s="1157" t="s">
        <v>1921</v>
      </c>
      <c r="C1669" s="1157"/>
      <c r="D1669" s="1093"/>
      <c r="E1669" s="1082" t="str">
        <f>VLOOKUP($B1669,DG!A:D,DG!$B$2,)</f>
        <v>05.1101</v>
      </c>
      <c r="F1669" s="1111" t="str">
        <f>VLOOKUP($B1669,DG!A:D,DG!$C$2,)</f>
        <v>Thùng điện kế 450x300x200mm đo đếm trung thế</v>
      </c>
      <c r="G1669" s="1138" t="str">
        <f>VLOOKUP($B1669,DG!A:D,DG!$D$2,)</f>
        <v>cái</v>
      </c>
      <c r="H1669" s="1873">
        <f>H1650</f>
        <v>0</v>
      </c>
      <c r="I1669" s="1262">
        <f t="shared" si="143"/>
        <v>0</v>
      </c>
      <c r="J1669" s="1084"/>
      <c r="K1669" s="1084"/>
      <c r="L1669" s="1113"/>
      <c r="M1669" s="977">
        <v>320</v>
      </c>
    </row>
    <row r="1670" spans="1:13" s="1086" customFormat="1" ht="25.15" hidden="1" customHeight="1">
      <c r="A1670" s="1156">
        <f t="shared" si="140"/>
        <v>0</v>
      </c>
      <c r="B1670" s="1157" t="s">
        <v>1133</v>
      </c>
      <c r="C1670" s="1157"/>
      <c r="D1670" s="1093"/>
      <c r="E1670" s="1082" t="str">
        <f>VLOOKUP($B1670,DG!A:D,DG!$B$2,)</f>
        <v>06.2110</v>
      </c>
      <c r="F1670" s="1111" t="str">
        <f>VLOOKUP($B1670,DG!A:D,DG!$C$2,)</f>
        <v>Lắp cổ dề</v>
      </c>
      <c r="G1670" s="1138" t="str">
        <f>VLOOKUP($B1670,DG!A:D,DG!$D$2,)</f>
        <v>bộ</v>
      </c>
      <c r="H1670" s="1873">
        <f>H1669*2</f>
        <v>0</v>
      </c>
      <c r="I1670" s="1262">
        <f t="shared" si="143"/>
        <v>0</v>
      </c>
      <c r="J1670" s="1084"/>
      <c r="K1670" s="1084"/>
      <c r="L1670" s="1113"/>
      <c r="M1670" s="977">
        <v>320</v>
      </c>
    </row>
    <row r="1671" spans="1:13" s="1086" customFormat="1" ht="25.15" hidden="1" customHeight="1">
      <c r="A1671" s="1156">
        <f t="shared" si="140"/>
        <v>0</v>
      </c>
      <c r="B1671" s="1157" t="s">
        <v>6</v>
      </c>
      <c r="C1671" s="1157"/>
      <c r="D1671" s="1093"/>
      <c r="E1671" s="1082">
        <f>VLOOKUP($B1671,DG!A:D,DG!$B$2,)</f>
        <v>0</v>
      </c>
      <c r="F1671" s="1111" t="str">
        <f>VLOOKUP($B1671,DG!A:D,DG!$C$2,)</f>
        <v>Keo silicon bít miệng ống</v>
      </c>
      <c r="G1671" s="1138" t="str">
        <f>VLOOKUP($B1671,DG!A:D,DG!$D$2,)</f>
        <v>ống</v>
      </c>
      <c r="H1671" s="1873">
        <f>H1650</f>
        <v>0</v>
      </c>
      <c r="I1671" s="1262">
        <f t="shared" si="143"/>
        <v>0</v>
      </c>
      <c r="J1671" s="1084"/>
      <c r="K1671" s="1084"/>
      <c r="L1671" s="1113"/>
      <c r="M1671" s="977">
        <v>320</v>
      </c>
    </row>
    <row r="1672" spans="1:13" s="1086" customFormat="1" ht="25.15" hidden="1" customHeight="1">
      <c r="A1672" s="1156">
        <f t="shared" si="140"/>
        <v>0</v>
      </c>
      <c r="B1672" s="1157" t="s">
        <v>2147</v>
      </c>
      <c r="C1672" s="1157"/>
      <c r="D1672" s="1093"/>
      <c r="E1672" s="1082">
        <f>VLOOKUP($B1672,DG!A:D,DG!$B$2,)</f>
        <v>0</v>
      </c>
      <c r="F1672" s="1111" t="str">
        <f>VLOOKUP($B1672,DG!A:D,DG!$C$2,)</f>
        <v>Dây đồng trần mềm dẹt</v>
      </c>
      <c r="G1672" s="1138" t="str">
        <f>VLOOKUP($B1672,DG!A:D,DG!$D$2,)</f>
        <v>mét</v>
      </c>
      <c r="H1672" s="1873">
        <f>H1650*4</f>
        <v>0</v>
      </c>
      <c r="I1672" s="1262">
        <f t="shared" si="143"/>
        <v>0</v>
      </c>
      <c r="J1672" s="1084"/>
      <c r="K1672" s="1084"/>
      <c r="L1672" s="1113"/>
      <c r="M1672" s="977">
        <v>320</v>
      </c>
    </row>
    <row r="1673" spans="1:13" s="1086" customFormat="1" ht="25.15" hidden="1" customHeight="1">
      <c r="A1673" s="1156">
        <f t="shared" si="140"/>
        <v>0</v>
      </c>
      <c r="B1673" s="1157" t="s">
        <v>1221</v>
      </c>
      <c r="C1673" s="1157"/>
      <c r="D1673" s="1093"/>
      <c r="E1673" s="1082" t="str">
        <f>VLOOKUP($B1673,DG!A:D,DG!$B$2,)</f>
        <v>06.3191</v>
      </c>
      <c r="F1673" s="1111" t="str">
        <f>VLOOKUP($B1673,DG!A:D,DG!$C$2,)</f>
        <v>Bảng tên trạm, bảng báo nguy hiểm + đinh vít</v>
      </c>
      <c r="G1673" s="1138" t="str">
        <f>VLOOKUP($B1673,DG!A:D,DG!$D$2,)</f>
        <v>bộ</v>
      </c>
      <c r="H1673" s="1873">
        <f>H1650</f>
        <v>0</v>
      </c>
      <c r="I1673" s="1262">
        <f t="shared" si="143"/>
        <v>0</v>
      </c>
      <c r="J1673" s="1084"/>
      <c r="K1673" s="1084"/>
      <c r="L1673" s="1113"/>
      <c r="M1673" s="977">
        <v>320</v>
      </c>
    </row>
    <row r="1674" spans="1:13" s="1086" customFormat="1" ht="25.15" hidden="1" customHeight="1">
      <c r="A1674" s="1156">
        <f t="shared" si="140"/>
        <v>0</v>
      </c>
      <c r="B1674" s="1157" t="s">
        <v>1355</v>
      </c>
      <c r="C1674" s="1157"/>
      <c r="D1674" s="1093"/>
      <c r="E1674" s="1082">
        <f>VLOOKUP($B1674,DG!A:D,DG!$B$2,)</f>
        <v>0</v>
      </c>
      <c r="F1674" s="1111" t="str">
        <f>VLOOKUP($B1674,DG!A:D,DG!$C$2,)&amp;" baét thuøng ÑKÑT"</f>
        <v>Boulon 12x60+ 2 long đền vuông D14-50x50x3/Zn baét thuøng ÑKÑT</v>
      </c>
      <c r="G1674" s="1138" t="str">
        <f>VLOOKUP($B1674,DG!A:D,DG!$D$2,)</f>
        <v>bộ</v>
      </c>
      <c r="H1674" s="1873">
        <f>4*H1650*0</f>
        <v>0</v>
      </c>
      <c r="I1674" s="1262">
        <f t="shared" si="143"/>
        <v>0</v>
      </c>
      <c r="J1674" s="1084"/>
      <c r="K1674" s="1084"/>
      <c r="L1674" s="1113"/>
      <c r="M1674" s="977">
        <v>320</v>
      </c>
    </row>
    <row r="1675" spans="1:13" s="1086" customFormat="1" ht="25.15" hidden="1" customHeight="1">
      <c r="A1675" s="1156">
        <f t="shared" si="140"/>
        <v>0</v>
      </c>
      <c r="B1675" s="1157"/>
      <c r="C1675" s="1157"/>
      <c r="D1675" s="1118"/>
      <c r="E1675" s="1119"/>
      <c r="F1675" s="1108" t="s">
        <v>3751</v>
      </c>
      <c r="G1675" s="1108"/>
      <c r="H1675" s="1897"/>
      <c r="I1675" s="1262">
        <f t="shared" si="143"/>
        <v>0</v>
      </c>
      <c r="J1675" s="1108"/>
      <c r="K1675" s="1108"/>
      <c r="L1675" s="1139"/>
      <c r="M1675" s="977">
        <v>320</v>
      </c>
    </row>
    <row r="1676" spans="1:13" s="1086" customFormat="1" ht="25.15" hidden="1" customHeight="1">
      <c r="A1676" s="1156">
        <f t="shared" si="140"/>
        <v>0</v>
      </c>
      <c r="B1676" s="1157" t="s">
        <v>968</v>
      </c>
      <c r="C1676" s="1157"/>
      <c r="D1676" s="1093"/>
      <c r="E1676" s="1082" t="str">
        <f>VLOOKUP($B1676,DG!A:D,DG!$B$2,)</f>
        <v>02.5114</v>
      </c>
      <c r="F1676" s="1111" t="s">
        <v>3752</v>
      </c>
      <c r="G1676" s="1138" t="str">
        <f>VLOOKUP($B1676,DG!A:D,DG!$D$2,)</f>
        <v>cái</v>
      </c>
      <c r="H1676" s="1873"/>
      <c r="I1676" s="1262">
        <f t="shared" si="143"/>
        <v>0</v>
      </c>
      <c r="J1676" s="1084"/>
      <c r="K1676" s="1084"/>
      <c r="L1676" s="1113" t="s">
        <v>3753</v>
      </c>
      <c r="M1676" s="977">
        <v>320</v>
      </c>
    </row>
    <row r="1677" spans="1:13" s="1086" customFormat="1" ht="25.15" hidden="1" customHeight="1">
      <c r="A1677" s="1156">
        <f t="shared" si="140"/>
        <v>0</v>
      </c>
      <c r="B1677" s="1157" t="s">
        <v>1912</v>
      </c>
      <c r="C1677" s="1157"/>
      <c r="D1677" s="1093"/>
      <c r="E1677" s="1082" t="str">
        <f>VLOOKUP($B1677,DG!A:D,DG!$B$2,)</f>
        <v>05.6011</v>
      </c>
      <c r="F1677" s="1111" t="s">
        <v>2470</v>
      </c>
      <c r="G1677" s="1138" t="str">
        <f>VLOOKUP($B1677,DG!A:D,DG!$D$2,)</f>
        <v>bộ</v>
      </c>
      <c r="H1677" s="1873"/>
      <c r="I1677" s="1262">
        <f t="shared" si="143"/>
        <v>0</v>
      </c>
      <c r="J1677" s="1084"/>
      <c r="K1677" s="1084"/>
      <c r="L1677" s="1085"/>
      <c r="M1677" s="977">
        <v>320</v>
      </c>
    </row>
    <row r="1678" spans="1:13" s="1086" customFormat="1" ht="25.15" hidden="1" customHeight="1">
      <c r="A1678" s="1156">
        <f t="shared" si="140"/>
        <v>0</v>
      </c>
      <c r="B1678" s="1157"/>
      <c r="C1678" s="1157"/>
      <c r="D1678" s="1140"/>
      <c r="E1678" s="1141"/>
      <c r="F1678" s="1108"/>
      <c r="G1678" s="1142"/>
      <c r="H1678" s="1900"/>
      <c r="I1678" s="1262">
        <f t="shared" si="143"/>
        <v>0</v>
      </c>
      <c r="J1678" s="1143"/>
      <c r="K1678" s="1144"/>
      <c r="L1678" s="1110"/>
      <c r="M1678" s="977"/>
    </row>
    <row r="1679" spans="1:13" s="1086" customFormat="1" ht="25.15" hidden="1" customHeight="1">
      <c r="A1679" s="1156">
        <f t="shared" si="140"/>
        <v>0</v>
      </c>
      <c r="B1679" s="1157"/>
      <c r="C1679" s="1157"/>
      <c r="D1679" s="1145"/>
      <c r="F1679" s="1146"/>
      <c r="H1679" s="1902"/>
      <c r="I1679" s="1262">
        <f t="shared" si="143"/>
        <v>0</v>
      </c>
      <c r="M1679" s="977"/>
    </row>
    <row r="1680" spans="1:13" s="1086" customFormat="1" ht="25.15" hidden="1" customHeight="1">
      <c r="A1680" s="1156">
        <f t="shared" si="140"/>
        <v>0</v>
      </c>
      <c r="B1680" s="1353"/>
      <c r="C1680" s="1353"/>
      <c r="D1680" s="983" t="e">
        <f>"BAÛNG TOÅNG HÔÏP VAÄT LIEÄU, NHAÂN COÂNG, MAÙY THI COÂNG : "&amp;#REF!&amp;" TRAÏM 3P_400KVA ÑO ÑEÁM TRUNG THEÁ"</f>
        <v>#REF!</v>
      </c>
      <c r="E1680" s="983"/>
      <c r="F1680" s="983"/>
      <c r="G1680" s="983"/>
      <c r="H1680" s="1894"/>
      <c r="I1680" s="1262">
        <f t="shared" si="143"/>
        <v>0</v>
      </c>
      <c r="J1680" s="1147"/>
      <c r="K1680" s="1147"/>
      <c r="L1680" s="1148"/>
      <c r="M1680" s="977"/>
    </row>
    <row r="1681" spans="1:13" s="1086" customFormat="1" ht="25.15" hidden="1" customHeight="1">
      <c r="A1681" s="1156">
        <f t="shared" si="140"/>
        <v>0</v>
      </c>
      <c r="B1681" s="1327"/>
      <c r="C1681" s="1327"/>
      <c r="D1681" s="1106"/>
      <c r="E1681" s="1107"/>
      <c r="F1681" s="1108" t="s">
        <v>3693</v>
      </c>
      <c r="G1681" s="1109"/>
      <c r="H1681" s="1930"/>
      <c r="I1681" s="1262">
        <f t="shared" si="143"/>
        <v>0</v>
      </c>
      <c r="J1681" s="1109"/>
      <c r="K1681" s="1109"/>
      <c r="L1681" s="1110"/>
      <c r="M1681" s="977">
        <v>400</v>
      </c>
    </row>
    <row r="1682" spans="1:13" s="1086" customFormat="1" ht="25.15" hidden="1" customHeight="1">
      <c r="A1682" s="1156">
        <f t="shared" si="140"/>
        <v>0</v>
      </c>
      <c r="B1682" s="1328" t="s">
        <v>4535</v>
      </c>
      <c r="C1682" s="1328"/>
      <c r="D1682" s="1093">
        <f>IF(H1682&gt;0,1,0)</f>
        <v>0</v>
      </c>
      <c r="E1682" s="1082" t="str">
        <f>VLOOKUP($B1682,DG!A:D,DG!$B$2,)</f>
        <v>01.1146</v>
      </c>
      <c r="F1682" s="1083" t="str">
        <f>VLOOKUP($B1682,DG!A:D,DG!$C$2,)</f>
        <v>Máy biến áp 22/0,4kV- 400kVA</v>
      </c>
      <c r="G1682" s="1082" t="str">
        <f>VLOOKUP($B1682,DG!A:D,DG!$D$2,)</f>
        <v>máy</v>
      </c>
      <c r="H1682" s="1904">
        <f>L13</f>
        <v>0</v>
      </c>
      <c r="I1682" s="1262">
        <f t="shared" si="143"/>
        <v>0</v>
      </c>
      <c r="J1682" s="1111"/>
      <c r="K1682" s="1111"/>
      <c r="L1682" s="1112"/>
      <c r="M1682" s="977">
        <v>400</v>
      </c>
    </row>
    <row r="1683" spans="1:13" s="1086" customFormat="1" ht="25.15" hidden="1" customHeight="1">
      <c r="A1683" s="1156">
        <f t="shared" si="140"/>
        <v>0</v>
      </c>
      <c r="B1683" s="1328" t="s">
        <v>1657</v>
      </c>
      <c r="C1683" s="1328"/>
      <c r="D1683" s="1093">
        <f>IF(H1683&gt;0,D1682+1,D1682)</f>
        <v>0</v>
      </c>
      <c r="E1683" s="1082" t="str">
        <f>VLOOKUP($B1683,DG!A:D,DG!$B$2,)</f>
        <v>02.3155</v>
      </c>
      <c r="F1683" s="1083" t="str">
        <f>VLOOKUP($B1683,DG!A:D,DG!$C$2,)</f>
        <v>FCO 27kV - 100A</v>
      </c>
      <c r="G1683" s="1082" t="str">
        <f>VLOOKUP($B1683,DG!A:D,DG!$D$2,)</f>
        <v>cái</v>
      </c>
      <c r="H1683" s="1873">
        <f>H1682*3</f>
        <v>0</v>
      </c>
      <c r="I1683" s="1262">
        <f t="shared" si="143"/>
        <v>0</v>
      </c>
      <c r="J1683" s="1084"/>
      <c r="K1683" s="1084"/>
      <c r="L1683" s="1113"/>
      <c r="M1683" s="977">
        <v>400</v>
      </c>
    </row>
    <row r="1684" spans="1:13" s="1086" customFormat="1" ht="25.15" hidden="1" customHeight="1">
      <c r="A1684" s="1156">
        <f t="shared" si="140"/>
        <v>0</v>
      </c>
      <c r="B1684" s="1328" t="s">
        <v>4536</v>
      </c>
      <c r="C1684" s="1328"/>
      <c r="D1684" s="1093">
        <f t="shared" ref="D1684:D1690" si="144">IF(H1684&gt;0,D1683+1,D1683)</f>
        <v>0</v>
      </c>
      <c r="E1684" s="1082">
        <f>VLOOKUP($B1684,DG!A:D,DG!$B$2,)</f>
        <v>0</v>
      </c>
      <c r="F1684" s="1083" t="str">
        <f>VLOOKUP($B1684,DG!A:D,DG!$C$2,)</f>
        <v>Dây chảy 15K</v>
      </c>
      <c r="G1684" s="1082" t="str">
        <f>VLOOKUP($B1684,DG!A:D,DG!$D$2,)</f>
        <v>Sợi</v>
      </c>
      <c r="H1684" s="1873">
        <f>H1683</f>
        <v>0</v>
      </c>
      <c r="I1684" s="1262">
        <f t="shared" si="143"/>
        <v>0</v>
      </c>
      <c r="J1684" s="1084"/>
      <c r="K1684" s="1084"/>
      <c r="L1684" s="1113"/>
      <c r="M1684" s="977">
        <v>400</v>
      </c>
    </row>
    <row r="1685" spans="1:13" s="1086" customFormat="1" ht="25.15" hidden="1" customHeight="1">
      <c r="A1685" s="1156">
        <f t="shared" si="140"/>
        <v>0</v>
      </c>
      <c r="B1685" s="1327" t="s">
        <v>1378</v>
      </c>
      <c r="C1685" s="1327"/>
      <c r="D1685" s="1093">
        <f t="shared" si="144"/>
        <v>0</v>
      </c>
      <c r="E1685" s="1082" t="str">
        <f>VLOOKUP($B1685,DG!A:D,DG!$B$2,)</f>
        <v>02.5114</v>
      </c>
      <c r="F1685" s="1083" t="str">
        <f>VLOOKUP($B1685,DG!A:D,DG!$C$2,)</f>
        <v>Chống sét van LA-18KV-10KA</v>
      </c>
      <c r="G1685" s="1082" t="str">
        <f>VLOOKUP($B1685,DG!A:D,DG!$D$2,)</f>
        <v>cái</v>
      </c>
      <c r="H1685" s="1873">
        <f>H1683</f>
        <v>0</v>
      </c>
      <c r="I1685" s="1262">
        <f t="shared" si="143"/>
        <v>0</v>
      </c>
      <c r="J1685" s="1084"/>
      <c r="K1685" s="1084"/>
      <c r="L1685" s="1113"/>
      <c r="M1685" s="977">
        <v>400</v>
      </c>
    </row>
    <row r="1686" spans="1:13" s="1086" customFormat="1" ht="25.15" hidden="1" customHeight="1">
      <c r="A1686" s="1156">
        <f t="shared" si="140"/>
        <v>0</v>
      </c>
      <c r="B1686" s="1328" t="s">
        <v>1467</v>
      </c>
      <c r="C1686" s="1328"/>
      <c r="D1686" s="1093">
        <f t="shared" si="144"/>
        <v>0</v>
      </c>
      <c r="E1686" s="1082" t="str">
        <f>VLOOKUP($B1686,DG!A:D,DG!$B$2,)</f>
        <v>02.8403</v>
      </c>
      <c r="F1686" s="1083" t="str">
        <f>VLOOKUP($B1686,DG!A:D,DG!$C$2,)</f>
        <v>MCCB 3 cực 400V -630A - 35KA</v>
      </c>
      <c r="G1686" s="1082" t="str">
        <f>VLOOKUP($B1686,DG!A:D,DG!$D$2,)</f>
        <v>cái</v>
      </c>
      <c r="H1686" s="1873">
        <f>H1682</f>
        <v>0</v>
      </c>
      <c r="I1686" s="1262">
        <f t="shared" si="143"/>
        <v>0</v>
      </c>
      <c r="J1686" s="1084"/>
      <c r="K1686" s="1084"/>
      <c r="L1686" s="1113"/>
      <c r="M1686" s="977">
        <v>400</v>
      </c>
    </row>
    <row r="1687" spans="1:13" s="1086" customFormat="1" ht="25.15" hidden="1" customHeight="1">
      <c r="A1687" s="1156">
        <f t="shared" si="140"/>
        <v>0</v>
      </c>
      <c r="B1687" s="1328" t="s">
        <v>1466</v>
      </c>
      <c r="C1687" s="1328"/>
      <c r="D1687" s="1093">
        <f t="shared" si="144"/>
        <v>0</v>
      </c>
      <c r="E1687" s="1082" t="str">
        <f>VLOOKUP($B1687,DG!A:D,DG!$B$2,)</f>
        <v>02.8534</v>
      </c>
      <c r="F1687" s="1083" t="str">
        <f>VLOOKUP($B1687,DG!A:D,DG!$C$2,)</f>
        <v>Tủ tụ bù hạ thế 160kVAr</v>
      </c>
      <c r="G1687" s="1082" t="str">
        <f>VLOOKUP($B1687,DG!A:D,DG!$D$2,)</f>
        <v>tủ</v>
      </c>
      <c r="H1687" s="1873">
        <f>H1682</f>
        <v>0</v>
      </c>
      <c r="I1687" s="1262">
        <f t="shared" si="143"/>
        <v>0</v>
      </c>
      <c r="J1687" s="1084"/>
      <c r="K1687" s="1084"/>
      <c r="L1687" s="1113"/>
      <c r="M1687" s="977">
        <v>400</v>
      </c>
    </row>
    <row r="1688" spans="1:13" s="1086" customFormat="1" ht="25.15" hidden="1" customHeight="1">
      <c r="A1688" s="1156">
        <f t="shared" si="140"/>
        <v>0</v>
      </c>
      <c r="B1688" s="1363" t="s">
        <v>64</v>
      </c>
      <c r="C1688" s="1363"/>
      <c r="D1688" s="1093">
        <f t="shared" si="144"/>
        <v>0</v>
      </c>
      <c r="E1688" s="1082">
        <f>VLOOKUP($B1688,DG!A:D,DG!$B$2,)</f>
        <v>0</v>
      </c>
      <c r="F1688" s="1083" t="str">
        <f>VLOOKUP($B1688,DG!A:D,DG!$C$2,)</f>
        <v>Biến dòng 600V - 600/5A</v>
      </c>
      <c r="G1688" s="1082" t="str">
        <f>VLOOKUP($B1688,DG!A:D,DG!$D$2,)</f>
        <v>cái</v>
      </c>
      <c r="H1688" s="1905">
        <f>H1682*3</f>
        <v>0</v>
      </c>
      <c r="I1688" s="1262">
        <f t="shared" si="143"/>
        <v>0</v>
      </c>
      <c r="J1688" s="1084"/>
      <c r="K1688" s="1084"/>
      <c r="L1688" s="1114" t="s">
        <v>2612</v>
      </c>
      <c r="M1688" s="977">
        <v>400</v>
      </c>
    </row>
    <row r="1689" spans="1:13" s="1086" customFormat="1" ht="25.15" hidden="1" customHeight="1">
      <c r="A1689" s="1156">
        <f t="shared" ref="A1689:A1751" si="145">IF(I1689&gt;0,1,0)</f>
        <v>0</v>
      </c>
      <c r="B1689" s="1328" t="s">
        <v>4537</v>
      </c>
      <c r="C1689" s="1328"/>
      <c r="D1689" s="1093">
        <f t="shared" si="144"/>
        <v>0</v>
      </c>
      <c r="E1689" s="1082" t="str">
        <f>VLOOKUP($B1689,DG!A:D,DG!$B$2,)</f>
        <v>02.1114</v>
      </c>
      <c r="F1689" s="1083" t="str">
        <f>VLOOKUP($B1689,DG!A:D,DG!$C$2,)</f>
        <v>Biến điện áp 12000/120(60)V</v>
      </c>
      <c r="G1689" s="1082" t="str">
        <f>VLOOKUP($B1689,DG!A:D,DG!$D$2,)</f>
        <v>cái</v>
      </c>
      <c r="H1689" s="1905"/>
      <c r="I1689" s="1262">
        <f t="shared" si="143"/>
        <v>0</v>
      </c>
      <c r="J1689" s="1084"/>
      <c r="K1689" s="1084"/>
      <c r="L1689" s="1114" t="s">
        <v>2612</v>
      </c>
      <c r="M1689" s="977">
        <v>400</v>
      </c>
    </row>
    <row r="1690" spans="1:13" s="1086" customFormat="1" ht="25.15" hidden="1" customHeight="1">
      <c r="A1690" s="1156">
        <f t="shared" si="145"/>
        <v>0</v>
      </c>
      <c r="B1690" s="1355" t="s">
        <v>1843</v>
      </c>
      <c r="C1690" s="1355"/>
      <c r="D1690" s="1093">
        <f t="shared" si="144"/>
        <v>0</v>
      </c>
      <c r="E1690" s="1082">
        <f>VLOOKUP($B1690,DG!A:D,DG!$B$2,)</f>
        <v>0</v>
      </c>
      <c r="F1690" s="1083" t="str">
        <f>VLOOKUP($B1690,DG!A:D,DG!$C$2,)</f>
        <v>Điện kế 3 pha điện tử 600V-5A</v>
      </c>
      <c r="G1690" s="1082" t="str">
        <f>VLOOKUP($B1690,DG!A:D,DG!$D$2,)</f>
        <v>cái</v>
      </c>
      <c r="H1690" s="1905">
        <f>H1682</f>
        <v>0</v>
      </c>
      <c r="I1690" s="1262">
        <f t="shared" si="143"/>
        <v>0</v>
      </c>
      <c r="J1690" s="1084"/>
      <c r="K1690" s="1084"/>
      <c r="L1690" s="1115" t="s">
        <v>2612</v>
      </c>
      <c r="M1690" s="977">
        <v>400</v>
      </c>
    </row>
    <row r="1691" spans="1:13" s="1086" customFormat="1" ht="25.15" hidden="1" customHeight="1">
      <c r="A1691" s="1156">
        <f t="shared" si="145"/>
        <v>0</v>
      </c>
      <c r="B1691" s="1327"/>
      <c r="C1691" s="1327"/>
      <c r="D1691" s="1116"/>
      <c r="E1691" s="1117"/>
      <c r="F1691" s="1079"/>
      <c r="G1691" s="1116"/>
      <c r="H1691" s="1883"/>
      <c r="I1691" s="1262">
        <f t="shared" si="143"/>
        <v>0</v>
      </c>
      <c r="J1691" s="1079"/>
      <c r="K1691" s="1116"/>
      <c r="L1691" s="1110"/>
      <c r="M1691" s="977">
        <v>400</v>
      </c>
    </row>
    <row r="1692" spans="1:13" s="1086" customFormat="1" ht="25.15" hidden="1" customHeight="1">
      <c r="A1692" s="1156">
        <f t="shared" si="145"/>
        <v>0</v>
      </c>
      <c r="B1692" s="1327"/>
      <c r="C1692" s="1327"/>
      <c r="D1692" s="1118"/>
      <c r="E1692" s="1119"/>
      <c r="F1692" s="1108" t="s">
        <v>3694</v>
      </c>
      <c r="G1692" s="1108"/>
      <c r="H1692" s="1897"/>
      <c r="I1692" s="1262">
        <f t="shared" si="143"/>
        <v>0</v>
      </c>
      <c r="J1692" s="1108"/>
      <c r="K1692" s="1108"/>
      <c r="L1692" s="1110"/>
      <c r="M1692" s="977">
        <v>400</v>
      </c>
    </row>
    <row r="1693" spans="1:13" s="1086" customFormat="1" ht="25.15" hidden="1" customHeight="1">
      <c r="A1693" s="1156">
        <f t="shared" si="145"/>
        <v>0</v>
      </c>
      <c r="B1693" s="1356"/>
      <c r="C1693" s="1356"/>
      <c r="D1693" s="1120">
        <f>IF(H1693&gt;0,1,0)</f>
        <v>0</v>
      </c>
      <c r="E1693" s="1121"/>
      <c r="F1693" s="1122" t="s">
        <v>3732</v>
      </c>
      <c r="G1693" s="1123" t="s">
        <v>2285</v>
      </c>
      <c r="H1693" s="1906">
        <f>H1682*2*0</f>
        <v>0</v>
      </c>
      <c r="I1693" s="1262">
        <f t="shared" si="143"/>
        <v>0</v>
      </c>
      <c r="J1693" s="1124"/>
      <c r="K1693" s="1124"/>
      <c r="L1693" s="1113"/>
      <c r="M1693" s="977">
        <v>400</v>
      </c>
    </row>
    <row r="1694" spans="1:13" s="1086" customFormat="1" ht="25.15" hidden="1" customHeight="1">
      <c r="A1694" s="1156">
        <f t="shared" si="145"/>
        <v>0</v>
      </c>
      <c r="B1694" s="1157" t="s">
        <v>115</v>
      </c>
      <c r="C1694" s="1157"/>
      <c r="D1694" s="1125"/>
      <c r="E1694" s="1082"/>
      <c r="F1694" s="1126" t="str">
        <f>VLOOKUP($B1694,DG!A:D,DG!$C$2,)</f>
        <v>Trụ BTLT 12m F350 dự ứng lực</v>
      </c>
      <c r="G1694" s="1082" t="str">
        <f>VLOOKUP($B1694,DG!A:D,DG!$D$2,)</f>
        <v>trụ</v>
      </c>
      <c r="H1694" s="1907">
        <f>H1693</f>
        <v>0</v>
      </c>
      <c r="I1694" s="1262">
        <f t="shared" si="143"/>
        <v>0</v>
      </c>
      <c r="J1694" s="1111"/>
      <c r="K1694" s="1081"/>
      <c r="L1694" s="1113"/>
      <c r="M1694" s="977">
        <v>400</v>
      </c>
    </row>
    <row r="1695" spans="1:13" s="1086" customFormat="1" ht="25.15" hidden="1" customHeight="1">
      <c r="A1695" s="1156">
        <f t="shared" si="145"/>
        <v>0</v>
      </c>
      <c r="B1695" s="1157" t="s">
        <v>1820</v>
      </c>
      <c r="C1695" s="1157"/>
      <c r="D1695" s="1125"/>
      <c r="E1695" s="1082"/>
      <c r="F1695" s="1126" t="str">
        <f>VLOOKUP($B1695,DG!A:D,DG!$C$2,)</f>
        <v>Vật liệu dựng trụ</v>
      </c>
      <c r="G1695" s="1082" t="str">
        <f>VLOOKUP($B1695,DG!A:D,DG!$D$2,)</f>
        <v>trụ</v>
      </c>
      <c r="H1695" s="1907">
        <f>H1694</f>
        <v>0</v>
      </c>
      <c r="I1695" s="1262">
        <f t="shared" si="143"/>
        <v>0</v>
      </c>
      <c r="J1695" s="1081"/>
      <c r="K1695" s="1081"/>
      <c r="L1695" s="1113"/>
      <c r="M1695" s="977">
        <v>400</v>
      </c>
    </row>
    <row r="1696" spans="1:13" s="1086" customFormat="1" ht="25.15" hidden="1" customHeight="1">
      <c r="A1696" s="1156">
        <f t="shared" si="145"/>
        <v>0</v>
      </c>
      <c r="B1696" s="1157" t="s">
        <v>643</v>
      </c>
      <c r="C1696" s="1157"/>
      <c r="D1696" s="1125"/>
      <c r="E1696" s="1082" t="str">
        <f>VLOOKUP($B1696,DG!A:D,DG!$B$2,)</f>
        <v>04.9203</v>
      </c>
      <c r="F1696" s="1126" t="str">
        <f>VLOOKUP($B1696,DG!A:D,DG!$C$2,)</f>
        <v>Dựng trụ BTLT 12m trong TBA bằng thủ công + cơ giới</v>
      </c>
      <c r="G1696" s="1082" t="str">
        <f>VLOOKUP($B1696,DG!A:D,DG!$D$2,)</f>
        <v>trụ</v>
      </c>
      <c r="H1696" s="1907">
        <f>H1694</f>
        <v>0</v>
      </c>
      <c r="I1696" s="1262">
        <f t="shared" si="143"/>
        <v>0</v>
      </c>
      <c r="J1696" s="1111"/>
      <c r="K1696" s="1111"/>
      <c r="L1696" s="1113"/>
      <c r="M1696" s="977">
        <v>400</v>
      </c>
    </row>
    <row r="1697" spans="1:13" s="1086" customFormat="1" ht="25.15" hidden="1" customHeight="1">
      <c r="A1697" s="1156">
        <f t="shared" si="145"/>
        <v>0</v>
      </c>
      <c r="B1697" s="1356"/>
      <c r="C1697" s="1356"/>
      <c r="D1697" s="1120">
        <f>IF(H1697&gt;0,1,0)</f>
        <v>0</v>
      </c>
      <c r="E1697" s="1121"/>
      <c r="F1697" s="1122" t="s">
        <v>3733</v>
      </c>
      <c r="G1697" s="1123" t="s">
        <v>2285</v>
      </c>
      <c r="H1697" s="1906">
        <f>H1682*2*0</f>
        <v>0</v>
      </c>
      <c r="I1697" s="1262">
        <f t="shared" si="143"/>
        <v>0</v>
      </c>
      <c r="J1697" s="1124"/>
      <c r="K1697" s="1124"/>
      <c r="L1697" s="1085"/>
      <c r="M1697" s="977">
        <v>400</v>
      </c>
    </row>
    <row r="1698" spans="1:13" s="1086" customFormat="1" ht="25.15" hidden="1" customHeight="1">
      <c r="A1698" s="1156">
        <f t="shared" si="145"/>
        <v>0</v>
      </c>
      <c r="B1698" s="1157" t="s">
        <v>114</v>
      </c>
      <c r="C1698" s="1157"/>
      <c r="D1698" s="1125"/>
      <c r="E1698" s="1082"/>
      <c r="F1698" s="1126" t="str">
        <f>VLOOKUP($B1698,DG!A:D,DG!$C$2,)</f>
        <v>Trụ BTLT 10,5m F350 dự ứng lực</v>
      </c>
      <c r="G1698" s="1082" t="str">
        <f>VLOOKUP($B1698,DG!A:D,DG!$D$2,)</f>
        <v>trụ</v>
      </c>
      <c r="H1698" s="1907">
        <f>H1697</f>
        <v>0</v>
      </c>
      <c r="I1698" s="1262">
        <f t="shared" si="143"/>
        <v>0</v>
      </c>
      <c r="J1698" s="1111"/>
      <c r="K1698" s="1081"/>
      <c r="L1698" s="1085"/>
      <c r="M1698" s="977">
        <v>400</v>
      </c>
    </row>
    <row r="1699" spans="1:13" s="1086" customFormat="1" ht="25.15" hidden="1" customHeight="1">
      <c r="A1699" s="1156">
        <f t="shared" si="145"/>
        <v>0</v>
      </c>
      <c r="B1699" s="1157" t="s">
        <v>1820</v>
      </c>
      <c r="C1699" s="1157"/>
      <c r="D1699" s="1125"/>
      <c r="E1699" s="1082"/>
      <c r="F1699" s="1126" t="str">
        <f>VLOOKUP($B1699,DG!A:D,DG!$C$2,)</f>
        <v>Vật liệu dựng trụ</v>
      </c>
      <c r="G1699" s="1082" t="str">
        <f>VLOOKUP($B1699,DG!A:D,DG!$D$2,)</f>
        <v>trụ</v>
      </c>
      <c r="H1699" s="1907">
        <f>H1698</f>
        <v>0</v>
      </c>
      <c r="I1699" s="1262">
        <f t="shared" si="143"/>
        <v>0</v>
      </c>
      <c r="J1699" s="1081"/>
      <c r="K1699" s="1081"/>
      <c r="L1699" s="1085"/>
      <c r="M1699" s="977">
        <v>400</v>
      </c>
    </row>
    <row r="1700" spans="1:13" s="1086" customFormat="1" ht="25.15" hidden="1" customHeight="1">
      <c r="A1700" s="1156">
        <f t="shared" si="145"/>
        <v>0</v>
      </c>
      <c r="B1700" s="1157" t="s">
        <v>644</v>
      </c>
      <c r="C1700" s="1157"/>
      <c r="D1700" s="1125"/>
      <c r="E1700" s="1082" t="str">
        <f>VLOOKUP($B1700,DG!A:D,DG!$B$2,)</f>
        <v>04.9203</v>
      </c>
      <c r="F1700" s="1126" t="str">
        <f>VLOOKUP($B1700,DG!A:D,DG!$C$2,)</f>
        <v>Dựng trụ BTLT 10,5m trong TBA bằng thủ công + cơ giới</v>
      </c>
      <c r="G1700" s="1082" t="str">
        <f>VLOOKUP($B1700,DG!A:D,DG!$D$2,)</f>
        <v>trụ</v>
      </c>
      <c r="H1700" s="1907">
        <f>H1698</f>
        <v>0</v>
      </c>
      <c r="I1700" s="1262">
        <f t="shared" si="143"/>
        <v>0</v>
      </c>
      <c r="J1700" s="1111"/>
      <c r="K1700" s="1111"/>
      <c r="L1700" s="1085"/>
      <c r="M1700" s="977">
        <v>400</v>
      </c>
    </row>
    <row r="1701" spans="1:13" s="1086" customFormat="1" ht="25.15" hidden="1" customHeight="1">
      <c r="A1701" s="1156">
        <f t="shared" si="145"/>
        <v>0</v>
      </c>
      <c r="B1701" s="1357"/>
      <c r="C1701" s="1357"/>
      <c r="D1701" s="1087">
        <f>IF(H1701&gt;0,D1693+1,D1693)</f>
        <v>0</v>
      </c>
      <c r="E1701" s="1121"/>
      <c r="F1701" s="1122" t="s">
        <v>2361</v>
      </c>
      <c r="G1701" s="1123" t="s">
        <v>2336</v>
      </c>
      <c r="H1701" s="1906">
        <f>H1693</f>
        <v>0</v>
      </c>
      <c r="I1701" s="1262">
        <f t="shared" si="143"/>
        <v>0</v>
      </c>
      <c r="J1701" s="1081"/>
      <c r="K1701" s="1081"/>
      <c r="L1701" s="1113"/>
      <c r="M1701" s="977">
        <v>400</v>
      </c>
    </row>
    <row r="1702" spans="1:13" s="1086" customFormat="1" ht="25.15" hidden="1" customHeight="1">
      <c r="A1702" s="1156">
        <f t="shared" si="145"/>
        <v>0</v>
      </c>
      <c r="B1702" s="1334" t="s">
        <v>636</v>
      </c>
      <c r="C1702" s="1334"/>
      <c r="D1702" s="1125"/>
      <c r="E1702" s="1082" t="str">
        <f>VLOOKUP($B1702,DG!A:D,DG!$B$2,)</f>
        <v>04.4001</v>
      </c>
      <c r="F1702" s="1127" t="str">
        <f>VLOOKUP($B1702,DG!A:D,DG!$C$2,)</f>
        <v>Đà cản BTCT 1,2m</v>
      </c>
      <c r="G1702" s="1094" t="str">
        <f>VLOOKUP($B1702,DG!A:D,DG!$D$2,)</f>
        <v>cái</v>
      </c>
      <c r="H1702" s="1907">
        <f>H1701</f>
        <v>0</v>
      </c>
      <c r="I1702" s="1262">
        <f t="shared" si="143"/>
        <v>0</v>
      </c>
      <c r="J1702" s="1111"/>
      <c r="K1702" s="1081"/>
      <c r="L1702" s="1113"/>
      <c r="M1702" s="977">
        <v>400</v>
      </c>
    </row>
    <row r="1703" spans="1:13" s="1086" customFormat="1" ht="25.15" hidden="1" customHeight="1">
      <c r="A1703" s="1156">
        <f t="shared" si="145"/>
        <v>0</v>
      </c>
      <c r="B1703" s="1334" t="s">
        <v>566</v>
      </c>
      <c r="C1703" s="1334"/>
      <c r="D1703" s="1125"/>
      <c r="E1703" s="1094"/>
      <c r="F1703" s="1127" t="str">
        <f>VLOOKUP($B1703,DG!A:D,DG!$C$2,)</f>
        <v>Boulon 22x650+ 2 long đền vuông D24-50x50x3/Zn</v>
      </c>
      <c r="G1703" s="1094" t="str">
        <f>VLOOKUP($B1703,DG!A:D,DG!$D$2,)</f>
        <v>bộ</v>
      </c>
      <c r="H1703" s="1907">
        <f>H1702</f>
        <v>0</v>
      </c>
      <c r="I1703" s="1262">
        <f t="shared" si="143"/>
        <v>0</v>
      </c>
      <c r="J1703" s="1127"/>
      <c r="K1703" s="1081"/>
      <c r="L1703" s="1113"/>
      <c r="M1703" s="977">
        <v>400</v>
      </c>
    </row>
    <row r="1704" spans="1:13" s="1086" customFormat="1" ht="25.15" hidden="1" customHeight="1">
      <c r="A1704" s="1156">
        <f t="shared" si="145"/>
        <v>0</v>
      </c>
      <c r="B1704" s="1334" t="str">
        <f>IF(chitiet!G5=1,"MDD1",IF(chitiet!G5=2,"MDD2",IF(chitiet!G5=3,"MDD3",IF(chitiet!G5=4,"MDD4"))))</f>
        <v>MDD3</v>
      </c>
      <c r="C1704" s="1334"/>
      <c r="D1704" s="1125"/>
      <c r="E1704" s="1094" t="str">
        <f>VLOOKUP($B1704,DG!A:D,DG!$B$2,)</f>
        <v>03.1013</v>
      </c>
      <c r="F1704" s="1127" t="str">
        <f>VLOOKUP($B1704,DG!A:D,DG!$C$2,)</f>
        <v>Đào hố móng đất cấp 3 sâu &gt;1m</v>
      </c>
      <c r="G1704" s="1094" t="str">
        <f>VLOOKUP($B1704,DG!A:D,DG!$D$2,)</f>
        <v>m3</v>
      </c>
      <c r="H1704" s="1908">
        <f>1.45*H1702</f>
        <v>0</v>
      </c>
      <c r="I1704" s="1262">
        <f t="shared" si="143"/>
        <v>0</v>
      </c>
      <c r="J1704" s="1128"/>
      <c r="K1704" s="1081"/>
      <c r="L1704" s="1113"/>
      <c r="M1704" s="977">
        <v>400</v>
      </c>
    </row>
    <row r="1705" spans="1:13" s="1086" customFormat="1" ht="25.15" hidden="1" customHeight="1">
      <c r="A1705" s="1156">
        <f t="shared" si="145"/>
        <v>0</v>
      </c>
      <c r="B1705" s="1334" t="str">
        <f>IF(chitiet!G5=1,"MDAP1",IF(chitiet!G5=2,"MDAP2",IF(chitiet!G5=3,"MDAP3",IF(chitiet!G5=4,"MDAP4"))))</f>
        <v>MDAP3</v>
      </c>
      <c r="C1705" s="1334"/>
      <c r="D1705" s="1125"/>
      <c r="E1705" s="1094" t="str">
        <f>VLOOKUP($B1705,DG!A:D,DG!$B$2,)</f>
        <v>03.4113</v>
      </c>
      <c r="F1705" s="1127" t="str">
        <f>VLOOKUP($B1705,DG!A:D,DG!$C$2,)</f>
        <v>Đắp đất hố móng, độ chặt k=0,95</v>
      </c>
      <c r="G1705" s="1094" t="str">
        <f>VLOOKUP($B1705,DG!A:D,DG!$D$2,)</f>
        <v>m3</v>
      </c>
      <c r="H1705" s="1908">
        <f>1.37*H1701</f>
        <v>0</v>
      </c>
      <c r="I1705" s="1262">
        <f t="shared" si="143"/>
        <v>0</v>
      </c>
      <c r="J1705" s="1128"/>
      <c r="K1705" s="1081"/>
      <c r="L1705" s="1113"/>
      <c r="M1705" s="977">
        <v>400</v>
      </c>
    </row>
    <row r="1706" spans="1:13" s="1086" customFormat="1" ht="25.15" hidden="1" customHeight="1">
      <c r="A1706" s="1156">
        <f t="shared" si="145"/>
        <v>0</v>
      </c>
      <c r="B1706" s="1357"/>
      <c r="C1706" s="1357"/>
      <c r="D1706" s="1087">
        <f>IF(H1706&gt;0,D1698+1,D1698)</f>
        <v>0</v>
      </c>
      <c r="E1706" s="1121"/>
      <c r="F1706" s="1122" t="s">
        <v>3734</v>
      </c>
      <c r="G1706" s="1123" t="s">
        <v>2336</v>
      </c>
      <c r="H1706" s="1906">
        <f>H1697*0</f>
        <v>0</v>
      </c>
      <c r="I1706" s="1262">
        <f t="shared" si="143"/>
        <v>0</v>
      </c>
      <c r="J1706" s="1081"/>
      <c r="K1706" s="1081"/>
      <c r="L1706" s="1085"/>
      <c r="M1706" s="977">
        <v>400</v>
      </c>
    </row>
    <row r="1707" spans="1:13" s="1086" customFormat="1" ht="25.15" hidden="1" customHeight="1">
      <c r="A1707" s="1156">
        <f t="shared" si="145"/>
        <v>0</v>
      </c>
      <c r="B1707" s="1334" t="s">
        <v>636</v>
      </c>
      <c r="C1707" s="1334"/>
      <c r="D1707" s="1125"/>
      <c r="E1707" s="1082" t="str">
        <f>VLOOKUP($B1707,DG!A:D,DG!$B$2,)</f>
        <v>04.4001</v>
      </c>
      <c r="F1707" s="1127" t="str">
        <f>VLOOKUP($B1707,DG!A:D,DG!$C$2,)</f>
        <v>Đà cản BTCT 1,2m</v>
      </c>
      <c r="G1707" s="1094" t="str">
        <f>VLOOKUP($B1707,DG!A:D,DG!$D$2,)</f>
        <v>cái</v>
      </c>
      <c r="H1707" s="1907">
        <f>H1706</f>
        <v>0</v>
      </c>
      <c r="I1707" s="1262">
        <f t="shared" si="143"/>
        <v>0</v>
      </c>
      <c r="J1707" s="1111"/>
      <c r="K1707" s="1081"/>
      <c r="L1707" s="1085"/>
      <c r="M1707" s="977">
        <v>400</v>
      </c>
    </row>
    <row r="1708" spans="1:13" s="1086" customFormat="1" ht="25.15" hidden="1" customHeight="1">
      <c r="A1708" s="1156">
        <f t="shared" si="145"/>
        <v>0</v>
      </c>
      <c r="B1708" s="1334" t="s">
        <v>566</v>
      </c>
      <c r="C1708" s="1334"/>
      <c r="D1708" s="1125"/>
      <c r="E1708" s="1094"/>
      <c r="F1708" s="1127" t="str">
        <f>VLOOKUP($B1708,DG!A:D,DG!$C$2,)</f>
        <v>Boulon 22x650+ 2 long đền vuông D24-50x50x3/Zn</v>
      </c>
      <c r="G1708" s="1094" t="str">
        <f>VLOOKUP($B1708,DG!A:D,DG!$D$2,)</f>
        <v>bộ</v>
      </c>
      <c r="H1708" s="1907">
        <f>H1707</f>
        <v>0</v>
      </c>
      <c r="I1708" s="1262">
        <f t="shared" si="143"/>
        <v>0</v>
      </c>
      <c r="J1708" s="1127"/>
      <c r="K1708" s="1081"/>
      <c r="L1708" s="1085"/>
      <c r="M1708" s="977">
        <v>400</v>
      </c>
    </row>
    <row r="1709" spans="1:13" s="1086" customFormat="1" ht="25.15" hidden="1" customHeight="1">
      <c r="A1709" s="1156">
        <f t="shared" si="145"/>
        <v>0</v>
      </c>
      <c r="B1709" s="1334" t="str">
        <f>IF(chitiet!G5=1,"MDD1",IF(chitiet!G5=2,"MDD2",IF(chitiet!G5=3,"MDD3",IF(chitiet!G5=4,"MDD4"))))</f>
        <v>MDD3</v>
      </c>
      <c r="C1709" s="1334"/>
      <c r="D1709" s="1125"/>
      <c r="E1709" s="1094" t="str">
        <f>VLOOKUP($B1709,DG!A:D,DG!$B$2,)</f>
        <v>03.1013</v>
      </c>
      <c r="F1709" s="1127" t="str">
        <f>VLOOKUP($B1709,DG!A:D,DG!$C$2,)</f>
        <v>Đào hố móng đất cấp 3 sâu &gt;1m</v>
      </c>
      <c r="G1709" s="1094" t="str">
        <f>VLOOKUP($B1709,DG!A:D,DG!$D$2,)</f>
        <v>m3</v>
      </c>
      <c r="H1709" s="1908">
        <f>1.48*H1707</f>
        <v>0</v>
      </c>
      <c r="I1709" s="1262">
        <f t="shared" si="143"/>
        <v>0</v>
      </c>
      <c r="J1709" s="1128"/>
      <c r="K1709" s="1081"/>
      <c r="L1709" s="1085"/>
      <c r="M1709" s="977">
        <v>400</v>
      </c>
    </row>
    <row r="1710" spans="1:13" s="1086" customFormat="1" ht="25.15" hidden="1" customHeight="1">
      <c r="A1710" s="1156">
        <f t="shared" si="145"/>
        <v>0</v>
      </c>
      <c r="B1710" s="1334" t="str">
        <f>IF(chitiet!G5=1,"MDAP1",IF(chitiet!G5=2,"MDAP2",IF(chitiet!G5=3,"MDAP3",IF(chitiet!G5=4,"MDAP4"))))</f>
        <v>MDAP3</v>
      </c>
      <c r="C1710" s="1334"/>
      <c r="D1710" s="1125"/>
      <c r="E1710" s="1094" t="str">
        <f>VLOOKUP($B1710,DG!A:D,DG!$B$2,)</f>
        <v>03.4113</v>
      </c>
      <c r="F1710" s="1127" t="str">
        <f>VLOOKUP($B1710,DG!A:D,DG!$C$2,)</f>
        <v>Đắp đất hố móng, độ chặt k=0,95</v>
      </c>
      <c r="G1710" s="1094" t="str">
        <f>VLOOKUP($B1710,DG!A:D,DG!$D$2,)</f>
        <v>m3</v>
      </c>
      <c r="H1710" s="1908">
        <f>1.39*H1706</f>
        <v>0</v>
      </c>
      <c r="I1710" s="1262">
        <f t="shared" si="143"/>
        <v>0</v>
      </c>
      <c r="J1710" s="1128"/>
      <c r="K1710" s="1081"/>
      <c r="L1710" s="1085"/>
      <c r="M1710" s="977">
        <v>400</v>
      </c>
    </row>
    <row r="1711" spans="1:13" s="1086" customFormat="1" ht="25.15" hidden="1" customHeight="1">
      <c r="A1711" s="1156">
        <f t="shared" si="145"/>
        <v>0</v>
      </c>
      <c r="B1711" s="1327"/>
      <c r="C1711" s="1327"/>
      <c r="D1711" s="1087">
        <f>IF(H1711&gt;0,D1701+1,D1701)</f>
        <v>0</v>
      </c>
      <c r="E1711" s="1129"/>
      <c r="F1711" s="1122" t="s">
        <v>3735</v>
      </c>
      <c r="G1711" s="1120" t="s">
        <v>2394</v>
      </c>
      <c r="H1711" s="1909">
        <f>H1682*1</f>
        <v>0</v>
      </c>
      <c r="I1711" s="1262">
        <f t="shared" si="143"/>
        <v>0</v>
      </c>
      <c r="J1711" s="1130"/>
      <c r="K1711" s="1130"/>
      <c r="L1711" s="1085"/>
      <c r="M1711" s="977">
        <v>400</v>
      </c>
    </row>
    <row r="1712" spans="1:13" s="1086" customFormat="1" ht="25.15" hidden="1" customHeight="1">
      <c r="A1712" s="1156">
        <f>IF(A1711&gt;0,1,0)</f>
        <v>0</v>
      </c>
      <c r="B1712" s="1327"/>
      <c r="C1712" s="1327"/>
      <c r="D1712" s="1081"/>
      <c r="E1712" s="1131"/>
      <c r="F1712" s="1370" t="s">
        <v>2287</v>
      </c>
      <c r="G1712" s="1093"/>
      <c r="H1712" s="1873"/>
      <c r="I1712" s="1262">
        <f t="shared" si="143"/>
        <v>0</v>
      </c>
      <c r="J1712" s="1132"/>
      <c r="K1712" s="1132"/>
      <c r="L1712" s="1085"/>
      <c r="M1712" s="977">
        <v>400</v>
      </c>
    </row>
    <row r="1713" spans="1:13" s="1086" customFormat="1" ht="25.15" hidden="1" customHeight="1">
      <c r="A1713" s="1156">
        <f t="shared" si="145"/>
        <v>0</v>
      </c>
      <c r="B1713" s="1363" t="s">
        <v>1413</v>
      </c>
      <c r="C1713" s="1363"/>
      <c r="D1713" s="1081"/>
      <c r="E1713" s="1094" t="str">
        <f>VLOOKUP($B1713,DG!A:D,DG!$B$2,)</f>
        <v>05.6105</v>
      </c>
      <c r="F1713" s="1083" t="str">
        <f>VLOOKUP($B1713,DG!A:D,DG!$C$2,)&amp;": 2 cái"</f>
        <v>Đà U200x80x5x2800 đỡ MBA: 2 cái</v>
      </c>
      <c r="G1713" s="1082" t="str">
        <f>VLOOKUP($B1713,DG!A:D,DG!$D$2,)</f>
        <v>cái</v>
      </c>
      <c r="H1713" s="1873">
        <f>52.049*H1711*2</f>
        <v>0</v>
      </c>
      <c r="I1713" s="1262">
        <f t="shared" si="143"/>
        <v>0</v>
      </c>
      <c r="J1713" s="1111"/>
      <c r="K1713" s="1111"/>
      <c r="L1713" s="1085"/>
      <c r="M1713" s="977">
        <v>400</v>
      </c>
    </row>
    <row r="1714" spans="1:13" s="1086" customFormat="1" ht="25.15" hidden="1" customHeight="1">
      <c r="A1714" s="1156">
        <f t="shared" si="145"/>
        <v>0</v>
      </c>
      <c r="B1714" s="1157" t="s">
        <v>1139</v>
      </c>
      <c r="C1714" s="1157"/>
      <c r="D1714" s="1081"/>
      <c r="E1714" s="1094" t="str">
        <f>VLOOKUP($B1714,DG!A:D,DG!$B$2,)</f>
        <v>05.6101</v>
      </c>
      <c r="F1714" s="1083" t="str">
        <f>VLOOKUP($B1714,DG!A:D,DG!$C$2,)&amp;": 4 cái"</f>
        <v>Đà U100x46x4.5x400 : 4 cái</v>
      </c>
      <c r="G1714" s="1082" t="str">
        <f>VLOOKUP($B1714,DG!A:D,DG!$D$2,)</f>
        <v>cái</v>
      </c>
      <c r="H1714" s="1873">
        <f>H1711*2.713*4</f>
        <v>0</v>
      </c>
      <c r="I1714" s="1262">
        <f t="shared" si="143"/>
        <v>0</v>
      </c>
      <c r="J1714" s="1111"/>
      <c r="K1714" s="1111"/>
      <c r="L1714" s="1085"/>
      <c r="M1714" s="977">
        <v>400</v>
      </c>
    </row>
    <row r="1715" spans="1:13" s="1086" customFormat="1" ht="25.15" hidden="1" customHeight="1">
      <c r="A1715" s="1156">
        <f t="shared" si="145"/>
        <v>0</v>
      </c>
      <c r="B1715" s="1157" t="s">
        <v>1140</v>
      </c>
      <c r="C1715" s="1157"/>
      <c r="D1715" s="1081"/>
      <c r="E1715" s="1094" t="str">
        <f>VLOOKUP($B1715,DG!A:D,DG!$B$2,)</f>
        <v>05.6101</v>
      </c>
      <c r="F1715" s="1083" t="str">
        <f>VLOOKUP($B1715,DG!A:D,DG!$C$2,)&amp;": 2 cái"</f>
        <v>Đà U100x46x5x800 : 2 cái</v>
      </c>
      <c r="G1715" s="1082" t="str">
        <f>VLOOKUP($B1715,DG!A:D,DG!$D$2,)</f>
        <v>cái</v>
      </c>
      <c r="H1715" s="1873">
        <f>H1711*5.426*2</f>
        <v>0</v>
      </c>
      <c r="I1715" s="1262">
        <f t="shared" ref="I1715:I1778" si="146">IF(M1715=$M$23,H1715+J1715-K1715,0)</f>
        <v>0</v>
      </c>
      <c r="J1715" s="1111"/>
      <c r="K1715" s="1111"/>
      <c r="L1715" s="1085"/>
      <c r="M1715" s="977">
        <v>400</v>
      </c>
    </row>
    <row r="1716" spans="1:13" s="1086" customFormat="1" ht="25.15" hidden="1" customHeight="1">
      <c r="A1716" s="1156">
        <f t="shared" si="145"/>
        <v>0</v>
      </c>
      <c r="B1716" s="1327" t="s">
        <v>2250</v>
      </c>
      <c r="C1716" s="1327"/>
      <c r="D1716" s="1081"/>
      <c r="E1716" s="1094" t="str">
        <f>VLOOKUP($B1716,DG!A:D,DG!$B$2,)</f>
        <v>05.6044</v>
      </c>
      <c r="F1716" s="1083" t="str">
        <f>VLOOKUP($B1716,DG!A:D,DG!$C$2,)</f>
        <v>Lắp xà cột Pi loại ≤140kg/xà</v>
      </c>
      <c r="G1716" s="1094" t="str">
        <f>VLOOKUP($B1716,DG!A:D,DG!$D$2,)</f>
        <v>bộ</v>
      </c>
      <c r="H1716" s="1873">
        <f>H1711</f>
        <v>0</v>
      </c>
      <c r="I1716" s="1262">
        <f t="shared" si="146"/>
        <v>0</v>
      </c>
      <c r="J1716" s="1111"/>
      <c r="K1716" s="1111"/>
      <c r="L1716" s="1085"/>
      <c r="M1716" s="977">
        <v>400</v>
      </c>
    </row>
    <row r="1717" spans="1:13" s="1086" customFormat="1" ht="25.15" hidden="1" customHeight="1">
      <c r="A1717" s="1156">
        <f t="shared" si="145"/>
        <v>0</v>
      </c>
      <c r="B1717" s="1327" t="s">
        <v>1787</v>
      </c>
      <c r="C1717" s="1327"/>
      <c r="D1717" s="1081"/>
      <c r="E1717" s="1094">
        <f>VLOOKUP($B1717,DG!A:D,DG!$B$2,)</f>
        <v>0</v>
      </c>
      <c r="F1717" s="1083" t="str">
        <f>VLOOKUP($B1717,DG!A:D,DG!$C$2,)</f>
        <v>Boulon 16x400VRS+ 4 long đền vuông D18-50x50x3/Zn</v>
      </c>
      <c r="G1717" s="1082" t="str">
        <f>VLOOKUP($B1717,DG!A:D,DG!$D$2,)</f>
        <v>bộ</v>
      </c>
      <c r="H1717" s="1873">
        <f>H1711*10</f>
        <v>0</v>
      </c>
      <c r="I1717" s="1262">
        <f t="shared" si="146"/>
        <v>0</v>
      </c>
      <c r="J1717" s="1111"/>
      <c r="K1717" s="1111"/>
      <c r="L1717" s="1085"/>
      <c r="M1717" s="977">
        <v>400</v>
      </c>
    </row>
    <row r="1718" spans="1:13" s="1086" customFormat="1" ht="25.15" hidden="1" customHeight="1">
      <c r="A1718" s="1156">
        <f t="shared" si="145"/>
        <v>0</v>
      </c>
      <c r="B1718" s="1327" t="s">
        <v>1085</v>
      </c>
      <c r="C1718" s="1327"/>
      <c r="D1718" s="1081"/>
      <c r="E1718" s="1094">
        <f>VLOOKUP($B1718,DG!A:D,DG!$B$2,)</f>
        <v>0</v>
      </c>
      <c r="F1718" s="1083" t="str">
        <f>VLOOKUP($B1718,DG!A:D,DG!$C$2,)</f>
        <v>Boulon 16x400+ 2 long đền vuông D18-50x50x3/Zn</v>
      </c>
      <c r="G1718" s="1082" t="str">
        <f>VLOOKUP($B1718,DG!A:D,DG!$D$2,)</f>
        <v>bộ</v>
      </c>
      <c r="H1718" s="1873">
        <f>H1711*2</f>
        <v>0</v>
      </c>
      <c r="I1718" s="1262">
        <f t="shared" si="146"/>
        <v>0</v>
      </c>
      <c r="J1718" s="1111"/>
      <c r="K1718" s="1111"/>
      <c r="L1718" s="1085"/>
      <c r="M1718" s="977">
        <v>400</v>
      </c>
    </row>
    <row r="1719" spans="1:13" s="1086" customFormat="1" ht="25.15" hidden="1" customHeight="1">
      <c r="A1719" s="1156">
        <f t="shared" si="145"/>
        <v>0</v>
      </c>
      <c r="B1719" s="1327" t="s">
        <v>1081</v>
      </c>
      <c r="C1719" s="1327"/>
      <c r="D1719" s="1081"/>
      <c r="E1719" s="1094">
        <f>VLOOKUP($B1719,DG!A:D,DG!$B$2,)</f>
        <v>0</v>
      </c>
      <c r="F1719" s="1083" t="str">
        <f>VLOOKUP($B1719,DG!A:D,DG!$C$2,)</f>
        <v>Boulon 16x350+ 2 long đền vuông D18-50x50x3/Zn</v>
      </c>
      <c r="G1719" s="1082" t="str">
        <f>VLOOKUP($B1719,DG!A:D,DG!$D$2,)</f>
        <v>bộ</v>
      </c>
      <c r="H1719" s="1873">
        <f>H1711*12</f>
        <v>0</v>
      </c>
      <c r="I1719" s="1262">
        <f t="shared" si="146"/>
        <v>0</v>
      </c>
      <c r="J1719" s="1111"/>
      <c r="K1719" s="1111"/>
      <c r="L1719" s="1085"/>
      <c r="M1719" s="977">
        <v>400</v>
      </c>
    </row>
    <row r="1720" spans="1:13" s="1086" customFormat="1" ht="25.15" hidden="1" customHeight="1">
      <c r="A1720" s="1156">
        <f t="shared" si="145"/>
        <v>0</v>
      </c>
      <c r="B1720" s="1327"/>
      <c r="C1720" s="1327"/>
      <c r="D1720" s="1087">
        <f>IF(H1720&gt;0,D1711+1,D1711)</f>
        <v>0</v>
      </c>
      <c r="E1720" s="1088"/>
      <c r="F1720" s="1133" t="s">
        <v>3764</v>
      </c>
      <c r="G1720" s="1087" t="s">
        <v>2394</v>
      </c>
      <c r="H1720" s="1889"/>
      <c r="I1720" s="1262">
        <f t="shared" si="146"/>
        <v>0</v>
      </c>
      <c r="J1720" s="1134"/>
      <c r="K1720" s="1134"/>
      <c r="L1720" s="1085"/>
      <c r="M1720" s="977">
        <v>400</v>
      </c>
    </row>
    <row r="1721" spans="1:13" s="1086" customFormat="1" ht="25.15" hidden="1" customHeight="1">
      <c r="A1721" s="1156">
        <f>IF(A1720&gt;0,1,0)</f>
        <v>0</v>
      </c>
      <c r="B1721" s="1327"/>
      <c r="C1721" s="1327"/>
      <c r="D1721" s="1081"/>
      <c r="E1721" s="1094"/>
      <c r="F1721" s="1370" t="s">
        <v>2287</v>
      </c>
      <c r="G1721" s="1093"/>
      <c r="H1721" s="1873"/>
      <c r="I1721" s="1262">
        <f t="shared" si="146"/>
        <v>0</v>
      </c>
      <c r="J1721" s="1134"/>
      <c r="K1721" s="1134"/>
      <c r="L1721" s="1085"/>
      <c r="M1721" s="977">
        <v>400</v>
      </c>
    </row>
    <row r="1722" spans="1:13" s="1086" customFormat="1" ht="25.15" hidden="1" customHeight="1">
      <c r="A1722" s="1156">
        <f t="shared" si="145"/>
        <v>0</v>
      </c>
      <c r="B1722" s="1334" t="s">
        <v>2028</v>
      </c>
      <c r="C1722" s="1334"/>
      <c r="D1722" s="1081"/>
      <c r="E1722" s="1094">
        <f>VLOOKUP($B1722,DG!A:D,DG!$B$2,)</f>
        <v>0</v>
      </c>
      <c r="F1722" s="1083" t="str">
        <f>VLOOKUP($B1722,DG!A:D,DG!$C$2,)</f>
        <v>Sắt góc L75 x75 x8</v>
      </c>
      <c r="G1722" s="1094" t="str">
        <f>VLOOKUP($B1722,DG!A:D,DG!$D$2,)</f>
        <v>kg</v>
      </c>
      <c r="H1722" s="1873"/>
      <c r="I1722" s="1262">
        <f t="shared" si="146"/>
        <v>0</v>
      </c>
      <c r="J1722" s="1111"/>
      <c r="K1722" s="1111"/>
      <c r="L1722" s="1085"/>
      <c r="M1722" s="977">
        <v>400</v>
      </c>
    </row>
    <row r="1723" spans="1:13" s="1086" customFormat="1" ht="25.15" hidden="1" customHeight="1">
      <c r="A1723" s="1156">
        <f t="shared" si="145"/>
        <v>0</v>
      </c>
      <c r="B1723" s="1327" t="s">
        <v>1790</v>
      </c>
      <c r="C1723" s="1327"/>
      <c r="D1723" s="1081"/>
      <c r="E1723" s="1094">
        <f>VLOOKUP($B1723,DG!A:D,DG!$B$2,)</f>
        <v>0</v>
      </c>
      <c r="F1723" s="1083" t="str">
        <f>VLOOKUP($B1723,DG!A:D,DG!$C$2,)</f>
        <v>Boulon 16x300VRS+ 4 long đền vuông D18-50x50x3/Zn</v>
      </c>
      <c r="G1723" s="1094" t="str">
        <f>VLOOKUP($B1723,DG!A:D,DG!$D$2,)</f>
        <v>bộ</v>
      </c>
      <c r="H1723" s="1873">
        <f>H1720*2</f>
        <v>0</v>
      </c>
      <c r="I1723" s="1262">
        <f t="shared" si="146"/>
        <v>0</v>
      </c>
      <c r="J1723" s="1111"/>
      <c r="K1723" s="1111"/>
      <c r="L1723" s="1085"/>
      <c r="M1723" s="977">
        <v>400</v>
      </c>
    </row>
    <row r="1724" spans="1:13" s="1086" customFormat="1" ht="25.15" hidden="1" customHeight="1">
      <c r="A1724" s="1156">
        <f t="shared" si="145"/>
        <v>0</v>
      </c>
      <c r="B1724" s="1327" t="s">
        <v>1615</v>
      </c>
      <c r="C1724" s="1327"/>
      <c r="D1724" s="1081"/>
      <c r="E1724" s="1094">
        <f>VLOOKUP($B1724,DG!A:D,DG!$B$2,)</f>
        <v>0</v>
      </c>
      <c r="F1724" s="1083" t="str">
        <f>VLOOKUP($B1724,DG!A:D,DG!$C$2,)</f>
        <v>Boulon 16x300+ 2 long đền vuông D18-50x50x3/Zn</v>
      </c>
      <c r="G1724" s="1094" t="str">
        <f>VLOOKUP($B1724,DG!A:D,DG!$D$2,)</f>
        <v>bộ</v>
      </c>
      <c r="H1724" s="1873">
        <f>H1720*2</f>
        <v>0</v>
      </c>
      <c r="I1724" s="1262">
        <f t="shared" si="146"/>
        <v>0</v>
      </c>
      <c r="J1724" s="1111"/>
      <c r="K1724" s="1111"/>
      <c r="L1724" s="1085"/>
      <c r="M1724" s="977">
        <v>400</v>
      </c>
    </row>
    <row r="1725" spans="1:13" s="1086" customFormat="1" ht="25.15" hidden="1" customHeight="1">
      <c r="A1725" s="1156">
        <f t="shared" si="145"/>
        <v>0</v>
      </c>
      <c r="B1725" s="1327" t="s">
        <v>1614</v>
      </c>
      <c r="C1725" s="1327"/>
      <c r="D1725" s="1081"/>
      <c r="E1725" s="1094">
        <f>VLOOKUP($B1725,DG!A:D,DG!$B$2,)</f>
        <v>0</v>
      </c>
      <c r="F1725" s="1083" t="str">
        <f>VLOOKUP($B1725,DG!A:D,DG!$C$2,)</f>
        <v>Boulon 16x250+ 2 long đền vuông D18-50x50x3/Zn</v>
      </c>
      <c r="G1725" s="1094" t="str">
        <f>VLOOKUP($B1725,DG!A:D,DG!$D$2,)</f>
        <v>bộ</v>
      </c>
      <c r="H1725" s="1873">
        <f>H1724</f>
        <v>0</v>
      </c>
      <c r="I1725" s="1262">
        <f t="shared" si="146"/>
        <v>0</v>
      </c>
      <c r="J1725" s="1111"/>
      <c r="K1725" s="1111"/>
      <c r="L1725" s="1085"/>
      <c r="M1725" s="977">
        <v>400</v>
      </c>
    </row>
    <row r="1726" spans="1:13" s="1086" customFormat="1" ht="25.15" hidden="1" customHeight="1">
      <c r="A1726" s="1156">
        <f t="shared" si="145"/>
        <v>0</v>
      </c>
      <c r="B1726" s="1327" t="s">
        <v>2250</v>
      </c>
      <c r="C1726" s="1327"/>
      <c r="D1726" s="1081"/>
      <c r="E1726" s="1094" t="str">
        <f>VLOOKUP($B1726,DG!A:D,DG!$B$2,)</f>
        <v>05.6044</v>
      </c>
      <c r="F1726" s="1083" t="str">
        <f>VLOOKUP($B1726,DG!A:D,DG!$C$2,)</f>
        <v>Lắp xà cột Pi loại ≤140kg/xà</v>
      </c>
      <c r="G1726" s="1094" t="str">
        <f>VLOOKUP($B1726,DG!A:D,DG!$D$2,)</f>
        <v>bộ</v>
      </c>
      <c r="H1726" s="1873">
        <f>H1720</f>
        <v>0</v>
      </c>
      <c r="I1726" s="1262">
        <f t="shared" si="146"/>
        <v>0</v>
      </c>
      <c r="J1726" s="1111"/>
      <c r="K1726" s="1111"/>
      <c r="L1726" s="1085"/>
      <c r="M1726" s="977">
        <v>400</v>
      </c>
    </row>
    <row r="1727" spans="1:13" s="1086" customFormat="1" ht="25.15" hidden="1" customHeight="1">
      <c r="A1727" s="1156">
        <f t="shared" si="145"/>
        <v>0</v>
      </c>
      <c r="B1727" s="1327"/>
      <c r="C1727" s="1327"/>
      <c r="D1727" s="1087">
        <f>IF(H1727&gt;0,D1720+1,D1720)</f>
        <v>0</v>
      </c>
      <c r="E1727" s="1088"/>
      <c r="F1727" s="1133" t="s">
        <v>3756</v>
      </c>
      <c r="G1727" s="1087" t="s">
        <v>2394</v>
      </c>
      <c r="H1727" s="1889">
        <f>H1682*1</f>
        <v>0</v>
      </c>
      <c r="I1727" s="1262">
        <f t="shared" si="146"/>
        <v>0</v>
      </c>
      <c r="J1727" s="1134"/>
      <c r="K1727" s="1134"/>
      <c r="L1727" s="1085"/>
      <c r="M1727" s="977">
        <v>400</v>
      </c>
    </row>
    <row r="1728" spans="1:13" s="1086" customFormat="1" ht="25.15" hidden="1" customHeight="1">
      <c r="A1728" s="1156">
        <f>IF(A1727&gt;0,1,0)</f>
        <v>0</v>
      </c>
      <c r="B1728" s="1327"/>
      <c r="C1728" s="1327"/>
      <c r="D1728" s="1081"/>
      <c r="E1728" s="1091"/>
      <c r="F1728" s="1370" t="s">
        <v>2287</v>
      </c>
      <c r="G1728" s="1093"/>
      <c r="H1728" s="1873"/>
      <c r="I1728" s="1262">
        <f t="shared" si="146"/>
        <v>0</v>
      </c>
      <c r="J1728" s="1134"/>
      <c r="K1728" s="1134"/>
      <c r="L1728" s="1085"/>
      <c r="M1728" s="977">
        <v>400</v>
      </c>
    </row>
    <row r="1729" spans="1:13" s="1086" customFormat="1" ht="25.15" hidden="1" customHeight="1">
      <c r="A1729" s="1156">
        <f t="shared" si="145"/>
        <v>0</v>
      </c>
      <c r="B1729" s="1347" t="s">
        <v>362</v>
      </c>
      <c r="C1729" s="1347"/>
      <c r="D1729" s="1081"/>
      <c r="E1729" s="1094">
        <f>VLOOKUP($B1729,DG!A:D,DG!$B$2,)</f>
        <v>0</v>
      </c>
      <c r="F1729" s="1083" t="str">
        <f>VLOOKUP($B1729,DG!A:D,DG!$C$2,)</f>
        <v>Xà composite 110x800x5</v>
      </c>
      <c r="G1729" s="1094" t="str">
        <f>VLOOKUP($B1729,DG!A:D,DG!$D$2,)</f>
        <v>cái</v>
      </c>
      <c r="H1729" s="1873"/>
      <c r="I1729" s="1262">
        <f t="shared" si="146"/>
        <v>0</v>
      </c>
      <c r="J1729" s="1111"/>
      <c r="K1729" s="1111"/>
      <c r="L1729" s="1085"/>
      <c r="M1729" s="977">
        <v>400</v>
      </c>
    </row>
    <row r="1730" spans="1:13" s="1086" customFormat="1" ht="25.15" hidden="1" customHeight="1">
      <c r="A1730" s="1156">
        <f t="shared" si="145"/>
        <v>0</v>
      </c>
      <c r="B1730" s="1327" t="s">
        <v>1614</v>
      </c>
      <c r="C1730" s="1327"/>
      <c r="D1730" s="1081"/>
      <c r="E1730" s="1094">
        <f>VLOOKUP($B1730,DG!A:D,DG!$B$2,)</f>
        <v>0</v>
      </c>
      <c r="F1730" s="1083" t="str">
        <f>VLOOKUP($B1730,DG!A:D,DG!$C$2,)</f>
        <v>Boulon 16x250+ 2 long đền vuông D18-50x50x3/Zn</v>
      </c>
      <c r="G1730" s="1094" t="str">
        <f>VLOOKUP($B1730,DG!A:D,DG!$D$2,)</f>
        <v>bộ</v>
      </c>
      <c r="H1730" s="1873">
        <f>H1727</f>
        <v>0</v>
      </c>
      <c r="I1730" s="1262">
        <f t="shared" si="146"/>
        <v>0</v>
      </c>
      <c r="J1730" s="1111"/>
      <c r="K1730" s="1111"/>
      <c r="L1730" s="1085"/>
      <c r="M1730" s="977">
        <v>400</v>
      </c>
    </row>
    <row r="1731" spans="1:13" s="1086" customFormat="1" ht="25.15" hidden="1" customHeight="1">
      <c r="A1731" s="1156">
        <f t="shared" si="145"/>
        <v>0</v>
      </c>
      <c r="B1731" s="1327" t="s">
        <v>1615</v>
      </c>
      <c r="C1731" s="1327"/>
      <c r="D1731" s="1081"/>
      <c r="E1731" s="1094">
        <f>VLOOKUP($B1731,DG!A:D,DG!$B$2,)</f>
        <v>0</v>
      </c>
      <c r="F1731" s="1083" t="str">
        <f>VLOOKUP($B1731,DG!A:D,DG!$C$2,)</f>
        <v>Boulon 16x300+ 2 long đền vuông D18-50x50x3/Zn</v>
      </c>
      <c r="G1731" s="1094" t="str">
        <f>VLOOKUP($B1731,DG!A:D,DG!$D$2,)</f>
        <v>bộ</v>
      </c>
      <c r="H1731" s="1873">
        <f>H1727</f>
        <v>0</v>
      </c>
      <c r="I1731" s="1262">
        <f t="shared" si="146"/>
        <v>0</v>
      </c>
      <c r="J1731" s="1111"/>
      <c r="K1731" s="1111"/>
      <c r="L1731" s="1085"/>
      <c r="M1731" s="977">
        <v>400</v>
      </c>
    </row>
    <row r="1732" spans="1:13" s="1086" customFormat="1" ht="25.15" hidden="1" customHeight="1">
      <c r="A1732" s="1156">
        <f t="shared" si="145"/>
        <v>0</v>
      </c>
      <c r="B1732" s="1327" t="s">
        <v>30</v>
      </c>
      <c r="C1732" s="1327"/>
      <c r="D1732" s="1081"/>
      <c r="E1732" s="1094">
        <f>VLOOKUP($B1732,DG!A:D,DG!$B$2,)</f>
        <v>0</v>
      </c>
      <c r="F1732" s="1083" t="str">
        <f>VLOOKUP($B1732,DG!A:D,DG!$C$2,)</f>
        <v>Bass LI bắt FCO</v>
      </c>
      <c r="G1732" s="1094" t="str">
        <f>VLOOKUP($B1732,DG!A:D,DG!$D$2,)</f>
        <v>Bộ</v>
      </c>
      <c r="H1732" s="1873">
        <f>H1683*2</f>
        <v>0</v>
      </c>
      <c r="I1732" s="1262">
        <f t="shared" si="146"/>
        <v>0</v>
      </c>
      <c r="J1732" s="1111"/>
      <c r="K1732" s="1111"/>
      <c r="L1732" s="1085"/>
      <c r="M1732" s="977">
        <v>400</v>
      </c>
    </row>
    <row r="1733" spans="1:13" s="1086" customFormat="1" ht="25.15" hidden="1" customHeight="1">
      <c r="A1733" s="1156">
        <f t="shared" si="145"/>
        <v>0</v>
      </c>
      <c r="B1733" s="1327" t="s">
        <v>2250</v>
      </c>
      <c r="C1733" s="1327"/>
      <c r="D1733" s="1081"/>
      <c r="E1733" s="1094" t="str">
        <f>VLOOKUP($B1733,DG!A:D,DG!$B$2,)</f>
        <v>05.6044</v>
      </c>
      <c r="F1733" s="1083" t="str">
        <f>VLOOKUP($B1733,DG!A:D,DG!$C$2,)</f>
        <v>Lắp xà cột Pi loại ≤140kg/xà</v>
      </c>
      <c r="G1733" s="1094" t="str">
        <f>VLOOKUP($B1733,DG!A:D,DG!$D$2,)</f>
        <v>bộ</v>
      </c>
      <c r="H1733" s="1873">
        <f>H1682</f>
        <v>0</v>
      </c>
      <c r="I1733" s="1262">
        <f t="shared" si="146"/>
        <v>0</v>
      </c>
      <c r="J1733" s="1111"/>
      <c r="K1733" s="1111"/>
      <c r="L1733" s="1085"/>
      <c r="M1733" s="977">
        <v>400</v>
      </c>
    </row>
    <row r="1734" spans="1:13" s="1086" customFormat="1" ht="25.15" hidden="1" customHeight="1">
      <c r="A1734" s="1156">
        <f t="shared" si="145"/>
        <v>0</v>
      </c>
      <c r="B1734" s="1327"/>
      <c r="C1734" s="1327"/>
      <c r="D1734" s="1087">
        <f>IF(H1734&gt;0,D1727+1,D1727)</f>
        <v>0</v>
      </c>
      <c r="E1734" s="1088"/>
      <c r="F1734" s="1133" t="s">
        <v>3738</v>
      </c>
      <c r="G1734" s="1087" t="s">
        <v>2394</v>
      </c>
      <c r="H1734" s="1889">
        <f>H1682*2</f>
        <v>0</v>
      </c>
      <c r="I1734" s="1262">
        <f t="shared" si="146"/>
        <v>0</v>
      </c>
      <c r="J1734" s="1134"/>
      <c r="K1734" s="1134"/>
      <c r="L1734" s="1085"/>
      <c r="M1734" s="977">
        <v>400</v>
      </c>
    </row>
    <row r="1735" spans="1:13" s="1086" customFormat="1" ht="25.15" hidden="1" customHeight="1">
      <c r="A1735" s="1156">
        <f>IF(A1734&gt;0,1,0)</f>
        <v>0</v>
      </c>
      <c r="B1735" s="1327"/>
      <c r="C1735" s="1327"/>
      <c r="D1735" s="1081"/>
      <c r="E1735" s="1091"/>
      <c r="F1735" s="1370" t="s">
        <v>2287</v>
      </c>
      <c r="G1735" s="1093"/>
      <c r="H1735" s="1873"/>
      <c r="I1735" s="1262">
        <f t="shared" si="146"/>
        <v>0</v>
      </c>
      <c r="J1735" s="1134"/>
      <c r="K1735" s="1134"/>
      <c r="L1735" s="1085"/>
      <c r="M1735" s="977">
        <v>400</v>
      </c>
    </row>
    <row r="1736" spans="1:13" s="1086" customFormat="1" ht="25.15" hidden="1" customHeight="1">
      <c r="A1736" s="1156">
        <f t="shared" si="145"/>
        <v>0</v>
      </c>
      <c r="B1736" s="1327" t="s">
        <v>2028</v>
      </c>
      <c r="C1736" s="1327"/>
      <c r="D1736" s="1081"/>
      <c r="E1736" s="1094">
        <f>VLOOKUP($B1736,DG!A:D,DG!$B$2,)</f>
        <v>0</v>
      </c>
      <c r="F1736" s="1083" t="str">
        <f>VLOOKUP($B1736,DG!A:D,DG!$C$2,)</f>
        <v>Sắt góc L75 x75 x8</v>
      </c>
      <c r="G1736" s="1094" t="str">
        <f>VLOOKUP($B1736,DG!A:D,DG!$D$2,)</f>
        <v>kg</v>
      </c>
      <c r="H1736" s="1873">
        <f>H1734*9.02*2.6</f>
        <v>0</v>
      </c>
      <c r="I1736" s="1262">
        <f t="shared" si="146"/>
        <v>0</v>
      </c>
      <c r="J1736" s="1111"/>
      <c r="K1736" s="1111"/>
      <c r="L1736" s="1085"/>
      <c r="M1736" s="977">
        <v>400</v>
      </c>
    </row>
    <row r="1737" spans="1:13" s="1086" customFormat="1" ht="25.15" hidden="1" customHeight="1">
      <c r="A1737" s="1156">
        <f t="shared" si="145"/>
        <v>0</v>
      </c>
      <c r="B1737" s="1327" t="s">
        <v>1085</v>
      </c>
      <c r="C1737" s="1327"/>
      <c r="D1737" s="1081"/>
      <c r="E1737" s="1094">
        <f>VLOOKUP($B1737,DG!A:D,DG!$B$2,)</f>
        <v>0</v>
      </c>
      <c r="F1737" s="1083" t="str">
        <f>VLOOKUP($B1737,DG!A:D,DG!$C$2,)</f>
        <v>Boulon 16x400+ 2 long đền vuông D18-50x50x3/Zn</v>
      </c>
      <c r="G1737" s="1094" t="str">
        <f>VLOOKUP($B1737,DG!A:D,DG!$D$2,)</f>
        <v>bộ</v>
      </c>
      <c r="H1737" s="1873">
        <f>H1734*2</f>
        <v>0</v>
      </c>
      <c r="I1737" s="1262">
        <f t="shared" si="146"/>
        <v>0</v>
      </c>
      <c r="J1737" s="1111"/>
      <c r="K1737" s="1111"/>
      <c r="L1737" s="1085"/>
      <c r="M1737" s="977">
        <v>400</v>
      </c>
    </row>
    <row r="1738" spans="1:13" s="1086" customFormat="1" ht="25.15" hidden="1" customHeight="1">
      <c r="A1738" s="1156">
        <f t="shared" si="145"/>
        <v>0</v>
      </c>
      <c r="B1738" s="1327" t="s">
        <v>138</v>
      </c>
      <c r="C1738" s="1327"/>
      <c r="D1738" s="1081"/>
      <c r="E1738" s="1094">
        <f>VLOOKUP($B1738,DG!A:D,DG!$B$2,)</f>
        <v>0</v>
      </c>
      <c r="F1738" s="1083" t="str">
        <f>VLOOKUP($B1738,DG!A:D,DG!$C$2,)</f>
        <v>Boulon 12x40+ 2 long đền vuông D14-50x50x3/Zn</v>
      </c>
      <c r="G1738" s="1094" t="str">
        <f>VLOOKUP($B1738,DG!A:D,DG!$D$2,)</f>
        <v>bộ</v>
      </c>
      <c r="H1738" s="1873">
        <f>H1734*2</f>
        <v>0</v>
      </c>
      <c r="I1738" s="1262">
        <f t="shared" si="146"/>
        <v>0</v>
      </c>
      <c r="J1738" s="1111"/>
      <c r="K1738" s="1111"/>
      <c r="L1738" s="1085"/>
      <c r="M1738" s="977">
        <v>400</v>
      </c>
    </row>
    <row r="1739" spans="1:13" s="1086" customFormat="1" ht="25.15" hidden="1" customHeight="1">
      <c r="A1739" s="1156">
        <f t="shared" si="145"/>
        <v>0</v>
      </c>
      <c r="B1739" s="1327" t="s">
        <v>2250</v>
      </c>
      <c r="C1739" s="1327"/>
      <c r="D1739" s="1081"/>
      <c r="E1739" s="1094" t="str">
        <f>VLOOKUP($B1739,DG!A:D,DG!$B$2,)</f>
        <v>05.6044</v>
      </c>
      <c r="F1739" s="1083" t="str">
        <f>VLOOKUP($B1739,DG!A:D,DG!$C$2,)</f>
        <v>Lắp xà cột Pi loại ≤140kg/xà</v>
      </c>
      <c r="G1739" s="1094" t="str">
        <f>VLOOKUP($B1739,DG!A:D,DG!$D$2,)</f>
        <v>bộ</v>
      </c>
      <c r="H1739" s="1873">
        <f>H1734/2</f>
        <v>0</v>
      </c>
      <c r="I1739" s="1262">
        <f t="shared" si="146"/>
        <v>0</v>
      </c>
      <c r="J1739" s="1111"/>
      <c r="K1739" s="1111"/>
      <c r="L1739" s="1085"/>
      <c r="M1739" s="977">
        <v>400</v>
      </c>
    </row>
    <row r="1740" spans="1:13" s="1086" customFormat="1" ht="25.15" hidden="1" customHeight="1">
      <c r="A1740" s="1156">
        <f t="shared" si="145"/>
        <v>0</v>
      </c>
      <c r="B1740" s="1327" t="s">
        <v>217</v>
      </c>
      <c r="C1740" s="1327"/>
      <c r="D1740" s="1081"/>
      <c r="E1740" s="1094" t="str">
        <f>VLOOKUP($B1740,DG!A:D,DG!$B$2,)</f>
        <v>02.1115</v>
      </c>
      <c r="F1740" s="1083" t="str">
        <f>VLOOKUP($B1740,DG!A:D,DG!$C$2,)</f>
        <v>Bốc dỡ xà, thép thanh</v>
      </c>
      <c r="G1740" s="1094" t="str">
        <f>VLOOKUP($B1740,DG!A:D,DG!$D$2,)</f>
        <v>tấn</v>
      </c>
      <c r="H1740" s="1873">
        <f>0.05*0</f>
        <v>0</v>
      </c>
      <c r="I1740" s="1262">
        <f t="shared" si="146"/>
        <v>0</v>
      </c>
      <c r="J1740" s="1111"/>
      <c r="K1740" s="1111"/>
      <c r="L1740" s="1085"/>
      <c r="M1740" s="977">
        <v>400</v>
      </c>
    </row>
    <row r="1741" spans="1:13" s="1086" customFormat="1" ht="25.15" hidden="1" customHeight="1">
      <c r="A1741" s="1156">
        <f t="shared" si="145"/>
        <v>0</v>
      </c>
      <c r="B1741" s="1327" t="s">
        <v>1615</v>
      </c>
      <c r="C1741" s="1327"/>
      <c r="D1741" s="1081"/>
      <c r="E1741" s="1094">
        <f>VLOOKUP($B1741,DG!A:D,DG!$B$2,)</f>
        <v>0</v>
      </c>
      <c r="F1741" s="1083" t="str">
        <f>VLOOKUP($B1741,DG!A:D,DG!$C$2,)</f>
        <v>Boulon 16x300+ 2 long đền vuông D18-50x50x3/Zn</v>
      </c>
      <c r="G1741" s="1082" t="s">
        <v>2448</v>
      </c>
      <c r="H1741" s="1873">
        <f>H1734*2*0</f>
        <v>0</v>
      </c>
      <c r="I1741" s="1262">
        <f t="shared" si="146"/>
        <v>0</v>
      </c>
      <c r="J1741" s="1111"/>
      <c r="K1741" s="1111"/>
      <c r="L1741" s="1085"/>
      <c r="M1741" s="977">
        <v>400</v>
      </c>
    </row>
    <row r="1742" spans="1:13" s="1086" customFormat="1" ht="25.15" hidden="1" customHeight="1">
      <c r="A1742" s="1156">
        <f t="shared" si="145"/>
        <v>0</v>
      </c>
      <c r="B1742" s="1327" t="s">
        <v>1614</v>
      </c>
      <c r="C1742" s="1327"/>
      <c r="D1742" s="1081"/>
      <c r="E1742" s="1094">
        <f>VLOOKUP($B1742,DG!A:D,DG!$B$2,)</f>
        <v>0</v>
      </c>
      <c r="F1742" s="1083" t="str">
        <f>VLOOKUP($B1742,DG!A:D,DG!$C$2,)</f>
        <v>Boulon 16x250+ 2 long đền vuông D18-50x50x3/Zn</v>
      </c>
      <c r="G1742" s="1082" t="s">
        <v>2448</v>
      </c>
      <c r="H1742" s="1873">
        <f>2*H1734*2*0</f>
        <v>0</v>
      </c>
      <c r="I1742" s="1262">
        <f t="shared" si="146"/>
        <v>0</v>
      </c>
      <c r="J1742" s="1111"/>
      <c r="K1742" s="1111"/>
      <c r="L1742" s="1085"/>
      <c r="M1742" s="977">
        <v>400</v>
      </c>
    </row>
    <row r="1743" spans="1:13" s="1086" customFormat="1" ht="25.15" hidden="1" customHeight="1" collapsed="1">
      <c r="A1743" s="1156">
        <f t="shared" si="145"/>
        <v>0</v>
      </c>
      <c r="B1743" s="1327"/>
      <c r="C1743" s="1327"/>
      <c r="D1743" s="1087">
        <f>IF(H1743&gt;0,D1734+1,D1734)</f>
        <v>0</v>
      </c>
      <c r="E1743" s="1088"/>
      <c r="F1743" s="1133" t="s">
        <v>3739</v>
      </c>
      <c r="G1743" s="1087" t="s">
        <v>2394</v>
      </c>
      <c r="H1743" s="1889">
        <f>H1682*0</f>
        <v>0</v>
      </c>
      <c r="I1743" s="1262">
        <f t="shared" si="146"/>
        <v>0</v>
      </c>
      <c r="J1743" s="1084"/>
      <c r="K1743" s="1084"/>
      <c r="L1743" s="1113"/>
      <c r="M1743" s="977">
        <v>400</v>
      </c>
    </row>
    <row r="1744" spans="1:13" s="1086" customFormat="1" ht="25.15" hidden="1" customHeight="1">
      <c r="A1744" s="1156">
        <f>IF(A1743&gt;0,1,0)</f>
        <v>0</v>
      </c>
      <c r="B1744" s="1327"/>
      <c r="C1744" s="1327"/>
      <c r="D1744" s="1081"/>
      <c r="E1744" s="1091"/>
      <c r="F1744" s="1370" t="s">
        <v>2287</v>
      </c>
      <c r="G1744" s="1093"/>
      <c r="H1744" s="1873"/>
      <c r="I1744" s="1262">
        <f t="shared" si="146"/>
        <v>0</v>
      </c>
      <c r="J1744" s="1084"/>
      <c r="K1744" s="1084"/>
      <c r="L1744" s="1113"/>
      <c r="M1744" s="977">
        <v>400</v>
      </c>
    </row>
    <row r="1745" spans="1:13" s="1086" customFormat="1" ht="25.15" hidden="1" customHeight="1">
      <c r="A1745" s="1156">
        <f t="shared" si="145"/>
        <v>0</v>
      </c>
      <c r="B1745" s="1327" t="s">
        <v>2028</v>
      </c>
      <c r="C1745" s="1327"/>
      <c r="D1745" s="1081"/>
      <c r="E1745" s="1094">
        <f>VLOOKUP($B1745,DG!A:D,DG!$B$2,)</f>
        <v>0</v>
      </c>
      <c r="F1745" s="1083" t="str">
        <f>VLOOKUP($B1745,DG!A:D,DG!$C$2,)</f>
        <v>Sắt góc L75 x75 x8</v>
      </c>
      <c r="G1745" s="1082" t="s">
        <v>2256</v>
      </c>
      <c r="H1745" s="1873">
        <f>H1743*9.02*(2.4+4*0.07)*2</f>
        <v>0</v>
      </c>
      <c r="I1745" s="1262">
        <f t="shared" si="146"/>
        <v>0</v>
      </c>
      <c r="J1745" s="1084"/>
      <c r="K1745" s="1084"/>
      <c r="L1745" s="1113"/>
      <c r="M1745" s="977">
        <v>400</v>
      </c>
    </row>
    <row r="1746" spans="1:13" s="1086" customFormat="1" ht="25.15" hidden="1" customHeight="1">
      <c r="A1746" s="1156">
        <f t="shared" si="145"/>
        <v>0</v>
      </c>
      <c r="B1746" s="1327" t="s">
        <v>1037</v>
      </c>
      <c r="C1746" s="1327"/>
      <c r="D1746" s="1081"/>
      <c r="E1746" s="1094">
        <f>VLOOKUP($B1746,DG!A:D,DG!$B$2,)</f>
        <v>0</v>
      </c>
      <c r="F1746" s="1083" t="str">
        <f>VLOOKUP($B1746,DG!A:D,DG!$C$2,)&amp;" (Thanh choáng 810)"</f>
        <v>Sắt góc L50 x50 x5 (Thanh choáng 810)</v>
      </c>
      <c r="G1746" s="1082" t="s">
        <v>2256</v>
      </c>
      <c r="H1746" s="1873">
        <f>H1743*3.77*0.81*4</f>
        <v>0</v>
      </c>
      <c r="I1746" s="1262">
        <f t="shared" si="146"/>
        <v>0</v>
      </c>
      <c r="J1746" s="1084"/>
      <c r="K1746" s="1084"/>
      <c r="L1746" s="1113"/>
      <c r="M1746" s="977">
        <v>400</v>
      </c>
    </row>
    <row r="1747" spans="1:13" s="1086" customFormat="1" ht="25.15" hidden="1" customHeight="1">
      <c r="A1747" s="1156">
        <f t="shared" si="145"/>
        <v>0</v>
      </c>
      <c r="B1747" s="1327" t="s">
        <v>1615</v>
      </c>
      <c r="C1747" s="1327"/>
      <c r="D1747" s="1081"/>
      <c r="E1747" s="1094">
        <f>VLOOKUP($B1747,DG!A:D,DG!$B$2,)</f>
        <v>0</v>
      </c>
      <c r="F1747" s="1083" t="str">
        <f>VLOOKUP($B1747,DG!A:D,DG!$C$2,)</f>
        <v>Boulon 16x300+ 2 long đền vuông D18-50x50x3/Zn</v>
      </c>
      <c r="G1747" s="1082" t="s">
        <v>2448</v>
      </c>
      <c r="H1747" s="1873">
        <f>H1743*2</f>
        <v>0</v>
      </c>
      <c r="I1747" s="1262">
        <f t="shared" si="146"/>
        <v>0</v>
      </c>
      <c r="J1747" s="1084"/>
      <c r="K1747" s="1084"/>
      <c r="L1747" s="1113"/>
      <c r="M1747" s="977">
        <v>400</v>
      </c>
    </row>
    <row r="1748" spans="1:13" s="1086" customFormat="1" ht="25.15" hidden="1" customHeight="1">
      <c r="A1748" s="1156">
        <f t="shared" si="145"/>
        <v>0</v>
      </c>
      <c r="B1748" s="1327" t="s">
        <v>1792</v>
      </c>
      <c r="C1748" s="1327"/>
      <c r="D1748" s="1081"/>
      <c r="E1748" s="1094">
        <f>VLOOKUP($B1748,DG!A:D,DG!$B$2,)</f>
        <v>0</v>
      </c>
      <c r="F1748" s="1083" t="str">
        <f>VLOOKUP($B1748,DG!A:D,DG!$C$2,)</f>
        <v>Boulon 16x50+ 2 long đền vuông D18-50x50x3/Zn</v>
      </c>
      <c r="G1748" s="1082" t="s">
        <v>2448</v>
      </c>
      <c r="H1748" s="1873">
        <f>H1743*4</f>
        <v>0</v>
      </c>
      <c r="I1748" s="1262">
        <f t="shared" si="146"/>
        <v>0</v>
      </c>
      <c r="J1748" s="1084"/>
      <c r="K1748" s="1084"/>
      <c r="L1748" s="1113"/>
      <c r="M1748" s="977">
        <v>400</v>
      </c>
    </row>
    <row r="1749" spans="1:13" s="1086" customFormat="1" ht="25.15" hidden="1" customHeight="1">
      <c r="A1749" s="1156">
        <f t="shared" si="145"/>
        <v>0</v>
      </c>
      <c r="B1749" s="1327" t="s">
        <v>1790</v>
      </c>
      <c r="C1749" s="1327"/>
      <c r="D1749" s="1081"/>
      <c r="E1749" s="1094">
        <f>VLOOKUP($B1749,DG!A:D,DG!$B$2,)</f>
        <v>0</v>
      </c>
      <c r="F1749" s="1083" t="str">
        <f>VLOOKUP($B1749,DG!A:D,DG!$C$2,)</f>
        <v>Boulon 16x300VRS+ 4 long đền vuông D18-50x50x3/Zn</v>
      </c>
      <c r="G1749" s="1082" t="s">
        <v>2448</v>
      </c>
      <c r="H1749" s="1873">
        <f>H1743*4</f>
        <v>0</v>
      </c>
      <c r="I1749" s="1262">
        <f t="shared" si="146"/>
        <v>0</v>
      </c>
      <c r="J1749" s="1084"/>
      <c r="K1749" s="1084"/>
      <c r="L1749" s="1113"/>
      <c r="M1749" s="977">
        <v>400</v>
      </c>
    </row>
    <row r="1750" spans="1:13" s="1086" customFormat="1" ht="25.15" hidden="1" customHeight="1">
      <c r="A1750" s="1156">
        <f t="shared" si="145"/>
        <v>0</v>
      </c>
      <c r="B1750" s="1327" t="s">
        <v>517</v>
      </c>
      <c r="C1750" s="1327"/>
      <c r="D1750" s="1081"/>
      <c r="E1750" s="1094" t="str">
        <f>VLOOKUP($B1750,DG!A:D,DG!$B$2,)</f>
        <v>05.6203</v>
      </c>
      <c r="F1750" s="1083" t="str">
        <f>VLOOKUP($B1750,DG!A:D,DG!$C$2,)</f>
        <v>Lắp xà néo ≤ 100kg</v>
      </c>
      <c r="G1750" s="1082" t="s">
        <v>2448</v>
      </c>
      <c r="H1750" s="1873">
        <f>H1743</f>
        <v>0</v>
      </c>
      <c r="I1750" s="1262">
        <f t="shared" si="146"/>
        <v>0</v>
      </c>
      <c r="J1750" s="1084"/>
      <c r="K1750" s="1084"/>
      <c r="L1750" s="1113"/>
      <c r="M1750" s="977">
        <v>400</v>
      </c>
    </row>
    <row r="1751" spans="1:13" s="1086" customFormat="1" ht="25.15" hidden="1" customHeight="1">
      <c r="A1751" s="1156">
        <f t="shared" si="145"/>
        <v>0</v>
      </c>
      <c r="B1751" s="1327"/>
      <c r="C1751" s="1327"/>
      <c r="D1751" s="1087">
        <f>IF(H1751&gt;0,D1743+1,D1743)</f>
        <v>0</v>
      </c>
      <c r="E1751" s="1088"/>
      <c r="F1751" s="1133" t="s">
        <v>3740</v>
      </c>
      <c r="G1751" s="1087" t="s">
        <v>2394</v>
      </c>
      <c r="H1751" s="1889">
        <f>H1682*1*0</f>
        <v>0</v>
      </c>
      <c r="I1751" s="1262">
        <f t="shared" si="146"/>
        <v>0</v>
      </c>
      <c r="J1751" s="1084"/>
      <c r="K1751" s="1084"/>
      <c r="L1751" s="1113"/>
      <c r="M1751" s="977">
        <v>400</v>
      </c>
    </row>
    <row r="1752" spans="1:13" s="1086" customFormat="1" ht="25.15" hidden="1" customHeight="1">
      <c r="A1752" s="1156">
        <f>IF(A1751&gt;0,1,0)</f>
        <v>0</v>
      </c>
      <c r="B1752" s="1327"/>
      <c r="C1752" s="1327"/>
      <c r="D1752" s="1081"/>
      <c r="E1752" s="1091"/>
      <c r="F1752" s="1370" t="s">
        <v>2287</v>
      </c>
      <c r="G1752" s="1093"/>
      <c r="H1752" s="1873"/>
      <c r="I1752" s="1262">
        <f t="shared" si="146"/>
        <v>0</v>
      </c>
      <c r="J1752" s="1084"/>
      <c r="K1752" s="1084"/>
      <c r="L1752" s="1113"/>
      <c r="M1752" s="977">
        <v>400</v>
      </c>
    </row>
    <row r="1753" spans="1:13" s="1086" customFormat="1" ht="25.15" hidden="1" customHeight="1">
      <c r="A1753" s="1156">
        <f t="shared" ref="A1753:A1816" si="147">IF(I1753&gt;0,1,0)</f>
        <v>0</v>
      </c>
      <c r="B1753" s="1327" t="s">
        <v>2028</v>
      </c>
      <c r="C1753" s="1327"/>
      <c r="D1753" s="1081"/>
      <c r="E1753" s="1094">
        <f>VLOOKUP($B1753,DG!A:D,DG!$B$2,)</f>
        <v>0</v>
      </c>
      <c r="F1753" s="1083" t="str">
        <f>VLOOKUP($B1753,DG!A:D,DG!$C$2,)</f>
        <v>Sắt góc L75 x75 x8</v>
      </c>
      <c r="G1753" s="1082" t="s">
        <v>2256</v>
      </c>
      <c r="H1753" s="1873">
        <f>H1751*9.02*(2.4+4*0.07)</f>
        <v>0</v>
      </c>
      <c r="I1753" s="1262">
        <f t="shared" si="146"/>
        <v>0</v>
      </c>
      <c r="J1753" s="1084"/>
      <c r="K1753" s="1084"/>
      <c r="L1753" s="1113"/>
      <c r="M1753" s="977">
        <v>400</v>
      </c>
    </row>
    <row r="1754" spans="1:13" s="1086" customFormat="1" ht="25.15" hidden="1" customHeight="1">
      <c r="A1754" s="1156">
        <f t="shared" si="147"/>
        <v>0</v>
      </c>
      <c r="B1754" s="1327" t="s">
        <v>1037</v>
      </c>
      <c r="C1754" s="1327"/>
      <c r="D1754" s="1081"/>
      <c r="E1754" s="1094">
        <f>VLOOKUP($B1754,DG!A:D,DG!$B$2,)</f>
        <v>0</v>
      </c>
      <c r="F1754" s="1083" t="str">
        <f>VLOOKUP($B1754,DG!A:D,DG!$C$2,)&amp;" (Thanh choáng 810)"</f>
        <v>Sắt góc L50 x50 x5 (Thanh choáng 810)</v>
      </c>
      <c r="G1754" s="1082" t="s">
        <v>2256</v>
      </c>
      <c r="H1754" s="1873">
        <f>H1751*3.77*0.81*2</f>
        <v>0</v>
      </c>
      <c r="I1754" s="1262">
        <f t="shared" si="146"/>
        <v>0</v>
      </c>
      <c r="J1754" s="1084"/>
      <c r="K1754" s="1084"/>
      <c r="L1754" s="1113"/>
      <c r="M1754" s="977">
        <v>400</v>
      </c>
    </row>
    <row r="1755" spans="1:13" s="1086" customFormat="1" ht="25.15" hidden="1" customHeight="1">
      <c r="A1755" s="1156">
        <f t="shared" si="147"/>
        <v>0</v>
      </c>
      <c r="B1755" s="1327" t="s">
        <v>1081</v>
      </c>
      <c r="C1755" s="1327"/>
      <c r="D1755" s="1081"/>
      <c r="E1755" s="1094">
        <f>VLOOKUP($B1755,DG!A:D,DG!$B$2,)</f>
        <v>0</v>
      </c>
      <c r="F1755" s="1083" t="str">
        <f>VLOOKUP($B1755,DG!A:D,DG!$C$2,)</f>
        <v>Boulon 16x350+ 2 long đền vuông D18-50x50x3/Zn</v>
      </c>
      <c r="G1755" s="1082" t="s">
        <v>2448</v>
      </c>
      <c r="H1755" s="1873">
        <f>H1751*2</f>
        <v>0</v>
      </c>
      <c r="I1755" s="1262">
        <f t="shared" si="146"/>
        <v>0</v>
      </c>
      <c r="J1755" s="1084"/>
      <c r="K1755" s="1084"/>
      <c r="L1755" s="1113"/>
      <c r="M1755" s="977">
        <v>400</v>
      </c>
    </row>
    <row r="1756" spans="1:13" s="1086" customFormat="1" ht="25.15" hidden="1" customHeight="1">
      <c r="A1756" s="1156">
        <f t="shared" si="147"/>
        <v>0</v>
      </c>
      <c r="B1756" s="1327" t="s">
        <v>1792</v>
      </c>
      <c r="C1756" s="1327"/>
      <c r="D1756" s="1081"/>
      <c r="E1756" s="1094">
        <f>VLOOKUP($B1756,DG!A:D,DG!$B$2,)</f>
        <v>0</v>
      </c>
      <c r="F1756" s="1083" t="str">
        <f>VLOOKUP($B1756,DG!A:D,DG!$C$2,)</f>
        <v>Boulon 16x50+ 2 long đền vuông D18-50x50x3/Zn</v>
      </c>
      <c r="G1756" s="1082" t="s">
        <v>2448</v>
      </c>
      <c r="H1756" s="1873">
        <f>H1751*2</f>
        <v>0</v>
      </c>
      <c r="I1756" s="1262">
        <f t="shared" si="146"/>
        <v>0</v>
      </c>
      <c r="J1756" s="1084"/>
      <c r="K1756" s="1084"/>
      <c r="L1756" s="1113"/>
      <c r="M1756" s="977">
        <v>400</v>
      </c>
    </row>
    <row r="1757" spans="1:13" s="1086" customFormat="1" ht="25.15" hidden="1" customHeight="1">
      <c r="A1757" s="1156">
        <f t="shared" si="147"/>
        <v>0</v>
      </c>
      <c r="B1757" s="1327" t="s">
        <v>1741</v>
      </c>
      <c r="C1757" s="1327"/>
      <c r="D1757" s="1081"/>
      <c r="E1757" s="1094">
        <f>VLOOKUP($B1757,DG!A:D,DG!$B$2,)</f>
        <v>0</v>
      </c>
      <c r="F1757" s="1083" t="str">
        <f>VLOOKUP($B1757,DG!A:D,DG!$C$2,)</f>
        <v>Bass LI bắt FCO</v>
      </c>
      <c r="G1757" s="1082" t="s">
        <v>2448</v>
      </c>
      <c r="H1757" s="1873">
        <f>IF(H1751&gt;0,3,)</f>
        <v>0</v>
      </c>
      <c r="I1757" s="1262">
        <f t="shared" si="146"/>
        <v>0</v>
      </c>
      <c r="J1757" s="1084"/>
      <c r="K1757" s="1084"/>
      <c r="L1757" s="1113"/>
      <c r="M1757" s="977">
        <v>400</v>
      </c>
    </row>
    <row r="1758" spans="1:13" s="1086" customFormat="1" ht="25.15" hidden="1" customHeight="1">
      <c r="A1758" s="1156">
        <f t="shared" si="147"/>
        <v>0</v>
      </c>
      <c r="B1758" s="1327" t="s">
        <v>990</v>
      </c>
      <c r="C1758" s="1327"/>
      <c r="D1758" s="1081"/>
      <c r="E1758" s="1094" t="str">
        <f>VLOOKUP($B1758,DG!A:D,DG!$B$2,)</f>
        <v>06.3231</v>
      </c>
      <c r="F1758" s="1083" t="str">
        <f>VLOOKUP($B1758,DG!A:D,DG!$C$2,)</f>
        <v xml:space="preserve">Cổ dê chống lắc 8x80x800 </v>
      </c>
      <c r="G1758" s="1082" t="s">
        <v>2448</v>
      </c>
      <c r="H1758" s="1873">
        <f>H1751*0</f>
        <v>0</v>
      </c>
      <c r="I1758" s="1262">
        <f t="shared" si="146"/>
        <v>0</v>
      </c>
      <c r="J1758" s="1084"/>
      <c r="K1758" s="1084"/>
      <c r="L1758" s="1113"/>
      <c r="M1758" s="977">
        <v>400</v>
      </c>
    </row>
    <row r="1759" spans="1:13" s="1086" customFormat="1" ht="25.15" hidden="1" customHeight="1">
      <c r="A1759" s="1156">
        <f t="shared" si="147"/>
        <v>0</v>
      </c>
      <c r="B1759" s="1327" t="s">
        <v>1445</v>
      </c>
      <c r="C1759" s="1327"/>
      <c r="D1759" s="1081"/>
      <c r="E1759" s="1094" t="str">
        <f>VLOOKUP($B1759,DG!A:D,DG!$B$2,)</f>
        <v>05.6102</v>
      </c>
      <c r="F1759" s="1083" t="str">
        <f>VLOOKUP($B1759,DG!A:D,DG!$C$2,)</f>
        <v>Lắp xà đỡ ≤ 50kg</v>
      </c>
      <c r="G1759" s="1082" t="s">
        <v>2448</v>
      </c>
      <c r="H1759" s="1873">
        <f>H1751</f>
        <v>0</v>
      </c>
      <c r="I1759" s="1262">
        <f t="shared" si="146"/>
        <v>0</v>
      </c>
      <c r="J1759" s="1084"/>
      <c r="K1759" s="1084"/>
      <c r="L1759" s="1113"/>
      <c r="M1759" s="977">
        <v>400</v>
      </c>
    </row>
    <row r="1760" spans="1:13" s="1086" customFormat="1" ht="25.15" hidden="1" customHeight="1">
      <c r="A1760" s="1156">
        <f t="shared" si="147"/>
        <v>0</v>
      </c>
      <c r="B1760" s="1327"/>
      <c r="C1760" s="1327"/>
      <c r="D1760" s="1087">
        <f>IF(H1760&gt;0,D1751+1,D1751)</f>
        <v>0</v>
      </c>
      <c r="E1760" s="1088"/>
      <c r="F1760" s="1133" t="s">
        <v>3741</v>
      </c>
      <c r="G1760" s="1087" t="s">
        <v>2394</v>
      </c>
      <c r="H1760" s="1889">
        <f>H1682</f>
        <v>0</v>
      </c>
      <c r="I1760" s="1262">
        <f t="shared" si="146"/>
        <v>0</v>
      </c>
      <c r="J1760" s="1084"/>
      <c r="K1760" s="1084"/>
      <c r="L1760" s="1113"/>
      <c r="M1760" s="977">
        <v>400</v>
      </c>
    </row>
    <row r="1761" spans="1:13" s="1086" customFormat="1" ht="25.15" hidden="1" customHeight="1">
      <c r="A1761" s="1156">
        <f>IF(A1760&gt;0,1,0)</f>
        <v>0</v>
      </c>
      <c r="B1761" s="1358"/>
      <c r="C1761" s="1358"/>
      <c r="D1761" s="1081"/>
      <c r="E1761" s="1091"/>
      <c r="F1761" s="1370" t="s">
        <v>2287</v>
      </c>
      <c r="G1761" s="1093"/>
      <c r="H1761" s="1873"/>
      <c r="I1761" s="1262">
        <f t="shared" si="146"/>
        <v>0</v>
      </c>
      <c r="J1761" s="1084"/>
      <c r="K1761" s="1084"/>
      <c r="L1761" s="1113"/>
      <c r="M1761" s="977">
        <v>400</v>
      </c>
    </row>
    <row r="1762" spans="1:13" s="1086" customFormat="1" ht="25.15" hidden="1" customHeight="1">
      <c r="A1762" s="1156">
        <f t="shared" si="147"/>
        <v>0</v>
      </c>
      <c r="B1762" s="1327" t="s">
        <v>1035</v>
      </c>
      <c r="C1762" s="1327"/>
      <c r="D1762" s="1081"/>
      <c r="E1762" s="1082">
        <f>VLOOKUP($B1762,DG!A:D,DG!$B$2,)</f>
        <v>0</v>
      </c>
      <c r="F1762" s="1083" t="str">
        <f>VLOOKUP($B1762,DG!A:D,DG!$C$2,)</f>
        <v>Cáp đồng trần M25mm2</v>
      </c>
      <c r="G1762" s="1094" t="str">
        <f>VLOOKUP($B1762,DG!A:D,DG!$D$2,)</f>
        <v>kg</v>
      </c>
      <c r="H1762" s="1873">
        <f>53*0.224*H1760</f>
        <v>0</v>
      </c>
      <c r="I1762" s="1262">
        <f t="shared" si="146"/>
        <v>0</v>
      </c>
      <c r="J1762" s="1084"/>
      <c r="K1762" s="1084"/>
      <c r="L1762" s="1113"/>
      <c r="M1762" s="977">
        <v>400</v>
      </c>
    </row>
    <row r="1763" spans="1:13" s="1086" customFormat="1" ht="25.15" hidden="1" customHeight="1">
      <c r="A1763" s="1156">
        <f t="shared" si="147"/>
        <v>0</v>
      </c>
      <c r="B1763" s="1327" t="s">
        <v>1035</v>
      </c>
      <c r="C1763" s="1327"/>
      <c r="D1763" s="1081"/>
      <c r="E1763" s="1082">
        <f>VLOOKUP($B1763,DG!A:D,DG!$B$2,)</f>
        <v>0</v>
      </c>
      <c r="F1763" s="1083" t="str">
        <f>VLOOKUP($B1763,DG!A:D,DG!$C$2,)&amp;": 17m noái leân voû caùc thieát bò"</f>
        <v>Cáp đồng trần M25mm2: 17m noái leân voû caùc thieát bò</v>
      </c>
      <c r="G1763" s="1082" t="str">
        <f>VLOOKUP($B1763,DG!A:D,DG!$D$2,)</f>
        <v>kg</v>
      </c>
      <c r="H1763" s="1873">
        <f>17*0.224*H1760*0</f>
        <v>0</v>
      </c>
      <c r="I1763" s="1262">
        <f t="shared" si="146"/>
        <v>0</v>
      </c>
      <c r="J1763" s="1084"/>
      <c r="K1763" s="1084"/>
      <c r="L1763" s="1113"/>
      <c r="M1763" s="977">
        <v>400</v>
      </c>
    </row>
    <row r="1764" spans="1:13" s="1086" customFormat="1" ht="25.15" hidden="1" customHeight="1">
      <c r="A1764" s="1156">
        <f t="shared" si="147"/>
        <v>0</v>
      </c>
      <c r="B1764" s="1157" t="s">
        <v>1513</v>
      </c>
      <c r="C1764" s="1157"/>
      <c r="D1764" s="1081"/>
      <c r="E1764" s="1082">
        <f>VLOOKUP($B1764,DG!A:D,DG!$B$2,)</f>
        <v>0</v>
      </c>
      <c r="F1764" s="1083" t="str">
        <f>VLOOKUP($B1764,DG!A:D,DG!$C$2,)</f>
        <v>Cọc tiếp đất Þ 16- 2,4m + kẹp cọc mạ đồng</v>
      </c>
      <c r="G1764" s="1094" t="str">
        <f>VLOOKUP($B1764,DG!A:D,DG!$D$2,)</f>
        <v>bộ</v>
      </c>
      <c r="H1764" s="1873"/>
      <c r="I1764" s="1262">
        <f t="shared" si="146"/>
        <v>0</v>
      </c>
      <c r="J1764" s="1084"/>
      <c r="K1764" s="1084"/>
      <c r="L1764" s="1113"/>
      <c r="M1764" s="977">
        <v>400</v>
      </c>
    </row>
    <row r="1765" spans="1:13" s="1086" customFormat="1" ht="25.15" hidden="1" customHeight="1">
      <c r="A1765" s="1156">
        <f t="shared" si="147"/>
        <v>0</v>
      </c>
      <c r="B1765" s="1157" t="s">
        <v>1495</v>
      </c>
      <c r="C1765" s="1157"/>
      <c r="D1765" s="1081"/>
      <c r="E1765" s="1082" t="str">
        <f>VLOOKUP($B1765,DG!A:D,DG!$B$2,)</f>
        <v>07.2403</v>
      </c>
      <c r="F1765" s="1083" t="str">
        <f>VLOOKUP($B1765,DG!A:D,DG!$C$2,)</f>
        <v xml:space="preserve">Ống PVC D21x1,6mm </v>
      </c>
      <c r="G1765" s="1082" t="str">
        <f>VLOOKUP($B1765,DG!A:D,DG!$D$2,)</f>
        <v>m</v>
      </c>
      <c r="H1765" s="1873">
        <f>H1760*12</f>
        <v>0</v>
      </c>
      <c r="I1765" s="1262">
        <f t="shared" si="146"/>
        <v>0</v>
      </c>
      <c r="J1765" s="1084"/>
      <c r="K1765" s="1084"/>
      <c r="L1765" s="1085"/>
      <c r="M1765" s="977">
        <v>400</v>
      </c>
    </row>
    <row r="1766" spans="1:13" s="1086" customFormat="1" ht="25.15" hidden="1" customHeight="1">
      <c r="A1766" s="1156">
        <f t="shared" si="147"/>
        <v>0</v>
      </c>
      <c r="B1766" s="1332" t="s">
        <v>1584</v>
      </c>
      <c r="C1766" s="1332"/>
      <c r="D1766" s="1081"/>
      <c r="E1766" s="1082">
        <f>VLOOKUP($B1766,DG!A:D,DG!$B$2,)</f>
        <v>0</v>
      </c>
      <c r="F1766" s="1083" t="str">
        <f>VLOOKUP($B1766,DG!A:D,DG!$C$2,)&amp; " bắt dây trung tính "</f>
        <v xml:space="preserve">Kẹp ép WR cỡ dây 50mm2 bắt dây trung tính </v>
      </c>
      <c r="G1766" s="1094" t="str">
        <f>VLOOKUP($B1766,DG!A:D,DG!$D$2,)</f>
        <v>cái</v>
      </c>
      <c r="H1766" s="1873">
        <f>2*H1760</f>
        <v>0</v>
      </c>
      <c r="I1766" s="1262">
        <f t="shared" si="146"/>
        <v>0</v>
      </c>
      <c r="J1766" s="1084"/>
      <c r="K1766" s="1084"/>
      <c r="L1766" s="1113"/>
      <c r="M1766" s="977">
        <v>400</v>
      </c>
    </row>
    <row r="1767" spans="1:13" s="1086" customFormat="1" ht="25.15" hidden="1" customHeight="1">
      <c r="A1767" s="1156">
        <f t="shared" si="147"/>
        <v>0</v>
      </c>
      <c r="B1767" s="1332" t="s">
        <v>818</v>
      </c>
      <c r="C1767" s="1332"/>
      <c r="D1767" s="1135"/>
      <c r="E1767" s="1082" t="str">
        <f>VLOOKUP($B1767,DG!A:D,DG!$B$2,)</f>
        <v>04.3107</v>
      </c>
      <c r="F1767" s="1083" t="str">
        <f>VLOOKUP($B1767,DG!A:D,DG!$C$2,)&amp;":bắt lưới TĐ"</f>
        <v>Ốc siết cáp cỡ 25mm2:bắt lưới TĐ</v>
      </c>
      <c r="G1767" s="1094" t="str">
        <f>VLOOKUP($B1767,DG!A:D,DG!$D$2,)</f>
        <v>cái</v>
      </c>
      <c r="H1767" s="1911">
        <f>H1760*10</f>
        <v>0</v>
      </c>
      <c r="I1767" s="1262">
        <f t="shared" si="146"/>
        <v>0</v>
      </c>
      <c r="J1767" s="1084"/>
      <c r="K1767" s="1084"/>
      <c r="L1767" s="1113"/>
      <c r="M1767" s="977">
        <v>400</v>
      </c>
    </row>
    <row r="1768" spans="1:13" s="1086" customFormat="1" ht="25.15" hidden="1" customHeight="1">
      <c r="A1768" s="1156">
        <f t="shared" si="147"/>
        <v>0</v>
      </c>
      <c r="B1768" s="1157" t="s">
        <v>138</v>
      </c>
      <c r="C1768" s="1157"/>
      <c r="D1768" s="1081"/>
      <c r="E1768" s="1082">
        <f>VLOOKUP($B1768,DG!A:D,DG!$B$2,)</f>
        <v>0</v>
      </c>
      <c r="F1768" s="1083" t="str">
        <f>VLOOKUP($B1768,DG!A:D,DG!$C$2,)</f>
        <v>Boulon 12x40+ 2 long đền vuông D14-50x50x3/Zn</v>
      </c>
      <c r="G1768" s="1094" t="str">
        <f>VLOOKUP($B1768,DG!A:D,DG!$D$2,)</f>
        <v>bộ</v>
      </c>
      <c r="H1768" s="1873">
        <f>H1760*1</f>
        <v>0</v>
      </c>
      <c r="I1768" s="1262">
        <f t="shared" si="146"/>
        <v>0</v>
      </c>
      <c r="J1768" s="1084"/>
      <c r="K1768" s="1084"/>
      <c r="L1768" s="1113"/>
      <c r="M1768" s="977">
        <v>400</v>
      </c>
    </row>
    <row r="1769" spans="1:13" s="1086" customFormat="1" ht="25.15" hidden="1" customHeight="1">
      <c r="A1769" s="1156">
        <f t="shared" si="147"/>
        <v>0</v>
      </c>
      <c r="B1769" s="1157" t="s">
        <v>104</v>
      </c>
      <c r="C1769" s="1157"/>
      <c r="D1769" s="1081"/>
      <c r="E1769" s="1082" t="str">
        <f>VLOOKUP($B1769,DG!A:D,DG!$B$2,)</f>
        <v>03.4001</v>
      </c>
      <c r="F1769" s="1083" t="str">
        <f>VLOOKUP($B1769,DG!A:D,DG!$C$2,)</f>
        <v>Đầu cosse ép Cu 25mm2</v>
      </c>
      <c r="G1769" s="1094" t="str">
        <f>VLOOKUP($B1769,DG!A:D,DG!$D$2,)</f>
        <v>cái</v>
      </c>
      <c r="H1769" s="1873">
        <f>H1768*2</f>
        <v>0</v>
      </c>
      <c r="I1769" s="1262">
        <f t="shared" si="146"/>
        <v>0</v>
      </c>
      <c r="J1769" s="1084"/>
      <c r="K1769" s="1084"/>
      <c r="L1769" s="1113"/>
      <c r="M1769" s="977">
        <v>400</v>
      </c>
    </row>
    <row r="1770" spans="1:13" s="1086" customFormat="1" ht="25.15" hidden="1" customHeight="1">
      <c r="A1770" s="1156">
        <f t="shared" si="147"/>
        <v>0</v>
      </c>
      <c r="B1770" s="1157" t="s">
        <v>525</v>
      </c>
      <c r="C1770" s="1157"/>
      <c r="D1770" s="1081"/>
      <c r="E1770" s="1082" t="str">
        <f>VLOOKUP($B1770,DG!A:D,DG!$B$2,)</f>
        <v>06.3231</v>
      </c>
      <c r="F1770" s="1083" t="str">
        <f>VLOOKUP($B1770,DG!A:D,DG!$C$2,)&amp;": CD-250"</f>
        <v>Cổ dê kẹp ống PVC  21: CD-250</v>
      </c>
      <c r="G1770" s="1082" t="s">
        <v>2448</v>
      </c>
      <c r="H1770" s="1873">
        <f>1*H1760</f>
        <v>0</v>
      </c>
      <c r="I1770" s="1262">
        <f t="shared" si="146"/>
        <v>0</v>
      </c>
      <c r="J1770" s="1084"/>
      <c r="K1770" s="1084"/>
      <c r="L1770" s="1085"/>
      <c r="M1770" s="977">
        <v>400</v>
      </c>
    </row>
    <row r="1771" spans="1:13" s="1086" customFormat="1" ht="25.15" hidden="1" customHeight="1">
      <c r="A1771" s="1156">
        <f t="shared" si="147"/>
        <v>0</v>
      </c>
      <c r="B1771" s="1157" t="s">
        <v>525</v>
      </c>
      <c r="C1771" s="1157"/>
      <c r="D1771" s="1081"/>
      <c r="E1771" s="1082" t="str">
        <f>VLOOKUP($B1771,DG!A:D,DG!$B$2,)</f>
        <v>06.3231</v>
      </c>
      <c r="F1771" s="1083" t="str">
        <f>VLOOKUP($B1771,DG!A:D,DG!$C$2,)&amp;": CD-280"</f>
        <v>Cổ dê kẹp ống PVC  21: CD-280</v>
      </c>
      <c r="G1771" s="1082" t="s">
        <v>2448</v>
      </c>
      <c r="H1771" s="1873">
        <f>H1770</f>
        <v>0</v>
      </c>
      <c r="I1771" s="1262">
        <f t="shared" si="146"/>
        <v>0</v>
      </c>
      <c r="J1771" s="1084"/>
      <c r="K1771" s="1084"/>
      <c r="L1771" s="1085"/>
      <c r="M1771" s="977">
        <v>400</v>
      </c>
    </row>
    <row r="1772" spans="1:13" s="1086" customFormat="1" ht="25.15" hidden="1" customHeight="1">
      <c r="A1772" s="1156">
        <f t="shared" si="147"/>
        <v>0</v>
      </c>
      <c r="B1772" s="1157" t="s">
        <v>525</v>
      </c>
      <c r="C1772" s="1157"/>
      <c r="D1772" s="1081"/>
      <c r="E1772" s="1082" t="str">
        <f>VLOOKUP($B1772,DG!A:D,DG!$B$2,)</f>
        <v>06.3231</v>
      </c>
      <c r="F1772" s="1083" t="str">
        <f>VLOOKUP($B1772,DG!A:D,DG!$C$2,)&amp;": CD-320"</f>
        <v>Cổ dê kẹp ống PVC  21: CD-320</v>
      </c>
      <c r="G1772" s="1082" t="s">
        <v>2448</v>
      </c>
      <c r="H1772" s="1873">
        <f>H1771</f>
        <v>0</v>
      </c>
      <c r="I1772" s="1262">
        <f t="shared" si="146"/>
        <v>0</v>
      </c>
      <c r="J1772" s="1084"/>
      <c r="K1772" s="1084"/>
      <c r="L1772" s="1085"/>
      <c r="M1772" s="977">
        <v>400</v>
      </c>
    </row>
    <row r="1773" spans="1:13" s="1086" customFormat="1" ht="25.15" hidden="1" customHeight="1">
      <c r="A1773" s="1156">
        <f t="shared" si="147"/>
        <v>0</v>
      </c>
      <c r="B1773" s="1157" t="s">
        <v>1133</v>
      </c>
      <c r="C1773" s="1157"/>
      <c r="D1773" s="1081"/>
      <c r="E1773" s="1082" t="str">
        <f>VLOOKUP($B1773,DG!A:D,DG!$B$2,)</f>
        <v>06.2110</v>
      </c>
      <c r="F1773" s="1083" t="str">
        <f>VLOOKUP($B1773,DG!A:D,DG!$C$2,)</f>
        <v>Lắp cổ dề</v>
      </c>
      <c r="G1773" s="1082" t="str">
        <f>VLOOKUP($B1773,DG!A:D,DG!$D$2,)</f>
        <v>bộ</v>
      </c>
      <c r="H1773" s="1873">
        <f>H1760*3</f>
        <v>0</v>
      </c>
      <c r="I1773" s="1262">
        <f t="shared" si="146"/>
        <v>0</v>
      </c>
      <c r="J1773" s="1084"/>
      <c r="K1773" s="1084"/>
      <c r="L1773" s="1085"/>
      <c r="M1773" s="977">
        <v>400</v>
      </c>
    </row>
    <row r="1774" spans="1:13" s="1086" customFormat="1" ht="25.15" hidden="1" customHeight="1">
      <c r="A1774" s="1156">
        <f t="shared" si="147"/>
        <v>0</v>
      </c>
      <c r="B1774" s="1157" t="s">
        <v>138</v>
      </c>
      <c r="C1774" s="1157"/>
      <c r="D1774" s="1081"/>
      <c r="E1774" s="1082">
        <f>VLOOKUP($B1774,DG!A:D,DG!$B$2,)</f>
        <v>0</v>
      </c>
      <c r="F1774" s="1083" t="str">
        <f>VLOOKUP($B1774,DG!A:D,DG!$C$2,)</f>
        <v>Boulon 12x40+ 2 long đền vuông D14-50x50x3/Zn</v>
      </c>
      <c r="G1774" s="1082" t="str">
        <f>VLOOKUP($B1774,DG!A:D,DG!$D$2,)</f>
        <v>bộ</v>
      </c>
      <c r="H1774" s="1873">
        <f>H1760*6</f>
        <v>0</v>
      </c>
      <c r="I1774" s="1262">
        <f t="shared" si="146"/>
        <v>0</v>
      </c>
      <c r="J1774" s="1084"/>
      <c r="K1774" s="1084"/>
      <c r="L1774" s="1085"/>
      <c r="M1774" s="977">
        <v>400</v>
      </c>
    </row>
    <row r="1775" spans="1:13" s="1086" customFormat="1" ht="25.15" hidden="1" customHeight="1">
      <c r="A1775" s="1156">
        <f t="shared" si="147"/>
        <v>0</v>
      </c>
      <c r="B1775" s="1157" t="s">
        <v>1590</v>
      </c>
      <c r="C1775" s="1157"/>
      <c r="D1775" s="1081"/>
      <c r="E1775" s="1082">
        <f>VLOOKUP($B1775,DG!A:D,DG!$B$2,)</f>
        <v>0</v>
      </c>
      <c r="F1775" s="1083" t="str">
        <f>VLOOKUP($B1775,DG!A:D,DG!$C$2,)</f>
        <v>Giếng tiếp địa khoan đất</v>
      </c>
      <c r="G1775" s="1082" t="str">
        <f>VLOOKUP($B1775,DG!A:D,DG!$D$2,)</f>
        <v>Cái</v>
      </c>
      <c r="H1775" s="1873">
        <f>I2*H1760</f>
        <v>0</v>
      </c>
      <c r="I1775" s="1262">
        <f t="shared" si="146"/>
        <v>0</v>
      </c>
      <c r="J1775" s="1084"/>
      <c r="K1775" s="1084"/>
      <c r="L1775" s="1113"/>
      <c r="M1775" s="977">
        <v>400</v>
      </c>
    </row>
    <row r="1776" spans="1:13" s="1086" customFormat="1" ht="25.15" hidden="1" customHeight="1">
      <c r="A1776" s="1156">
        <f t="shared" si="147"/>
        <v>0</v>
      </c>
      <c r="B1776" s="1157" t="str">
        <f>"DTD"&amp;chitiet!G5</f>
        <v>DTD3</v>
      </c>
      <c r="C1776" s="1157"/>
      <c r="D1776" s="1093"/>
      <c r="E1776" s="1082" t="str">
        <f>VLOOKUP($B1776,DG!A:D,DG!$B$2,)</f>
        <v>03.3123</v>
      </c>
      <c r="F1776" s="1083" t="str">
        <f>VLOOKUP($B1776,DG!A:D,DG!$C$2,)</f>
        <v>Đào rãnh tiếp địa đất cấp 3</v>
      </c>
      <c r="G1776" s="1094" t="str">
        <f>VLOOKUP($B1776,DG!A:D,DG!$D$2,)</f>
        <v>m3</v>
      </c>
      <c r="H1776" s="1170">
        <f>I3*H1760</f>
        <v>0</v>
      </c>
      <c r="I1776" s="1262">
        <f t="shared" si="146"/>
        <v>0</v>
      </c>
      <c r="J1776" s="1084"/>
      <c r="K1776" s="1084"/>
      <c r="L1776" s="1113"/>
      <c r="M1776" s="977">
        <v>400</v>
      </c>
    </row>
    <row r="1777" spans="1:16" s="1086" customFormat="1" ht="25.15" hidden="1" customHeight="1">
      <c r="A1777" s="1156">
        <f t="shared" si="147"/>
        <v>0</v>
      </c>
      <c r="B1777" s="1157" t="str">
        <f>"DATD"&amp;chitiet!G5</f>
        <v>DATD3</v>
      </c>
      <c r="C1777" s="1157"/>
      <c r="D1777" s="1093"/>
      <c r="E1777" s="1082" t="str">
        <f>VLOOKUP($B1777,DG!A:D,DG!$B$2,)</f>
        <v>03.4123</v>
      </c>
      <c r="F1777" s="1083" t="str">
        <f>VLOOKUP($B1777,DG!A:D,DG!$C$2,)</f>
        <v>Đắp đất rãnh tiếp độ chặt k=0,85</v>
      </c>
      <c r="G1777" s="1094" t="str">
        <f>VLOOKUP($B1777,DG!A:D,DG!$D$2,)</f>
        <v>m3</v>
      </c>
      <c r="H1777" s="1170">
        <f>H1776</f>
        <v>0</v>
      </c>
      <c r="I1777" s="1262">
        <f t="shared" si="146"/>
        <v>0</v>
      </c>
      <c r="J1777" s="1084"/>
      <c r="K1777" s="1084"/>
      <c r="L1777" s="1113"/>
      <c r="M1777" s="977">
        <v>400</v>
      </c>
    </row>
    <row r="1778" spans="1:16" s="1086" customFormat="1" ht="25.15" hidden="1" customHeight="1">
      <c r="A1778" s="1156">
        <f t="shared" si="147"/>
        <v>0</v>
      </c>
      <c r="B1778" s="1157" t="s">
        <v>904</v>
      </c>
      <c r="C1778" s="1157"/>
      <c r="D1778" s="1093"/>
      <c r="E1778" s="1082" t="str">
        <f>VLOOKUP($B1778,DG!A:D,DG!$B$2,)</f>
        <v>04.7001</v>
      </c>
      <c r="F1778" s="1083" t="str">
        <f>VLOOKUP($B1778,DG!A:D,DG!$C$2,)</f>
        <v>Đóng cọc tiếp địa trong TBA</v>
      </c>
      <c r="G1778" s="1094" t="str">
        <f>VLOOKUP($B1778,DG!A:D,DG!$D$2,)</f>
        <v>cọc</v>
      </c>
      <c r="H1778" s="1170"/>
      <c r="I1778" s="1262">
        <f t="shared" si="146"/>
        <v>0</v>
      </c>
      <c r="J1778" s="1084"/>
      <c r="K1778" s="1084"/>
      <c r="L1778" s="1113"/>
      <c r="M1778" s="977">
        <v>400</v>
      </c>
    </row>
    <row r="1779" spans="1:16" s="1086" customFormat="1" ht="25.15" hidden="1" customHeight="1">
      <c r="A1779" s="1156">
        <f t="shared" si="147"/>
        <v>0</v>
      </c>
      <c r="B1779" s="1157" t="s">
        <v>1442</v>
      </c>
      <c r="C1779" s="1157"/>
      <c r="D1779" s="1081"/>
      <c r="E1779" s="1082" t="str">
        <f>VLOOKUP($B1779,DG!A:D,DG!$B$2,)</f>
        <v>04.7002</v>
      </c>
      <c r="F1779" s="1083" t="str">
        <f>VLOOKUP($B1779,DG!A:D,DG!$C$2,)</f>
        <v>Kéo dây tiếp địa trong TBA</v>
      </c>
      <c r="G1779" s="1094" t="str">
        <f>VLOOKUP($B1779,DG!A:D,DG!$D$2,)</f>
        <v>mét</v>
      </c>
      <c r="H1779" s="1873">
        <f>H1760*36</f>
        <v>0</v>
      </c>
      <c r="I1779" s="1262">
        <f t="shared" ref="I1779:I1842" si="148">IF(M1779=$M$23,H1779+J1779-K1779,0)</f>
        <v>0</v>
      </c>
      <c r="J1779" s="1084"/>
      <c r="K1779" s="1084"/>
      <c r="L1779" s="1113"/>
      <c r="M1779" s="977">
        <v>400</v>
      </c>
    </row>
    <row r="1780" spans="1:16" s="1086" customFormat="1" ht="25.15" hidden="1" customHeight="1">
      <c r="A1780" s="1156">
        <f t="shared" si="147"/>
        <v>0</v>
      </c>
      <c r="B1780" s="1327"/>
      <c r="C1780" s="1327"/>
      <c r="D1780" s="1087">
        <f>IF(H1780&gt;0,D1760+1,D1760)</f>
        <v>0</v>
      </c>
      <c r="E1780" s="1088"/>
      <c r="F1780" s="1089" t="s">
        <v>3742</v>
      </c>
      <c r="G1780" s="1087" t="s">
        <v>2394</v>
      </c>
      <c r="H1780" s="1889">
        <f>H1687</f>
        <v>0</v>
      </c>
      <c r="I1780" s="1262">
        <f t="shared" si="148"/>
        <v>0</v>
      </c>
      <c r="J1780" s="1084"/>
      <c r="K1780" s="1084"/>
      <c r="L1780" s="1085"/>
      <c r="M1780" s="977">
        <v>400</v>
      </c>
    </row>
    <row r="1781" spans="1:16" s="1086" customFormat="1" ht="25.15" hidden="1" customHeight="1">
      <c r="A1781" s="1156">
        <f>IF(A1780&gt;0,1,0)</f>
        <v>0</v>
      </c>
      <c r="B1781" s="1327"/>
      <c r="C1781" s="1327"/>
      <c r="D1781" s="1081"/>
      <c r="E1781" s="1091"/>
      <c r="F1781" s="1370" t="s">
        <v>2287</v>
      </c>
      <c r="G1781" s="1093"/>
      <c r="H1781" s="1873"/>
      <c r="I1781" s="1262">
        <f t="shared" si="148"/>
        <v>0</v>
      </c>
      <c r="J1781" s="1084"/>
      <c r="K1781" s="1084"/>
      <c r="L1781" s="1085"/>
      <c r="M1781" s="977">
        <v>400</v>
      </c>
    </row>
    <row r="1782" spans="1:16" s="1086" customFormat="1" ht="25.15" hidden="1" customHeight="1">
      <c r="A1782" s="1156">
        <f t="shared" si="147"/>
        <v>0</v>
      </c>
      <c r="B1782" s="1327" t="s">
        <v>653</v>
      </c>
      <c r="C1782" s="1327"/>
      <c r="D1782" s="1093"/>
      <c r="E1782" s="1094">
        <f>VLOOKUP($B1782,DG!A:D,DG!$B$2,)</f>
        <v>0</v>
      </c>
      <c r="F1782" s="1095" t="str">
        <f>VLOOKUP($B1782,DG!A:D,DG!$C$2,)</f>
        <v>Ximăng (PC40)</v>
      </c>
      <c r="G1782" s="1094" t="str">
        <f>VLOOKUP($B1782,DG!A:D,DG!$D$2,)</f>
        <v>kg</v>
      </c>
      <c r="H1782" s="1873">
        <f>H1780*M1785</f>
        <v>0</v>
      </c>
      <c r="I1782" s="1262">
        <f t="shared" si="148"/>
        <v>0</v>
      </c>
      <c r="J1782" s="1084"/>
      <c r="K1782" s="1084"/>
      <c r="L1782" s="1085"/>
      <c r="M1782" s="977">
        <v>400</v>
      </c>
    </row>
    <row r="1783" spans="1:16" s="1086" customFormat="1" ht="25.15" hidden="1" customHeight="1">
      <c r="A1783" s="1156">
        <f t="shared" si="147"/>
        <v>0</v>
      </c>
      <c r="B1783" s="1327" t="s">
        <v>4441</v>
      </c>
      <c r="C1783" s="1327"/>
      <c r="D1783" s="1081"/>
      <c r="E1783" s="1094">
        <f>VLOOKUP($B1783,DG!A:D,DG!$B$2,)</f>
        <v>0</v>
      </c>
      <c r="F1783" s="1095" t="str">
        <f>VLOOKUP($B1783,DG!A:D,DG!$C$2,)</f>
        <v>Cát vàng</v>
      </c>
      <c r="G1783" s="1094" t="str">
        <f>VLOOKUP($B1783,DG!A:D,DG!$D$2,)</f>
        <v>m3</v>
      </c>
      <c r="H1783" s="1873">
        <f>H1780*N1785</f>
        <v>0</v>
      </c>
      <c r="I1783" s="1262">
        <f t="shared" si="148"/>
        <v>0</v>
      </c>
      <c r="J1783" s="1084"/>
      <c r="K1783" s="1084"/>
      <c r="L1783" s="1085"/>
      <c r="M1783" s="977">
        <v>400</v>
      </c>
    </row>
    <row r="1784" spans="1:16" s="1086" customFormat="1" ht="25.15" hidden="1" customHeight="1">
      <c r="A1784" s="1156">
        <f t="shared" si="147"/>
        <v>0</v>
      </c>
      <c r="B1784" s="1327" t="s">
        <v>216</v>
      </c>
      <c r="C1784" s="1327"/>
      <c r="D1784" s="1081"/>
      <c r="E1784" s="1094">
        <f>VLOOKUP($B1784,DG!A:D,DG!$B$2,)</f>
        <v>0</v>
      </c>
      <c r="F1784" s="1095" t="str">
        <f>VLOOKUP($B1784,DG!A:D,DG!$C$2,)</f>
        <v>Đá 1x2</v>
      </c>
      <c r="G1784" s="1094" t="str">
        <f>VLOOKUP($B1784,DG!A:D,DG!$D$2,)</f>
        <v>m3</v>
      </c>
      <c r="H1784" s="1873">
        <f>H1780*O1785</f>
        <v>0</v>
      </c>
      <c r="I1784" s="1262">
        <f t="shared" si="148"/>
        <v>0</v>
      </c>
      <c r="J1784" s="1084"/>
      <c r="K1784" s="1084"/>
      <c r="L1784" s="1085"/>
      <c r="M1784" s="977">
        <v>400</v>
      </c>
    </row>
    <row r="1785" spans="1:16" s="1086" customFormat="1" ht="25.15" hidden="1" customHeight="1">
      <c r="A1785" s="1156">
        <f t="shared" si="147"/>
        <v>0</v>
      </c>
      <c r="B1785" s="1327" t="s">
        <v>654</v>
      </c>
      <c r="C1785" s="1327"/>
      <c r="D1785" s="1093"/>
      <c r="E1785" s="1094" t="str">
        <f>VLOOKUP($B1785,DG!A:D,DG!$B$2,)</f>
        <v>04.1203c</v>
      </c>
      <c r="F1785" s="1095" t="str">
        <f>VLOOKUP($B1785,DG!A:D,DG!$C$2,)</f>
        <v>Đổ bê tông móng trụ &lt;=250cm-M200 đá 1x2</v>
      </c>
      <c r="G1785" s="1094" t="str">
        <f>VLOOKUP($B1785,DG!A:D,DG!$D$2,)</f>
        <v>m3</v>
      </c>
      <c r="H1785" s="1873">
        <f>H1780*(0.4*3*1-2*3.14*0.15^2*0.4)*1.025</f>
        <v>0</v>
      </c>
      <c r="I1785" s="1262">
        <f t="shared" si="148"/>
        <v>0</v>
      </c>
      <c r="J1785" s="1084"/>
      <c r="K1785" s="1084"/>
      <c r="L1785" s="1085"/>
      <c r="M1785" s="977">
        <v>400</v>
      </c>
      <c r="N1785" s="1096">
        <f>1.025*0.45</f>
        <v>0.46124999999999999</v>
      </c>
      <c r="O1785" s="1096">
        <f>1.025*0.866</f>
        <v>0.88764999999999994</v>
      </c>
      <c r="P1785" s="1240"/>
    </row>
    <row r="1786" spans="1:16" s="1086" customFormat="1" ht="25.15" hidden="1" customHeight="1">
      <c r="A1786" s="1156">
        <f t="shared" si="147"/>
        <v>0</v>
      </c>
      <c r="B1786" s="1327"/>
      <c r="C1786" s="1327"/>
      <c r="D1786" s="1087">
        <f>IF(H1786&gt;0,D1780+1,D1780)</f>
        <v>0</v>
      </c>
      <c r="E1786" s="1088"/>
      <c r="F1786" s="1089" t="s">
        <v>3743</v>
      </c>
      <c r="G1786" s="1087" t="s">
        <v>2394</v>
      </c>
      <c r="H1786" s="1889"/>
      <c r="I1786" s="1262">
        <f t="shared" si="148"/>
        <v>0</v>
      </c>
      <c r="J1786" s="1084"/>
      <c r="K1786" s="1084"/>
      <c r="L1786" s="1085"/>
      <c r="M1786" s="977">
        <v>400</v>
      </c>
    </row>
    <row r="1787" spans="1:16" s="1086" customFormat="1" ht="25.15" hidden="1" customHeight="1">
      <c r="A1787" s="1156">
        <f>IF(A1786&gt;0,1,0)</f>
        <v>0</v>
      </c>
      <c r="B1787" s="1327"/>
      <c r="C1787" s="1327"/>
      <c r="D1787" s="1081"/>
      <c r="E1787" s="1091"/>
      <c r="F1787" s="1370" t="s">
        <v>2287</v>
      </c>
      <c r="G1787" s="1093"/>
      <c r="H1787" s="1873"/>
      <c r="I1787" s="1262">
        <f t="shared" si="148"/>
        <v>0</v>
      </c>
      <c r="J1787" s="1084"/>
      <c r="K1787" s="1084"/>
      <c r="L1787" s="1085"/>
      <c r="M1787" s="977">
        <v>400</v>
      </c>
    </row>
    <row r="1788" spans="1:16" s="1086" customFormat="1" ht="25.15" hidden="1" customHeight="1">
      <c r="A1788" s="1156">
        <f t="shared" si="147"/>
        <v>0</v>
      </c>
      <c r="B1788" s="1327" t="s">
        <v>653</v>
      </c>
      <c r="C1788" s="1327"/>
      <c r="D1788" s="1093"/>
      <c r="E1788" s="1094">
        <f>VLOOKUP($B1788,DG!A:D,DG!$B$2,)</f>
        <v>0</v>
      </c>
      <c r="F1788" s="1095" t="str">
        <f>VLOOKUP($B1788,DG!A:D,DG!$C$2,)</f>
        <v>Ximăng (PC40)</v>
      </c>
      <c r="G1788" s="1094" t="str">
        <f>VLOOKUP($B1788,DG!A:D,DG!$D$2,)</f>
        <v>kg</v>
      </c>
      <c r="H1788" s="1873">
        <f>H1791*M1791</f>
        <v>0</v>
      </c>
      <c r="I1788" s="1262">
        <f t="shared" si="148"/>
        <v>0</v>
      </c>
      <c r="J1788" s="1084"/>
      <c r="K1788" s="1084"/>
      <c r="L1788" s="1085"/>
      <c r="M1788" s="977">
        <v>400</v>
      </c>
    </row>
    <row r="1789" spans="1:16" s="1086" customFormat="1" ht="25.15" hidden="1" customHeight="1">
      <c r="A1789" s="1156">
        <f t="shared" si="147"/>
        <v>0</v>
      </c>
      <c r="B1789" s="1327" t="s">
        <v>4441</v>
      </c>
      <c r="C1789" s="1327"/>
      <c r="D1789" s="1081"/>
      <c r="E1789" s="1094">
        <f>VLOOKUP($B1789,DG!A:D,DG!$B$2,)</f>
        <v>0</v>
      </c>
      <c r="F1789" s="1095" t="str">
        <f>VLOOKUP($B1789,DG!A:D,DG!$C$2,)</f>
        <v>Cát vàng</v>
      </c>
      <c r="G1789" s="1094" t="str">
        <f>VLOOKUP($B1789,DG!A:D,DG!$D$2,)</f>
        <v>m3</v>
      </c>
      <c r="H1789" s="1890">
        <f>H1791*N1791</f>
        <v>0</v>
      </c>
      <c r="I1789" s="1262">
        <f t="shared" si="148"/>
        <v>0</v>
      </c>
      <c r="J1789" s="1084"/>
      <c r="K1789" s="1084"/>
      <c r="L1789" s="1085"/>
      <c r="M1789" s="977">
        <v>400</v>
      </c>
    </row>
    <row r="1790" spans="1:16" s="1086" customFormat="1" ht="25.15" hidden="1" customHeight="1">
      <c r="A1790" s="1156">
        <f t="shared" si="147"/>
        <v>0</v>
      </c>
      <c r="B1790" s="1327" t="s">
        <v>216</v>
      </c>
      <c r="C1790" s="1327"/>
      <c r="D1790" s="1081"/>
      <c r="E1790" s="1094">
        <f>VLOOKUP($B1790,DG!A:D,DG!$B$2,)</f>
        <v>0</v>
      </c>
      <c r="F1790" s="1095" t="str">
        <f>VLOOKUP($B1790,DG!A:D,DG!$C$2,)</f>
        <v>Đá 1x2</v>
      </c>
      <c r="G1790" s="1094" t="str">
        <f>VLOOKUP($B1790,DG!A:D,DG!$D$2,)</f>
        <v>m3</v>
      </c>
      <c r="H1790" s="1890">
        <f>H1791*O1791</f>
        <v>0</v>
      </c>
      <c r="I1790" s="1262">
        <f t="shared" si="148"/>
        <v>0</v>
      </c>
      <c r="J1790" s="1084"/>
      <c r="K1790" s="1084"/>
      <c r="L1790" s="1085"/>
      <c r="M1790" s="977">
        <v>400</v>
      </c>
    </row>
    <row r="1791" spans="1:16" s="1086" customFormat="1" ht="25.15" hidden="1" customHeight="1">
      <c r="A1791" s="1156">
        <f t="shared" si="147"/>
        <v>0</v>
      </c>
      <c r="B1791" s="1327" t="s">
        <v>654</v>
      </c>
      <c r="C1791" s="1327"/>
      <c r="D1791" s="1093"/>
      <c r="E1791" s="1094" t="str">
        <f>VLOOKUP($B1791,DG!A:D,DG!$B$2,)</f>
        <v>04.1203c</v>
      </c>
      <c r="F1791" s="1095" t="str">
        <f>VLOOKUP($B1791,DG!A:D,DG!$C$2,)</f>
        <v>Đổ bê tông móng trụ &lt;=250cm-M200 đá 1x2</v>
      </c>
      <c r="G1791" s="1094" t="str">
        <f>VLOOKUP($B1791,DG!A:D,DG!$D$2,)</f>
        <v>m3</v>
      </c>
      <c r="H1791" s="1873">
        <f>H1786*0.2*0.2*(0.2+0.2+0.8+0.8+2*4)</f>
        <v>0</v>
      </c>
      <c r="I1791" s="1262">
        <f t="shared" si="148"/>
        <v>0</v>
      </c>
      <c r="J1791" s="1084"/>
      <c r="K1791" s="1084"/>
      <c r="L1791" s="1085"/>
      <c r="M1791" s="977">
        <v>400</v>
      </c>
      <c r="N1791" s="1096">
        <f>1.025*0.45</f>
        <v>0.46124999999999999</v>
      </c>
      <c r="O1791" s="1096">
        <f>1.025*0.866</f>
        <v>0.88764999999999994</v>
      </c>
      <c r="P1791" s="1240"/>
    </row>
    <row r="1792" spans="1:16" s="1086" customFormat="1" ht="25.15" hidden="1" customHeight="1">
      <c r="A1792" s="1156">
        <f t="shared" si="147"/>
        <v>0</v>
      </c>
      <c r="B1792" s="1327"/>
      <c r="C1792" s="1327"/>
      <c r="D1792" s="1087">
        <f>IF(H1792&gt;0,D1786+1,D1786)</f>
        <v>0</v>
      </c>
      <c r="E1792" s="1088"/>
      <c r="F1792" s="1089" t="s">
        <v>3744</v>
      </c>
      <c r="G1792" s="1087" t="s">
        <v>2394</v>
      </c>
      <c r="H1792" s="1889">
        <f>H1682</f>
        <v>0</v>
      </c>
      <c r="I1792" s="1262">
        <f t="shared" si="148"/>
        <v>0</v>
      </c>
      <c r="J1792" s="1084"/>
      <c r="K1792" s="1084"/>
      <c r="L1792" s="1113"/>
      <c r="M1792" s="977">
        <v>400</v>
      </c>
    </row>
    <row r="1793" spans="1:14" s="1086" customFormat="1" ht="25.15" hidden="1" customHeight="1">
      <c r="A1793" s="1156">
        <f>IF(A1792&gt;0,1,0)</f>
        <v>0</v>
      </c>
      <c r="B1793" s="1327"/>
      <c r="C1793" s="1327"/>
      <c r="D1793" s="1081"/>
      <c r="E1793" s="1091"/>
      <c r="F1793" s="1370" t="s">
        <v>2287</v>
      </c>
      <c r="G1793" s="1093"/>
      <c r="H1793" s="1873"/>
      <c r="I1793" s="1262">
        <f t="shared" si="148"/>
        <v>0</v>
      </c>
      <c r="J1793" s="1084"/>
      <c r="K1793" s="1084"/>
      <c r="L1793" s="1113"/>
      <c r="M1793" s="977">
        <v>400</v>
      </c>
    </row>
    <row r="1794" spans="1:14" s="1086" customFormat="1" ht="25.15" hidden="1" customHeight="1">
      <c r="A1794" s="1156">
        <f t="shared" si="147"/>
        <v>0</v>
      </c>
      <c r="B1794" s="1359" t="s">
        <v>1028</v>
      </c>
      <c r="C1794" s="1359"/>
      <c r="D1794" s="1093"/>
      <c r="E1794" s="1094" t="str">
        <f>VLOOKUP($B1794,DG!A:D,DG!$B$2,)</f>
        <v>05.1102</v>
      </c>
      <c r="F1794" s="1095" t="str">
        <f>VLOOKUP($B1794,DG!A:D,DG!$C$2,)</f>
        <v>Vỏ tủ + khóa tủ</v>
      </c>
      <c r="G1794" s="1094" t="str">
        <f>VLOOKUP($B1794,DG!A:D,DG!$D$2,)</f>
        <v>cái</v>
      </c>
      <c r="H1794" s="1873">
        <f>H1792</f>
        <v>0</v>
      </c>
      <c r="I1794" s="1262">
        <f t="shared" si="148"/>
        <v>0</v>
      </c>
      <c r="J1794" s="1084"/>
      <c r="K1794" s="1084"/>
      <c r="L1794" s="1113"/>
      <c r="M1794" s="977">
        <v>400</v>
      </c>
    </row>
    <row r="1795" spans="1:14" s="1086" customFormat="1" ht="25.15" hidden="1" customHeight="1">
      <c r="A1795" s="1156">
        <f t="shared" si="147"/>
        <v>0</v>
      </c>
      <c r="B1795" s="1327" t="s">
        <v>882</v>
      </c>
      <c r="C1795" s="1327"/>
      <c r="D1795" s="1081"/>
      <c r="E1795" s="1094">
        <f>VLOOKUP($B1795,DG!A:D,DG!$B$2,)</f>
        <v>0</v>
      </c>
      <c r="F1795" s="1095" t="str">
        <f>VLOOKUP($B1795,DG!A:D,DG!$C$2,)</f>
        <v xml:space="preserve">Bakelit 550x450 dầy 10mm </v>
      </c>
      <c r="G1795" s="1094" t="str">
        <f>VLOOKUP($B1795,DG!A:D,DG!$D$2,)</f>
        <v>cái</v>
      </c>
      <c r="H1795" s="1890"/>
      <c r="I1795" s="1262">
        <f t="shared" si="148"/>
        <v>0</v>
      </c>
      <c r="J1795" s="1084"/>
      <c r="K1795" s="1084"/>
      <c r="L1795" s="1113"/>
      <c r="M1795" s="977">
        <v>400</v>
      </c>
    </row>
    <row r="1796" spans="1:14" s="1086" customFormat="1" ht="25.15" hidden="1" customHeight="1">
      <c r="A1796" s="1156">
        <f t="shared" si="147"/>
        <v>0</v>
      </c>
      <c r="B1796" s="1327" t="s">
        <v>289</v>
      </c>
      <c r="C1796" s="1327"/>
      <c r="D1796" s="1093"/>
      <c r="E1796" s="1094" t="str">
        <f>VLOOKUP($B1796,DG!A:D,DG!$B$2,)</f>
        <v>06.3191</v>
      </c>
      <c r="F1796" s="1095" t="str">
        <f>VLOOKUP($B1796,DG!A:D,DG!$C$2,)</f>
        <v>Bảng tên trạm, bảng báo nguy hiểm + đinh vít</v>
      </c>
      <c r="G1796" s="1094" t="str">
        <f>VLOOKUP($B1796,DG!A:D,DG!$D$2,)</f>
        <v>bộ</v>
      </c>
      <c r="H1796" s="1873">
        <f>H1792</f>
        <v>0</v>
      </c>
      <c r="I1796" s="1262">
        <f t="shared" si="148"/>
        <v>0</v>
      </c>
      <c r="J1796" s="1084"/>
      <c r="K1796" s="1084"/>
      <c r="L1796" s="1113"/>
      <c r="M1796" s="977">
        <v>400</v>
      </c>
    </row>
    <row r="1797" spans="1:14" s="1086" customFormat="1" ht="25.15" hidden="1" customHeight="1">
      <c r="A1797" s="1156">
        <f t="shared" si="147"/>
        <v>0</v>
      </c>
      <c r="B1797" s="1327"/>
      <c r="C1797" s="1327"/>
      <c r="D1797" s="1087">
        <f>IF(H1797&gt;0,D1792+1,D1792)</f>
        <v>0</v>
      </c>
      <c r="E1797" s="1088"/>
      <c r="F1797" s="1089" t="s">
        <v>3745</v>
      </c>
      <c r="G1797" s="1087" t="s">
        <v>2541</v>
      </c>
      <c r="H1797" s="1889">
        <f>H1682*0</f>
        <v>0</v>
      </c>
      <c r="I1797" s="1262">
        <f t="shared" si="148"/>
        <v>0</v>
      </c>
      <c r="J1797" s="1084"/>
      <c r="K1797" s="1084"/>
      <c r="L1797" s="1085"/>
      <c r="M1797" s="977">
        <v>400</v>
      </c>
    </row>
    <row r="1798" spans="1:14" s="1086" customFormat="1" ht="25.15" hidden="1" customHeight="1">
      <c r="A1798" s="1156">
        <f>IF(A1797&gt;0,1,0)</f>
        <v>0</v>
      </c>
      <c r="B1798" s="1327"/>
      <c r="C1798" s="1327"/>
      <c r="D1798" s="1081"/>
      <c r="E1798" s="1091"/>
      <c r="F1798" s="1370" t="s">
        <v>2287</v>
      </c>
      <c r="G1798" s="1093"/>
      <c r="H1798" s="1873"/>
      <c r="I1798" s="1262">
        <f t="shared" si="148"/>
        <v>0</v>
      </c>
      <c r="J1798" s="1084"/>
      <c r="K1798" s="1084"/>
      <c r="L1798" s="1085"/>
      <c r="M1798" s="977">
        <v>400</v>
      </c>
    </row>
    <row r="1799" spans="1:14" s="1086" customFormat="1" ht="25.15" hidden="1" customHeight="1">
      <c r="A1799" s="1156">
        <f t="shared" si="147"/>
        <v>0</v>
      </c>
      <c r="B1799" s="1327" t="s">
        <v>4441</v>
      </c>
      <c r="C1799" s="1327"/>
      <c r="D1799" s="1093"/>
      <c r="E1799" s="1094">
        <f>VLOOKUP($B1799,DG!A:D,DG!$B$2,)</f>
        <v>0</v>
      </c>
      <c r="F1799" s="1111" t="str">
        <f>VLOOKUP($B1799,DG!A:D,DG!$C$2,)&amp;": 0,315m3/m"</f>
        <v>Cát vàng: 0,315m3/m</v>
      </c>
      <c r="G1799" s="1094" t="str">
        <f>VLOOKUP($B1799,DG!A:D,DG!$D$2,)</f>
        <v>m3</v>
      </c>
      <c r="H1799" s="1873">
        <f>H1797*0.315</f>
        <v>0</v>
      </c>
      <c r="I1799" s="1262">
        <f t="shared" si="148"/>
        <v>0</v>
      </c>
      <c r="J1799" s="1084"/>
      <c r="K1799" s="1084"/>
      <c r="L1799" s="1085"/>
      <c r="M1799" s="977">
        <v>400</v>
      </c>
    </row>
    <row r="1800" spans="1:14" s="1086" customFormat="1" ht="25.15" hidden="1" customHeight="1">
      <c r="A1800" s="1156">
        <f t="shared" si="147"/>
        <v>0</v>
      </c>
      <c r="B1800" s="1329" t="s">
        <v>520</v>
      </c>
      <c r="C1800" s="1329"/>
      <c r="D1800" s="1093"/>
      <c r="E1800" s="1094">
        <f>VLOOKUP($B1800,DG!A:D,DG!$B$2,)</f>
        <v>0</v>
      </c>
      <c r="F1800" s="1111" t="str">
        <f>VLOOKUP($B1800,DG!A:D,DG!$C$2,)&amp;": 0,092m3/m"</f>
        <v>Đá 2x4: 0,092m3/m</v>
      </c>
      <c r="G1800" s="1094" t="str">
        <f>VLOOKUP($B1800,DG!A:D,DG!$D$2,)</f>
        <v>m3</v>
      </c>
      <c r="H1800" s="1873">
        <f>0.092*H1797</f>
        <v>0</v>
      </c>
      <c r="I1800" s="1262">
        <f t="shared" si="148"/>
        <v>0</v>
      </c>
      <c r="J1800" s="1084"/>
      <c r="K1800" s="1084"/>
      <c r="L1800" s="1085"/>
      <c r="M1800" s="977">
        <v>400</v>
      </c>
    </row>
    <row r="1801" spans="1:14" s="1086" customFormat="1" ht="25.15" hidden="1" customHeight="1">
      <c r="A1801" s="1156">
        <f t="shared" si="147"/>
        <v>0</v>
      </c>
      <c r="B1801" s="1329" t="s">
        <v>1681</v>
      </c>
      <c r="C1801" s="1329"/>
      <c r="D1801" s="1093"/>
      <c r="E1801" s="1094">
        <f>VLOOKUP($B1801,DG!A:D,DG!$B$2,)</f>
        <v>0</v>
      </c>
      <c r="F1801" s="1111" t="str">
        <f>VLOOKUP($B1801,DG!A:D,DG!$C$2,)&amp;": 3,3vieân/m"</f>
        <v>Gạch tàu: 3,3vieân/m</v>
      </c>
      <c r="G1801" s="1094" t="str">
        <f>VLOOKUP($B1801,DG!A:D,DG!$D$2,)</f>
        <v>viên</v>
      </c>
      <c r="H1801" s="1873">
        <f>3.3*H1797</f>
        <v>0</v>
      </c>
      <c r="I1801" s="1262">
        <f t="shared" si="148"/>
        <v>0</v>
      </c>
      <c r="J1801" s="1084"/>
      <c r="K1801" s="1084"/>
      <c r="L1801" s="1085"/>
      <c r="M1801" s="977">
        <v>400</v>
      </c>
    </row>
    <row r="1802" spans="1:14" s="1086" customFormat="1" ht="25.15" hidden="1" customHeight="1">
      <c r="A1802" s="1156">
        <f t="shared" si="147"/>
        <v>0</v>
      </c>
      <c r="B1802" s="1329" t="s">
        <v>1682</v>
      </c>
      <c r="C1802" s="1329"/>
      <c r="D1802" s="1093"/>
      <c r="E1802" s="1094">
        <f>VLOOKUP($B1802,DG!A:D,DG!$B$2,)</f>
        <v>0</v>
      </c>
      <c r="F1802" s="1111" t="str">
        <f>VLOOKUP($B1802,DG!A:D,DG!$C$2,)&amp;": 0,4m2/m"</f>
        <v>Tấm nilông màu cảnh báo: 0,4m2/m</v>
      </c>
      <c r="G1802" s="1094" t="str">
        <f>VLOOKUP($B1802,DG!A:D,DG!$D$2,)</f>
        <v>m2</v>
      </c>
      <c r="H1802" s="1873">
        <f>0.4*H1797</f>
        <v>0</v>
      </c>
      <c r="I1802" s="1262">
        <f t="shared" si="148"/>
        <v>0</v>
      </c>
      <c r="J1802" s="1084"/>
      <c r="K1802" s="1084"/>
      <c r="L1802" s="1085"/>
      <c r="M1802" s="977">
        <v>400</v>
      </c>
    </row>
    <row r="1803" spans="1:14" s="1086" customFormat="1" ht="25.15" hidden="1" customHeight="1">
      <c r="A1803" s="1156">
        <f t="shared" si="147"/>
        <v>0</v>
      </c>
      <c r="B1803" s="1329" t="s">
        <v>1523</v>
      </c>
      <c r="C1803" s="1329"/>
      <c r="D1803" s="1081"/>
      <c r="E1803" s="1094">
        <f>VLOOKUP($B1803,DG!A:D,DG!$B$2,)</f>
        <v>0</v>
      </c>
      <c r="F1803" s="1111" t="str">
        <f>VLOOKUP($B1803,DG!A:D,DG!$C$2,)</f>
        <v>Ống PVC D140x6,7mm</v>
      </c>
      <c r="G1803" s="1094" t="str">
        <f>VLOOKUP($B1803,DG!A:D,DG!$D$2,)</f>
        <v>m</v>
      </c>
      <c r="H1803" s="1873">
        <f>1*H1797</f>
        <v>0</v>
      </c>
      <c r="I1803" s="1262">
        <f t="shared" si="148"/>
        <v>0</v>
      </c>
      <c r="J1803" s="1084"/>
      <c r="K1803" s="1084"/>
      <c r="L1803" s="1085"/>
      <c r="M1803" s="977">
        <v>400</v>
      </c>
    </row>
    <row r="1804" spans="1:14" s="1086" customFormat="1" ht="25.15" hidden="1" customHeight="1">
      <c r="A1804" s="1156">
        <f t="shared" si="147"/>
        <v>0</v>
      </c>
      <c r="B1804" s="1329" t="s">
        <v>1684</v>
      </c>
      <c r="C1804" s="1329"/>
      <c r="D1804" s="1093"/>
      <c r="E1804" s="1094" t="str">
        <f>VLOOKUP($B1804,DG!A:D,DG!$B$2,)</f>
        <v>03.7000</v>
      </c>
      <c r="F1804" s="1111" t="str">
        <f>VLOOKUP($B1804,DG!A:D,DG!$C$2,)&amp;" + ñaép ñaù"</f>
        <v>Đắp cát  + ñaép ñaù</v>
      </c>
      <c r="G1804" s="1094" t="str">
        <f>VLOOKUP($B1804,DG!A:D,DG!$D$2,)</f>
        <v>m3</v>
      </c>
      <c r="H1804" s="1873">
        <f>H1799+H1800</f>
        <v>0</v>
      </c>
      <c r="I1804" s="1262">
        <f t="shared" si="148"/>
        <v>0</v>
      </c>
      <c r="J1804" s="1084"/>
      <c r="K1804" s="1084"/>
      <c r="L1804" s="1085"/>
      <c r="M1804" s="977">
        <v>400</v>
      </c>
    </row>
    <row r="1805" spans="1:14" s="1086" customFormat="1" ht="25.15" hidden="1" customHeight="1">
      <c r="A1805" s="1156">
        <f t="shared" si="147"/>
        <v>0</v>
      </c>
      <c r="B1805" s="1329" t="s">
        <v>144</v>
      </c>
      <c r="C1805" s="1329"/>
      <c r="D1805" s="1093"/>
      <c r="E1805" s="1094" t="str">
        <f>VLOOKUP($B1805,DG!A:D,DG!$B$2,)</f>
        <v>03.3103</v>
      </c>
      <c r="F1805" s="1111" t="str">
        <f>VLOOKUP($B1805,DG!A:D,DG!$C$2,)&amp;" : 0,48m3/m"</f>
        <v>Đào mương cáp ngầm đất cấp 3 : 0,48m3/m</v>
      </c>
      <c r="G1805" s="1094" t="str">
        <f>VLOOKUP($B1805,DG!A:D,DG!$D$2,)</f>
        <v>m3</v>
      </c>
      <c r="H1805" s="1873">
        <f>H1797*0.48</f>
        <v>0</v>
      </c>
      <c r="I1805" s="1262">
        <f t="shared" si="148"/>
        <v>0</v>
      </c>
      <c r="J1805" s="1084"/>
      <c r="K1805" s="1084"/>
      <c r="L1805" s="1085"/>
      <c r="M1805" s="977">
        <v>400</v>
      </c>
    </row>
    <row r="1806" spans="1:14" s="1086" customFormat="1" ht="25.15" hidden="1" customHeight="1">
      <c r="A1806" s="1156">
        <f t="shared" si="147"/>
        <v>0</v>
      </c>
      <c r="B1806" s="1329" t="s">
        <v>529</v>
      </c>
      <c r="C1806" s="1329"/>
      <c r="D1806" s="1093"/>
      <c r="E1806" s="1094" t="str">
        <f>VLOOKUP($B1806,DG!A:D,DG!$B$2,)</f>
        <v>03.3203</v>
      </c>
      <c r="F1806" s="1111" t="str">
        <f>VLOOKUP($B1806,DG!A:D,DG!$C$2,)&amp;" : 0,073m3/m"</f>
        <v>Đắp đất mương cáp ngầm, đất cấp 3 : 0,073m3/m</v>
      </c>
      <c r="G1806" s="1094" t="str">
        <f>VLOOKUP($B1806,DG!A:D,DG!$D$2,)</f>
        <v>m3</v>
      </c>
      <c r="H1806" s="1873">
        <f>H1797*0.073</f>
        <v>0</v>
      </c>
      <c r="I1806" s="1262">
        <f t="shared" si="148"/>
        <v>0</v>
      </c>
      <c r="J1806" s="1084"/>
      <c r="K1806" s="1084"/>
      <c r="L1806" s="1085"/>
      <c r="M1806" s="977">
        <v>400</v>
      </c>
      <c r="N1806" s="1136">
        <v>0.47499999999999998</v>
      </c>
    </row>
    <row r="1807" spans="1:14" s="1086" customFormat="1" ht="25.15" hidden="1" customHeight="1">
      <c r="A1807" s="1156">
        <f t="shared" si="147"/>
        <v>0</v>
      </c>
      <c r="B1807" s="1327"/>
      <c r="C1807" s="1327"/>
      <c r="D1807" s="1087">
        <f>IF(H1807&gt;0,D1797+1,D1797)</f>
        <v>0</v>
      </c>
      <c r="E1807" s="1088"/>
      <c r="F1807" s="1089" t="s">
        <v>3746</v>
      </c>
      <c r="G1807" s="1087" t="s">
        <v>2394</v>
      </c>
      <c r="H1807" s="1889">
        <f>H1816</f>
        <v>0</v>
      </c>
      <c r="I1807" s="1262">
        <f t="shared" si="148"/>
        <v>0</v>
      </c>
      <c r="J1807" s="1084"/>
      <c r="K1807" s="1084"/>
      <c r="L1807" s="1085"/>
      <c r="M1807" s="977">
        <v>400</v>
      </c>
      <c r="N1807" s="1136">
        <v>0.88100000000000001</v>
      </c>
    </row>
    <row r="1808" spans="1:14" s="1086" customFormat="1" ht="25.15" hidden="1" customHeight="1">
      <c r="A1808" s="1156">
        <f>IF(A1807&gt;0,1,0)</f>
        <v>0</v>
      </c>
      <c r="B1808" s="1327"/>
      <c r="C1808" s="1327"/>
      <c r="D1808" s="1081"/>
      <c r="E1808" s="1091"/>
      <c r="F1808" s="1370" t="s">
        <v>2287</v>
      </c>
      <c r="G1808" s="1093"/>
      <c r="H1808" s="1873"/>
      <c r="I1808" s="1262">
        <f t="shared" si="148"/>
        <v>0</v>
      </c>
      <c r="J1808" s="1084"/>
      <c r="K1808" s="1084"/>
      <c r="L1808" s="1085"/>
      <c r="M1808" s="977">
        <v>400</v>
      </c>
    </row>
    <row r="1809" spans="1:13" s="1086" customFormat="1" ht="25.15" hidden="1" customHeight="1">
      <c r="A1809" s="1156">
        <f t="shared" si="147"/>
        <v>0</v>
      </c>
      <c r="B1809" s="1327" t="s">
        <v>623</v>
      </c>
      <c r="C1809" s="1327"/>
      <c r="D1809" s="1093"/>
      <c r="E1809" s="1094" t="str">
        <f>VLOOKUP($B1809,DG!A:D,DG!$B$2,)</f>
        <v>07.2204</v>
      </c>
      <c r="F1809" s="1095" t="str">
        <f>VLOOKUP($B1809,DG!A:D,DG!$C$2,)</f>
        <v>ÔÁng sắt tráng kẽm D140</v>
      </c>
      <c r="G1809" s="1094" t="str">
        <f>VLOOKUP($B1809,DG!A:D,DG!$D$2,)</f>
        <v>mét</v>
      </c>
      <c r="H1809" s="1873">
        <f>H1807*5*0</f>
        <v>0</v>
      </c>
      <c r="I1809" s="1262">
        <f t="shared" si="148"/>
        <v>0</v>
      </c>
      <c r="J1809" s="1084"/>
      <c r="K1809" s="1084"/>
      <c r="L1809" s="1085"/>
      <c r="M1809" s="977">
        <v>400</v>
      </c>
    </row>
    <row r="1810" spans="1:13" s="1086" customFormat="1" ht="25.15" hidden="1" customHeight="1">
      <c r="A1810" s="1156">
        <f t="shared" si="147"/>
        <v>0</v>
      </c>
      <c r="B1810" s="1329" t="s">
        <v>473</v>
      </c>
      <c r="C1810" s="1329"/>
      <c r="D1810" s="1081"/>
      <c r="E1810" s="1094">
        <f>VLOOKUP($B1810,DG!A:D,DG!$B$2,)</f>
        <v>0</v>
      </c>
      <c r="F1810" s="1095" t="str">
        <f>VLOOKUP($B1810,DG!A:D,DG!$C$2,)</f>
        <v>Co sừng 90 độ PVC 140</v>
      </c>
      <c r="G1810" s="1094" t="str">
        <f>VLOOKUP($B1810,DG!A:D,DG!$D$2,)</f>
        <v>cái</v>
      </c>
      <c r="H1810" s="1873">
        <f>H1807*0</f>
        <v>0</v>
      </c>
      <c r="I1810" s="1262">
        <f t="shared" si="148"/>
        <v>0</v>
      </c>
      <c r="J1810" s="1084"/>
      <c r="K1810" s="1084"/>
      <c r="L1810" s="1085"/>
      <c r="M1810" s="977">
        <v>400</v>
      </c>
    </row>
    <row r="1811" spans="1:13" s="1086" customFormat="1" ht="25.15" hidden="1" customHeight="1">
      <c r="A1811" s="1156">
        <f t="shared" si="147"/>
        <v>0</v>
      </c>
      <c r="B1811" s="1327" t="s">
        <v>120</v>
      </c>
      <c r="C1811" s="1327"/>
      <c r="D1811" s="1093"/>
      <c r="E1811" s="1094" t="str">
        <f>VLOOKUP($B1811,DG!A:D,DG!$B$2,)</f>
        <v>06.3231</v>
      </c>
      <c r="F1811" s="1095" t="str">
        <f>VLOOKUP($B1811,DG!A:D,DG!$C$2,)</f>
        <v>Cổ dê giữ ống STK D140 vào tường+Boulon+long đền+tắc ke sắt</v>
      </c>
      <c r="G1811" s="1094" t="str">
        <f>VLOOKUP($B1811,DG!A:D,DG!$D$2,)</f>
        <v>bộ</v>
      </c>
      <c r="H1811" s="1873">
        <f>H1807*2*0</f>
        <v>0</v>
      </c>
      <c r="I1811" s="1262">
        <f t="shared" si="148"/>
        <v>0</v>
      </c>
      <c r="J1811" s="1084"/>
      <c r="K1811" s="1084"/>
      <c r="L1811" s="1085"/>
      <c r="M1811" s="977">
        <v>400</v>
      </c>
    </row>
    <row r="1812" spans="1:13" s="1086" customFormat="1" ht="25.15" hidden="1" customHeight="1">
      <c r="A1812" s="1156">
        <f t="shared" si="147"/>
        <v>0</v>
      </c>
      <c r="B1812" s="1157" t="s">
        <v>1414</v>
      </c>
      <c r="C1812" s="1157"/>
      <c r="D1812" s="1093"/>
      <c r="E1812" s="1094">
        <f>VLOOKUP($B1812,DG!A:D,DG!$B$2,)</f>
        <v>0</v>
      </c>
      <c r="F1812" s="1095" t="str">
        <f>VLOOKUP($B1812,DG!A:D,DG!$C$2,)</f>
        <v>Giá đỡ cáp ngầm (V63x6)</v>
      </c>
      <c r="G1812" s="1094" t="str">
        <f>VLOOKUP($B1812,DG!A:D,DG!$D$2,)</f>
        <v>bộ</v>
      </c>
      <c r="H1812" s="1873">
        <f>H1807*0</f>
        <v>0</v>
      </c>
      <c r="I1812" s="1262">
        <f t="shared" si="148"/>
        <v>0</v>
      </c>
      <c r="J1812" s="1084"/>
      <c r="K1812" s="1084"/>
      <c r="L1812" s="1085"/>
      <c r="M1812" s="977">
        <v>400</v>
      </c>
    </row>
    <row r="1813" spans="1:13" s="1086" customFormat="1" ht="25.15" hidden="1" customHeight="1">
      <c r="A1813" s="1156">
        <f t="shared" si="147"/>
        <v>0</v>
      </c>
      <c r="B1813" s="1157" t="s">
        <v>2146</v>
      </c>
      <c r="C1813" s="1157"/>
      <c r="D1813" s="1093"/>
      <c r="E1813" s="1094">
        <f>VLOOKUP($B1813,DG!A:D,DG!$B$2,)</f>
        <v>0</v>
      </c>
      <c r="F1813" s="1095" t="str">
        <f>VLOOKUP($B1813,DG!A:D,DG!$C$2,)</f>
        <v>Giá đỡ cáp trung hạ thế</v>
      </c>
      <c r="G1813" s="1094" t="str">
        <f>VLOOKUP($B1813,DG!A:D,DG!$D$2,)</f>
        <v>bộ</v>
      </c>
      <c r="H1813" s="1873">
        <f>H1807</f>
        <v>0</v>
      </c>
      <c r="I1813" s="1262">
        <f t="shared" si="148"/>
        <v>0</v>
      </c>
      <c r="J1813" s="1084"/>
      <c r="K1813" s="1084"/>
      <c r="L1813" s="1085"/>
      <c r="M1813" s="977">
        <v>400</v>
      </c>
    </row>
    <row r="1814" spans="1:13" s="1086" customFormat="1" ht="25.15" hidden="1" customHeight="1">
      <c r="A1814" s="1156">
        <f t="shared" si="147"/>
        <v>0</v>
      </c>
      <c r="B1814" s="1327" t="s">
        <v>1415</v>
      </c>
      <c r="C1814" s="1327"/>
      <c r="D1814" s="1081"/>
      <c r="E1814" s="1094" t="str">
        <f>VLOOKUP($B1814,DG!A:D,DG!$B$2,)</f>
        <v>05.6101</v>
      </c>
      <c r="F1814" s="1095" t="str">
        <f>VLOOKUP($B1814,DG!A:D,DG!$C$2,)</f>
        <v>Lắp Giá đỡ cáp</v>
      </c>
      <c r="G1814" s="1094" t="str">
        <f>VLOOKUP($B1814,DG!A:D,DG!$D$2,)</f>
        <v>bộ</v>
      </c>
      <c r="H1814" s="1873">
        <f>H1812+H1813</f>
        <v>0</v>
      </c>
      <c r="I1814" s="1262">
        <f t="shared" si="148"/>
        <v>0</v>
      </c>
      <c r="J1814" s="1084"/>
      <c r="K1814" s="1084"/>
      <c r="L1814" s="1085"/>
      <c r="M1814" s="977">
        <v>400</v>
      </c>
    </row>
    <row r="1815" spans="1:13" s="1086" customFormat="1" ht="25.15" hidden="1" customHeight="1">
      <c r="A1815" s="1156">
        <f t="shared" si="147"/>
        <v>0</v>
      </c>
      <c r="B1815" s="1327" t="s">
        <v>289</v>
      </c>
      <c r="C1815" s="1327"/>
      <c r="D1815" s="1093"/>
      <c r="E1815" s="1094" t="str">
        <f>VLOOKUP($B1815,DG!A:D,DG!$B$2,)</f>
        <v>06.3191</v>
      </c>
      <c r="F1815" s="1095" t="str">
        <f>VLOOKUP($B1815,DG!A:D,DG!$C$2,)</f>
        <v>Bảng tên trạm, bảng báo nguy hiểm + đinh vít</v>
      </c>
      <c r="G1815" s="1094" t="str">
        <f>VLOOKUP($B1815,DG!A:D,DG!$D$2,)</f>
        <v>bộ</v>
      </c>
      <c r="H1815" s="1873">
        <f>H1807*0</f>
        <v>0</v>
      </c>
      <c r="I1815" s="1262">
        <f t="shared" si="148"/>
        <v>0</v>
      </c>
      <c r="J1815" s="1084"/>
      <c r="K1815" s="1084"/>
      <c r="L1815" s="1085"/>
      <c r="M1815" s="977">
        <v>400</v>
      </c>
    </row>
    <row r="1816" spans="1:13" s="1086" customFormat="1" ht="25.15" hidden="1" customHeight="1">
      <c r="A1816" s="1156">
        <f t="shared" si="147"/>
        <v>0</v>
      </c>
      <c r="B1816" s="1327"/>
      <c r="C1816" s="1327"/>
      <c r="D1816" s="1087">
        <f>IF(H1816&gt;0,D1807+1,D1807)</f>
        <v>0</v>
      </c>
      <c r="E1816" s="1088"/>
      <c r="F1816" s="1097" t="s">
        <v>3761</v>
      </c>
      <c r="G1816" s="1087" t="s">
        <v>2394</v>
      </c>
      <c r="H1816" s="1889">
        <f>H1682*0</f>
        <v>0</v>
      </c>
      <c r="I1816" s="1262">
        <f t="shared" si="148"/>
        <v>0</v>
      </c>
      <c r="J1816" s="1084"/>
      <c r="K1816" s="1084"/>
      <c r="L1816" s="1085"/>
      <c r="M1816" s="977">
        <v>400</v>
      </c>
    </row>
    <row r="1817" spans="1:13" s="1086" customFormat="1" ht="25.15" hidden="1" customHeight="1">
      <c r="A1817" s="1156">
        <f>IF(A1816&gt;0,1,0)</f>
        <v>0</v>
      </c>
      <c r="B1817" s="1327"/>
      <c r="C1817" s="1327"/>
      <c r="D1817" s="1081"/>
      <c r="E1817" s="1091"/>
      <c r="F1817" s="1371" t="s">
        <v>2287</v>
      </c>
      <c r="G1817" s="1081"/>
      <c r="H1817" s="1890"/>
      <c r="I1817" s="1262">
        <f t="shared" si="148"/>
        <v>0</v>
      </c>
      <c r="J1817" s="1084"/>
      <c r="K1817" s="1084"/>
      <c r="L1817" s="1085"/>
      <c r="M1817" s="977">
        <v>400</v>
      </c>
    </row>
    <row r="1818" spans="1:13" s="1086" customFormat="1" ht="25.15" hidden="1" customHeight="1">
      <c r="A1818" s="1156">
        <f t="shared" ref="A1818:A1880" si="149">IF(I1818&gt;0,1,0)</f>
        <v>0</v>
      </c>
      <c r="B1818" s="1157" t="s">
        <v>470</v>
      </c>
      <c r="C1818" s="1157"/>
      <c r="D1818" s="1093"/>
      <c r="E1818" s="1082">
        <f>VLOOKUP($B1818,DG!A:D,DG!$B$2,)</f>
        <v>0</v>
      </c>
      <c r="F1818" s="1083" t="str">
        <f>VLOOKUP($B1818,DG!A:D,DG!$C$2,)&amp;": trong möông vaø leân MBA"</f>
        <v>Cáp 24kV C/XLPE/DSTA/PVC3x50: trong möông vaø leân MBA</v>
      </c>
      <c r="G1818" s="1082" t="str">
        <f>VLOOKUP($B1818,DG!A:D,DG!$D$2,)</f>
        <v>mét</v>
      </c>
      <c r="H1818" s="1873">
        <f>H1797+H1816*8</f>
        <v>0</v>
      </c>
      <c r="I1818" s="1262">
        <f t="shared" si="148"/>
        <v>0</v>
      </c>
      <c r="J1818" s="1084"/>
      <c r="K1818" s="1084"/>
      <c r="L1818" s="1085"/>
      <c r="M1818" s="977">
        <v>400</v>
      </c>
    </row>
    <row r="1819" spans="1:13" s="1086" customFormat="1" ht="25.15" hidden="1" customHeight="1">
      <c r="A1819" s="1156">
        <f t="shared" si="149"/>
        <v>0</v>
      </c>
      <c r="B1819" s="1157" t="s">
        <v>271</v>
      </c>
      <c r="C1819" s="1157"/>
      <c r="D1819" s="1093"/>
      <c r="E1819" s="1082">
        <f>VLOOKUP($B1819,DG!A:D,DG!$B$2,)</f>
        <v>0</v>
      </c>
      <c r="F1819" s="1083" t="str">
        <f>VLOOKUP($B1819,DG!A:D,DG!$C$2,)&amp;": trung tính"</f>
        <v>Cáp 24KV C/XLPE/PVC 50mm2: trung tính</v>
      </c>
      <c r="G1819" s="1082" t="str">
        <f>VLOOKUP($B1819,DG!A:D,DG!$D$2,)</f>
        <v>mét</v>
      </c>
      <c r="H1819" s="1873">
        <f>H1818</f>
        <v>0</v>
      </c>
      <c r="I1819" s="1262">
        <f t="shared" si="148"/>
        <v>0</v>
      </c>
      <c r="J1819" s="1084"/>
      <c r="K1819" s="1084"/>
      <c r="L1819" s="1085"/>
      <c r="M1819" s="977">
        <v>400</v>
      </c>
    </row>
    <row r="1820" spans="1:13" s="1086" customFormat="1" ht="25.15" hidden="1" customHeight="1">
      <c r="A1820" s="1156">
        <f t="shared" si="149"/>
        <v>0</v>
      </c>
      <c r="B1820" s="1157" t="s">
        <v>271</v>
      </c>
      <c r="C1820" s="1157"/>
      <c r="D1820" s="1093"/>
      <c r="E1820" s="1082">
        <f>VLOOKUP($B1820,DG!A:D,DG!$B$2,)</f>
        <v>0</v>
      </c>
      <c r="F1820" s="1083" t="str">
        <f>VLOOKUP($B1820,DG!A:D,DG!$C$2,)&amp;": 0,5m/pha töø FCO xuoáng MBA"</f>
        <v>Cáp 24KV C/XLPE/PVC 50mm2: 0,5m/pha töø FCO xuoáng MBA</v>
      </c>
      <c r="G1820" s="1082" t="str">
        <f>VLOOKUP($B1820,DG!A:D,DG!$D$2,)</f>
        <v>mét</v>
      </c>
      <c r="H1820" s="1873">
        <f>H1816*0.5*3*0</f>
        <v>0</v>
      </c>
      <c r="I1820" s="1262">
        <f t="shared" si="148"/>
        <v>0</v>
      </c>
      <c r="J1820" s="1084"/>
      <c r="K1820" s="1084"/>
      <c r="L1820" s="1085"/>
      <c r="M1820" s="977">
        <v>400</v>
      </c>
    </row>
    <row r="1821" spans="1:13" s="1086" customFormat="1" ht="25.15" hidden="1" customHeight="1">
      <c r="A1821" s="1156">
        <f t="shared" si="149"/>
        <v>0</v>
      </c>
      <c r="B1821" s="1157" t="s">
        <v>1357</v>
      </c>
      <c r="C1821" s="1157"/>
      <c r="D1821" s="1093"/>
      <c r="E1821" s="1082">
        <f>VLOOKUP($B1821,DG!A:D,DG!$B$2,)</f>
        <v>0</v>
      </c>
      <c r="F1821" s="1083" t="str">
        <f>VLOOKUP($B1821,DG!A:D,DG!$C$2,)</f>
        <v>Đầu cáp ngầm 24KV 3x50mm2 outdoor</v>
      </c>
      <c r="G1821" s="1082" t="str">
        <f>VLOOKUP($B1821,DG!A:D,DG!$D$2,)</f>
        <v>cái</v>
      </c>
      <c r="H1821" s="1873">
        <f>H1816</f>
        <v>0</v>
      </c>
      <c r="I1821" s="1262">
        <f t="shared" si="148"/>
        <v>0</v>
      </c>
      <c r="J1821" s="1084"/>
      <c r="K1821" s="1084"/>
      <c r="L1821" s="1085"/>
      <c r="M1821" s="977">
        <v>400</v>
      </c>
    </row>
    <row r="1822" spans="1:13" s="1086" customFormat="1" ht="25.15" hidden="1" customHeight="1">
      <c r="A1822" s="1156">
        <f t="shared" si="149"/>
        <v>0</v>
      </c>
      <c r="B1822" s="1157" t="s">
        <v>470</v>
      </c>
      <c r="C1822" s="1157"/>
      <c r="D1822" s="1093"/>
      <c r="E1822" s="1082">
        <f>VLOOKUP($B1822,DG!A:D,DG!$B$2,)</f>
        <v>0</v>
      </c>
      <c r="F1822" s="1083" t="str">
        <f>VLOOKUP($B1822,DG!A:D,DG!$C$2,)&amp;": töø tuû LBS ñeán MBA"</f>
        <v>Cáp 24kV C/XLPE/DSTA/PVC3x50: töø tuû LBS ñeán MBA</v>
      </c>
      <c r="G1822" s="1082" t="str">
        <f>VLOOKUP($B1822,DG!A:D,DG!$D$2,)</f>
        <v>mét</v>
      </c>
      <c r="H1822" s="1873">
        <f>(1.2+2.4)*H1816*0</f>
        <v>0</v>
      </c>
      <c r="I1822" s="1262">
        <f t="shared" si="148"/>
        <v>0</v>
      </c>
      <c r="J1822" s="1084"/>
      <c r="K1822" s="1084"/>
      <c r="L1822" s="1085"/>
      <c r="M1822" s="977">
        <v>400</v>
      </c>
    </row>
    <row r="1823" spans="1:13" s="1086" customFormat="1" ht="25.15" hidden="1" customHeight="1">
      <c r="A1823" s="1156">
        <f t="shared" si="149"/>
        <v>0</v>
      </c>
      <c r="B1823" s="1157" t="s">
        <v>271</v>
      </c>
      <c r="C1823" s="1157"/>
      <c r="D1823" s="1093"/>
      <c r="E1823" s="1082">
        <f>VLOOKUP($B1823,DG!A:D,DG!$B$2,)</f>
        <v>0</v>
      </c>
      <c r="F1823" s="1083" t="str">
        <f>VLOOKUP($B1823,DG!A:D,DG!$C$2,)&amp;": töø tuû LBS ñeán MBA"</f>
        <v>Cáp 24KV C/XLPE/PVC 50mm2: töø tuû LBS ñeán MBA</v>
      </c>
      <c r="G1823" s="1082" t="str">
        <f>VLOOKUP($B1823,DG!A:D,DG!$D$2,)</f>
        <v>mét</v>
      </c>
      <c r="H1823" s="1873">
        <f>H1816*1.2*0</f>
        <v>0</v>
      </c>
      <c r="I1823" s="1262">
        <f t="shared" si="148"/>
        <v>0</v>
      </c>
      <c r="J1823" s="1084"/>
      <c r="K1823" s="1084"/>
      <c r="L1823" s="1085"/>
      <c r="M1823" s="977">
        <v>400</v>
      </c>
    </row>
    <row r="1824" spans="1:13" s="1086" customFormat="1" ht="25.15" hidden="1" customHeight="1">
      <c r="A1824" s="1156">
        <f t="shared" si="149"/>
        <v>0</v>
      </c>
      <c r="B1824" s="1157" t="s">
        <v>1358</v>
      </c>
      <c r="C1824" s="1157"/>
      <c r="D1824" s="1093"/>
      <c r="E1824" s="1082">
        <f>VLOOKUP($B1824,DG!A:D,DG!$B$2,)</f>
        <v>0</v>
      </c>
      <c r="F1824" s="1083" t="str">
        <f>VLOOKUP($B1824,DG!A:D,DG!$C$2,)</f>
        <v>Đầu cáp ngầm 24KV 3x50mm2 indoor</v>
      </c>
      <c r="G1824" s="1082" t="str">
        <f>VLOOKUP($B1824,DG!A:D,DG!$D$2,)</f>
        <v>cái</v>
      </c>
      <c r="H1824" s="1873">
        <f>H1816</f>
        <v>0</v>
      </c>
      <c r="I1824" s="1262">
        <f t="shared" si="148"/>
        <v>0</v>
      </c>
      <c r="J1824" s="1084"/>
      <c r="K1824" s="1084"/>
      <c r="L1824" s="1085"/>
      <c r="M1824" s="977">
        <v>400</v>
      </c>
    </row>
    <row r="1825" spans="1:13" s="1086" customFormat="1" ht="25.15" hidden="1" customHeight="1">
      <c r="A1825" s="1156">
        <f t="shared" si="149"/>
        <v>0</v>
      </c>
      <c r="B1825" s="1157" t="s">
        <v>1680</v>
      </c>
      <c r="C1825" s="1157"/>
      <c r="D1825" s="1093"/>
      <c r="E1825" s="1082" t="str">
        <f>VLOOKUP($B1825,DG!A:D,DG!$B$2,)</f>
        <v>07.4312</v>
      </c>
      <c r="F1825" s="1083" t="str">
        <f>VLOOKUP($B1825,DG!A:D,DG!$C$2,)</f>
        <v>Lắp đầu cáp trung thế 3x50mm2, 70mm2</v>
      </c>
      <c r="G1825" s="1082" t="str">
        <f>VLOOKUP($B1825,DG!A:D,DG!$D$2,)</f>
        <v>cái</v>
      </c>
      <c r="H1825" s="1873">
        <f>H1821+H1824</f>
        <v>0</v>
      </c>
      <c r="I1825" s="1262">
        <f t="shared" si="148"/>
        <v>0</v>
      </c>
      <c r="J1825" s="1084"/>
      <c r="K1825" s="1084"/>
      <c r="L1825" s="1085"/>
      <c r="M1825" s="977">
        <v>400</v>
      </c>
    </row>
    <row r="1826" spans="1:13" s="1086" customFormat="1" ht="25.15" hidden="1" customHeight="1">
      <c r="A1826" s="1156">
        <f t="shared" si="149"/>
        <v>0</v>
      </c>
      <c r="B1826" s="1157" t="s">
        <v>1206</v>
      </c>
      <c r="C1826" s="1157"/>
      <c r="D1826" s="1093"/>
      <c r="E1826" s="1082" t="str">
        <f>VLOOKUP($B1826,DG!A:D,DG!$B$2,)</f>
        <v>03.1405</v>
      </c>
      <c r="F1826" s="1083" t="str">
        <f>VLOOKUP($B1826,DG!A:D,DG!$C$2,)</f>
        <v>Lắp cáp trong ống bảo vệ trong TBA loại &lt;=6kg</v>
      </c>
      <c r="G1826" s="1082" t="str">
        <f>VLOOKUP($B1826,DG!A:D,DG!$D$2,)</f>
        <v>mét</v>
      </c>
      <c r="H1826" s="1873">
        <f>H1818+H1822</f>
        <v>0</v>
      </c>
      <c r="I1826" s="1262">
        <f t="shared" si="148"/>
        <v>0</v>
      </c>
      <c r="J1826" s="1084"/>
      <c r="K1826" s="1084"/>
      <c r="L1826" s="1085"/>
      <c r="M1826" s="977">
        <v>400</v>
      </c>
    </row>
    <row r="1827" spans="1:13" s="1086" customFormat="1" ht="25.15" hidden="1" customHeight="1">
      <c r="A1827" s="1156">
        <f t="shared" si="149"/>
        <v>0</v>
      </c>
      <c r="B1827" s="1157" t="s">
        <v>1203</v>
      </c>
      <c r="C1827" s="1157"/>
      <c r="D1827" s="1093"/>
      <c r="E1827" s="1082" t="str">
        <f>VLOOKUP($B1827,DG!A:D,DG!$B$2,)</f>
        <v>03.1402</v>
      </c>
      <c r="F1827" s="1083" t="str">
        <f>VLOOKUP($B1827,DG!A:D,DG!$C$2,)</f>
        <v>Lắp cáp trong ống bảo vệ trong TBA loại &lt;=2kg</v>
      </c>
      <c r="G1827" s="1082" t="str">
        <f>VLOOKUP($B1827,DG!A:D,DG!$D$2,)</f>
        <v>mét</v>
      </c>
      <c r="H1827" s="1873">
        <f>H1819+H1823</f>
        <v>0</v>
      </c>
      <c r="I1827" s="1262">
        <f t="shared" si="148"/>
        <v>0</v>
      </c>
      <c r="J1827" s="1084"/>
      <c r="K1827" s="1084"/>
      <c r="L1827" s="1085"/>
      <c r="M1827" s="977">
        <v>400</v>
      </c>
    </row>
    <row r="1828" spans="1:13" s="1086" customFormat="1" ht="25.15" hidden="1" customHeight="1">
      <c r="A1828" s="1156">
        <f t="shared" si="149"/>
        <v>0</v>
      </c>
      <c r="B1828" s="1157" t="s">
        <v>1530</v>
      </c>
      <c r="C1828" s="1157"/>
      <c r="D1828" s="1093"/>
      <c r="E1828" s="1082" t="str">
        <f>VLOOKUP($B1828,DG!A:D,DG!$B$2,)</f>
        <v>04.4201</v>
      </c>
      <c r="F1828" s="1083" t="str">
        <f>VLOOKUP($B1828,DG!A:D,DG!$C$2,)</f>
        <v>Lắp cáp đồng xuống thiết bị D ≤ 95mm2</v>
      </c>
      <c r="G1828" s="1082" t="str">
        <f>VLOOKUP($B1828,DG!A:D,DG!$D$2,)</f>
        <v>m</v>
      </c>
      <c r="H1828" s="1873">
        <f>H1820</f>
        <v>0</v>
      </c>
      <c r="I1828" s="1262">
        <f t="shared" si="148"/>
        <v>0</v>
      </c>
      <c r="J1828" s="1084"/>
      <c r="K1828" s="1084"/>
      <c r="L1828" s="1085"/>
      <c r="M1828" s="977">
        <v>400</v>
      </c>
    </row>
    <row r="1829" spans="1:13" s="1086" customFormat="1" ht="25.15" hidden="1" customHeight="1">
      <c r="A1829" s="1156">
        <f t="shared" si="149"/>
        <v>0</v>
      </c>
      <c r="B1829" s="1157" t="s">
        <v>1354</v>
      </c>
      <c r="C1829" s="1157"/>
      <c r="D1829" s="1093"/>
      <c r="E1829" s="1082">
        <f>VLOOKUP($B1829,DG!A:D,DG!$B$2,)</f>
        <v>0</v>
      </c>
      <c r="F1829" s="1083" t="str">
        <f>VLOOKUP($B1829,DG!A:D,DG!$C$2,)</f>
        <v>Dây rút cáp</v>
      </c>
      <c r="G1829" s="1082" t="str">
        <f>VLOOKUP($B1829,DG!A:D,DG!$D$2,)</f>
        <v>bọc</v>
      </c>
      <c r="H1829" s="1873">
        <f>H1816*2</f>
        <v>0</v>
      </c>
      <c r="I1829" s="1262">
        <f t="shared" si="148"/>
        <v>0</v>
      </c>
      <c r="J1829" s="1084"/>
      <c r="K1829" s="1084"/>
      <c r="L1829" s="1085"/>
      <c r="M1829" s="977">
        <v>400</v>
      </c>
    </row>
    <row r="1830" spans="1:13" s="1086" customFormat="1" ht="25.15" hidden="1" customHeight="1">
      <c r="A1830" s="1156">
        <f t="shared" si="149"/>
        <v>0</v>
      </c>
      <c r="B1830" s="1327"/>
      <c r="C1830" s="1327"/>
      <c r="D1830" s="1087">
        <f>IF(H1830&gt;0,D1816+1,D1816)</f>
        <v>0</v>
      </c>
      <c r="E1830" s="1088"/>
      <c r="F1830" s="1097" t="s">
        <v>3765</v>
      </c>
      <c r="G1830" s="1087" t="s">
        <v>2394</v>
      </c>
      <c r="H1830" s="1889">
        <f>H1682</f>
        <v>0</v>
      </c>
      <c r="I1830" s="1262">
        <f t="shared" si="148"/>
        <v>0</v>
      </c>
      <c r="J1830" s="1084"/>
      <c r="K1830" s="1084"/>
      <c r="L1830" s="1113"/>
      <c r="M1830" s="977">
        <v>400</v>
      </c>
    </row>
    <row r="1831" spans="1:13" s="1086" customFormat="1" ht="25.15" hidden="1" customHeight="1">
      <c r="A1831" s="1156">
        <f>IF(A1830&gt;0,1,0)</f>
        <v>0</v>
      </c>
      <c r="B1831" s="1327"/>
      <c r="C1831" s="1327"/>
      <c r="D1831" s="1081"/>
      <c r="E1831" s="1091"/>
      <c r="F1831" s="1371" t="s">
        <v>2287</v>
      </c>
      <c r="G1831" s="1081"/>
      <c r="H1831" s="1890"/>
      <c r="I1831" s="1262">
        <f t="shared" si="148"/>
        <v>0</v>
      </c>
      <c r="J1831" s="1084"/>
      <c r="K1831" s="1084"/>
      <c r="L1831" s="1113"/>
      <c r="M1831" s="977">
        <v>400</v>
      </c>
    </row>
    <row r="1832" spans="1:13" s="1086" customFormat="1" ht="25.15" hidden="1" customHeight="1">
      <c r="A1832" s="1156">
        <f t="shared" si="149"/>
        <v>0</v>
      </c>
      <c r="B1832" s="1157" t="s">
        <v>699</v>
      </c>
      <c r="C1832" s="1157"/>
      <c r="D1832" s="1093"/>
      <c r="E1832" s="1082">
        <f>VLOOKUP($B1832,DG!A:D,DG!$B$2,)</f>
        <v>0</v>
      </c>
      <c r="F1832" s="1083" t="str">
        <f>VLOOKUP($B1832,DG!A:D,DG!$C$2,)&amp;": 9m/1pha"</f>
        <v>Cáp 24KV CX-25mm2: 9m/1pha</v>
      </c>
      <c r="G1832" s="1082" t="str">
        <f>VLOOKUP($B1832,DG!A:D,DG!$D$2,)</f>
        <v>mét</v>
      </c>
      <c r="H1832" s="1873">
        <f>H1830*(9)*3</f>
        <v>0</v>
      </c>
      <c r="I1832" s="1262">
        <f t="shared" si="148"/>
        <v>0</v>
      </c>
      <c r="J1832" s="1084"/>
      <c r="K1832" s="1084"/>
      <c r="L1832" s="1113"/>
      <c r="M1832" s="977">
        <v>400</v>
      </c>
    </row>
    <row r="1833" spans="1:13" s="1086" customFormat="1" ht="25.15" hidden="1" customHeight="1">
      <c r="A1833" s="1156">
        <f t="shared" si="149"/>
        <v>0</v>
      </c>
      <c r="B1833" s="1157" t="s">
        <v>699</v>
      </c>
      <c r="C1833" s="1157"/>
      <c r="D1833" s="1093"/>
      <c r="E1833" s="1082">
        <f>VLOOKUP($B1833,DG!A:D,DG!$B$2,)</f>
        <v>0</v>
      </c>
      <c r="F1833" s="1083" t="str">
        <f>VLOOKUP($B1833,DG!A:D,DG!$C$2,)&amp;": 1m/1pha ñaáu noái  LA"</f>
        <v>Cáp 24KV CX-25mm2: 1m/1pha ñaáu noái  LA</v>
      </c>
      <c r="G1833" s="1082" t="str">
        <f>VLOOKUP($B1833,DG!A:D,DG!$D$2,)</f>
        <v>mét</v>
      </c>
      <c r="H1833" s="1911">
        <f>H1830*3*1*0</f>
        <v>0</v>
      </c>
      <c r="I1833" s="1262">
        <f t="shared" si="148"/>
        <v>0</v>
      </c>
      <c r="J1833" s="1084"/>
      <c r="K1833" s="1084"/>
      <c r="L1833" s="1113"/>
      <c r="M1833" s="977">
        <v>400</v>
      </c>
    </row>
    <row r="1834" spans="1:13" s="1086" customFormat="1" ht="25.15" hidden="1" customHeight="1">
      <c r="A1834" s="1156">
        <f t="shared" si="149"/>
        <v>0</v>
      </c>
      <c r="B1834" s="1157" t="s">
        <v>1117</v>
      </c>
      <c r="C1834" s="1157"/>
      <c r="D1834" s="1093"/>
      <c r="E1834" s="1082">
        <f>VLOOKUP($B1834,DG!A:D,DG!$B$2,)</f>
        <v>0</v>
      </c>
      <c r="F1834" s="1083" t="str">
        <f>VLOOKUP($B1834,DG!A:D,DG!$C$2,)</f>
        <v>Kẹp ép cỡ dây 25mm2</v>
      </c>
      <c r="G1834" s="1082" t="str">
        <f>VLOOKUP($B1834,DG!A:D,DG!$D$2,)</f>
        <v>cái</v>
      </c>
      <c r="H1834" s="1911">
        <f>H1830*3*2</f>
        <v>0</v>
      </c>
      <c r="I1834" s="1262">
        <f t="shared" si="148"/>
        <v>0</v>
      </c>
      <c r="J1834" s="1084"/>
      <c r="K1834" s="1084"/>
      <c r="L1834" s="1085"/>
      <c r="M1834" s="977">
        <v>400</v>
      </c>
    </row>
    <row r="1835" spans="1:13" s="1086" customFormat="1" ht="25.15" hidden="1" customHeight="1">
      <c r="A1835" s="1156">
        <f t="shared" si="149"/>
        <v>0</v>
      </c>
      <c r="B1835" s="1157" t="s">
        <v>550</v>
      </c>
      <c r="C1835" s="1157"/>
      <c r="D1835" s="1093"/>
      <c r="E1835" s="1082">
        <f>VLOOKUP($B1835,DG!A:D,DG!$B$2,)</f>
        <v>0</v>
      </c>
      <c r="F1835" s="1083" t="str">
        <f>VLOOKUP($B1835,DG!A:D,DG!$C$2,)&amp;" + LA"</f>
        <v>Bass LI bắt FCO + LA</v>
      </c>
      <c r="G1835" s="1082" t="str">
        <f>VLOOKUP($B1835,DG!A:D,DG!$D$2,)</f>
        <v>Bộ</v>
      </c>
      <c r="H1835" s="1911">
        <f>H1830*3*2</f>
        <v>0</v>
      </c>
      <c r="I1835" s="1262">
        <f t="shared" si="148"/>
        <v>0</v>
      </c>
      <c r="J1835" s="1084"/>
      <c r="K1835" s="1084"/>
      <c r="L1835" s="1085"/>
      <c r="M1835" s="977">
        <v>400</v>
      </c>
    </row>
    <row r="1836" spans="1:13" s="1086" customFormat="1" ht="25.15" hidden="1" customHeight="1">
      <c r="A1836" s="1156">
        <f t="shared" si="149"/>
        <v>0</v>
      </c>
      <c r="B1836" s="1157" t="s">
        <v>1484</v>
      </c>
      <c r="C1836" s="1157"/>
      <c r="D1836" s="1093"/>
      <c r="E1836" s="1082" t="str">
        <f>VLOOKUP($B1836,DG!A:D,DG!$B$2,)</f>
        <v>04.3007</v>
      </c>
      <c r="F1836" s="1083" t="str">
        <f>VLOOKUP($B1836,DG!A:D,DG!$C$2,)</f>
        <v>Kẹp quai 2/0</v>
      </c>
      <c r="G1836" s="1082" t="str">
        <f>VLOOKUP($B1836,DG!A:D,DG!$D$2,)</f>
        <v>cái</v>
      </c>
      <c r="H1836" s="1911">
        <f>H1830*3</f>
        <v>0</v>
      </c>
      <c r="I1836" s="1262">
        <f t="shared" si="148"/>
        <v>0</v>
      </c>
      <c r="J1836" s="1084"/>
      <c r="K1836" s="1084"/>
      <c r="L1836" s="1113"/>
      <c r="M1836" s="977">
        <v>400</v>
      </c>
    </row>
    <row r="1837" spans="1:13" s="1086" customFormat="1" ht="25.15" hidden="1" customHeight="1">
      <c r="A1837" s="1156">
        <f t="shared" si="149"/>
        <v>0</v>
      </c>
      <c r="B1837" s="1157" t="s">
        <v>1482</v>
      </c>
      <c r="C1837" s="1157"/>
      <c r="D1837" s="1093"/>
      <c r="E1837" s="1082" t="str">
        <f>VLOOKUP($B1837,DG!A:D,DG!$B$2,)</f>
        <v>04.3007</v>
      </c>
      <c r="F1837" s="1083" t="str">
        <f>VLOOKUP($B1837,DG!A:D,DG!$C$2,)&amp;": "</f>
        <v xml:space="preserve">Kẹp hotline 2/0: </v>
      </c>
      <c r="G1837" s="1082" t="str">
        <f>VLOOKUP($B1837,DG!A:D,DG!$D$2,)</f>
        <v>cái</v>
      </c>
      <c r="H1837" s="1873"/>
      <c r="I1837" s="1262">
        <f t="shared" si="148"/>
        <v>0</v>
      </c>
      <c r="J1837" s="1084"/>
      <c r="K1837" s="1084"/>
      <c r="L1837" s="1113"/>
      <c r="M1837" s="977">
        <v>400</v>
      </c>
    </row>
    <row r="1838" spans="1:13" s="1086" customFormat="1" ht="25.15" hidden="1" customHeight="1">
      <c r="A1838" s="1156">
        <f t="shared" si="149"/>
        <v>0</v>
      </c>
      <c r="B1838" s="1157" t="s">
        <v>698</v>
      </c>
      <c r="C1838" s="1157"/>
      <c r="D1838" s="1113"/>
      <c r="E1838" s="1082">
        <f>VLOOKUP($B1838,DG!A:D,DG!$B$2,)</f>
        <v>0</v>
      </c>
      <c r="F1838" s="1083" t="str">
        <f>VLOOKUP($B1838,DG!A:D,DG!$C$2,)</f>
        <v xml:space="preserve">Sứ đứng 24KV </v>
      </c>
      <c r="G1838" s="1082" t="str">
        <f>VLOOKUP($B1838,DG!A:D,DG!$D$2,)</f>
        <v>cái</v>
      </c>
      <c r="H1838" s="1873"/>
      <c r="I1838" s="1262">
        <f t="shared" si="148"/>
        <v>0</v>
      </c>
      <c r="J1838" s="1084"/>
      <c r="K1838" s="1084"/>
      <c r="L1838" s="1113"/>
      <c r="M1838" s="977">
        <v>400</v>
      </c>
    </row>
    <row r="1839" spans="1:13" s="1086" customFormat="1" ht="25.15" hidden="1" customHeight="1">
      <c r="A1839" s="1156">
        <f t="shared" si="149"/>
        <v>0</v>
      </c>
      <c r="B1839" s="1157" t="s">
        <v>1270</v>
      </c>
      <c r="C1839" s="1157"/>
      <c r="D1839" s="1093"/>
      <c r="E1839" s="1082">
        <f>VLOOKUP($B1839,DG!A:D,DG!$B$2,)</f>
        <v>0</v>
      </c>
      <c r="F1839" s="1083" t="str">
        <f>VLOOKUP($B1839,DG!A:D,DG!$C$2,)</f>
        <v>Chân sứ đứng D20</v>
      </c>
      <c r="G1839" s="1082" t="str">
        <f>VLOOKUP($B1839,DG!A:D,DG!$D$2,)</f>
        <v>cái</v>
      </c>
      <c r="H1839" s="1873"/>
      <c r="I1839" s="1262">
        <f t="shared" si="148"/>
        <v>0</v>
      </c>
      <c r="J1839" s="1084"/>
      <c r="K1839" s="1084"/>
      <c r="L1839" s="1113"/>
      <c r="M1839" s="977">
        <v>400</v>
      </c>
    </row>
    <row r="1840" spans="1:13" s="1086" customFormat="1" ht="25.15" hidden="1" customHeight="1">
      <c r="A1840" s="1156">
        <f t="shared" si="149"/>
        <v>0</v>
      </c>
      <c r="B1840" s="1157" t="s">
        <v>439</v>
      </c>
      <c r="C1840" s="1157"/>
      <c r="D1840" s="1093"/>
      <c r="E1840" s="1082">
        <f>VLOOKUP($B1840,DG!A:D,DG!$B$2,)</f>
        <v>0</v>
      </c>
      <c r="F1840" s="1083" t="str">
        <f>VLOOKUP($B1840,DG!A:D,DG!$C$2,)</f>
        <v>Sứ treo polymer</v>
      </c>
      <c r="G1840" s="1082" t="str">
        <f>VLOOKUP($B1840,DG!A:D,DG!$D$2,)</f>
        <v>chuỗi</v>
      </c>
      <c r="H1840" s="1911">
        <f>H1830*6*0</f>
        <v>0</v>
      </c>
      <c r="I1840" s="1262">
        <f t="shared" si="148"/>
        <v>0</v>
      </c>
      <c r="J1840" s="1084"/>
      <c r="K1840" s="1084"/>
      <c r="L1840" s="1113"/>
      <c r="M1840" s="977">
        <v>400</v>
      </c>
    </row>
    <row r="1841" spans="1:13" s="1086" customFormat="1" ht="25.15" hidden="1" customHeight="1">
      <c r="A1841" s="1156">
        <f t="shared" si="149"/>
        <v>0</v>
      </c>
      <c r="B1841" s="1157" t="s">
        <v>1570</v>
      </c>
      <c r="C1841" s="1157"/>
      <c r="D1841" s="1093"/>
      <c r="E1841" s="1082" t="str">
        <f>VLOOKUP($B1841,DG!A:D,DG!$B$2,)</f>
        <v>06.1115</v>
      </c>
      <c r="F1841" s="1083" t="str">
        <f>VLOOKUP($B1841,DG!A:D,DG!$C$2,)</f>
        <v>Lắp sứ đứng 24KV</v>
      </c>
      <c r="G1841" s="1082" t="str">
        <f>VLOOKUP($B1841,DG!A:D,DG!$D$2,)</f>
        <v>bộ</v>
      </c>
      <c r="H1841" s="1873"/>
      <c r="I1841" s="1262">
        <f t="shared" si="148"/>
        <v>0</v>
      </c>
      <c r="J1841" s="1084"/>
      <c r="K1841" s="1084"/>
      <c r="L1841" s="1113"/>
      <c r="M1841" s="977">
        <v>400</v>
      </c>
    </row>
    <row r="1842" spans="1:13" s="1086" customFormat="1" ht="25.15" hidden="1" customHeight="1">
      <c r="A1842" s="1156">
        <f t="shared" si="149"/>
        <v>0</v>
      </c>
      <c r="B1842" s="1157" t="s">
        <v>235</v>
      </c>
      <c r="C1842" s="1157"/>
      <c r="D1842" s="1093"/>
      <c r="E1842" s="1082" t="str">
        <f>VLOOKUP($B1842,DG!A:D,DG!$B$2,)</f>
        <v>06.1115</v>
      </c>
      <c r="F1842" s="1083" t="str">
        <f>VLOOKUP($B1842,DG!A:D,DG!$C$2,)</f>
        <v>Tháo sứ đứng 24KV</v>
      </c>
      <c r="G1842" s="1082" t="str">
        <f>VLOOKUP($B1842,DG!A:D,DG!$D$2,)</f>
        <v>bộ</v>
      </c>
      <c r="H1842" s="1873"/>
      <c r="I1842" s="1262">
        <f t="shared" si="148"/>
        <v>0</v>
      </c>
      <c r="J1842" s="1084"/>
      <c r="K1842" s="1084"/>
      <c r="L1842" s="1113"/>
      <c r="M1842" s="977">
        <v>400</v>
      </c>
    </row>
    <row r="1843" spans="1:13" s="1086" customFormat="1" ht="25.15" hidden="1" customHeight="1">
      <c r="A1843" s="1156">
        <f t="shared" si="149"/>
        <v>0</v>
      </c>
      <c r="B1843" s="1157" t="s">
        <v>1512</v>
      </c>
      <c r="C1843" s="1157"/>
      <c r="D1843" s="1093"/>
      <c r="E1843" s="1082" t="str">
        <f>VLOOKUP($B1843,DG!A:D,DG!$B$2,)</f>
        <v>06.2201</v>
      </c>
      <c r="F1843" s="1083" t="str">
        <f>VLOOKUP($B1843,DG!A:D,DG!$C$2,)</f>
        <v>Lắp chuỗi sứ néo Polymer</v>
      </c>
      <c r="G1843" s="1082" t="str">
        <f>VLOOKUP($B1843,DG!A:D,DG!$D$2,)</f>
        <v>chuỗi</v>
      </c>
      <c r="H1843" s="1873">
        <f>H1840</f>
        <v>0</v>
      </c>
      <c r="I1843" s="1262">
        <f t="shared" ref="I1843:I1906" si="150">IF(M1843=$M$23,H1843+J1843-K1843,0)</f>
        <v>0</v>
      </c>
      <c r="J1843" s="1084"/>
      <c r="K1843" s="1084"/>
      <c r="L1843" s="1113"/>
      <c r="M1843" s="977">
        <v>400</v>
      </c>
    </row>
    <row r="1844" spans="1:13" s="1086" customFormat="1" ht="25.15" hidden="1" customHeight="1">
      <c r="A1844" s="1156">
        <f t="shared" si="149"/>
        <v>0</v>
      </c>
      <c r="B1844" s="1157" t="s">
        <v>1530</v>
      </c>
      <c r="C1844" s="1157"/>
      <c r="D1844" s="1093"/>
      <c r="E1844" s="1082" t="str">
        <f>VLOOKUP($B1844,DG!A:D,DG!$B$2,)</f>
        <v>04.4201</v>
      </c>
      <c r="F1844" s="1083" t="str">
        <f>VLOOKUP($B1844,DG!A:D,DG!$C$2,)</f>
        <v>Lắp cáp đồng xuống thiết bị D ≤ 95mm2</v>
      </c>
      <c r="G1844" s="1082" t="str">
        <f>VLOOKUP($B1844,DG!A:D,DG!$D$2,)</f>
        <v>m</v>
      </c>
      <c r="H1844" s="1873">
        <f>H1832+H1833</f>
        <v>0</v>
      </c>
      <c r="I1844" s="1262">
        <f t="shared" si="150"/>
        <v>0</v>
      </c>
      <c r="J1844" s="1084"/>
      <c r="K1844" s="1084"/>
      <c r="L1844" s="1113"/>
      <c r="M1844" s="977">
        <v>400</v>
      </c>
    </row>
    <row r="1845" spans="1:13" s="1086" customFormat="1" ht="25.15" hidden="1" customHeight="1">
      <c r="A1845" s="1156">
        <f t="shared" si="149"/>
        <v>0</v>
      </c>
      <c r="B1845" s="1327"/>
      <c r="C1845" s="1327"/>
      <c r="D1845" s="1087">
        <f>IF(H1845&gt;0,D1830+1,D1830)</f>
        <v>0</v>
      </c>
      <c r="E1845" s="1088"/>
      <c r="F1845" s="1097" t="s">
        <v>3729</v>
      </c>
      <c r="G1845" s="1087" t="s">
        <v>2394</v>
      </c>
      <c r="H1845" s="1889">
        <f>H1711*0</f>
        <v>0</v>
      </c>
      <c r="I1845" s="1262">
        <f t="shared" si="150"/>
        <v>0</v>
      </c>
      <c r="J1845" s="1084"/>
      <c r="K1845" s="1084"/>
      <c r="L1845" s="1085"/>
      <c r="M1845" s="977">
        <v>400</v>
      </c>
    </row>
    <row r="1846" spans="1:13" s="1086" customFormat="1" ht="25.15" hidden="1" customHeight="1">
      <c r="A1846" s="1156">
        <f>IF(A1845&gt;0,1,0)</f>
        <v>0</v>
      </c>
      <c r="B1846" s="1327"/>
      <c r="C1846" s="1327"/>
      <c r="D1846" s="1081"/>
      <c r="E1846" s="1091"/>
      <c r="F1846" s="1371" t="s">
        <v>2287</v>
      </c>
      <c r="G1846" s="1081"/>
      <c r="H1846" s="1890"/>
      <c r="I1846" s="1262">
        <f t="shared" si="150"/>
        <v>0</v>
      </c>
      <c r="J1846" s="1084"/>
      <c r="K1846" s="1084"/>
      <c r="L1846" s="1085"/>
      <c r="M1846" s="977">
        <v>400</v>
      </c>
    </row>
    <row r="1847" spans="1:13" s="1086" customFormat="1" ht="25.15" hidden="1" customHeight="1">
      <c r="A1847" s="1156">
        <f t="shared" si="149"/>
        <v>0</v>
      </c>
      <c r="B1847" s="1327" t="s">
        <v>1494</v>
      </c>
      <c r="C1847" s="1327"/>
      <c r="D1847" s="1093"/>
      <c r="E1847" s="1082" t="str">
        <f>VLOOKUP($B1847,DG!A:D,DG!$B$2,)</f>
        <v>04.8003</v>
      </c>
      <c r="F1847" s="1083" t="str">
        <f>VLOOKUP($B1847,DG!A:D,DG!$C$2,)</f>
        <v xml:space="preserve">Ống PVC D90x3,8mm </v>
      </c>
      <c r="G1847" s="1082" t="str">
        <f>VLOOKUP($B1847,DG!A:D,DG!$D$2,)</f>
        <v>m</v>
      </c>
      <c r="H1847" s="1873">
        <f>H1845*2</f>
        <v>0</v>
      </c>
      <c r="I1847" s="1262">
        <f t="shared" si="150"/>
        <v>0</v>
      </c>
      <c r="J1847" s="1084"/>
      <c r="K1847" s="1084"/>
      <c r="L1847" s="1085"/>
      <c r="M1847" s="977">
        <v>400</v>
      </c>
    </row>
    <row r="1848" spans="1:13" s="1086" customFormat="1" ht="25.15" hidden="1" customHeight="1">
      <c r="A1848" s="1156">
        <f t="shared" si="149"/>
        <v>0</v>
      </c>
      <c r="B1848" s="1327" t="s">
        <v>86</v>
      </c>
      <c r="C1848" s="1327"/>
      <c r="D1848" s="1093"/>
      <c r="E1848" s="1082">
        <f>VLOOKUP($B1848,DG!A:D,DG!$B$2,)</f>
        <v>0</v>
      </c>
      <c r="F1848" s="1083" t="str">
        <f>VLOOKUP($B1848,DG!A:D,DG!$C$2,)</f>
        <v>Co  90 độ PVC 90</v>
      </c>
      <c r="G1848" s="1082" t="str">
        <f>VLOOKUP($B1848,DG!A:D,DG!$D$2,)</f>
        <v>cái</v>
      </c>
      <c r="H1848" s="1873">
        <f>H1845</f>
        <v>0</v>
      </c>
      <c r="I1848" s="1262">
        <f t="shared" si="150"/>
        <v>0</v>
      </c>
      <c r="J1848" s="1084"/>
      <c r="K1848" s="1084"/>
      <c r="L1848" s="1085"/>
      <c r="M1848" s="977">
        <v>400</v>
      </c>
    </row>
    <row r="1849" spans="1:13" s="1086" customFormat="1" ht="25.15" hidden="1" customHeight="1">
      <c r="A1849" s="1156">
        <f t="shared" si="149"/>
        <v>0</v>
      </c>
      <c r="B1849" s="1327" t="s">
        <v>933</v>
      </c>
      <c r="C1849" s="1327"/>
      <c r="D1849" s="1093"/>
      <c r="E1849" s="1082">
        <f>VLOOKUP($B1849,DG!A:D,DG!$B$2,)</f>
        <v>0</v>
      </c>
      <c r="F1849" s="1083" t="str">
        <f>VLOOKUP($B1849,DG!A:D,DG!$C$2,)</f>
        <v>Khâu ven răng trong D90</v>
      </c>
      <c r="G1849" s="1082" t="str">
        <f>VLOOKUP($B1849,DG!A:D,DG!$D$2,)</f>
        <v>cái</v>
      </c>
      <c r="H1849" s="1873">
        <f>H1845*2</f>
        <v>0</v>
      </c>
      <c r="I1849" s="1262">
        <f t="shared" si="150"/>
        <v>0</v>
      </c>
      <c r="J1849" s="1084"/>
      <c r="K1849" s="1084"/>
      <c r="L1849" s="1085"/>
      <c r="M1849" s="977">
        <v>400</v>
      </c>
    </row>
    <row r="1850" spans="1:13" s="1086" customFormat="1" ht="25.15" hidden="1" customHeight="1">
      <c r="A1850" s="1156">
        <f t="shared" si="149"/>
        <v>0</v>
      </c>
      <c r="B1850" s="1327" t="s">
        <v>932</v>
      </c>
      <c r="C1850" s="1327"/>
      <c r="D1850" s="1093"/>
      <c r="E1850" s="1082">
        <f>VLOOKUP($B1850,DG!A:D,DG!$B$2,)</f>
        <v>0</v>
      </c>
      <c r="F1850" s="1083" t="str">
        <f>VLOOKUP($B1850,DG!A:D,DG!$C$2,)</f>
        <v>Khâu ven răng ngoài D90</v>
      </c>
      <c r="G1850" s="1082" t="str">
        <f>VLOOKUP($B1850,DG!A:D,DG!$D$2,)</f>
        <v>cái</v>
      </c>
      <c r="H1850" s="1873">
        <f>H1849</f>
        <v>0</v>
      </c>
      <c r="I1850" s="1262">
        <f t="shared" si="150"/>
        <v>0</v>
      </c>
      <c r="J1850" s="1084"/>
      <c r="K1850" s="1084"/>
      <c r="L1850" s="1085"/>
      <c r="M1850" s="977">
        <v>400</v>
      </c>
    </row>
    <row r="1851" spans="1:13" s="1086" customFormat="1" ht="25.15" hidden="1" customHeight="1">
      <c r="A1851" s="1156">
        <f t="shared" si="149"/>
        <v>0</v>
      </c>
      <c r="B1851" s="1157"/>
      <c r="C1851" s="1157"/>
      <c r="D1851" s="1087">
        <f>IF(H1851&gt;0,D1845+1,D1845)</f>
        <v>0</v>
      </c>
      <c r="E1851" s="1088"/>
      <c r="F1851" s="1097" t="s">
        <v>3749</v>
      </c>
      <c r="G1851" s="1087" t="s">
        <v>2394</v>
      </c>
      <c r="H1851" s="1910">
        <f>H1792</f>
        <v>0</v>
      </c>
      <c r="I1851" s="1262">
        <f t="shared" si="150"/>
        <v>0</v>
      </c>
      <c r="J1851" s="1084"/>
      <c r="K1851" s="1084"/>
      <c r="L1851" s="1113"/>
      <c r="M1851" s="977">
        <v>400</v>
      </c>
    </row>
    <row r="1852" spans="1:13" s="1086" customFormat="1" ht="25.15" hidden="1" customHeight="1">
      <c r="A1852" s="1156">
        <f>IF(A1851&gt;0,1,0)</f>
        <v>0</v>
      </c>
      <c r="B1852" s="1157"/>
      <c r="C1852" s="1157"/>
      <c r="D1852" s="1081"/>
      <c r="E1852" s="1091"/>
      <c r="F1852" s="1371" t="s">
        <v>2287</v>
      </c>
      <c r="G1852" s="1081"/>
      <c r="H1852" s="1873"/>
      <c r="I1852" s="1262">
        <f t="shared" si="150"/>
        <v>0</v>
      </c>
      <c r="J1852" s="1084"/>
      <c r="K1852" s="1084"/>
      <c r="L1852" s="1113"/>
      <c r="M1852" s="977">
        <v>400</v>
      </c>
    </row>
    <row r="1853" spans="1:13" s="1086" customFormat="1" ht="25.15" hidden="1" customHeight="1">
      <c r="A1853" s="1156">
        <f t="shared" si="149"/>
        <v>0</v>
      </c>
      <c r="B1853" s="1359" t="s">
        <v>608</v>
      </c>
      <c r="C1853" s="1359"/>
      <c r="D1853" s="1093"/>
      <c r="E1853" s="1082">
        <f>VLOOKUP($B1853,DG!A:D,DG!$B$2,)</f>
        <v>0</v>
      </c>
      <c r="F1853" s="1083" t="str">
        <f>VLOOKUP($B1853,DG!A:D,DG!$C$2,)&amp;":  "&amp;2&amp;" x 9m/pha "</f>
        <v xml:space="preserve">Cáp đồng bọc CV200:  2 x 9m/pha </v>
      </c>
      <c r="G1853" s="1082" t="str">
        <f>VLOOKUP($B1853,DG!A:D,DG!$D$2,)</f>
        <v>mét</v>
      </c>
      <c r="H1853" s="1873">
        <f>9*3*H1851*2</f>
        <v>0</v>
      </c>
      <c r="I1853" s="1262">
        <f t="shared" si="150"/>
        <v>0</v>
      </c>
      <c r="J1853" s="1084"/>
      <c r="K1853" s="1084"/>
      <c r="L1853" s="1113"/>
      <c r="M1853" s="977">
        <v>400</v>
      </c>
    </row>
    <row r="1854" spans="1:13" s="1086" customFormat="1" ht="25.15" hidden="1" customHeight="1">
      <c r="A1854" s="1156">
        <f t="shared" si="149"/>
        <v>0</v>
      </c>
      <c r="B1854" s="1359" t="s">
        <v>608</v>
      </c>
      <c r="C1854" s="1359"/>
      <c r="D1854" s="1093"/>
      <c r="E1854" s="1082">
        <f>VLOOKUP($B1854,DG!A:D,DG!$B$2,)</f>
        <v>0</v>
      </c>
      <c r="F1854" s="1083" t="e">
        <f>VLOOKUP($B1854,DG!A:D,DG!$C$2,)&amp;":  "&amp;#REF!&amp;" x 9m/trung tính "</f>
        <v>#REF!</v>
      </c>
      <c r="G1854" s="1082" t="str">
        <f>VLOOKUP($B1854,DG!A:D,DG!$D$2,)</f>
        <v>mét</v>
      </c>
      <c r="H1854" s="1873">
        <f>9*H1851</f>
        <v>0</v>
      </c>
      <c r="I1854" s="1262">
        <f t="shared" si="150"/>
        <v>0</v>
      </c>
      <c r="J1854" s="1084"/>
      <c r="K1854" s="1084"/>
      <c r="L1854" s="1113"/>
      <c r="M1854" s="977">
        <v>400</v>
      </c>
    </row>
    <row r="1855" spans="1:13" s="1086" customFormat="1" ht="25.15" hidden="1" customHeight="1">
      <c r="A1855" s="1156">
        <f t="shared" si="149"/>
        <v>0</v>
      </c>
      <c r="B1855" s="1327" t="s">
        <v>447</v>
      </c>
      <c r="C1855" s="1327"/>
      <c r="D1855" s="1093"/>
      <c r="E1855" s="1082" t="str">
        <f>VLOOKUP($B1855,DG!A:D,DG!$B$2,)</f>
        <v>03.4008</v>
      </c>
      <c r="F1855" s="1083" t="str">
        <f>VLOOKUP($B1855,DG!A:D,DG!$C$2,)&amp;": "</f>
        <v xml:space="preserve">Đầu cosse ép Cu 200mm2: </v>
      </c>
      <c r="G1855" s="1082" t="str">
        <f>VLOOKUP($B1855,DG!A:D,DG!$D$2,)</f>
        <v>cái</v>
      </c>
      <c r="H1855" s="1873">
        <f>H1851*2*7</f>
        <v>0</v>
      </c>
      <c r="I1855" s="1262">
        <f t="shared" si="150"/>
        <v>0</v>
      </c>
      <c r="J1855" s="1084"/>
      <c r="K1855" s="1084"/>
      <c r="L1855" s="1113"/>
      <c r="M1855" s="977">
        <v>400</v>
      </c>
    </row>
    <row r="1856" spans="1:13" s="1086" customFormat="1" ht="25.15" hidden="1" customHeight="1">
      <c r="A1856" s="1156">
        <f t="shared" si="149"/>
        <v>0</v>
      </c>
      <c r="B1856" s="1327" t="s">
        <v>610</v>
      </c>
      <c r="C1856" s="1327"/>
      <c r="D1856" s="1093"/>
      <c r="E1856" s="1082">
        <f>VLOOKUP($B1856,DG!A:D,DG!$B$2,)</f>
        <v>0</v>
      </c>
      <c r="F1856" s="1083" t="str">
        <f>VLOOKUP($B1856,DG!A:D,DG!$C$2,)&amp;": "</f>
        <v xml:space="preserve">Chụp đầu cosse  200mm2: </v>
      </c>
      <c r="G1856" s="1082" t="str">
        <f>VLOOKUP($B1856,DG!A:D,DG!$D$2,)</f>
        <v>cái</v>
      </c>
      <c r="H1856" s="1873">
        <f>H1855</f>
        <v>0</v>
      </c>
      <c r="I1856" s="1262">
        <f t="shared" si="150"/>
        <v>0</v>
      </c>
      <c r="J1856" s="1084"/>
      <c r="K1856" s="1084"/>
      <c r="L1856" s="1113"/>
      <c r="M1856" s="977">
        <v>400</v>
      </c>
    </row>
    <row r="1857" spans="1:13" s="1086" customFormat="1" ht="25.15" hidden="1" customHeight="1">
      <c r="A1857" s="1156">
        <f t="shared" si="149"/>
        <v>0</v>
      </c>
      <c r="B1857" s="1327" t="s">
        <v>1044</v>
      </c>
      <c r="C1857" s="1327"/>
      <c r="D1857" s="1093"/>
      <c r="E1857" s="1082">
        <f>VLOOKUP($B1857,DG!A:D,DG!$B$2,)</f>
        <v>0</v>
      </c>
      <c r="F1857" s="1083" t="str">
        <f>VLOOKUP($B1857,DG!A:D,DG!$C$2,)</f>
        <v xml:space="preserve">Ống PVC D114x4,9mm </v>
      </c>
      <c r="G1857" s="1082" t="str">
        <f>VLOOKUP($B1857,DG!A:D,DG!$D$2,)</f>
        <v>m</v>
      </c>
      <c r="H1857" s="1873"/>
      <c r="I1857" s="1262">
        <f t="shared" si="150"/>
        <v>0</v>
      </c>
      <c r="J1857" s="1084"/>
      <c r="K1857" s="1084"/>
      <c r="L1857" s="1113"/>
      <c r="M1857" s="977">
        <v>400</v>
      </c>
    </row>
    <row r="1858" spans="1:13" s="1086" customFormat="1" ht="25.15" hidden="1" customHeight="1">
      <c r="A1858" s="1156">
        <f t="shared" si="149"/>
        <v>0</v>
      </c>
      <c r="B1858" s="1157" t="s">
        <v>733</v>
      </c>
      <c r="C1858" s="1157"/>
      <c r="D1858" s="1093"/>
      <c r="E1858" s="1082" t="str">
        <f>VLOOKUP($B1858,DG!A:D,DG!$B$2,)</f>
        <v>06.3231</v>
      </c>
      <c r="F1858" s="1083" t="str">
        <f>VLOOKUP($B1858,DG!A:D,DG!$C$2,)&amp;": CD-250"</f>
        <v>Cổ dê kẹp ống PVC Ø 114: CD-250</v>
      </c>
      <c r="G1858" s="1082" t="s">
        <v>2448</v>
      </c>
      <c r="H1858" s="1873">
        <f>H1851*1</f>
        <v>0</v>
      </c>
      <c r="I1858" s="1262">
        <f t="shared" si="150"/>
        <v>0</v>
      </c>
      <c r="J1858" s="1084"/>
      <c r="K1858" s="1084"/>
      <c r="L1858" s="1113"/>
      <c r="M1858" s="977">
        <v>400</v>
      </c>
    </row>
    <row r="1859" spans="1:13" s="1086" customFormat="1" ht="25.15" hidden="1" customHeight="1">
      <c r="A1859" s="1156">
        <f t="shared" si="149"/>
        <v>0</v>
      </c>
      <c r="B1859" s="1157" t="s">
        <v>733</v>
      </c>
      <c r="C1859" s="1157"/>
      <c r="D1859" s="1093"/>
      <c r="E1859" s="1082" t="str">
        <f>VLOOKUP($B1859,DG!A:D,DG!$B$2,)</f>
        <v>06.3231</v>
      </c>
      <c r="F1859" s="1083" t="str">
        <f>VLOOKUP($B1859,DG!A:D,DG!$C$2,)&amp;": CD-280"</f>
        <v>Cổ dê kẹp ống PVC Ø 114: CD-280</v>
      </c>
      <c r="G1859" s="1082" t="s">
        <v>2448</v>
      </c>
      <c r="H1859" s="1873">
        <f>H1851*1</f>
        <v>0</v>
      </c>
      <c r="I1859" s="1262">
        <f t="shared" si="150"/>
        <v>0</v>
      </c>
      <c r="J1859" s="1084"/>
      <c r="K1859" s="1084"/>
      <c r="L1859" s="1113"/>
      <c r="M1859" s="977">
        <v>400</v>
      </c>
    </row>
    <row r="1860" spans="1:13" s="1086" customFormat="1" ht="25.15" hidden="1" customHeight="1">
      <c r="A1860" s="1156">
        <f t="shared" si="149"/>
        <v>0</v>
      </c>
      <c r="B1860" s="1157" t="s">
        <v>733</v>
      </c>
      <c r="C1860" s="1157"/>
      <c r="D1860" s="1093"/>
      <c r="E1860" s="1082" t="str">
        <f>VLOOKUP($B1860,DG!A:D,DG!$B$2,)</f>
        <v>06.3231</v>
      </c>
      <c r="F1860" s="1083" t="str">
        <f>VLOOKUP($B1860,DG!A:D,DG!$C$2,)&amp;": CD-320"</f>
        <v>Cổ dê kẹp ống PVC Ø 114: CD-320</v>
      </c>
      <c r="G1860" s="1082" t="s">
        <v>2448</v>
      </c>
      <c r="H1860" s="1873">
        <f>H1851*1</f>
        <v>0</v>
      </c>
      <c r="I1860" s="1262">
        <f t="shared" si="150"/>
        <v>0</v>
      </c>
      <c r="J1860" s="1084"/>
      <c r="K1860" s="1084"/>
      <c r="L1860" s="1113"/>
      <c r="M1860" s="977">
        <v>400</v>
      </c>
    </row>
    <row r="1861" spans="1:13" s="1086" customFormat="1" ht="25.15" hidden="1" customHeight="1">
      <c r="A1861" s="1156">
        <f t="shared" si="149"/>
        <v>0</v>
      </c>
      <c r="B1861" s="1363" t="s">
        <v>381</v>
      </c>
      <c r="C1861" s="1363"/>
      <c r="D1861" s="1093"/>
      <c r="E1861" s="1082">
        <f>VLOOKUP($B1861,DG!A:D,DG!$B$2,)</f>
        <v>0</v>
      </c>
      <c r="F1861" s="1083" t="str">
        <f>VLOOKUP($B1861,DG!A:D,DG!$C$2,)&amp;": CD-320"</f>
        <v>Chụp đầu cực FCO (bộ 2 cái): CD-320</v>
      </c>
      <c r="G1861" s="1082" t="s">
        <v>2448</v>
      </c>
      <c r="H1861" s="1873"/>
      <c r="I1861" s="1262">
        <f t="shared" si="150"/>
        <v>0</v>
      </c>
      <c r="J1861" s="1084"/>
      <c r="K1861" s="1084"/>
      <c r="L1861" s="1113"/>
      <c r="M1861" s="977">
        <v>400</v>
      </c>
    </row>
    <row r="1862" spans="1:13" s="1086" customFormat="1" ht="25.15" hidden="1" customHeight="1">
      <c r="A1862" s="1156">
        <f t="shared" si="149"/>
        <v>0</v>
      </c>
      <c r="B1862" s="1363" t="s">
        <v>379</v>
      </c>
      <c r="C1862" s="1363"/>
      <c r="D1862" s="1093"/>
      <c r="E1862" s="1082">
        <f>VLOOKUP($B1862,DG!A:D,DG!$B$2,)</f>
        <v>0</v>
      </c>
      <c r="F1862" s="1083" t="str">
        <f>VLOOKUP($B1862,DG!A:D,DG!$C$2,)&amp;": CD-320"</f>
        <v>Chụp đầu cực LA: CD-320</v>
      </c>
      <c r="G1862" s="1082" t="s">
        <v>2448</v>
      </c>
      <c r="H1862" s="1873"/>
      <c r="I1862" s="1262">
        <f t="shared" si="150"/>
        <v>0</v>
      </c>
      <c r="J1862" s="1084"/>
      <c r="K1862" s="1084"/>
      <c r="L1862" s="1113"/>
      <c r="M1862" s="977">
        <v>400</v>
      </c>
    </row>
    <row r="1863" spans="1:13" s="1086" customFormat="1" ht="25.15" hidden="1" customHeight="1">
      <c r="A1863" s="1156">
        <f t="shared" si="149"/>
        <v>0</v>
      </c>
      <c r="B1863" s="1363" t="s">
        <v>380</v>
      </c>
      <c r="C1863" s="1363"/>
      <c r="D1863" s="1093"/>
      <c r="E1863" s="1082">
        <f>VLOOKUP($B1863,DG!A:D,DG!$B$2,)</f>
        <v>0</v>
      </c>
      <c r="F1863" s="1083" t="str">
        <f>VLOOKUP($B1863,DG!A:D,DG!$C$2,)&amp;": CD-320"</f>
        <v>Chụp đầu MBA: CD-320</v>
      </c>
      <c r="G1863" s="1082" t="s">
        <v>2448</v>
      </c>
      <c r="H1863" s="1873"/>
      <c r="I1863" s="1262">
        <f t="shared" si="150"/>
        <v>0</v>
      </c>
      <c r="J1863" s="1084"/>
      <c r="K1863" s="1084"/>
      <c r="L1863" s="1113"/>
      <c r="M1863" s="977">
        <v>400</v>
      </c>
    </row>
    <row r="1864" spans="1:13" s="1086" customFormat="1" ht="25.15" hidden="1" customHeight="1">
      <c r="A1864" s="1156">
        <f t="shared" si="149"/>
        <v>0</v>
      </c>
      <c r="B1864" s="1157" t="s">
        <v>1133</v>
      </c>
      <c r="C1864" s="1157"/>
      <c r="D1864" s="1093"/>
      <c r="E1864" s="1082" t="str">
        <f>VLOOKUP($B1864,DG!A:D,DG!$B$2,)</f>
        <v>06.2110</v>
      </c>
      <c r="F1864" s="1083" t="str">
        <f>VLOOKUP($B1864,DG!A:D,DG!$C$2,)</f>
        <v>Lắp cổ dề</v>
      </c>
      <c r="G1864" s="1082" t="str">
        <f>VLOOKUP($B1864,DG!A:D,DG!$D$2,)</f>
        <v>bộ</v>
      </c>
      <c r="H1864" s="1873">
        <f>H1851*3</f>
        <v>0</v>
      </c>
      <c r="I1864" s="1262">
        <f t="shared" si="150"/>
        <v>0</v>
      </c>
      <c r="J1864" s="1084"/>
      <c r="K1864" s="1084"/>
      <c r="L1864" s="1113"/>
      <c r="M1864" s="977">
        <v>400</v>
      </c>
    </row>
    <row r="1865" spans="1:13" s="1086" customFormat="1" ht="25.15" hidden="1" customHeight="1">
      <c r="A1865" s="1156">
        <f t="shared" si="149"/>
        <v>0</v>
      </c>
      <c r="B1865" s="1327" t="s">
        <v>2175</v>
      </c>
      <c r="C1865" s="1327"/>
      <c r="D1865" s="1093"/>
      <c r="E1865" s="1082">
        <f>VLOOKUP($B1865,DG!A:D,DG!$B$2,)</f>
        <v>0</v>
      </c>
      <c r="F1865" s="1083" t="str">
        <f>VLOOKUP($B1865,DG!A:D,DG!$C$2,)</f>
        <v>Khâu ven răng trong D114</v>
      </c>
      <c r="G1865" s="1082" t="str">
        <f>VLOOKUP($B1865,DG!A:D,DG!$D$2,)</f>
        <v>cái</v>
      </c>
      <c r="H1865" s="1873">
        <f>H1851*2</f>
        <v>0</v>
      </c>
      <c r="I1865" s="1262">
        <f t="shared" si="150"/>
        <v>0</v>
      </c>
      <c r="J1865" s="1084"/>
      <c r="K1865" s="1084"/>
      <c r="L1865" s="1113"/>
      <c r="M1865" s="977">
        <v>400</v>
      </c>
    </row>
    <row r="1866" spans="1:13" s="1086" customFormat="1" ht="25.15" hidden="1" customHeight="1">
      <c r="A1866" s="1156">
        <f t="shared" si="149"/>
        <v>0</v>
      </c>
      <c r="B1866" s="1327" t="s">
        <v>2176</v>
      </c>
      <c r="C1866" s="1327"/>
      <c r="D1866" s="1093"/>
      <c r="E1866" s="1082">
        <f>VLOOKUP($B1866,DG!A:D,DG!$B$2,)</f>
        <v>0</v>
      </c>
      <c r="F1866" s="1083" t="str">
        <f>VLOOKUP($B1866,DG!A:D,DG!$C$2,)&amp;": "</f>
        <v xml:space="preserve">Khâu ven răng ngoài D114: </v>
      </c>
      <c r="G1866" s="1082" t="str">
        <f>VLOOKUP($B1866,DG!A:D,DG!$D$2,)</f>
        <v>cái</v>
      </c>
      <c r="H1866" s="1873">
        <f>H1865</f>
        <v>0</v>
      </c>
      <c r="I1866" s="1262">
        <f t="shared" si="150"/>
        <v>0</v>
      </c>
      <c r="J1866" s="1084"/>
      <c r="K1866" s="1084"/>
      <c r="L1866" s="1113"/>
      <c r="M1866" s="977">
        <v>400</v>
      </c>
    </row>
    <row r="1867" spans="1:13" s="1086" customFormat="1" ht="25.15" hidden="1" customHeight="1">
      <c r="A1867" s="1156">
        <f t="shared" si="149"/>
        <v>0</v>
      </c>
      <c r="B1867" s="1327" t="s">
        <v>2082</v>
      </c>
      <c r="C1867" s="1327"/>
      <c r="D1867" s="1093"/>
      <c r="E1867" s="1082">
        <f>VLOOKUP($B1867,DG!A:D,DG!$B$2,)</f>
        <v>0</v>
      </c>
      <c r="F1867" s="1083" t="str">
        <f>VLOOKUP($B1867,DG!A:D,DG!$C$2,)&amp;": "</f>
        <v xml:space="preserve">Keo dán ống PVC (100gr): </v>
      </c>
      <c r="G1867" s="1082" t="str">
        <f>VLOOKUP($B1867,DG!A:D,DG!$D$2,)</f>
        <v>tuýp</v>
      </c>
      <c r="H1867" s="1873">
        <f>H1851</f>
        <v>0</v>
      </c>
      <c r="I1867" s="1262">
        <f t="shared" si="150"/>
        <v>0</v>
      </c>
      <c r="J1867" s="1084"/>
      <c r="K1867" s="1084"/>
      <c r="L1867" s="1113"/>
      <c r="M1867" s="977">
        <v>400</v>
      </c>
    </row>
    <row r="1868" spans="1:13" s="1086" customFormat="1" ht="25.15" hidden="1" customHeight="1">
      <c r="A1868" s="1156">
        <f t="shared" si="149"/>
        <v>0</v>
      </c>
      <c r="B1868" s="1157" t="s">
        <v>6</v>
      </c>
      <c r="C1868" s="1157"/>
      <c r="D1868" s="1093"/>
      <c r="E1868" s="1082"/>
      <c r="F1868" s="1083" t="str">
        <f>VLOOKUP($B1868,DG!A:D,DG!$C$2,)&amp;":"</f>
        <v>Keo silicon bít miệng ống:</v>
      </c>
      <c r="G1868" s="1082" t="str">
        <f>VLOOKUP($B1868,DG!A:D,DG!$D$2,)</f>
        <v>ống</v>
      </c>
      <c r="H1868" s="1873">
        <f>H1867</f>
        <v>0</v>
      </c>
      <c r="I1868" s="1262">
        <f t="shared" si="150"/>
        <v>0</v>
      </c>
      <c r="J1868" s="1084"/>
      <c r="K1868" s="1084"/>
      <c r="L1868" s="1085"/>
      <c r="M1868" s="977">
        <v>400</v>
      </c>
    </row>
    <row r="1869" spans="1:13" s="1086" customFormat="1" ht="25.15" hidden="1" customHeight="1">
      <c r="A1869" s="1156">
        <f t="shared" si="149"/>
        <v>0</v>
      </c>
      <c r="B1869" s="1157" t="s">
        <v>672</v>
      </c>
      <c r="C1869" s="1157"/>
      <c r="D1869" s="1093"/>
      <c r="E1869" s="1082">
        <f>VLOOKUP($B1869,DG!A:D,DG!$B$2,)</f>
        <v>0</v>
      </c>
      <c r="F1869" s="1083" t="str">
        <f>VLOOKUP($B1869,DG!A:D,DG!$C$2,)&amp;":"</f>
        <v>Băng keo cách điện:</v>
      </c>
      <c r="G1869" s="1082" t="str">
        <f>VLOOKUP($B1869,DG!A:D,DG!$D$2,)</f>
        <v>cuộn</v>
      </c>
      <c r="H1869" s="1873">
        <f>H1868</f>
        <v>0</v>
      </c>
      <c r="I1869" s="1262">
        <f t="shared" si="150"/>
        <v>0</v>
      </c>
      <c r="J1869" s="1084"/>
      <c r="K1869" s="1084"/>
      <c r="L1869" s="1113"/>
      <c r="M1869" s="977">
        <v>400</v>
      </c>
    </row>
    <row r="1870" spans="1:13" s="1086" customFormat="1" ht="25.15" hidden="1" customHeight="1">
      <c r="A1870" s="1156">
        <f t="shared" si="149"/>
        <v>0</v>
      </c>
      <c r="B1870" s="1157" t="s">
        <v>247</v>
      </c>
      <c r="C1870" s="1157"/>
      <c r="D1870" s="1093"/>
      <c r="E1870" s="1082" t="str">
        <f>VLOOKUP($B1870,DG!A:D,DG!$B$2,)</f>
        <v>04.4203</v>
      </c>
      <c r="F1870" s="1083" t="str">
        <f>VLOOKUP($B1870,DG!A:D,DG!$C$2,)&amp;":"</f>
        <v>Lắp cáp đồng xuống thiết bị D &gt; 150mm2:</v>
      </c>
      <c r="G1870" s="1082" t="str">
        <f>VLOOKUP($B1870,DG!A:D,DG!$D$2,)</f>
        <v>m</v>
      </c>
      <c r="H1870" s="1873">
        <f>H1853+H1854</f>
        <v>0</v>
      </c>
      <c r="I1870" s="1262">
        <f t="shared" si="150"/>
        <v>0</v>
      </c>
      <c r="J1870" s="1084"/>
      <c r="K1870" s="1084"/>
      <c r="L1870" s="1113"/>
      <c r="M1870" s="977">
        <v>400</v>
      </c>
    </row>
    <row r="1871" spans="1:13" s="1086" customFormat="1" ht="25.15" hidden="1" customHeight="1">
      <c r="A1871" s="1156">
        <f t="shared" si="149"/>
        <v>0</v>
      </c>
      <c r="B1871" s="1157"/>
      <c r="C1871" s="1157"/>
      <c r="D1871" s="1087">
        <f>IF(H1871&gt;0,D1851+1,D1851)</f>
        <v>0</v>
      </c>
      <c r="E1871" s="1088"/>
      <c r="F1871" s="1097" t="s">
        <v>3750</v>
      </c>
      <c r="G1871" s="1087" t="s">
        <v>2394</v>
      </c>
      <c r="H1871" s="1910"/>
      <c r="I1871" s="1262">
        <f t="shared" si="150"/>
        <v>0</v>
      </c>
      <c r="J1871" s="1084"/>
      <c r="K1871" s="1084"/>
      <c r="L1871" s="1113"/>
      <c r="M1871" s="977">
        <v>400</v>
      </c>
    </row>
    <row r="1872" spans="1:13" s="1137" customFormat="1" ht="25.15" hidden="1" customHeight="1">
      <c r="A1872" s="1156">
        <f>IF(A1871&gt;0,1,0)</f>
        <v>0</v>
      </c>
      <c r="B1872" s="1360"/>
      <c r="C1872" s="1360"/>
      <c r="D1872" s="1081"/>
      <c r="E1872" s="1091"/>
      <c r="F1872" s="1371" t="s">
        <v>2287</v>
      </c>
      <c r="G1872" s="1081"/>
      <c r="H1872" s="1890"/>
      <c r="I1872" s="1262">
        <f t="shared" si="150"/>
        <v>0</v>
      </c>
      <c r="J1872" s="1084"/>
      <c r="K1872" s="1084"/>
      <c r="L1872" s="1113"/>
      <c r="M1872" s="977">
        <v>400</v>
      </c>
    </row>
    <row r="1873" spans="1:13" s="1086" customFormat="1" ht="25.15" hidden="1" customHeight="1">
      <c r="A1873" s="1156">
        <f t="shared" si="149"/>
        <v>0</v>
      </c>
      <c r="B1873" s="1327" t="s">
        <v>1828</v>
      </c>
      <c r="C1873" s="1327"/>
      <c r="D1873" s="1113"/>
      <c r="E1873" s="1082" t="str">
        <f>VLOOKUP($B1873,DG!A:D,DG!$B$2,)</f>
        <v>03.1401</v>
      </c>
      <c r="F1873" s="1111" t="str">
        <f>VLOOKUP($B1873,DG!A:D,DG!$C$2,)</f>
        <v xml:space="preserve">Cáp CVV 4x2,5mm2  </v>
      </c>
      <c r="G1873" s="1138" t="str">
        <f>VLOOKUP($B1873,DG!A:D,DG!$D$2,)</f>
        <v>mét</v>
      </c>
      <c r="H1873" s="1873">
        <f>H1871*26</f>
        <v>0</v>
      </c>
      <c r="I1873" s="1262">
        <f t="shared" si="150"/>
        <v>0</v>
      </c>
      <c r="J1873" s="1134"/>
      <c r="K1873" s="1134"/>
      <c r="L1873" s="1113"/>
      <c r="M1873" s="977">
        <v>400</v>
      </c>
    </row>
    <row r="1874" spans="1:13" s="1086" customFormat="1" ht="25.15" hidden="1" customHeight="1">
      <c r="A1874" s="1156">
        <f t="shared" si="149"/>
        <v>0</v>
      </c>
      <c r="B1874" s="1327" t="s">
        <v>246</v>
      </c>
      <c r="C1874" s="1327"/>
      <c r="D1874" s="1113"/>
      <c r="E1874" s="1082" t="str">
        <f>VLOOKUP($B1874,DG!A:D,DG!$B$2,)</f>
        <v>05.6101</v>
      </c>
      <c r="F1874" s="1111" t="str">
        <f>VLOOKUP($B1874,DG!A:D,DG!$C$2,)</f>
        <v>Xà kẹp TU, TI U50x32x4 350</v>
      </c>
      <c r="G1874" s="1138" t="str">
        <f>VLOOKUP($B1874,DG!A:D,DG!$D$2,)</f>
        <v>Bộ</v>
      </c>
      <c r="H1874" s="1873">
        <f>H1871*24</f>
        <v>0</v>
      </c>
      <c r="I1874" s="1262">
        <f t="shared" si="150"/>
        <v>0</v>
      </c>
      <c r="J1874" s="1134"/>
      <c r="K1874" s="1134"/>
      <c r="L1874" s="1113"/>
      <c r="M1874" s="977">
        <v>400</v>
      </c>
    </row>
    <row r="1875" spans="1:13" s="1086" customFormat="1" ht="25.15" hidden="1" customHeight="1">
      <c r="A1875" s="1156">
        <f t="shared" si="149"/>
        <v>0</v>
      </c>
      <c r="B1875" s="1327" t="s">
        <v>2001</v>
      </c>
      <c r="C1875" s="1327"/>
      <c r="D1875" s="1113"/>
      <c r="E1875" s="1082" t="str">
        <f>VLOOKUP($B1875,DG!A:D,DG!$B$2,)</f>
        <v>05.6401</v>
      </c>
      <c r="F1875" s="1111" t="str">
        <f>VLOOKUP($B1875,DG!A:D,DG!$C$2,)</f>
        <v>Lắp xà đỡ ≤ 25kg</v>
      </c>
      <c r="G1875" s="1138" t="str">
        <f>VLOOKUP($B1875,DG!A:D,DG!$D$2,)</f>
        <v>bộ</v>
      </c>
      <c r="H1875" s="1873">
        <f>H1871</f>
        <v>0</v>
      </c>
      <c r="I1875" s="1262">
        <f t="shared" si="150"/>
        <v>0</v>
      </c>
      <c r="J1875" s="1134"/>
      <c r="K1875" s="1134"/>
      <c r="L1875" s="1113"/>
      <c r="M1875" s="977">
        <v>400</v>
      </c>
    </row>
    <row r="1876" spans="1:13" s="1086" customFormat="1" ht="25.15" hidden="1" customHeight="1">
      <c r="A1876" s="1156">
        <f t="shared" si="149"/>
        <v>0</v>
      </c>
      <c r="B1876" s="1327" t="s">
        <v>1871</v>
      </c>
      <c r="C1876" s="1327"/>
      <c r="D1876" s="1093"/>
      <c r="E1876" s="1082" t="str">
        <f>VLOOKUP($B1876,DG!A:D,DG!$B$2,)</f>
        <v>03.4001</v>
      </c>
      <c r="F1876" s="1111" t="str">
        <f>VLOOKUP($B1876,DG!A:D,DG!$C$2,)</f>
        <v xml:space="preserve">Đầu cosse ép Cu 2,5mm2 + bao PVC </v>
      </c>
      <c r="G1876" s="1138" t="str">
        <f>VLOOKUP($B1876,DG!A:D,DG!$D$2,)</f>
        <v>cái</v>
      </c>
      <c r="H1876" s="1873">
        <f>H1871*16</f>
        <v>0</v>
      </c>
      <c r="I1876" s="1262">
        <f t="shared" si="150"/>
        <v>0</v>
      </c>
      <c r="J1876" s="1134"/>
      <c r="K1876" s="1134"/>
      <c r="L1876" s="1113"/>
      <c r="M1876" s="977">
        <v>400</v>
      </c>
    </row>
    <row r="1877" spans="1:13" s="1086" customFormat="1" ht="25.15" hidden="1" customHeight="1">
      <c r="A1877" s="1156">
        <f t="shared" si="149"/>
        <v>0</v>
      </c>
      <c r="B1877" s="1327" t="s">
        <v>1515</v>
      </c>
      <c r="C1877" s="1327"/>
      <c r="D1877" s="1093"/>
      <c r="E1877" s="1082">
        <f>VLOOKUP($B1877,DG!A:D,DG!$B$2,)</f>
        <v>0</v>
      </c>
      <c r="F1877" s="1111" t="str">
        <f>VLOOKUP($B1877,DG!A:D,DG!$C$2,)</f>
        <v>Dây điện đôi 16/10</v>
      </c>
      <c r="G1877" s="1138" t="str">
        <f>VLOOKUP($B1877,DG!A:D,DG!$D$2,)</f>
        <v>mét</v>
      </c>
      <c r="H1877" s="1873">
        <f>2*H1871</f>
        <v>0</v>
      </c>
      <c r="I1877" s="1262">
        <f t="shared" si="150"/>
        <v>0</v>
      </c>
      <c r="J1877" s="1134"/>
      <c r="K1877" s="1134"/>
      <c r="L1877" s="1113"/>
      <c r="M1877" s="977">
        <v>400</v>
      </c>
    </row>
    <row r="1878" spans="1:13" s="1086" customFormat="1" ht="25.15" hidden="1" customHeight="1">
      <c r="A1878" s="1156">
        <f t="shared" si="149"/>
        <v>0</v>
      </c>
      <c r="B1878" s="1327" t="s">
        <v>1116</v>
      </c>
      <c r="C1878" s="1327"/>
      <c r="D1878" s="1093"/>
      <c r="E1878" s="1082">
        <f>VLOOKUP($B1878,DG!A:D,DG!$B$2,)</f>
        <v>0</v>
      </c>
      <c r="F1878" s="1111" t="str">
        <f>VLOOKUP($B1878,DG!A:D,DG!$C$2,)&amp;" (ñaáu TU )"</f>
        <v>Kẹp ép cỡ dây 25mm2 (ñaáu TU )</v>
      </c>
      <c r="G1878" s="1138" t="str">
        <f>VLOOKUP($B1878,DG!A:D,DG!$D$2,)</f>
        <v>cái</v>
      </c>
      <c r="H1878" s="1873">
        <f>+H1871*3</f>
        <v>0</v>
      </c>
      <c r="I1878" s="1262">
        <f t="shared" si="150"/>
        <v>0</v>
      </c>
      <c r="J1878" s="1134"/>
      <c r="K1878" s="1134"/>
      <c r="L1878" s="1113"/>
      <c r="M1878" s="977">
        <v>400</v>
      </c>
    </row>
    <row r="1879" spans="1:13" s="1086" customFormat="1" ht="25.15" hidden="1" customHeight="1">
      <c r="A1879" s="1156">
        <f t="shared" si="149"/>
        <v>0</v>
      </c>
      <c r="B1879" s="1327" t="s">
        <v>2149</v>
      </c>
      <c r="C1879" s="1327"/>
      <c r="D1879" s="1093"/>
      <c r="E1879" s="1082" t="str">
        <f>VLOOKUP($B1879,DG!A:D,DG!$B$2,)</f>
        <v>07.2403</v>
      </c>
      <c r="F1879" s="1111" t="str">
        <f>VLOOKUP($B1879,DG!A:D,DG!$C$2,)</f>
        <v>Ống PVC D42x2,1mm</v>
      </c>
      <c r="G1879" s="1138" t="str">
        <f>VLOOKUP($B1879,DG!A:D,DG!$D$2,)</f>
        <v>m</v>
      </c>
      <c r="H1879" s="1873">
        <f>H1871*16</f>
        <v>0</v>
      </c>
      <c r="I1879" s="1262">
        <f t="shared" si="150"/>
        <v>0</v>
      </c>
      <c r="J1879" s="1134"/>
      <c r="K1879" s="1134"/>
      <c r="L1879" s="1113"/>
      <c r="M1879" s="977">
        <v>400</v>
      </c>
    </row>
    <row r="1880" spans="1:13" s="1086" customFormat="1" ht="25.15" hidden="1" customHeight="1">
      <c r="A1880" s="1156">
        <f t="shared" si="149"/>
        <v>0</v>
      </c>
      <c r="B1880" s="1157" t="s">
        <v>204</v>
      </c>
      <c r="C1880" s="1157"/>
      <c r="D1880" s="1093"/>
      <c r="E1880" s="1082" t="str">
        <f>VLOOKUP($B1880,DG!A:D,DG!$B$2,)</f>
        <v>06.3231</v>
      </c>
      <c r="F1880" s="1111" t="str">
        <f>VLOOKUP($B1880,DG!A:D,DG!$C$2,)</f>
        <v>Cổ dê giữ ống PVC D42</v>
      </c>
      <c r="G1880" s="1138" t="s">
        <v>2448</v>
      </c>
      <c r="H1880" s="1873">
        <f>3*H1871</f>
        <v>0</v>
      </c>
      <c r="I1880" s="1262">
        <f t="shared" si="150"/>
        <v>0</v>
      </c>
      <c r="J1880" s="1134"/>
      <c r="K1880" s="1134"/>
      <c r="L1880" s="1113"/>
      <c r="M1880" s="977">
        <v>400</v>
      </c>
    </row>
    <row r="1881" spans="1:13" s="1086" customFormat="1" ht="25.15" hidden="1" customHeight="1">
      <c r="A1881" s="1156">
        <f t="shared" ref="A1881:A1942" si="151">IF(I1881&gt;0,1,0)</f>
        <v>0</v>
      </c>
      <c r="B1881" s="1327" t="s">
        <v>1621</v>
      </c>
      <c r="C1881" s="1327"/>
      <c r="D1881" s="1093"/>
      <c r="E1881" s="1082">
        <f>VLOOKUP($B1881,DG!A:D,DG!$B$2,)</f>
        <v>0</v>
      </c>
      <c r="F1881" s="1111" t="str">
        <f>VLOOKUP($B1881,DG!A:D,DG!$C$2,)</f>
        <v>Co 90 độ PVC 42</v>
      </c>
      <c r="G1881" s="1138" t="str">
        <f>VLOOKUP($B1881,DG!A:D,DG!$D$2,)</f>
        <v>cái</v>
      </c>
      <c r="H1881" s="1873">
        <f>H1871*5</f>
        <v>0</v>
      </c>
      <c r="I1881" s="1262">
        <f t="shared" si="150"/>
        <v>0</v>
      </c>
      <c r="J1881" s="1134"/>
      <c r="K1881" s="1134"/>
      <c r="L1881" s="1113"/>
      <c r="M1881" s="977">
        <v>400</v>
      </c>
    </row>
    <row r="1882" spans="1:13" s="1086" customFormat="1" ht="25.15" hidden="1" customHeight="1">
      <c r="A1882" s="1156">
        <f t="shared" si="151"/>
        <v>0</v>
      </c>
      <c r="B1882" s="1327" t="s">
        <v>1052</v>
      </c>
      <c r="C1882" s="1327"/>
      <c r="D1882" s="1093"/>
      <c r="E1882" s="1082">
        <f>VLOOKUP($B1882,DG!A:D,DG!$B$2,)</f>
        <v>0</v>
      </c>
      <c r="F1882" s="1111" t="str">
        <f>VLOOKUP($B1882,DG!A:D,DG!$C$2,)</f>
        <v>Co chữ T ống PVC 42</v>
      </c>
      <c r="G1882" s="1138" t="str">
        <f>VLOOKUP($B1882,DG!A:D,DG!$D$2,)</f>
        <v>cái</v>
      </c>
      <c r="H1882" s="1873">
        <f>H1871*5</f>
        <v>0</v>
      </c>
      <c r="I1882" s="1262">
        <f t="shared" si="150"/>
        <v>0</v>
      </c>
      <c r="J1882" s="1134"/>
      <c r="K1882" s="1134"/>
      <c r="L1882" s="1113"/>
      <c r="M1882" s="977">
        <v>400</v>
      </c>
    </row>
    <row r="1883" spans="1:13" s="1086" customFormat="1" ht="25.15" hidden="1" customHeight="1">
      <c r="A1883" s="1156">
        <f t="shared" si="151"/>
        <v>0</v>
      </c>
      <c r="B1883" s="1327" t="s">
        <v>1919</v>
      </c>
      <c r="C1883" s="1327"/>
      <c r="D1883" s="1093"/>
      <c r="E1883" s="1082">
        <f>VLOOKUP($B1883,DG!A:D,DG!$B$2,)</f>
        <v>0</v>
      </c>
      <c r="F1883" s="1111" t="str">
        <f>VLOOKUP($B1883,DG!A:D,DG!$C$2,)</f>
        <v>Nối thẳng ống PVC 42</v>
      </c>
      <c r="G1883" s="1138" t="str">
        <f>VLOOKUP($B1883,DG!A:D,DG!$D$2,)</f>
        <v>cái</v>
      </c>
      <c r="H1883" s="1873">
        <f>H1871</f>
        <v>0</v>
      </c>
      <c r="I1883" s="1262">
        <f t="shared" si="150"/>
        <v>0</v>
      </c>
      <c r="J1883" s="1134"/>
      <c r="K1883" s="1134"/>
      <c r="L1883" s="1113"/>
      <c r="M1883" s="977">
        <v>400</v>
      </c>
    </row>
    <row r="1884" spans="1:13" s="1086" customFormat="1" ht="25.15" hidden="1" customHeight="1">
      <c r="A1884" s="1156">
        <f t="shared" si="151"/>
        <v>0</v>
      </c>
      <c r="B1884" s="1327" t="s">
        <v>728</v>
      </c>
      <c r="C1884" s="1327"/>
      <c r="D1884" s="1093"/>
      <c r="E1884" s="1082">
        <f>VLOOKUP($B1884,DG!A:D,DG!$B$2,)</f>
        <v>0</v>
      </c>
      <c r="F1884" s="1111" t="str">
        <f>VLOOKUP($B1884,DG!A:D,DG!$C$2,)</f>
        <v>Keo dán ống PVC (500gr)</v>
      </c>
      <c r="G1884" s="1138" t="str">
        <f>VLOOKUP($B1884,DG!A:D,DG!$D$2,)</f>
        <v>lon</v>
      </c>
      <c r="H1884" s="1873">
        <f>H1871</f>
        <v>0</v>
      </c>
      <c r="I1884" s="1262">
        <f t="shared" si="150"/>
        <v>0</v>
      </c>
      <c r="J1884" s="1134"/>
      <c r="K1884" s="1134"/>
      <c r="L1884" s="1113"/>
      <c r="M1884" s="977">
        <v>400</v>
      </c>
    </row>
    <row r="1885" spans="1:13" s="1086" customFormat="1" ht="25.15" hidden="1" customHeight="1">
      <c r="A1885" s="1156">
        <f t="shared" si="151"/>
        <v>0</v>
      </c>
      <c r="B1885" s="1157" t="s">
        <v>672</v>
      </c>
      <c r="C1885" s="1157"/>
      <c r="D1885" s="1093"/>
      <c r="E1885" s="1082">
        <f>VLOOKUP($B1885,DG!A:D,DG!$B$2,)</f>
        <v>0</v>
      </c>
      <c r="F1885" s="1111" t="str">
        <f>VLOOKUP($B1885,DG!A:D,DG!$C$2,)</f>
        <v>Băng keo cách điện</v>
      </c>
      <c r="G1885" s="1138" t="str">
        <f>VLOOKUP($B1885,DG!A:D,DG!$D$2,)</f>
        <v>cuộn</v>
      </c>
      <c r="H1885" s="1873">
        <f>H1871</f>
        <v>0</v>
      </c>
      <c r="I1885" s="1262">
        <f t="shared" si="150"/>
        <v>0</v>
      </c>
      <c r="J1885" s="1084"/>
      <c r="K1885" s="1084"/>
      <c r="L1885" s="1113"/>
      <c r="M1885" s="977">
        <v>400</v>
      </c>
    </row>
    <row r="1886" spans="1:13" s="1086" customFormat="1" ht="25.15" hidden="1" customHeight="1">
      <c r="A1886" s="1156">
        <f t="shared" si="151"/>
        <v>0</v>
      </c>
      <c r="B1886" s="1327" t="s">
        <v>2128</v>
      </c>
      <c r="C1886" s="1327"/>
      <c r="D1886" s="1093"/>
      <c r="E1886" s="1082">
        <f>VLOOKUP($B1886,DG!A:D,DG!$B$2,)</f>
        <v>0</v>
      </c>
      <c r="F1886" s="1111" t="str">
        <f>VLOOKUP($B1886,DG!A:D,DG!$C$2,)</f>
        <v>Khâu ven răng trong D42</v>
      </c>
      <c r="G1886" s="1138" t="str">
        <f>VLOOKUP($B1886,DG!A:D,DG!$D$2,)</f>
        <v>cái</v>
      </c>
      <c r="H1886" s="1873">
        <f>H1871</f>
        <v>0</v>
      </c>
      <c r="I1886" s="1262">
        <f t="shared" si="150"/>
        <v>0</v>
      </c>
      <c r="J1886" s="1084"/>
      <c r="K1886" s="1084"/>
      <c r="L1886" s="1113"/>
      <c r="M1886" s="977">
        <v>400</v>
      </c>
    </row>
    <row r="1887" spans="1:13" s="1086" customFormat="1" ht="25.15" hidden="1" customHeight="1">
      <c r="A1887" s="1156">
        <f t="shared" si="151"/>
        <v>0</v>
      </c>
      <c r="B1887" s="1157" t="s">
        <v>961</v>
      </c>
      <c r="C1887" s="1157"/>
      <c r="D1887" s="1093"/>
      <c r="E1887" s="1082">
        <f>VLOOKUP($B1887,DG!A:D,DG!$B$2,)</f>
        <v>0</v>
      </c>
      <c r="F1887" s="1111" t="str">
        <f>VLOOKUP($B1887,DG!A:D,DG!$C$2,)</f>
        <v>Khâu ven răng ngoài D42</v>
      </c>
      <c r="G1887" s="1138" t="str">
        <f>VLOOKUP($B1887,DG!A:D,DG!$D$2,)</f>
        <v>cái</v>
      </c>
      <c r="H1887" s="1873">
        <f>H1871</f>
        <v>0</v>
      </c>
      <c r="I1887" s="1262">
        <f t="shared" si="150"/>
        <v>0</v>
      </c>
      <c r="J1887" s="1084"/>
      <c r="K1887" s="1084"/>
      <c r="L1887" s="1113"/>
      <c r="M1887" s="977">
        <v>400</v>
      </c>
    </row>
    <row r="1888" spans="1:13" s="1086" customFormat="1" ht="25.15" hidden="1" customHeight="1">
      <c r="A1888" s="1156">
        <f t="shared" si="151"/>
        <v>0</v>
      </c>
      <c r="B1888" s="1157" t="s">
        <v>319</v>
      </c>
      <c r="C1888" s="1157"/>
      <c r="D1888" s="1093"/>
      <c r="E1888" s="1082" t="str">
        <f>VLOOKUP($B1888,DG!A:D,DG!$B$2,)</f>
        <v>06.3231</v>
      </c>
      <c r="F1888" s="1111" t="str">
        <f>VLOOKUP($B1888,DG!A:D,DG!$C$2,)</f>
        <v>Cổ dê CDĐKĐT( bắt thùng điện kế)</v>
      </c>
      <c r="G1888" s="1138" t="s">
        <v>2448</v>
      </c>
      <c r="H1888" s="1911">
        <f>H1871*2</f>
        <v>0</v>
      </c>
      <c r="I1888" s="1262">
        <f t="shared" si="150"/>
        <v>0</v>
      </c>
      <c r="J1888" s="1084"/>
      <c r="K1888" s="1084"/>
      <c r="L1888" s="1085"/>
      <c r="M1888" s="977">
        <v>400</v>
      </c>
    </row>
    <row r="1889" spans="1:13" s="1086" customFormat="1" ht="25.15" hidden="1" customHeight="1">
      <c r="A1889" s="1156">
        <f t="shared" si="151"/>
        <v>0</v>
      </c>
      <c r="B1889" s="1157" t="s">
        <v>1921</v>
      </c>
      <c r="C1889" s="1157"/>
      <c r="D1889" s="1093"/>
      <c r="E1889" s="1082" t="str">
        <f>VLOOKUP($B1889,DG!A:D,DG!$B$2,)</f>
        <v>05.1101</v>
      </c>
      <c r="F1889" s="1111" t="str">
        <f>VLOOKUP($B1889,DG!A:D,DG!$C$2,)</f>
        <v>Thùng điện kế 450x300x200mm đo đếm trung thế</v>
      </c>
      <c r="G1889" s="1138" t="str">
        <f>VLOOKUP($B1889,DG!A:D,DG!$D$2,)</f>
        <v>cái</v>
      </c>
      <c r="H1889" s="1873">
        <f>H1871</f>
        <v>0</v>
      </c>
      <c r="I1889" s="1262">
        <f t="shared" si="150"/>
        <v>0</v>
      </c>
      <c r="J1889" s="1084"/>
      <c r="K1889" s="1084"/>
      <c r="L1889" s="1113"/>
      <c r="M1889" s="977">
        <v>400</v>
      </c>
    </row>
    <row r="1890" spans="1:13" s="1086" customFormat="1" ht="25.15" hidden="1" customHeight="1">
      <c r="A1890" s="1156">
        <f t="shared" si="151"/>
        <v>0</v>
      </c>
      <c r="B1890" s="1157" t="s">
        <v>6</v>
      </c>
      <c r="C1890" s="1157"/>
      <c r="D1890" s="1093"/>
      <c r="E1890" s="1082">
        <f>VLOOKUP($B1890,DG!A:D,DG!$B$2,)</f>
        <v>0</v>
      </c>
      <c r="F1890" s="1111" t="str">
        <f>VLOOKUP($B1890,DG!A:D,DG!$C$2,)</f>
        <v>Keo silicon bít miệng ống</v>
      </c>
      <c r="G1890" s="1138" t="str">
        <f>VLOOKUP($B1890,DG!A:D,DG!$D$2,)</f>
        <v>ống</v>
      </c>
      <c r="H1890" s="1873">
        <f>H1871</f>
        <v>0</v>
      </c>
      <c r="I1890" s="1262">
        <f t="shared" si="150"/>
        <v>0</v>
      </c>
      <c r="J1890" s="1084"/>
      <c r="K1890" s="1084"/>
      <c r="L1890" s="1113"/>
      <c r="M1890" s="977">
        <v>400</v>
      </c>
    </row>
    <row r="1891" spans="1:13" s="1086" customFormat="1" ht="25.15" hidden="1" customHeight="1">
      <c r="A1891" s="1156">
        <f t="shared" si="151"/>
        <v>0</v>
      </c>
      <c r="B1891" s="1157" t="s">
        <v>2147</v>
      </c>
      <c r="C1891" s="1157"/>
      <c r="D1891" s="1093"/>
      <c r="E1891" s="1082">
        <f>VLOOKUP($B1891,DG!A:D,DG!$B$2,)</f>
        <v>0</v>
      </c>
      <c r="F1891" s="1111" t="str">
        <f>VLOOKUP($B1891,DG!A:D,DG!$C$2,)</f>
        <v>Dây đồng trần mềm dẹt</v>
      </c>
      <c r="G1891" s="1138" t="str">
        <f>VLOOKUP($B1891,DG!A:D,DG!$D$2,)</f>
        <v>mét</v>
      </c>
      <c r="H1891" s="1873">
        <f>H1871*4</f>
        <v>0</v>
      </c>
      <c r="I1891" s="1262">
        <f t="shared" si="150"/>
        <v>0</v>
      </c>
      <c r="J1891" s="1084"/>
      <c r="K1891" s="1084"/>
      <c r="L1891" s="1113"/>
      <c r="M1891" s="977">
        <v>400</v>
      </c>
    </row>
    <row r="1892" spans="1:13" s="1086" customFormat="1" ht="25.15" hidden="1" customHeight="1">
      <c r="A1892" s="1156">
        <f t="shared" si="151"/>
        <v>0</v>
      </c>
      <c r="B1892" s="1157" t="s">
        <v>1221</v>
      </c>
      <c r="C1892" s="1157"/>
      <c r="D1892" s="1093"/>
      <c r="E1892" s="1082" t="str">
        <f>VLOOKUP($B1892,DG!A:D,DG!$B$2,)</f>
        <v>06.3191</v>
      </c>
      <c r="F1892" s="1111" t="str">
        <f>VLOOKUP($B1892,DG!A:D,DG!$C$2,)</f>
        <v>Bảng tên trạm, bảng báo nguy hiểm + đinh vít</v>
      </c>
      <c r="G1892" s="1138" t="str">
        <f>VLOOKUP($B1892,DG!A:D,DG!$D$2,)</f>
        <v>bộ</v>
      </c>
      <c r="H1892" s="1873">
        <f>H1871</f>
        <v>0</v>
      </c>
      <c r="I1892" s="1262">
        <f t="shared" si="150"/>
        <v>0</v>
      </c>
      <c r="J1892" s="1084"/>
      <c r="K1892" s="1084"/>
      <c r="L1892" s="1113"/>
      <c r="M1892" s="977">
        <v>400</v>
      </c>
    </row>
    <row r="1893" spans="1:13" s="1086" customFormat="1" ht="25.15" hidden="1" customHeight="1">
      <c r="A1893" s="1156">
        <f t="shared" si="151"/>
        <v>0</v>
      </c>
      <c r="B1893" s="1157" t="s">
        <v>1355</v>
      </c>
      <c r="C1893" s="1157"/>
      <c r="D1893" s="1093"/>
      <c r="E1893" s="1082">
        <f>VLOOKUP($B1893,DG!A:D,DG!$B$2,)</f>
        <v>0</v>
      </c>
      <c r="F1893" s="1111" t="str">
        <f>VLOOKUP($B1893,DG!A:D,DG!$C$2,)&amp;" baét thuøng ÑKÑT"</f>
        <v>Boulon 12x60+ 2 long đền vuông D14-50x50x3/Zn baét thuøng ÑKÑT</v>
      </c>
      <c r="G1893" s="1138" t="str">
        <f>VLOOKUP($B1893,DG!A:D,DG!$D$2,)</f>
        <v>bộ</v>
      </c>
      <c r="H1893" s="1873">
        <f>4*H1871*0</f>
        <v>0</v>
      </c>
      <c r="I1893" s="1262">
        <f t="shared" si="150"/>
        <v>0</v>
      </c>
      <c r="J1893" s="1084"/>
      <c r="K1893" s="1084"/>
      <c r="L1893" s="1113"/>
      <c r="M1893" s="977">
        <v>400</v>
      </c>
    </row>
    <row r="1894" spans="1:13" s="1086" customFormat="1" ht="25.15" hidden="1" customHeight="1">
      <c r="A1894" s="1156">
        <f t="shared" si="151"/>
        <v>0</v>
      </c>
      <c r="B1894" s="1157"/>
      <c r="C1894" s="1157"/>
      <c r="D1894" s="1118"/>
      <c r="E1894" s="1119"/>
      <c r="F1894" s="1108" t="s">
        <v>3751</v>
      </c>
      <c r="G1894" s="1108"/>
      <c r="H1894" s="1897"/>
      <c r="I1894" s="1262">
        <f t="shared" si="150"/>
        <v>0</v>
      </c>
      <c r="J1894" s="1108"/>
      <c r="K1894" s="1108"/>
      <c r="L1894" s="1139"/>
      <c r="M1894" s="977">
        <v>400</v>
      </c>
    </row>
    <row r="1895" spans="1:13" s="1086" customFormat="1" ht="25.15" hidden="1" customHeight="1">
      <c r="A1895" s="1156">
        <f t="shared" si="151"/>
        <v>0</v>
      </c>
      <c r="B1895" s="1157" t="s">
        <v>968</v>
      </c>
      <c r="C1895" s="1157"/>
      <c r="D1895" s="1093"/>
      <c r="E1895" s="1082" t="str">
        <f>VLOOKUP($B1895,DG!A:D,DG!$B$2,)</f>
        <v>02.5114</v>
      </c>
      <c r="F1895" s="1111" t="s">
        <v>3752</v>
      </c>
      <c r="G1895" s="1138" t="str">
        <f>VLOOKUP($B1895,DG!A:D,DG!$D$2,)</f>
        <v>cái</v>
      </c>
      <c r="H1895" s="1873"/>
      <c r="I1895" s="1262">
        <f t="shared" si="150"/>
        <v>0</v>
      </c>
      <c r="J1895" s="1084"/>
      <c r="K1895" s="1084"/>
      <c r="L1895" s="1113" t="s">
        <v>3753</v>
      </c>
      <c r="M1895" s="977">
        <v>400</v>
      </c>
    </row>
    <row r="1896" spans="1:13" s="1086" customFormat="1" ht="25.15" hidden="1" customHeight="1">
      <c r="A1896" s="1156">
        <f t="shared" si="151"/>
        <v>0</v>
      </c>
      <c r="B1896" s="1157" t="s">
        <v>1912</v>
      </c>
      <c r="C1896" s="1157"/>
      <c r="D1896" s="1093"/>
      <c r="E1896" s="1082" t="str">
        <f>VLOOKUP($B1896,DG!A:D,DG!$B$2,)</f>
        <v>05.6011</v>
      </c>
      <c r="F1896" s="1111" t="s">
        <v>2470</v>
      </c>
      <c r="G1896" s="1138" t="str">
        <f>VLOOKUP($B1896,DG!A:D,DG!$D$2,)</f>
        <v>bộ</v>
      </c>
      <c r="H1896" s="1873"/>
      <c r="I1896" s="1262">
        <f t="shared" si="150"/>
        <v>0</v>
      </c>
      <c r="J1896" s="1084"/>
      <c r="K1896" s="1084"/>
      <c r="L1896" s="1085"/>
      <c r="M1896" s="977">
        <v>400</v>
      </c>
    </row>
    <row r="1897" spans="1:13" s="1086" customFormat="1" ht="25.15" hidden="1" customHeight="1">
      <c r="A1897" s="1156">
        <f t="shared" si="151"/>
        <v>0</v>
      </c>
      <c r="B1897" s="1157"/>
      <c r="C1897" s="1157"/>
      <c r="D1897" s="1140"/>
      <c r="E1897" s="1141"/>
      <c r="F1897" s="1108"/>
      <c r="G1897" s="1142"/>
      <c r="H1897" s="1900"/>
      <c r="I1897" s="1262">
        <f t="shared" si="150"/>
        <v>0</v>
      </c>
      <c r="J1897" s="1143"/>
      <c r="K1897" s="1144"/>
      <c r="L1897" s="1110"/>
      <c r="M1897" s="977"/>
    </row>
    <row r="1898" spans="1:13" s="1086" customFormat="1" ht="25.15" hidden="1" customHeight="1">
      <c r="A1898" s="1156">
        <f t="shared" si="151"/>
        <v>0</v>
      </c>
      <c r="B1898" s="1157"/>
      <c r="C1898" s="1157"/>
      <c r="D1898" s="1145"/>
      <c r="F1898" s="1146"/>
      <c r="H1898" s="1902"/>
      <c r="I1898" s="1262">
        <f t="shared" si="150"/>
        <v>0</v>
      </c>
      <c r="M1898" s="977"/>
    </row>
    <row r="1899" spans="1:13" s="1086" customFormat="1" ht="25.15" hidden="1" customHeight="1">
      <c r="A1899" s="1156">
        <f t="shared" si="151"/>
        <v>0</v>
      </c>
      <c r="B1899" s="1353"/>
      <c r="C1899" s="1353"/>
      <c r="D1899" s="983" t="e">
        <f>"BAÛNG TOÅNG HÔÏP VAÄT LIEÄU, NHAÂN COÂNG, MAÙY THI COÂNG : "&amp;#REF!&amp;" TRAÏM 3P_560KVA ÑO ÑEÁM TRUNG THEÁ"</f>
        <v>#REF!</v>
      </c>
      <c r="E1899" s="983"/>
      <c r="F1899" s="983"/>
      <c r="G1899" s="983"/>
      <c r="H1899" s="1894"/>
      <c r="I1899" s="1262">
        <f t="shared" si="150"/>
        <v>0</v>
      </c>
      <c r="J1899" s="1147"/>
      <c r="K1899" s="1147"/>
      <c r="L1899" s="1148"/>
      <c r="M1899" s="977"/>
    </row>
    <row r="1900" spans="1:13" s="1086" customFormat="1" ht="25.15" hidden="1" customHeight="1">
      <c r="A1900" s="1156">
        <f t="shared" si="151"/>
        <v>0</v>
      </c>
      <c r="B1900" s="1327"/>
      <c r="C1900" s="1327"/>
      <c r="D1900" s="1106"/>
      <c r="E1900" s="1107"/>
      <c r="F1900" s="1108" t="s">
        <v>3693</v>
      </c>
      <c r="G1900" s="1109"/>
      <c r="H1900" s="1930"/>
      <c r="I1900" s="1262">
        <f t="shared" si="150"/>
        <v>0</v>
      </c>
      <c r="J1900" s="1109"/>
      <c r="K1900" s="1109"/>
      <c r="L1900" s="1110"/>
      <c r="M1900" s="977">
        <v>560</v>
      </c>
    </row>
    <row r="1901" spans="1:13" s="1086" customFormat="1" ht="25.15" hidden="1" customHeight="1">
      <c r="A1901" s="1156">
        <f t="shared" si="151"/>
        <v>0</v>
      </c>
      <c r="B1901" s="1328" t="s">
        <v>2231</v>
      </c>
      <c r="C1901" s="1328"/>
      <c r="D1901" s="1093">
        <f>IF(H1901&gt;0,1,0)</f>
        <v>0</v>
      </c>
      <c r="E1901" s="1082" t="str">
        <f>VLOOKUP($B1901,DG!A:D,DG!$B$2,)</f>
        <v>01.1146</v>
      </c>
      <c r="F1901" s="1083" t="str">
        <f>VLOOKUP($B1901,DG!A:D,DG!$C$2,)</f>
        <v>Máy biến áp 22/0,4kV- 560kVA</v>
      </c>
      <c r="G1901" s="1082" t="str">
        <f>VLOOKUP($B1901,DG!A:D,DG!$D$2,)</f>
        <v>máy</v>
      </c>
      <c r="H1901" s="1904">
        <f>L14</f>
        <v>0</v>
      </c>
      <c r="I1901" s="1262">
        <f t="shared" si="150"/>
        <v>0</v>
      </c>
      <c r="J1901" s="1111"/>
      <c r="K1901" s="1111"/>
      <c r="L1901" s="1112"/>
      <c r="M1901" s="977">
        <v>560</v>
      </c>
    </row>
    <row r="1902" spans="1:13" s="1086" customFormat="1" ht="25.15" hidden="1" customHeight="1">
      <c r="A1902" s="1156">
        <f t="shared" si="151"/>
        <v>0</v>
      </c>
      <c r="B1902" s="1328" t="s">
        <v>1657</v>
      </c>
      <c r="C1902" s="1328"/>
      <c r="D1902" s="1093">
        <f>IF(H1902&gt;0,D1901+1,D1901)</f>
        <v>0</v>
      </c>
      <c r="E1902" s="1082" t="str">
        <f>VLOOKUP($B1902,DG!A:D,DG!$B$2,)</f>
        <v>02.3155</v>
      </c>
      <c r="F1902" s="1083" t="str">
        <f>VLOOKUP($B1902,DG!A:D,DG!$C$2,)</f>
        <v>FCO 27kV - 100A</v>
      </c>
      <c r="G1902" s="1082" t="str">
        <f>VLOOKUP($B1902,DG!A:D,DG!$D$2,)</f>
        <v>cái</v>
      </c>
      <c r="H1902" s="1873">
        <f>H1901*3</f>
        <v>0</v>
      </c>
      <c r="I1902" s="1262">
        <f t="shared" si="150"/>
        <v>0</v>
      </c>
      <c r="J1902" s="1084"/>
      <c r="K1902" s="1084"/>
      <c r="L1902" s="1113"/>
      <c r="M1902" s="977">
        <v>560</v>
      </c>
    </row>
    <row r="1903" spans="1:13" s="1086" customFormat="1" ht="25.15" hidden="1" customHeight="1">
      <c r="A1903" s="1156">
        <f t="shared" si="151"/>
        <v>0</v>
      </c>
      <c r="B1903" s="1328" t="s">
        <v>4538</v>
      </c>
      <c r="C1903" s="1328"/>
      <c r="D1903" s="1093">
        <f t="shared" ref="D1903:D1913" si="152">IF(H1903&gt;0,D1902+1,D1902)</f>
        <v>0</v>
      </c>
      <c r="E1903" s="1082">
        <f>VLOOKUP($B1903,DG!A:D,DG!$B$2,)</f>
        <v>0</v>
      </c>
      <c r="F1903" s="1083" t="str">
        <f>VLOOKUP($B1903,DG!A:D,DG!$C$2,)</f>
        <v>Dây chảy 25K</v>
      </c>
      <c r="G1903" s="1082" t="str">
        <f>VLOOKUP($B1903,DG!A:D,DG!$D$2,)</f>
        <v>Sợi</v>
      </c>
      <c r="H1903" s="1873">
        <f>H1902</f>
        <v>0</v>
      </c>
      <c r="I1903" s="1262">
        <f t="shared" si="150"/>
        <v>0</v>
      </c>
      <c r="J1903" s="1084"/>
      <c r="K1903" s="1084"/>
      <c r="L1903" s="1113"/>
      <c r="M1903" s="977">
        <v>560</v>
      </c>
    </row>
    <row r="1904" spans="1:13" s="1086" customFormat="1" ht="25.15" hidden="1" customHeight="1">
      <c r="A1904" s="1156">
        <f t="shared" si="151"/>
        <v>0</v>
      </c>
      <c r="B1904" s="1327" t="s">
        <v>1378</v>
      </c>
      <c r="C1904" s="1327"/>
      <c r="D1904" s="1093">
        <f t="shared" si="152"/>
        <v>0</v>
      </c>
      <c r="E1904" s="1082" t="str">
        <f>VLOOKUP($B1904,DG!A:D,DG!$B$2,)</f>
        <v>02.5114</v>
      </c>
      <c r="F1904" s="1083" t="str">
        <f>VLOOKUP($B1904,DG!A:D,DG!$C$2,)</f>
        <v>Chống sét van LA-18KV-10KA</v>
      </c>
      <c r="G1904" s="1082" t="str">
        <f>VLOOKUP($B1904,DG!A:D,DG!$D$2,)</f>
        <v>cái</v>
      </c>
      <c r="H1904" s="1873">
        <f>H1902</f>
        <v>0</v>
      </c>
      <c r="I1904" s="1262">
        <f t="shared" si="150"/>
        <v>0</v>
      </c>
      <c r="J1904" s="1084"/>
      <c r="K1904" s="1084"/>
      <c r="L1904" s="1113"/>
      <c r="M1904" s="977">
        <v>560</v>
      </c>
    </row>
    <row r="1905" spans="1:13" s="1086" customFormat="1" ht="25.15" hidden="1" customHeight="1">
      <c r="A1905" s="1156">
        <f t="shared" si="151"/>
        <v>0</v>
      </c>
      <c r="B1905" s="1328" t="s">
        <v>884</v>
      </c>
      <c r="C1905" s="1328"/>
      <c r="D1905" s="1093">
        <f t="shared" si="152"/>
        <v>0</v>
      </c>
      <c r="E1905" s="1082" t="str">
        <f>VLOOKUP($B1905,DG!A:D,DG!$B$2,)</f>
        <v>02.8404</v>
      </c>
      <c r="F1905" s="1083" t="str">
        <f>VLOOKUP($B1905,DG!A:D,DG!$C$2,)&amp;": bao gồm giaù nôùi"</f>
        <v>MCCB 3 cực 400V -1000A - 50KA: bao gồm giaù nôùi</v>
      </c>
      <c r="G1905" s="1082" t="str">
        <f>VLOOKUP($B1905,DG!A:D,DG!$D$2,)</f>
        <v>cái</v>
      </c>
      <c r="H1905" s="1873">
        <f>H1901</f>
        <v>0</v>
      </c>
      <c r="I1905" s="1262">
        <f t="shared" si="150"/>
        <v>0</v>
      </c>
      <c r="J1905" s="1084"/>
      <c r="K1905" s="1084"/>
      <c r="L1905" s="1113"/>
      <c r="M1905" s="977">
        <v>560</v>
      </c>
    </row>
    <row r="1906" spans="1:13" s="1086" customFormat="1" ht="25.15" hidden="1" customHeight="1">
      <c r="A1906" s="1156">
        <f t="shared" si="151"/>
        <v>0</v>
      </c>
      <c r="B1906" s="1328" t="s">
        <v>1222</v>
      </c>
      <c r="C1906" s="1328"/>
      <c r="D1906" s="1093">
        <f>IF(H1906&gt;0,D1905+1,D1905)</f>
        <v>0</v>
      </c>
      <c r="E1906" s="1082" t="str">
        <f>VLOOKUP($B1906,DG!A:D,DG!$B$2,)</f>
        <v>02.8403</v>
      </c>
      <c r="F1906" s="1083" t="str">
        <f>VLOOKUP($B1906,DG!A:D,DG!$C$2,)&amp;": bao gồm giaù nôùi"</f>
        <v>MCCB 3 cực 400V -800A - 50KA: bao gồm giaù nôùi</v>
      </c>
      <c r="G1906" s="1082" t="str">
        <f>VLOOKUP($B1906,DG!A:D,DG!$D$2,)</f>
        <v>cái</v>
      </c>
      <c r="H1906" s="1873">
        <f>H1901</f>
        <v>0</v>
      </c>
      <c r="I1906" s="1262">
        <f t="shared" si="150"/>
        <v>0</v>
      </c>
      <c r="J1906" s="1084"/>
      <c r="K1906" s="1084"/>
      <c r="L1906" s="1113"/>
      <c r="M1906" s="977">
        <v>560</v>
      </c>
    </row>
    <row r="1907" spans="1:13" s="1086" customFormat="1" ht="25.15" hidden="1" customHeight="1">
      <c r="A1907" s="1156">
        <f t="shared" si="151"/>
        <v>0</v>
      </c>
      <c r="B1907" s="1328" t="s">
        <v>201</v>
      </c>
      <c r="C1907" s="1328"/>
      <c r="D1907" s="1093">
        <f>IF(H1907&gt;0,D1906+1,D1906)</f>
        <v>0</v>
      </c>
      <c r="E1907" s="1082" t="str">
        <f>VLOOKUP($B1907,DG!A:D,DG!$B$2,)</f>
        <v>02.8401</v>
      </c>
      <c r="F1907" s="1083" t="str">
        <f>VLOOKUP($B1907,DG!A:D,DG!$C$2,)</f>
        <v>MCCB 3 cực 400V-100A - 30KA</v>
      </c>
      <c r="G1907" s="1082" t="str">
        <f>VLOOKUP($B1907,DG!A:D,DG!$D$2,)</f>
        <v>cái</v>
      </c>
      <c r="H1907" s="1873">
        <f>H1901*2</f>
        <v>0</v>
      </c>
      <c r="I1907" s="1262">
        <f t="shared" ref="I1907:I1970" si="153">IF(M1907=$M$23,H1907+J1907-K1907,0)</f>
        <v>0</v>
      </c>
      <c r="J1907" s="1084"/>
      <c r="K1907" s="1084"/>
      <c r="L1907" s="1113"/>
      <c r="M1907" s="977">
        <v>560</v>
      </c>
    </row>
    <row r="1908" spans="1:13" s="1086" customFormat="1" ht="25.15" hidden="1" customHeight="1">
      <c r="A1908" s="1156">
        <f t="shared" si="151"/>
        <v>0</v>
      </c>
      <c r="B1908" s="1328" t="s">
        <v>938</v>
      </c>
      <c r="C1908" s="1328"/>
      <c r="D1908" s="1093">
        <f>IF(H1908&gt;0,D1907+1,D1907)</f>
        <v>0</v>
      </c>
      <c r="E1908" s="1082" t="str">
        <f>VLOOKUP($B1908,DG!A:D,DG!$B$2,)</f>
        <v>02.8401</v>
      </c>
      <c r="F1908" s="1083" t="str">
        <f>VLOOKUP($B1908,DG!A:D,DG!$C$2,)</f>
        <v>MCCB 3 cực 400V-75A - 10KA</v>
      </c>
      <c r="G1908" s="1082" t="str">
        <f>VLOOKUP($B1908,DG!A:D,DG!$D$2,)</f>
        <v>cái</v>
      </c>
      <c r="H1908" s="1873">
        <f>H1901</f>
        <v>0</v>
      </c>
      <c r="I1908" s="1262">
        <f t="shared" si="153"/>
        <v>0</v>
      </c>
      <c r="J1908" s="1084"/>
      <c r="K1908" s="1084"/>
      <c r="L1908" s="1113"/>
      <c r="M1908" s="977">
        <v>560</v>
      </c>
    </row>
    <row r="1909" spans="1:13" s="1086" customFormat="1" ht="25.15" hidden="1" customHeight="1">
      <c r="A1909" s="1156">
        <f t="shared" si="151"/>
        <v>0</v>
      </c>
      <c r="B1909" s="1328" t="s">
        <v>1223</v>
      </c>
      <c r="C1909" s="1328"/>
      <c r="D1909" s="1093">
        <f>IF(H1909&gt;0,D1908+1,D1908)</f>
        <v>0</v>
      </c>
      <c r="E1909" s="1082" t="str">
        <f>VLOOKUP($B1909,DG!A:D,DG!$B$2,)</f>
        <v>02.8401</v>
      </c>
      <c r="F1909" s="1083" t="str">
        <f>VLOOKUP($B1909,DG!A:D,DG!$C$2,)</f>
        <v xml:space="preserve">MCCB - 3P-400V-63A-25KA  Icu=Ics </v>
      </c>
      <c r="G1909" s="1082" t="str">
        <f>VLOOKUP($B1909,DG!A:D,DG!$D$2,)</f>
        <v>cái</v>
      </c>
      <c r="H1909" s="1873">
        <f>H1901</f>
        <v>0</v>
      </c>
      <c r="I1909" s="1262">
        <f t="shared" si="153"/>
        <v>0</v>
      </c>
      <c r="J1909" s="1084"/>
      <c r="K1909" s="1084"/>
      <c r="L1909" s="1113"/>
      <c r="M1909" s="977">
        <v>560</v>
      </c>
    </row>
    <row r="1910" spans="1:13" s="1086" customFormat="1" ht="25.15" hidden="1" customHeight="1">
      <c r="A1910" s="1156">
        <f t="shared" si="151"/>
        <v>0</v>
      </c>
      <c r="B1910" s="1328" t="s">
        <v>1468</v>
      </c>
      <c r="C1910" s="1328"/>
      <c r="D1910" s="1093">
        <f>IF(H1910&gt;0,D1905+1,D1905)</f>
        <v>0</v>
      </c>
      <c r="E1910" s="1082" t="str">
        <f>VLOOKUP($B1910,DG!A:D,DG!$B$2,)</f>
        <v>02.8534</v>
      </c>
      <c r="F1910" s="1083" t="str">
        <f>VLOOKUP($B1910,DG!A:D,DG!$C$2,)</f>
        <v>Tủ tụ bù hạ thế 250kVAr</v>
      </c>
      <c r="G1910" s="1082" t="str">
        <f>VLOOKUP($B1910,DG!A:D,DG!$D$2,)</f>
        <v>tủ</v>
      </c>
      <c r="H1910" s="1873">
        <f>H1901</f>
        <v>0</v>
      </c>
      <c r="I1910" s="1262">
        <f t="shared" si="153"/>
        <v>0</v>
      </c>
      <c r="J1910" s="1084"/>
      <c r="K1910" s="1084"/>
      <c r="L1910" s="1113"/>
      <c r="M1910" s="977">
        <v>560</v>
      </c>
    </row>
    <row r="1911" spans="1:13" s="1086" customFormat="1" ht="25.15" hidden="1" customHeight="1">
      <c r="A1911" s="1156">
        <f t="shared" si="151"/>
        <v>0</v>
      </c>
      <c r="B1911" s="1328" t="s">
        <v>4539</v>
      </c>
      <c r="C1911" s="1328"/>
      <c r="D1911" s="1093">
        <f t="shared" si="152"/>
        <v>0</v>
      </c>
      <c r="E1911" s="1082" t="str">
        <f>VLOOKUP($B1911,DG!A:D,DG!$B$2,)</f>
        <v>02.1124</v>
      </c>
      <c r="F1911" s="1083" t="str">
        <f>VLOOKUP($B1911,DG!A:D,DG!$C$2,)</f>
        <v>Biến dòng 24kV  15/5A</v>
      </c>
      <c r="G1911" s="1082" t="str">
        <f>VLOOKUP($B1911,DG!A:D,DG!$D$2,)</f>
        <v>cái</v>
      </c>
      <c r="H1911" s="1905">
        <f>H1901*3</f>
        <v>0</v>
      </c>
      <c r="I1911" s="1262">
        <f t="shared" si="153"/>
        <v>0</v>
      </c>
      <c r="J1911" s="1084"/>
      <c r="K1911" s="1084"/>
      <c r="L1911" s="1114" t="s">
        <v>2612</v>
      </c>
      <c r="M1911" s="977">
        <v>560</v>
      </c>
    </row>
    <row r="1912" spans="1:13" s="1086" customFormat="1" ht="25.15" hidden="1" customHeight="1">
      <c r="A1912" s="1156">
        <f t="shared" si="151"/>
        <v>0</v>
      </c>
      <c r="B1912" s="1328" t="s">
        <v>4537</v>
      </c>
      <c r="C1912" s="1328"/>
      <c r="D1912" s="1093">
        <f t="shared" si="152"/>
        <v>0</v>
      </c>
      <c r="E1912" s="1082" t="str">
        <f>VLOOKUP($B1912,DG!A:D,DG!$B$2,)</f>
        <v>02.1114</v>
      </c>
      <c r="F1912" s="1083" t="str">
        <f>VLOOKUP($B1912,DG!A:D,DG!$C$2,)</f>
        <v>Biến điện áp 12000/120(60)V</v>
      </c>
      <c r="G1912" s="1082" t="str">
        <f>VLOOKUP($B1912,DG!A:D,DG!$D$2,)</f>
        <v>cái</v>
      </c>
      <c r="H1912" s="1905">
        <f>H1911</f>
        <v>0</v>
      </c>
      <c r="I1912" s="1262">
        <f t="shared" si="153"/>
        <v>0</v>
      </c>
      <c r="J1912" s="1084"/>
      <c r="K1912" s="1084"/>
      <c r="L1912" s="1114" t="s">
        <v>2612</v>
      </c>
      <c r="M1912" s="977">
        <v>560</v>
      </c>
    </row>
    <row r="1913" spans="1:13" s="1086" customFormat="1" ht="25.15" hidden="1" customHeight="1">
      <c r="A1913" s="1156">
        <f t="shared" si="151"/>
        <v>0</v>
      </c>
      <c r="B1913" s="1334" t="s">
        <v>1843</v>
      </c>
      <c r="C1913" s="1334"/>
      <c r="D1913" s="1093">
        <f t="shared" si="152"/>
        <v>0</v>
      </c>
      <c r="E1913" s="1082">
        <f>VLOOKUP($B1913,DG!A:D,DG!$B$2,)</f>
        <v>0</v>
      </c>
      <c r="F1913" s="1083" t="str">
        <f>VLOOKUP($B1913,DG!A:D,DG!$C$2,)</f>
        <v>Điện kế 3 pha điện tử 600V-5A</v>
      </c>
      <c r="G1913" s="1082" t="str">
        <f>VLOOKUP($B1913,DG!A:D,DG!$D$2,)</f>
        <v>cái</v>
      </c>
      <c r="H1913" s="1905">
        <f>H1901</f>
        <v>0</v>
      </c>
      <c r="I1913" s="1262">
        <f t="shared" si="153"/>
        <v>0</v>
      </c>
      <c r="J1913" s="1084"/>
      <c r="K1913" s="1084"/>
      <c r="L1913" s="1115" t="s">
        <v>2612</v>
      </c>
      <c r="M1913" s="977">
        <v>560</v>
      </c>
    </row>
    <row r="1914" spans="1:13" s="1086" customFormat="1" ht="25.15" hidden="1" customHeight="1">
      <c r="A1914" s="1156">
        <f t="shared" si="151"/>
        <v>0</v>
      </c>
      <c r="B1914" s="1327"/>
      <c r="C1914" s="1327"/>
      <c r="D1914" s="1116"/>
      <c r="E1914" s="1117"/>
      <c r="F1914" s="1079"/>
      <c r="G1914" s="1116"/>
      <c r="H1914" s="1883"/>
      <c r="I1914" s="1262">
        <f t="shared" si="153"/>
        <v>0</v>
      </c>
      <c r="J1914" s="1079"/>
      <c r="K1914" s="1116"/>
      <c r="L1914" s="1110"/>
      <c r="M1914" s="977">
        <v>560</v>
      </c>
    </row>
    <row r="1915" spans="1:13" s="1086" customFormat="1" ht="25.15" hidden="1" customHeight="1">
      <c r="A1915" s="1156">
        <f t="shared" si="151"/>
        <v>0</v>
      </c>
      <c r="B1915" s="1327"/>
      <c r="C1915" s="1327"/>
      <c r="D1915" s="1118"/>
      <c r="E1915" s="1119"/>
      <c r="F1915" s="1108" t="s">
        <v>3694</v>
      </c>
      <c r="G1915" s="1108"/>
      <c r="H1915" s="1897"/>
      <c r="I1915" s="1262">
        <f t="shared" si="153"/>
        <v>0</v>
      </c>
      <c r="J1915" s="1108"/>
      <c r="K1915" s="1108"/>
      <c r="L1915" s="1110"/>
      <c r="M1915" s="977">
        <v>560</v>
      </c>
    </row>
    <row r="1916" spans="1:13" s="1086" customFormat="1" ht="25.15" hidden="1" customHeight="1">
      <c r="A1916" s="1156">
        <f t="shared" si="151"/>
        <v>0</v>
      </c>
      <c r="B1916" s="1356"/>
      <c r="C1916" s="1356"/>
      <c r="D1916" s="1120">
        <f>IF(H1916&gt;0,1,0)</f>
        <v>0</v>
      </c>
      <c r="E1916" s="1121"/>
      <c r="F1916" s="1122" t="s">
        <v>3732</v>
      </c>
      <c r="G1916" s="1123" t="s">
        <v>2285</v>
      </c>
      <c r="H1916" s="1906">
        <f>H1901*2*0</f>
        <v>0</v>
      </c>
      <c r="I1916" s="1262">
        <f t="shared" si="153"/>
        <v>0</v>
      </c>
      <c r="J1916" s="1124"/>
      <c r="K1916" s="1124"/>
      <c r="L1916" s="1113"/>
      <c r="M1916" s="977">
        <v>560</v>
      </c>
    </row>
    <row r="1917" spans="1:13" s="1086" customFormat="1" ht="25.15" hidden="1" customHeight="1">
      <c r="A1917" s="1156">
        <f t="shared" si="151"/>
        <v>0</v>
      </c>
      <c r="B1917" s="1157" t="s">
        <v>115</v>
      </c>
      <c r="C1917" s="1157"/>
      <c r="D1917" s="1125"/>
      <c r="E1917" s="1082"/>
      <c r="F1917" s="1126" t="str">
        <f>VLOOKUP($B1917,DG!A:D,DG!$C$2,)</f>
        <v>Trụ BTLT 12m F350 dự ứng lực</v>
      </c>
      <c r="G1917" s="1082" t="str">
        <f>VLOOKUP($B1917,DG!A:D,DG!$D$2,)</f>
        <v>trụ</v>
      </c>
      <c r="H1917" s="1907">
        <f>H1916</f>
        <v>0</v>
      </c>
      <c r="I1917" s="1262">
        <f t="shared" si="153"/>
        <v>0</v>
      </c>
      <c r="J1917" s="1111"/>
      <c r="K1917" s="1081"/>
      <c r="L1917" s="1113"/>
      <c r="M1917" s="977">
        <v>560</v>
      </c>
    </row>
    <row r="1918" spans="1:13" s="1086" customFormat="1" ht="25.15" hidden="1" customHeight="1">
      <c r="A1918" s="1156">
        <f t="shared" si="151"/>
        <v>0</v>
      </c>
      <c r="B1918" s="1157" t="s">
        <v>1820</v>
      </c>
      <c r="C1918" s="1157"/>
      <c r="D1918" s="1125"/>
      <c r="E1918" s="1082"/>
      <c r="F1918" s="1126" t="str">
        <f>VLOOKUP($B1918,DG!A:D,DG!$C$2,)</f>
        <v>Vật liệu dựng trụ</v>
      </c>
      <c r="G1918" s="1082" t="str">
        <f>VLOOKUP($B1918,DG!A:D,DG!$D$2,)</f>
        <v>trụ</v>
      </c>
      <c r="H1918" s="1907">
        <f>H1917</f>
        <v>0</v>
      </c>
      <c r="I1918" s="1262">
        <f t="shared" si="153"/>
        <v>0</v>
      </c>
      <c r="J1918" s="1081"/>
      <c r="K1918" s="1081"/>
      <c r="L1918" s="1113"/>
      <c r="M1918" s="977">
        <v>560</v>
      </c>
    </row>
    <row r="1919" spans="1:13" s="1086" customFormat="1" ht="25.15" hidden="1" customHeight="1">
      <c r="A1919" s="1156">
        <f t="shared" si="151"/>
        <v>0</v>
      </c>
      <c r="B1919" s="1157" t="s">
        <v>643</v>
      </c>
      <c r="C1919" s="1157"/>
      <c r="D1919" s="1125"/>
      <c r="E1919" s="1082" t="str">
        <f>VLOOKUP($B1919,DG!A:D,DG!$B$2,)</f>
        <v>04.9203</v>
      </c>
      <c r="F1919" s="1126" t="str">
        <f>VLOOKUP($B1919,DG!A:D,DG!$C$2,)</f>
        <v>Dựng trụ BTLT 12m trong TBA bằng thủ công + cơ giới</v>
      </c>
      <c r="G1919" s="1082" t="str">
        <f>VLOOKUP($B1919,DG!A:D,DG!$D$2,)</f>
        <v>trụ</v>
      </c>
      <c r="H1919" s="1907">
        <f>H1917</f>
        <v>0</v>
      </c>
      <c r="I1919" s="1262">
        <f t="shared" si="153"/>
        <v>0</v>
      </c>
      <c r="J1919" s="1111"/>
      <c r="K1919" s="1111"/>
      <c r="L1919" s="1113"/>
      <c r="M1919" s="977">
        <v>560</v>
      </c>
    </row>
    <row r="1920" spans="1:13" s="1086" customFormat="1" ht="25.15" hidden="1" customHeight="1">
      <c r="A1920" s="1156">
        <f t="shared" si="151"/>
        <v>0</v>
      </c>
      <c r="B1920" s="1356"/>
      <c r="C1920" s="1356"/>
      <c r="D1920" s="1120">
        <f>IF(H1920&gt;0,1,0)</f>
        <v>0</v>
      </c>
      <c r="E1920" s="1121"/>
      <c r="F1920" s="1122" t="s">
        <v>3733</v>
      </c>
      <c r="G1920" s="1123" t="s">
        <v>2285</v>
      </c>
      <c r="H1920" s="1906">
        <f>H1901*2*0</f>
        <v>0</v>
      </c>
      <c r="I1920" s="1262">
        <f t="shared" si="153"/>
        <v>0</v>
      </c>
      <c r="J1920" s="1124"/>
      <c r="K1920" s="1124"/>
      <c r="L1920" s="1085"/>
      <c r="M1920" s="977">
        <v>560</v>
      </c>
    </row>
    <row r="1921" spans="1:13" s="1086" customFormat="1" ht="25.15" hidden="1" customHeight="1">
      <c r="A1921" s="1156">
        <f t="shared" si="151"/>
        <v>0</v>
      </c>
      <c r="B1921" s="1157" t="s">
        <v>114</v>
      </c>
      <c r="C1921" s="1157"/>
      <c r="D1921" s="1125"/>
      <c r="E1921" s="1082"/>
      <c r="F1921" s="1126" t="str">
        <f>VLOOKUP($B1921,DG!A:D,DG!$C$2,)</f>
        <v>Trụ BTLT 10,5m F350 dự ứng lực</v>
      </c>
      <c r="G1921" s="1082" t="str">
        <f>VLOOKUP($B1921,DG!A:D,DG!$D$2,)</f>
        <v>trụ</v>
      </c>
      <c r="H1921" s="1907">
        <f>H1920</f>
        <v>0</v>
      </c>
      <c r="I1921" s="1262">
        <f t="shared" si="153"/>
        <v>0</v>
      </c>
      <c r="J1921" s="1111"/>
      <c r="K1921" s="1081"/>
      <c r="L1921" s="1085"/>
      <c r="M1921" s="977">
        <v>560</v>
      </c>
    </row>
    <row r="1922" spans="1:13" s="1086" customFormat="1" ht="25.15" hidden="1" customHeight="1">
      <c r="A1922" s="1156">
        <f t="shared" si="151"/>
        <v>0</v>
      </c>
      <c r="B1922" s="1157" t="s">
        <v>1820</v>
      </c>
      <c r="C1922" s="1157"/>
      <c r="D1922" s="1125"/>
      <c r="E1922" s="1082"/>
      <c r="F1922" s="1126" t="str">
        <f>VLOOKUP($B1922,DG!A:D,DG!$C$2,)</f>
        <v>Vật liệu dựng trụ</v>
      </c>
      <c r="G1922" s="1082" t="str">
        <f>VLOOKUP($B1922,DG!A:D,DG!$D$2,)</f>
        <v>trụ</v>
      </c>
      <c r="H1922" s="1907">
        <f>H1921</f>
        <v>0</v>
      </c>
      <c r="I1922" s="1262">
        <f t="shared" si="153"/>
        <v>0</v>
      </c>
      <c r="J1922" s="1081"/>
      <c r="K1922" s="1081"/>
      <c r="L1922" s="1085"/>
      <c r="M1922" s="977">
        <v>560</v>
      </c>
    </row>
    <row r="1923" spans="1:13" s="1086" customFormat="1" ht="25.15" hidden="1" customHeight="1">
      <c r="A1923" s="1156">
        <f t="shared" si="151"/>
        <v>0</v>
      </c>
      <c r="B1923" s="1157" t="s">
        <v>644</v>
      </c>
      <c r="C1923" s="1157"/>
      <c r="D1923" s="1125"/>
      <c r="E1923" s="1082" t="str">
        <f>VLOOKUP($B1923,DG!A:D,DG!$B$2,)</f>
        <v>04.9203</v>
      </c>
      <c r="F1923" s="1126" t="str">
        <f>VLOOKUP($B1923,DG!A:D,DG!$C$2,)</f>
        <v>Dựng trụ BTLT 10,5m trong TBA bằng thủ công + cơ giới</v>
      </c>
      <c r="G1923" s="1082" t="str">
        <f>VLOOKUP($B1923,DG!A:D,DG!$D$2,)</f>
        <v>trụ</v>
      </c>
      <c r="H1923" s="1907">
        <f>H1921</f>
        <v>0</v>
      </c>
      <c r="I1923" s="1262">
        <f t="shared" si="153"/>
        <v>0</v>
      </c>
      <c r="J1923" s="1111"/>
      <c r="K1923" s="1111"/>
      <c r="L1923" s="1085"/>
      <c r="M1923" s="977">
        <v>560</v>
      </c>
    </row>
    <row r="1924" spans="1:13" s="1086" customFormat="1" ht="25.15" hidden="1" customHeight="1">
      <c r="A1924" s="1156">
        <f t="shared" si="151"/>
        <v>0</v>
      </c>
      <c r="B1924" s="1357"/>
      <c r="C1924" s="1357"/>
      <c r="D1924" s="1087">
        <f>IF(H1924&gt;0,D1916+1,D1916)</f>
        <v>0</v>
      </c>
      <c r="E1924" s="1121"/>
      <c r="F1924" s="1122" t="s">
        <v>2361</v>
      </c>
      <c r="G1924" s="1123" t="s">
        <v>2336</v>
      </c>
      <c r="H1924" s="1906">
        <f>H1916</f>
        <v>0</v>
      </c>
      <c r="I1924" s="1262">
        <f t="shared" si="153"/>
        <v>0</v>
      </c>
      <c r="J1924" s="1081"/>
      <c r="K1924" s="1081"/>
      <c r="L1924" s="1113"/>
      <c r="M1924" s="977">
        <v>560</v>
      </c>
    </row>
    <row r="1925" spans="1:13" s="1086" customFormat="1" ht="25.15" hidden="1" customHeight="1">
      <c r="A1925" s="1156">
        <f t="shared" si="151"/>
        <v>0</v>
      </c>
      <c r="B1925" s="1334" t="s">
        <v>636</v>
      </c>
      <c r="C1925" s="1334"/>
      <c r="D1925" s="1125"/>
      <c r="E1925" s="1082" t="str">
        <f>VLOOKUP($B1925,DG!A:D,DG!$B$2,)</f>
        <v>04.4001</v>
      </c>
      <c r="F1925" s="1127" t="str">
        <f>VLOOKUP($B1925,DG!A:D,DG!$C$2,)</f>
        <v>Đà cản BTCT 1,2m</v>
      </c>
      <c r="G1925" s="1094" t="str">
        <f>VLOOKUP($B1925,DG!A:D,DG!$D$2,)</f>
        <v>cái</v>
      </c>
      <c r="H1925" s="1907">
        <f>H1924</f>
        <v>0</v>
      </c>
      <c r="I1925" s="1262">
        <f t="shared" si="153"/>
        <v>0</v>
      </c>
      <c r="J1925" s="1111"/>
      <c r="K1925" s="1081"/>
      <c r="L1925" s="1113"/>
      <c r="M1925" s="977">
        <v>560</v>
      </c>
    </row>
    <row r="1926" spans="1:13" s="1086" customFormat="1" ht="25.15" hidden="1" customHeight="1">
      <c r="A1926" s="1156">
        <f t="shared" si="151"/>
        <v>0</v>
      </c>
      <c r="B1926" s="1334" t="s">
        <v>566</v>
      </c>
      <c r="C1926" s="1334"/>
      <c r="D1926" s="1125"/>
      <c r="E1926" s="1094"/>
      <c r="F1926" s="1127" t="str">
        <f>VLOOKUP($B1926,DG!A:D,DG!$C$2,)</f>
        <v>Boulon 22x650+ 2 long đền vuông D24-50x50x3/Zn</v>
      </c>
      <c r="G1926" s="1094" t="str">
        <f>VLOOKUP($B1926,DG!A:D,DG!$D$2,)</f>
        <v>bộ</v>
      </c>
      <c r="H1926" s="1907">
        <f>H1925</f>
        <v>0</v>
      </c>
      <c r="I1926" s="1262">
        <f t="shared" si="153"/>
        <v>0</v>
      </c>
      <c r="J1926" s="1127"/>
      <c r="K1926" s="1081"/>
      <c r="L1926" s="1113"/>
      <c r="M1926" s="977">
        <v>560</v>
      </c>
    </row>
    <row r="1927" spans="1:13" s="1086" customFormat="1" ht="25.15" hidden="1" customHeight="1">
      <c r="A1927" s="1156">
        <f t="shared" si="151"/>
        <v>0</v>
      </c>
      <c r="B1927" s="1334" t="str">
        <f>IF(chitiet!G5=1,"MDD1",IF(chitiet!G5=2,"MDD2",IF(chitiet!G5=3,"MDD3",IF(chitiet!G5=4,"MDD4"))))</f>
        <v>MDD3</v>
      </c>
      <c r="C1927" s="1334"/>
      <c r="D1927" s="1125"/>
      <c r="E1927" s="1094" t="str">
        <f>VLOOKUP($B1927,DG!A:D,DG!$B$2,)</f>
        <v>03.1013</v>
      </c>
      <c r="F1927" s="1127" t="str">
        <f>VLOOKUP($B1927,DG!A:D,DG!$C$2,)</f>
        <v>Đào hố móng đất cấp 3 sâu &gt;1m</v>
      </c>
      <c r="G1927" s="1094" t="str">
        <f>VLOOKUP($B1927,DG!A:D,DG!$D$2,)</f>
        <v>m3</v>
      </c>
      <c r="H1927" s="1908">
        <f>1.45*H1925</f>
        <v>0</v>
      </c>
      <c r="I1927" s="1262">
        <f t="shared" si="153"/>
        <v>0</v>
      </c>
      <c r="J1927" s="1128"/>
      <c r="K1927" s="1081"/>
      <c r="L1927" s="1113"/>
      <c r="M1927" s="977">
        <v>560</v>
      </c>
    </row>
    <row r="1928" spans="1:13" s="1086" customFormat="1" ht="25.15" hidden="1" customHeight="1">
      <c r="A1928" s="1156">
        <f t="shared" si="151"/>
        <v>0</v>
      </c>
      <c r="B1928" s="1334" t="str">
        <f>IF(chitiet!G5=1,"MDAP1",IF(chitiet!G5=2,"MDAP2",IF(chitiet!G5=3,"MDAP3",IF(chitiet!G5=4,"MDAP4"))))</f>
        <v>MDAP3</v>
      </c>
      <c r="C1928" s="1334"/>
      <c r="D1928" s="1125"/>
      <c r="E1928" s="1094" t="str">
        <f>VLOOKUP($B1928,DG!A:D,DG!$B$2,)</f>
        <v>03.4113</v>
      </c>
      <c r="F1928" s="1127" t="str">
        <f>VLOOKUP($B1928,DG!A:D,DG!$C$2,)</f>
        <v>Đắp đất hố móng, độ chặt k=0,95</v>
      </c>
      <c r="G1928" s="1094" t="str">
        <f>VLOOKUP($B1928,DG!A:D,DG!$D$2,)</f>
        <v>m3</v>
      </c>
      <c r="H1928" s="1908">
        <f>1.37*H1924</f>
        <v>0</v>
      </c>
      <c r="I1928" s="1262">
        <f t="shared" si="153"/>
        <v>0</v>
      </c>
      <c r="J1928" s="1128"/>
      <c r="K1928" s="1081"/>
      <c r="L1928" s="1113"/>
      <c r="M1928" s="977">
        <v>560</v>
      </c>
    </row>
    <row r="1929" spans="1:13" s="1086" customFormat="1" ht="25.15" hidden="1" customHeight="1">
      <c r="A1929" s="1156">
        <f t="shared" si="151"/>
        <v>0</v>
      </c>
      <c r="B1929" s="1357"/>
      <c r="C1929" s="1357"/>
      <c r="D1929" s="1087">
        <f>IF(H1929&gt;0,D1921+1,D1921)</f>
        <v>0</v>
      </c>
      <c r="E1929" s="1121"/>
      <c r="F1929" s="1122" t="s">
        <v>3734</v>
      </c>
      <c r="G1929" s="1123" t="s">
        <v>2336</v>
      </c>
      <c r="H1929" s="1906">
        <f>H1920*0</f>
        <v>0</v>
      </c>
      <c r="I1929" s="1262">
        <f t="shared" si="153"/>
        <v>0</v>
      </c>
      <c r="J1929" s="1081"/>
      <c r="K1929" s="1081"/>
      <c r="L1929" s="1085"/>
      <c r="M1929" s="977">
        <v>560</v>
      </c>
    </row>
    <row r="1930" spans="1:13" s="1086" customFormat="1" ht="25.15" hidden="1" customHeight="1">
      <c r="A1930" s="1156">
        <f t="shared" si="151"/>
        <v>0</v>
      </c>
      <c r="B1930" s="1334" t="s">
        <v>636</v>
      </c>
      <c r="C1930" s="1334"/>
      <c r="D1930" s="1125"/>
      <c r="E1930" s="1082" t="str">
        <f>VLOOKUP($B1930,DG!A:D,DG!$B$2,)</f>
        <v>04.4001</v>
      </c>
      <c r="F1930" s="1127" t="str">
        <f>VLOOKUP($B1930,DG!A:D,DG!$C$2,)</f>
        <v>Đà cản BTCT 1,2m</v>
      </c>
      <c r="G1930" s="1094" t="str">
        <f>VLOOKUP($B1930,DG!A:D,DG!$D$2,)</f>
        <v>cái</v>
      </c>
      <c r="H1930" s="1907">
        <f>H1929</f>
        <v>0</v>
      </c>
      <c r="I1930" s="1262">
        <f t="shared" si="153"/>
        <v>0</v>
      </c>
      <c r="J1930" s="1111"/>
      <c r="K1930" s="1081"/>
      <c r="L1930" s="1085"/>
      <c r="M1930" s="977">
        <v>560</v>
      </c>
    </row>
    <row r="1931" spans="1:13" s="1086" customFormat="1" ht="25.15" hidden="1" customHeight="1">
      <c r="A1931" s="1156">
        <f t="shared" si="151"/>
        <v>0</v>
      </c>
      <c r="B1931" s="1334" t="s">
        <v>566</v>
      </c>
      <c r="C1931" s="1334"/>
      <c r="D1931" s="1125"/>
      <c r="E1931" s="1094"/>
      <c r="F1931" s="1127" t="str">
        <f>VLOOKUP($B1931,DG!A:D,DG!$C$2,)</f>
        <v>Boulon 22x650+ 2 long đền vuông D24-50x50x3/Zn</v>
      </c>
      <c r="G1931" s="1094" t="str">
        <f>VLOOKUP($B1931,DG!A:D,DG!$D$2,)</f>
        <v>bộ</v>
      </c>
      <c r="H1931" s="1907">
        <f>H1930</f>
        <v>0</v>
      </c>
      <c r="I1931" s="1262">
        <f t="shared" si="153"/>
        <v>0</v>
      </c>
      <c r="J1931" s="1127"/>
      <c r="K1931" s="1081"/>
      <c r="L1931" s="1085"/>
      <c r="M1931" s="977">
        <v>560</v>
      </c>
    </row>
    <row r="1932" spans="1:13" s="1086" customFormat="1" ht="25.15" hidden="1" customHeight="1">
      <c r="A1932" s="1156">
        <f t="shared" si="151"/>
        <v>0</v>
      </c>
      <c r="B1932" s="1334" t="str">
        <f>IF(chitiet!G5=1,"MDD1",IF(chitiet!G5=2,"MDD2",IF(chitiet!G5=3,"MDD3",IF(chitiet!G5=4,"MDD4"))))</f>
        <v>MDD3</v>
      </c>
      <c r="C1932" s="1334"/>
      <c r="D1932" s="1125"/>
      <c r="E1932" s="1094" t="str">
        <f>VLOOKUP($B1932,DG!A:D,DG!$B$2,)</f>
        <v>03.1013</v>
      </c>
      <c r="F1932" s="1127" t="str">
        <f>VLOOKUP($B1932,DG!A:D,DG!$C$2,)</f>
        <v>Đào hố móng đất cấp 3 sâu &gt;1m</v>
      </c>
      <c r="G1932" s="1094" t="str">
        <f>VLOOKUP($B1932,DG!A:D,DG!$D$2,)</f>
        <v>m3</v>
      </c>
      <c r="H1932" s="1908">
        <f>1.48*H1930</f>
        <v>0</v>
      </c>
      <c r="I1932" s="1262">
        <f t="shared" si="153"/>
        <v>0</v>
      </c>
      <c r="J1932" s="1128"/>
      <c r="K1932" s="1081"/>
      <c r="L1932" s="1085"/>
      <c r="M1932" s="977">
        <v>560</v>
      </c>
    </row>
    <row r="1933" spans="1:13" s="1086" customFormat="1" ht="25.15" hidden="1" customHeight="1">
      <c r="A1933" s="1156">
        <f t="shared" si="151"/>
        <v>0</v>
      </c>
      <c r="B1933" s="1334" t="str">
        <f>IF(chitiet!G5=1,"MDAP1",IF(chitiet!G5=2,"MDAP2",IF(chitiet!G5=3,"MDAP3",IF(chitiet!G5=4,"MDAP4"))))</f>
        <v>MDAP3</v>
      </c>
      <c r="C1933" s="1334"/>
      <c r="D1933" s="1125"/>
      <c r="E1933" s="1094" t="str">
        <f>VLOOKUP($B1933,DG!A:D,DG!$B$2,)</f>
        <v>03.4113</v>
      </c>
      <c r="F1933" s="1127" t="str">
        <f>VLOOKUP($B1933,DG!A:D,DG!$C$2,)</f>
        <v>Đắp đất hố móng, độ chặt k=0,95</v>
      </c>
      <c r="G1933" s="1094" t="str">
        <f>VLOOKUP($B1933,DG!A:D,DG!$D$2,)</f>
        <v>m3</v>
      </c>
      <c r="H1933" s="1908">
        <f>1.39*H1929</f>
        <v>0</v>
      </c>
      <c r="I1933" s="1262">
        <f t="shared" si="153"/>
        <v>0</v>
      </c>
      <c r="J1933" s="1128"/>
      <c r="K1933" s="1081"/>
      <c r="L1933" s="1085"/>
      <c r="M1933" s="977">
        <v>560</v>
      </c>
    </row>
    <row r="1934" spans="1:13" s="1086" customFormat="1" ht="25.15" hidden="1" customHeight="1">
      <c r="A1934" s="1156">
        <f t="shared" si="151"/>
        <v>0</v>
      </c>
      <c r="B1934" s="1327"/>
      <c r="C1934" s="1327"/>
      <c r="D1934" s="1087">
        <f>IF(H1934&gt;0,D1924+1,D1924)</f>
        <v>0</v>
      </c>
      <c r="E1934" s="1129"/>
      <c r="F1934" s="1122" t="s">
        <v>3735</v>
      </c>
      <c r="G1934" s="1120" t="s">
        <v>2394</v>
      </c>
      <c r="H1934" s="1909">
        <f>H1901*1</f>
        <v>0</v>
      </c>
      <c r="I1934" s="1262">
        <f t="shared" si="153"/>
        <v>0</v>
      </c>
      <c r="J1934" s="1130"/>
      <c r="K1934" s="1130"/>
      <c r="L1934" s="1085"/>
      <c r="M1934" s="977">
        <v>560</v>
      </c>
    </row>
    <row r="1935" spans="1:13" s="1086" customFormat="1" ht="25.15" hidden="1" customHeight="1">
      <c r="A1935" s="1156">
        <f>IF(A1934&gt;0,1,0)</f>
        <v>0</v>
      </c>
      <c r="B1935" s="1327"/>
      <c r="C1935" s="1327"/>
      <c r="D1935" s="1081"/>
      <c r="E1935" s="1131"/>
      <c r="F1935" s="1370" t="s">
        <v>2287</v>
      </c>
      <c r="G1935" s="1093"/>
      <c r="H1935" s="1873"/>
      <c r="I1935" s="1262">
        <f t="shared" si="153"/>
        <v>0</v>
      </c>
      <c r="J1935" s="1132"/>
      <c r="K1935" s="1132"/>
      <c r="L1935" s="1085"/>
      <c r="M1935" s="977">
        <v>560</v>
      </c>
    </row>
    <row r="1936" spans="1:13" s="1086" customFormat="1" ht="25.15" hidden="1" customHeight="1">
      <c r="A1936" s="1156">
        <f t="shared" si="151"/>
        <v>0</v>
      </c>
      <c r="B1936" s="1157" t="s">
        <v>1413</v>
      </c>
      <c r="C1936" s="1157"/>
      <c r="D1936" s="1081"/>
      <c r="E1936" s="1094" t="str">
        <f>VLOOKUP($B1936,DG!A:D,DG!$B$2,)</f>
        <v>05.6105</v>
      </c>
      <c r="F1936" s="1083" t="str">
        <f>VLOOKUP($B1936,DG!A:D,DG!$C$2,)&amp;": 2 cái"</f>
        <v>Đà U200x80x5x2800 đỡ MBA: 2 cái</v>
      </c>
      <c r="G1936" s="1082" t="str">
        <f>VLOOKUP($B1936,DG!A:D,DG!$D$2,)</f>
        <v>cái</v>
      </c>
      <c r="H1936" s="1873">
        <f>52.049*H1934*2</f>
        <v>0</v>
      </c>
      <c r="I1936" s="1262">
        <f t="shared" si="153"/>
        <v>0</v>
      </c>
      <c r="J1936" s="1111"/>
      <c r="K1936" s="1111"/>
      <c r="L1936" s="1085"/>
      <c r="M1936" s="977">
        <v>560</v>
      </c>
    </row>
    <row r="1937" spans="1:13" s="1086" customFormat="1" ht="25.15" hidden="1" customHeight="1">
      <c r="A1937" s="1156">
        <f t="shared" si="151"/>
        <v>0</v>
      </c>
      <c r="B1937" s="1157" t="s">
        <v>1139</v>
      </c>
      <c r="C1937" s="1157"/>
      <c r="D1937" s="1081"/>
      <c r="E1937" s="1094" t="str">
        <f>VLOOKUP($B1937,DG!A:D,DG!$B$2,)</f>
        <v>05.6101</v>
      </c>
      <c r="F1937" s="1083" t="str">
        <f>VLOOKUP($B1937,DG!A:D,DG!$C$2,)&amp;": 4 cái"</f>
        <v>Đà U100x46x4.5x400 : 4 cái</v>
      </c>
      <c r="G1937" s="1082" t="str">
        <f>VLOOKUP($B1937,DG!A:D,DG!$D$2,)</f>
        <v>cái</v>
      </c>
      <c r="H1937" s="1873">
        <f>H1934*2.713*4</f>
        <v>0</v>
      </c>
      <c r="I1937" s="1262">
        <f t="shared" si="153"/>
        <v>0</v>
      </c>
      <c r="J1937" s="1111"/>
      <c r="K1937" s="1111"/>
      <c r="L1937" s="1085"/>
      <c r="M1937" s="977">
        <v>560</v>
      </c>
    </row>
    <row r="1938" spans="1:13" s="1086" customFormat="1" ht="25.15" hidden="1" customHeight="1">
      <c r="A1938" s="1156">
        <f t="shared" si="151"/>
        <v>0</v>
      </c>
      <c r="B1938" s="1157" t="s">
        <v>1140</v>
      </c>
      <c r="C1938" s="1157"/>
      <c r="D1938" s="1081"/>
      <c r="E1938" s="1094" t="str">
        <f>VLOOKUP($B1938,DG!A:D,DG!$B$2,)</f>
        <v>05.6101</v>
      </c>
      <c r="F1938" s="1083" t="str">
        <f>VLOOKUP($B1938,DG!A:D,DG!$C$2,)&amp;": 2 cái"</f>
        <v>Đà U100x46x5x800 : 2 cái</v>
      </c>
      <c r="G1938" s="1082" t="str">
        <f>VLOOKUP($B1938,DG!A:D,DG!$D$2,)</f>
        <v>cái</v>
      </c>
      <c r="H1938" s="1873">
        <f>H1934*5.426*2</f>
        <v>0</v>
      </c>
      <c r="I1938" s="1262">
        <f t="shared" si="153"/>
        <v>0</v>
      </c>
      <c r="J1938" s="1111"/>
      <c r="K1938" s="1111"/>
      <c r="L1938" s="1085"/>
      <c r="M1938" s="977">
        <v>560</v>
      </c>
    </row>
    <row r="1939" spans="1:13" s="1086" customFormat="1" ht="25.15" hidden="1" customHeight="1">
      <c r="A1939" s="1156">
        <f t="shared" si="151"/>
        <v>0</v>
      </c>
      <c r="B1939" s="1327" t="s">
        <v>1787</v>
      </c>
      <c r="C1939" s="1327"/>
      <c r="D1939" s="1081"/>
      <c r="E1939" s="1094">
        <f>VLOOKUP($B1939,DG!A:D,DG!$B$2,)</f>
        <v>0</v>
      </c>
      <c r="F1939" s="1083" t="str">
        <f>VLOOKUP($B1939,DG!A:D,DG!$C$2,)</f>
        <v>Boulon 16x400VRS+ 4 long đền vuông D18-50x50x3/Zn</v>
      </c>
      <c r="G1939" s="1082" t="str">
        <f>VLOOKUP($B1939,DG!A:D,DG!$D$2,)</f>
        <v>bộ</v>
      </c>
      <c r="H1939" s="1873">
        <f>H1934*10</f>
        <v>0</v>
      </c>
      <c r="I1939" s="1262">
        <f t="shared" si="153"/>
        <v>0</v>
      </c>
      <c r="J1939" s="1111"/>
      <c r="K1939" s="1111"/>
      <c r="L1939" s="1085"/>
      <c r="M1939" s="977">
        <v>560</v>
      </c>
    </row>
    <row r="1940" spans="1:13" s="1086" customFormat="1" ht="25.15" hidden="1" customHeight="1">
      <c r="A1940" s="1156">
        <f t="shared" si="151"/>
        <v>0</v>
      </c>
      <c r="B1940" s="1327" t="s">
        <v>1085</v>
      </c>
      <c r="C1940" s="1327"/>
      <c r="D1940" s="1081"/>
      <c r="E1940" s="1094">
        <f>VLOOKUP($B1940,DG!A:D,DG!$B$2,)</f>
        <v>0</v>
      </c>
      <c r="F1940" s="1083" t="str">
        <f>VLOOKUP($B1940,DG!A:D,DG!$C$2,)</f>
        <v>Boulon 16x400+ 2 long đền vuông D18-50x50x3/Zn</v>
      </c>
      <c r="G1940" s="1082" t="str">
        <f>VLOOKUP($B1940,DG!A:D,DG!$D$2,)</f>
        <v>bộ</v>
      </c>
      <c r="H1940" s="1873">
        <f>H1934*2</f>
        <v>0</v>
      </c>
      <c r="I1940" s="1262">
        <f t="shared" si="153"/>
        <v>0</v>
      </c>
      <c r="J1940" s="1111"/>
      <c r="K1940" s="1111"/>
      <c r="L1940" s="1085"/>
      <c r="M1940" s="977">
        <v>560</v>
      </c>
    </row>
    <row r="1941" spans="1:13" s="1086" customFormat="1" ht="25.15" hidden="1" customHeight="1">
      <c r="A1941" s="1156">
        <f t="shared" si="151"/>
        <v>0</v>
      </c>
      <c r="B1941" s="1327" t="s">
        <v>1081</v>
      </c>
      <c r="C1941" s="1327"/>
      <c r="D1941" s="1081"/>
      <c r="E1941" s="1094">
        <f>VLOOKUP($B1941,DG!A:D,DG!$B$2,)</f>
        <v>0</v>
      </c>
      <c r="F1941" s="1083" t="str">
        <f>VLOOKUP($B1941,DG!A:D,DG!$C$2,)</f>
        <v>Boulon 16x350+ 2 long đền vuông D18-50x50x3/Zn</v>
      </c>
      <c r="G1941" s="1082" t="str">
        <f>VLOOKUP($B1941,DG!A:D,DG!$D$2,)</f>
        <v>bộ</v>
      </c>
      <c r="H1941" s="1873">
        <f>H1934*12</f>
        <v>0</v>
      </c>
      <c r="I1941" s="1262">
        <f t="shared" si="153"/>
        <v>0</v>
      </c>
      <c r="J1941" s="1111"/>
      <c r="K1941" s="1111"/>
      <c r="L1941" s="1085"/>
      <c r="M1941" s="977">
        <v>560</v>
      </c>
    </row>
    <row r="1942" spans="1:13" s="1086" customFormat="1" ht="25.15" hidden="1" customHeight="1">
      <c r="A1942" s="1156">
        <f t="shared" si="151"/>
        <v>0</v>
      </c>
      <c r="B1942" s="1327" t="s">
        <v>2250</v>
      </c>
      <c r="C1942" s="1327"/>
      <c r="D1942" s="1081"/>
      <c r="E1942" s="1094" t="str">
        <f>VLOOKUP($B1942,DG!A:D,DG!$B$2,)</f>
        <v>05.6044</v>
      </c>
      <c r="F1942" s="1083" t="str">
        <f>VLOOKUP($B1942,DG!A:D,DG!$C$2,)</f>
        <v>Lắp xà cột Pi loại ≤140kg/xà</v>
      </c>
      <c r="G1942" s="1094" t="str">
        <f>VLOOKUP($B1942,DG!A:D,DG!$D$2,)</f>
        <v>bộ</v>
      </c>
      <c r="H1942" s="1873">
        <f>H1934</f>
        <v>0</v>
      </c>
      <c r="I1942" s="1262">
        <f t="shared" si="153"/>
        <v>0</v>
      </c>
      <c r="J1942" s="1111"/>
      <c r="K1942" s="1111"/>
      <c r="L1942" s="1085"/>
      <c r="M1942" s="977">
        <v>560</v>
      </c>
    </row>
    <row r="1943" spans="1:13" s="1086" customFormat="1" ht="25.15" hidden="1" customHeight="1">
      <c r="A1943" s="1156">
        <f t="shared" ref="A1943:A2006" si="154">IF(I1943&gt;0,1,0)</f>
        <v>0</v>
      </c>
      <c r="B1943" s="1327"/>
      <c r="C1943" s="1327"/>
      <c r="D1943" s="1087">
        <f>IF(H1943&gt;0,D1934+1,D1934)</f>
        <v>0</v>
      </c>
      <c r="E1943" s="1088"/>
      <c r="F1943" s="1133" t="s">
        <v>3766</v>
      </c>
      <c r="G1943" s="1087" t="s">
        <v>2394</v>
      </c>
      <c r="H1943" s="1889">
        <f>H1934*2</f>
        <v>0</v>
      </c>
      <c r="I1943" s="1262">
        <f t="shared" si="153"/>
        <v>0</v>
      </c>
      <c r="J1943" s="1134"/>
      <c r="K1943" s="1134"/>
      <c r="L1943" s="1085"/>
      <c r="M1943" s="977">
        <v>560</v>
      </c>
    </row>
    <row r="1944" spans="1:13" s="1086" customFormat="1" ht="25.15" hidden="1" customHeight="1">
      <c r="A1944" s="1156">
        <f>IF(A1943&gt;0,1,0)</f>
        <v>0</v>
      </c>
      <c r="B1944" s="1327"/>
      <c r="C1944" s="1327"/>
      <c r="D1944" s="1081"/>
      <c r="E1944" s="1094"/>
      <c r="F1944" s="1370" t="s">
        <v>2287</v>
      </c>
      <c r="G1944" s="1093"/>
      <c r="H1944" s="1873"/>
      <c r="I1944" s="1262">
        <f t="shared" si="153"/>
        <v>0</v>
      </c>
      <c r="J1944" s="1134"/>
      <c r="K1944" s="1134"/>
      <c r="L1944" s="1085"/>
      <c r="M1944" s="977">
        <v>560</v>
      </c>
    </row>
    <row r="1945" spans="1:13" s="1086" customFormat="1" ht="25.15" hidden="1" customHeight="1">
      <c r="A1945" s="1156">
        <f t="shared" si="154"/>
        <v>0</v>
      </c>
      <c r="B1945" s="1334" t="s">
        <v>2028</v>
      </c>
      <c r="C1945" s="1334"/>
      <c r="D1945" s="1081"/>
      <c r="E1945" s="1094">
        <f>VLOOKUP($B1945,DG!A:D,DG!$B$2,)</f>
        <v>0</v>
      </c>
      <c r="F1945" s="1083" t="str">
        <f>VLOOKUP($B1945,DG!A:D,DG!$C$2,)</f>
        <v>Sắt góc L75 x75 x8</v>
      </c>
      <c r="G1945" s="1094" t="str">
        <f>VLOOKUP($B1945,DG!A:D,DG!$D$2,)</f>
        <v>kg</v>
      </c>
      <c r="H1945" s="1873">
        <f>H1943*9.42*(2.6+3*0.07)*2</f>
        <v>0</v>
      </c>
      <c r="I1945" s="1262">
        <f t="shared" si="153"/>
        <v>0</v>
      </c>
      <c r="J1945" s="1111"/>
      <c r="K1945" s="1111"/>
      <c r="L1945" s="1085"/>
      <c r="M1945" s="977">
        <v>560</v>
      </c>
    </row>
    <row r="1946" spans="1:13" s="1086" customFormat="1" ht="25.15" hidden="1" customHeight="1">
      <c r="A1946" s="1156">
        <f t="shared" si="154"/>
        <v>0</v>
      </c>
      <c r="B1946" s="1327" t="s">
        <v>1790</v>
      </c>
      <c r="C1946" s="1327"/>
      <c r="D1946" s="1081"/>
      <c r="E1946" s="1094">
        <f>VLOOKUP($B1946,DG!A:D,DG!$B$2,)</f>
        <v>0</v>
      </c>
      <c r="F1946" s="1083" t="str">
        <f>VLOOKUP($B1946,DG!A:D,DG!$C$2,)</f>
        <v>Boulon 16x300VRS+ 4 long đền vuông D18-50x50x3/Zn</v>
      </c>
      <c r="G1946" s="1094" t="str">
        <f>VLOOKUP($B1946,DG!A:D,DG!$D$2,)</f>
        <v>bộ</v>
      </c>
      <c r="H1946" s="1873">
        <f>H1943*2</f>
        <v>0</v>
      </c>
      <c r="I1946" s="1262">
        <f t="shared" si="153"/>
        <v>0</v>
      </c>
      <c r="J1946" s="1111"/>
      <c r="K1946" s="1111"/>
      <c r="L1946" s="1085"/>
      <c r="M1946" s="977">
        <v>560</v>
      </c>
    </row>
    <row r="1947" spans="1:13" s="1086" customFormat="1" ht="25.15" hidden="1" customHeight="1">
      <c r="A1947" s="1156">
        <f t="shared" si="154"/>
        <v>0</v>
      </c>
      <c r="B1947" s="1327" t="s">
        <v>1615</v>
      </c>
      <c r="C1947" s="1327"/>
      <c r="D1947" s="1081"/>
      <c r="E1947" s="1094">
        <f>VLOOKUP($B1947,DG!A:D,DG!$B$2,)</f>
        <v>0</v>
      </c>
      <c r="F1947" s="1083" t="str">
        <f>VLOOKUP($B1947,DG!A:D,DG!$C$2,)</f>
        <v>Boulon 16x300+ 2 long đền vuông D18-50x50x3/Zn</v>
      </c>
      <c r="G1947" s="1094" t="str">
        <f>VLOOKUP($B1947,DG!A:D,DG!$D$2,)</f>
        <v>bộ</v>
      </c>
      <c r="H1947" s="1873">
        <f>H1943*2</f>
        <v>0</v>
      </c>
      <c r="I1947" s="1262">
        <f t="shared" si="153"/>
        <v>0</v>
      </c>
      <c r="J1947" s="1111"/>
      <c r="K1947" s="1111"/>
      <c r="L1947" s="1085"/>
      <c r="M1947" s="977">
        <v>560</v>
      </c>
    </row>
    <row r="1948" spans="1:13" s="1086" customFormat="1" ht="25.15" hidden="1" customHeight="1">
      <c r="A1948" s="1156">
        <f t="shared" si="154"/>
        <v>0</v>
      </c>
      <c r="B1948" s="1327" t="s">
        <v>1614</v>
      </c>
      <c r="C1948" s="1327"/>
      <c r="D1948" s="1081"/>
      <c r="E1948" s="1094">
        <f>VLOOKUP($B1948,DG!A:D,DG!$B$2,)</f>
        <v>0</v>
      </c>
      <c r="F1948" s="1083" t="str">
        <f>VLOOKUP($B1948,DG!A:D,DG!$C$2,)</f>
        <v>Boulon 16x250+ 2 long đền vuông D18-50x50x3/Zn</v>
      </c>
      <c r="G1948" s="1094" t="str">
        <f>VLOOKUP($B1948,DG!A:D,DG!$D$2,)</f>
        <v>bộ</v>
      </c>
      <c r="H1948" s="1873">
        <f>H1947</f>
        <v>0</v>
      </c>
      <c r="I1948" s="1262">
        <f t="shared" si="153"/>
        <v>0</v>
      </c>
      <c r="J1948" s="1111"/>
      <c r="K1948" s="1111"/>
      <c r="L1948" s="1085"/>
      <c r="M1948" s="977">
        <v>560</v>
      </c>
    </row>
    <row r="1949" spans="1:13" s="1086" customFormat="1" ht="25.15" hidden="1" customHeight="1">
      <c r="A1949" s="1156">
        <f t="shared" si="154"/>
        <v>0</v>
      </c>
      <c r="B1949" s="1327" t="s">
        <v>2250</v>
      </c>
      <c r="C1949" s="1327"/>
      <c r="D1949" s="1081"/>
      <c r="E1949" s="1094" t="str">
        <f>VLOOKUP($B1949,DG!A:D,DG!$B$2,)</f>
        <v>05.6044</v>
      </c>
      <c r="F1949" s="1083" t="str">
        <f>VLOOKUP($B1949,DG!A:D,DG!$C$2,)</f>
        <v>Lắp xà cột Pi loại ≤140kg/xà</v>
      </c>
      <c r="G1949" s="1094" t="str">
        <f>VLOOKUP($B1949,DG!A:D,DG!$D$2,)</f>
        <v>bộ</v>
      </c>
      <c r="H1949" s="1873">
        <f>H1943/2</f>
        <v>0</v>
      </c>
      <c r="I1949" s="1262">
        <f t="shared" si="153"/>
        <v>0</v>
      </c>
      <c r="J1949" s="1111"/>
      <c r="K1949" s="1111"/>
      <c r="L1949" s="1085"/>
      <c r="M1949" s="977">
        <v>560</v>
      </c>
    </row>
    <row r="1950" spans="1:13" s="1086" customFormat="1" ht="25.15" hidden="1" customHeight="1">
      <c r="A1950" s="1156">
        <f t="shared" si="154"/>
        <v>0</v>
      </c>
      <c r="B1950" s="1327"/>
      <c r="C1950" s="1327"/>
      <c r="D1950" s="1087">
        <f>IF(H1950&gt;0,D1943+1,D1943)</f>
        <v>0</v>
      </c>
      <c r="E1950" s="1088"/>
      <c r="F1950" s="1133" t="s">
        <v>3767</v>
      </c>
      <c r="G1950" s="1087" t="s">
        <v>2394</v>
      </c>
      <c r="H1950" s="1889">
        <f>H1901*1</f>
        <v>0</v>
      </c>
      <c r="I1950" s="1262">
        <f t="shared" si="153"/>
        <v>0</v>
      </c>
      <c r="J1950" s="1134"/>
      <c r="K1950" s="1134"/>
      <c r="L1950" s="1085"/>
      <c r="M1950" s="977">
        <v>560</v>
      </c>
    </row>
    <row r="1951" spans="1:13" s="1086" customFormat="1" ht="25.15" hidden="1" customHeight="1">
      <c r="A1951" s="1156">
        <f>IF(A1950&gt;0,1,0)</f>
        <v>0</v>
      </c>
      <c r="B1951" s="1327"/>
      <c r="C1951" s="1327"/>
      <c r="D1951" s="1081"/>
      <c r="E1951" s="1091"/>
      <c r="F1951" s="1370" t="s">
        <v>2287</v>
      </c>
      <c r="G1951" s="1093"/>
      <c r="H1951" s="1873"/>
      <c r="I1951" s="1262">
        <f t="shared" si="153"/>
        <v>0</v>
      </c>
      <c r="J1951" s="1134"/>
      <c r="K1951" s="1134"/>
      <c r="L1951" s="1085"/>
      <c r="M1951" s="977">
        <v>560</v>
      </c>
    </row>
    <row r="1952" spans="1:13" s="1086" customFormat="1" ht="25.15" hidden="1" customHeight="1">
      <c r="A1952" s="1156">
        <f t="shared" si="154"/>
        <v>0</v>
      </c>
      <c r="B1952" s="1334" t="s">
        <v>2028</v>
      </c>
      <c r="C1952" s="1334"/>
      <c r="D1952" s="1081"/>
      <c r="E1952" s="1094">
        <f>VLOOKUP($B1952,DG!A:D,DG!$B$2,)</f>
        <v>0</v>
      </c>
      <c r="F1952" s="1083" t="str">
        <f>VLOOKUP($B1952,DG!A:D,DG!$C$2,)</f>
        <v>Sắt góc L75 x75 x8</v>
      </c>
      <c r="G1952" s="1094" t="str">
        <f>VLOOKUP($B1952,DG!A:D,DG!$D$2,)</f>
        <v>kg</v>
      </c>
      <c r="H1952" s="1873">
        <f>H1950*9.42*(2.6+3*0.07)</f>
        <v>0</v>
      </c>
      <c r="I1952" s="1262">
        <f t="shared" si="153"/>
        <v>0</v>
      </c>
      <c r="J1952" s="1111"/>
      <c r="K1952" s="1111"/>
      <c r="L1952" s="1085"/>
      <c r="M1952" s="977">
        <v>560</v>
      </c>
    </row>
    <row r="1953" spans="1:13" s="1086" customFormat="1" ht="25.15" hidden="1" customHeight="1">
      <c r="A1953" s="1156">
        <f t="shared" si="154"/>
        <v>0</v>
      </c>
      <c r="B1953" s="1327" t="s">
        <v>1614</v>
      </c>
      <c r="C1953" s="1327"/>
      <c r="D1953" s="1081"/>
      <c r="E1953" s="1094">
        <f>VLOOKUP($B1953,DG!A:D,DG!$B$2,)</f>
        <v>0</v>
      </c>
      <c r="F1953" s="1083" t="str">
        <f>VLOOKUP($B1953,DG!A:D,DG!$C$2,)</f>
        <v>Boulon 16x250+ 2 long đền vuông D18-50x50x3/Zn</v>
      </c>
      <c r="G1953" s="1094" t="str">
        <f>VLOOKUP($B1953,DG!A:D,DG!$D$2,)</f>
        <v>bộ</v>
      </c>
      <c r="H1953" s="1873">
        <f>H1950</f>
        <v>0</v>
      </c>
      <c r="I1953" s="1262">
        <f t="shared" si="153"/>
        <v>0</v>
      </c>
      <c r="J1953" s="1111"/>
      <c r="K1953" s="1111"/>
      <c r="L1953" s="1085"/>
      <c r="M1953" s="977">
        <v>560</v>
      </c>
    </row>
    <row r="1954" spans="1:13" s="1086" customFormat="1" ht="25.15" hidden="1" customHeight="1">
      <c r="A1954" s="1156">
        <f t="shared" si="154"/>
        <v>0</v>
      </c>
      <c r="B1954" s="1327" t="s">
        <v>1615</v>
      </c>
      <c r="C1954" s="1327"/>
      <c r="D1954" s="1081"/>
      <c r="E1954" s="1094">
        <f>VLOOKUP($B1954,DG!A:D,DG!$B$2,)</f>
        <v>0</v>
      </c>
      <c r="F1954" s="1083" t="str">
        <f>VLOOKUP($B1954,DG!A:D,DG!$C$2,)</f>
        <v>Boulon 16x300+ 2 long đền vuông D18-50x50x3/Zn</v>
      </c>
      <c r="G1954" s="1094" t="str">
        <f>VLOOKUP($B1954,DG!A:D,DG!$D$2,)</f>
        <v>bộ</v>
      </c>
      <c r="H1954" s="1873">
        <f>H1950</f>
        <v>0</v>
      </c>
      <c r="I1954" s="1262">
        <f t="shared" si="153"/>
        <v>0</v>
      </c>
      <c r="J1954" s="1111"/>
      <c r="K1954" s="1111"/>
      <c r="L1954" s="1085"/>
      <c r="M1954" s="977">
        <v>560</v>
      </c>
    </row>
    <row r="1955" spans="1:13" s="1086" customFormat="1" ht="25.15" hidden="1" customHeight="1">
      <c r="A1955" s="1156">
        <f t="shared" si="154"/>
        <v>0</v>
      </c>
      <c r="B1955" s="1327" t="s">
        <v>30</v>
      </c>
      <c r="C1955" s="1327"/>
      <c r="D1955" s="1081"/>
      <c r="E1955" s="1094">
        <f>VLOOKUP($B1955,DG!A:D,DG!$B$2,)</f>
        <v>0</v>
      </c>
      <c r="F1955" s="1083" t="str">
        <f>VLOOKUP($B1955,DG!A:D,DG!$C$2,)</f>
        <v>Bass LI bắt FCO</v>
      </c>
      <c r="G1955" s="1094" t="str">
        <f>VLOOKUP($B1955,DG!A:D,DG!$D$2,)</f>
        <v>Bộ</v>
      </c>
      <c r="H1955" s="1873">
        <f>H1902*2</f>
        <v>0</v>
      </c>
      <c r="I1955" s="1262">
        <f t="shared" si="153"/>
        <v>0</v>
      </c>
      <c r="J1955" s="1111"/>
      <c r="K1955" s="1111"/>
      <c r="L1955" s="1085"/>
      <c r="M1955" s="977">
        <v>560</v>
      </c>
    </row>
    <row r="1956" spans="1:13" s="1086" customFormat="1" ht="25.15" hidden="1" customHeight="1">
      <c r="A1956" s="1156">
        <f t="shared" si="154"/>
        <v>0</v>
      </c>
      <c r="B1956" s="1327" t="s">
        <v>2250</v>
      </c>
      <c r="C1956" s="1327"/>
      <c r="D1956" s="1081"/>
      <c r="E1956" s="1094" t="str">
        <f>VLOOKUP($B1956,DG!A:D,DG!$B$2,)</f>
        <v>05.6044</v>
      </c>
      <c r="F1956" s="1083" t="str">
        <f>VLOOKUP($B1956,DG!A:D,DG!$C$2,)</f>
        <v>Lắp xà cột Pi loại ≤140kg/xà</v>
      </c>
      <c r="G1956" s="1094" t="str">
        <f>VLOOKUP($B1956,DG!A:D,DG!$D$2,)</f>
        <v>bộ</v>
      </c>
      <c r="H1956" s="1873">
        <f>H1901</f>
        <v>0</v>
      </c>
      <c r="I1956" s="1262">
        <f t="shared" si="153"/>
        <v>0</v>
      </c>
      <c r="J1956" s="1111"/>
      <c r="K1956" s="1111"/>
      <c r="L1956" s="1085"/>
      <c r="M1956" s="977">
        <v>560</v>
      </c>
    </row>
    <row r="1957" spans="1:13" s="1086" customFormat="1" ht="25.15" hidden="1" customHeight="1">
      <c r="A1957" s="1156">
        <f t="shared" si="154"/>
        <v>0</v>
      </c>
      <c r="B1957" s="1327"/>
      <c r="C1957" s="1327"/>
      <c r="D1957" s="1087">
        <f>IF(H1957&gt;0,D1950+1,D1950)</f>
        <v>0</v>
      </c>
      <c r="E1957" s="1088"/>
      <c r="F1957" s="1133" t="s">
        <v>3738</v>
      </c>
      <c r="G1957" s="1087" t="s">
        <v>2394</v>
      </c>
      <c r="H1957" s="1889">
        <f>H1901*2</f>
        <v>0</v>
      </c>
      <c r="I1957" s="1262">
        <f t="shared" si="153"/>
        <v>0</v>
      </c>
      <c r="J1957" s="1134"/>
      <c r="K1957" s="1134"/>
      <c r="L1957" s="1085"/>
      <c r="M1957" s="977">
        <v>560</v>
      </c>
    </row>
    <row r="1958" spans="1:13" s="1086" customFormat="1" ht="25.15" hidden="1" customHeight="1">
      <c r="A1958" s="1156">
        <f>IF(A1957&gt;0,1,0)</f>
        <v>0</v>
      </c>
      <c r="B1958" s="1327"/>
      <c r="C1958" s="1327"/>
      <c r="D1958" s="1081"/>
      <c r="E1958" s="1091"/>
      <c r="F1958" s="1370" t="s">
        <v>2287</v>
      </c>
      <c r="G1958" s="1093"/>
      <c r="H1958" s="1873"/>
      <c r="I1958" s="1262">
        <f t="shared" si="153"/>
        <v>0</v>
      </c>
      <c r="J1958" s="1134"/>
      <c r="K1958" s="1134"/>
      <c r="L1958" s="1085"/>
      <c r="M1958" s="977">
        <v>560</v>
      </c>
    </row>
    <row r="1959" spans="1:13" s="1086" customFormat="1" ht="25.15" hidden="1" customHeight="1">
      <c r="A1959" s="1156">
        <f t="shared" si="154"/>
        <v>0</v>
      </c>
      <c r="B1959" s="1327" t="s">
        <v>2028</v>
      </c>
      <c r="C1959" s="1327"/>
      <c r="D1959" s="1081"/>
      <c r="E1959" s="1094">
        <f>VLOOKUP($B1959,DG!A:D,DG!$B$2,)</f>
        <v>0</v>
      </c>
      <c r="F1959" s="1083" t="str">
        <f>VLOOKUP($B1959,DG!A:D,DG!$C$2,)</f>
        <v>Sắt góc L75 x75 x8</v>
      </c>
      <c r="G1959" s="1094" t="str">
        <f>VLOOKUP($B1959,DG!A:D,DG!$D$2,)</f>
        <v>kg</v>
      </c>
      <c r="H1959" s="1873">
        <f>H1957*9.42*2.6</f>
        <v>0</v>
      </c>
      <c r="I1959" s="1262">
        <f t="shared" si="153"/>
        <v>0</v>
      </c>
      <c r="J1959" s="1111"/>
      <c r="K1959" s="1111"/>
      <c r="L1959" s="1085"/>
      <c r="M1959" s="977">
        <v>560</v>
      </c>
    </row>
    <row r="1960" spans="1:13" s="1086" customFormat="1" ht="25.15" hidden="1" customHeight="1">
      <c r="A1960" s="1156">
        <f t="shared" si="154"/>
        <v>0</v>
      </c>
      <c r="B1960" s="1327" t="s">
        <v>1085</v>
      </c>
      <c r="C1960" s="1327"/>
      <c r="D1960" s="1081"/>
      <c r="E1960" s="1094">
        <f>VLOOKUP($B1960,DG!A:D,DG!$B$2,)</f>
        <v>0</v>
      </c>
      <c r="F1960" s="1083" t="str">
        <f>VLOOKUP($B1960,DG!A:D,DG!$C$2,)</f>
        <v>Boulon 16x400+ 2 long đền vuông D18-50x50x3/Zn</v>
      </c>
      <c r="G1960" s="1094" t="str">
        <f>VLOOKUP($B1960,DG!A:D,DG!$D$2,)</f>
        <v>bộ</v>
      </c>
      <c r="H1960" s="1873">
        <f>H1957*2</f>
        <v>0</v>
      </c>
      <c r="I1960" s="1262">
        <f t="shared" si="153"/>
        <v>0</v>
      </c>
      <c r="J1960" s="1111"/>
      <c r="K1960" s="1111"/>
      <c r="L1960" s="1085"/>
      <c r="M1960" s="977">
        <v>560</v>
      </c>
    </row>
    <row r="1961" spans="1:13" s="1086" customFormat="1" ht="25.15" hidden="1" customHeight="1">
      <c r="A1961" s="1156">
        <f t="shared" si="154"/>
        <v>0</v>
      </c>
      <c r="B1961" s="1327" t="s">
        <v>138</v>
      </c>
      <c r="C1961" s="1327"/>
      <c r="D1961" s="1081"/>
      <c r="E1961" s="1094">
        <f>VLOOKUP($B1961,DG!A:D,DG!$B$2,)</f>
        <v>0</v>
      </c>
      <c r="F1961" s="1083" t="str">
        <f>VLOOKUP($B1961,DG!A:D,DG!$C$2,)</f>
        <v>Boulon 12x40+ 2 long đền vuông D14-50x50x3/Zn</v>
      </c>
      <c r="G1961" s="1094" t="str">
        <f>VLOOKUP($B1961,DG!A:D,DG!$D$2,)</f>
        <v>bộ</v>
      </c>
      <c r="H1961" s="1873">
        <f>H1957*2</f>
        <v>0</v>
      </c>
      <c r="I1961" s="1262">
        <f t="shared" si="153"/>
        <v>0</v>
      </c>
      <c r="J1961" s="1111"/>
      <c r="K1961" s="1111"/>
      <c r="L1961" s="1085"/>
      <c r="M1961" s="977">
        <v>560</v>
      </c>
    </row>
    <row r="1962" spans="1:13" s="1086" customFormat="1" ht="25.15" hidden="1" customHeight="1">
      <c r="A1962" s="1156">
        <f t="shared" si="154"/>
        <v>0</v>
      </c>
      <c r="B1962" s="1327" t="s">
        <v>2250</v>
      </c>
      <c r="C1962" s="1327"/>
      <c r="D1962" s="1081"/>
      <c r="E1962" s="1094" t="str">
        <f>VLOOKUP($B1962,DG!A:D,DG!$B$2,)</f>
        <v>05.6044</v>
      </c>
      <c r="F1962" s="1083" t="str">
        <f>VLOOKUP($B1962,DG!A:D,DG!$C$2,)</f>
        <v>Lắp xà cột Pi loại ≤140kg/xà</v>
      </c>
      <c r="G1962" s="1094" t="str">
        <f>VLOOKUP($B1962,DG!A:D,DG!$D$2,)</f>
        <v>bộ</v>
      </c>
      <c r="H1962" s="1873">
        <f>H1957/2</f>
        <v>0</v>
      </c>
      <c r="I1962" s="1262">
        <f t="shared" si="153"/>
        <v>0</v>
      </c>
      <c r="J1962" s="1111"/>
      <c r="K1962" s="1111"/>
      <c r="L1962" s="1085"/>
      <c r="M1962" s="977">
        <v>560</v>
      </c>
    </row>
    <row r="1963" spans="1:13" s="1086" customFormat="1" ht="25.15" hidden="1" customHeight="1">
      <c r="A1963" s="1156">
        <f t="shared" si="154"/>
        <v>0</v>
      </c>
      <c r="B1963" s="1327" t="s">
        <v>217</v>
      </c>
      <c r="C1963" s="1327"/>
      <c r="D1963" s="1081"/>
      <c r="E1963" s="1094" t="str">
        <f>VLOOKUP($B1963,DG!A:D,DG!$B$2,)</f>
        <v>02.1115</v>
      </c>
      <c r="F1963" s="1083" t="str">
        <f>VLOOKUP($B1963,DG!A:D,DG!$C$2,)</f>
        <v>Bốc dỡ xà, thép thanh</v>
      </c>
      <c r="G1963" s="1094" t="str">
        <f>VLOOKUP($B1963,DG!A:D,DG!$D$2,)</f>
        <v>tấn</v>
      </c>
      <c r="H1963" s="1873">
        <f>0.05*0</f>
        <v>0</v>
      </c>
      <c r="I1963" s="1262">
        <f t="shared" si="153"/>
        <v>0</v>
      </c>
      <c r="J1963" s="1111"/>
      <c r="K1963" s="1111"/>
      <c r="L1963" s="1085"/>
      <c r="M1963" s="977">
        <v>560</v>
      </c>
    </row>
    <row r="1964" spans="1:13" s="1086" customFormat="1" ht="25.15" hidden="1" customHeight="1">
      <c r="A1964" s="1156">
        <f t="shared" si="154"/>
        <v>0</v>
      </c>
      <c r="B1964" s="1327" t="s">
        <v>1615</v>
      </c>
      <c r="C1964" s="1327"/>
      <c r="D1964" s="1081"/>
      <c r="E1964" s="1094">
        <f>VLOOKUP($B1964,DG!A:D,DG!$B$2,)</f>
        <v>0</v>
      </c>
      <c r="F1964" s="1083" t="str">
        <f>VLOOKUP($B1964,DG!A:D,DG!$C$2,)</f>
        <v>Boulon 16x300+ 2 long đền vuông D18-50x50x3/Zn</v>
      </c>
      <c r="G1964" s="1082" t="s">
        <v>2448</v>
      </c>
      <c r="H1964" s="1873">
        <f>H1957*2*0</f>
        <v>0</v>
      </c>
      <c r="I1964" s="1262">
        <f t="shared" si="153"/>
        <v>0</v>
      </c>
      <c r="J1964" s="1111"/>
      <c r="K1964" s="1111"/>
      <c r="L1964" s="1085"/>
      <c r="M1964" s="977">
        <v>560</v>
      </c>
    </row>
    <row r="1965" spans="1:13" s="1086" customFormat="1" ht="25.15" hidden="1" customHeight="1">
      <c r="A1965" s="1156">
        <f t="shared" si="154"/>
        <v>0</v>
      </c>
      <c r="B1965" s="1327" t="s">
        <v>1614</v>
      </c>
      <c r="C1965" s="1327"/>
      <c r="D1965" s="1081"/>
      <c r="E1965" s="1094">
        <f>VLOOKUP($B1965,DG!A:D,DG!$B$2,)</f>
        <v>0</v>
      </c>
      <c r="F1965" s="1083" t="str">
        <f>VLOOKUP($B1965,DG!A:D,DG!$C$2,)</f>
        <v>Boulon 16x250+ 2 long đền vuông D18-50x50x3/Zn</v>
      </c>
      <c r="G1965" s="1082" t="s">
        <v>2448</v>
      </c>
      <c r="H1965" s="1873">
        <f>2*H1957*2*0</f>
        <v>0</v>
      </c>
      <c r="I1965" s="1262">
        <f t="shared" si="153"/>
        <v>0</v>
      </c>
      <c r="J1965" s="1111"/>
      <c r="K1965" s="1111"/>
      <c r="L1965" s="1085"/>
      <c r="M1965" s="977">
        <v>560</v>
      </c>
    </row>
    <row r="1966" spans="1:13" s="1086" customFormat="1" ht="25.15" hidden="1" customHeight="1" collapsed="1">
      <c r="A1966" s="1156">
        <f t="shared" si="154"/>
        <v>0</v>
      </c>
      <c r="B1966" s="1327"/>
      <c r="C1966" s="1327"/>
      <c r="D1966" s="1087">
        <f>IF(H1966&gt;0,D1957+1,D1957)</f>
        <v>0</v>
      </c>
      <c r="E1966" s="1088"/>
      <c r="F1966" s="1133" t="s">
        <v>3768</v>
      </c>
      <c r="G1966" s="1087" t="s">
        <v>2394</v>
      </c>
      <c r="H1966" s="1889">
        <f>H1901*2*0</f>
        <v>0</v>
      </c>
      <c r="I1966" s="1262">
        <f t="shared" si="153"/>
        <v>0</v>
      </c>
      <c r="J1966" s="1084"/>
      <c r="K1966" s="1084"/>
      <c r="L1966" s="1113"/>
      <c r="M1966" s="977">
        <v>560</v>
      </c>
    </row>
    <row r="1967" spans="1:13" s="1086" customFormat="1" ht="25.15" hidden="1" customHeight="1">
      <c r="A1967" s="1156">
        <f>IF(A1966&gt;0,1,0)</f>
        <v>0</v>
      </c>
      <c r="B1967" s="1327"/>
      <c r="C1967" s="1327"/>
      <c r="D1967" s="1081"/>
      <c r="E1967" s="1091"/>
      <c r="F1967" s="1370" t="s">
        <v>2287</v>
      </c>
      <c r="G1967" s="1093"/>
      <c r="H1967" s="1873"/>
      <c r="I1967" s="1262">
        <f t="shared" si="153"/>
        <v>0</v>
      </c>
      <c r="J1967" s="1084"/>
      <c r="K1967" s="1084"/>
      <c r="L1967" s="1113"/>
      <c r="M1967" s="977">
        <v>560</v>
      </c>
    </row>
    <row r="1968" spans="1:13" s="1086" customFormat="1" ht="25.15" hidden="1" customHeight="1">
      <c r="A1968" s="1156">
        <f t="shared" si="154"/>
        <v>0</v>
      </c>
      <c r="B1968" s="1327" t="s">
        <v>2028</v>
      </c>
      <c r="C1968" s="1327"/>
      <c r="D1968" s="1081"/>
      <c r="E1968" s="1094">
        <f>VLOOKUP($B1968,DG!A:D,DG!$B$2,)</f>
        <v>0</v>
      </c>
      <c r="F1968" s="1083" t="str">
        <f>VLOOKUP($B1968,DG!A:D,DG!$C$2,)</f>
        <v>Sắt góc L75 x75 x8</v>
      </c>
      <c r="G1968" s="1082" t="s">
        <v>2256</v>
      </c>
      <c r="H1968" s="1873">
        <f>H1966*9.02*(2.2+4*0.07)*2</f>
        <v>0</v>
      </c>
      <c r="I1968" s="1262">
        <f t="shared" si="153"/>
        <v>0</v>
      </c>
      <c r="J1968" s="1084"/>
      <c r="K1968" s="1084"/>
      <c r="L1968" s="1113"/>
      <c r="M1968" s="977">
        <v>560</v>
      </c>
    </row>
    <row r="1969" spans="1:13" s="1086" customFormat="1" ht="25.15" hidden="1" customHeight="1">
      <c r="A1969" s="1156">
        <f t="shared" si="154"/>
        <v>0</v>
      </c>
      <c r="B1969" s="1327" t="s">
        <v>1037</v>
      </c>
      <c r="C1969" s="1327"/>
      <c r="D1969" s="1081"/>
      <c r="E1969" s="1094">
        <f>VLOOKUP($B1969,DG!A:D,DG!$B$2,)</f>
        <v>0</v>
      </c>
      <c r="F1969" s="1083" t="str">
        <f>VLOOKUP($B1969,DG!A:D,DG!$C$2,)&amp;" (Thanh choáng 810)"</f>
        <v>Sắt góc L50 x50 x5 (Thanh choáng 810)</v>
      </c>
      <c r="G1969" s="1082" t="s">
        <v>2256</v>
      </c>
      <c r="H1969" s="1873">
        <f>H1966*3.77*0.81*4</f>
        <v>0</v>
      </c>
      <c r="I1969" s="1262">
        <f t="shared" si="153"/>
        <v>0</v>
      </c>
      <c r="J1969" s="1084"/>
      <c r="K1969" s="1084"/>
      <c r="L1969" s="1113"/>
      <c r="M1969" s="977">
        <v>560</v>
      </c>
    </row>
    <row r="1970" spans="1:13" s="1086" customFormat="1" ht="25.15" hidden="1" customHeight="1">
      <c r="A1970" s="1156">
        <f t="shared" si="154"/>
        <v>0</v>
      </c>
      <c r="B1970" s="1327" t="s">
        <v>1615</v>
      </c>
      <c r="C1970" s="1327"/>
      <c r="D1970" s="1081"/>
      <c r="E1970" s="1094">
        <f>VLOOKUP($B1970,DG!A:D,DG!$B$2,)</f>
        <v>0</v>
      </c>
      <c r="F1970" s="1083" t="str">
        <f>VLOOKUP($B1970,DG!A:D,DG!$C$2,)</f>
        <v>Boulon 16x300+ 2 long đền vuông D18-50x50x3/Zn</v>
      </c>
      <c r="G1970" s="1082" t="s">
        <v>2448</v>
      </c>
      <c r="H1970" s="1873">
        <f>H1966*2</f>
        <v>0</v>
      </c>
      <c r="I1970" s="1262">
        <f t="shared" si="153"/>
        <v>0</v>
      </c>
      <c r="J1970" s="1084"/>
      <c r="K1970" s="1084"/>
      <c r="L1970" s="1113"/>
      <c r="M1970" s="977">
        <v>560</v>
      </c>
    </row>
    <row r="1971" spans="1:13" s="1086" customFormat="1" ht="25.15" hidden="1" customHeight="1">
      <c r="A1971" s="1156">
        <f t="shared" si="154"/>
        <v>0</v>
      </c>
      <c r="B1971" s="1327" t="s">
        <v>1792</v>
      </c>
      <c r="C1971" s="1327"/>
      <c r="D1971" s="1081"/>
      <c r="E1971" s="1094">
        <f>VLOOKUP($B1971,DG!A:D,DG!$B$2,)</f>
        <v>0</v>
      </c>
      <c r="F1971" s="1083" t="str">
        <f>VLOOKUP($B1971,DG!A:D,DG!$C$2,)</f>
        <v>Boulon 16x50+ 2 long đền vuông D18-50x50x3/Zn</v>
      </c>
      <c r="G1971" s="1082" t="s">
        <v>2448</v>
      </c>
      <c r="H1971" s="1873">
        <f>H1966*4</f>
        <v>0</v>
      </c>
      <c r="I1971" s="1262">
        <f t="shared" ref="I1971:I2034" si="155">IF(M1971=$M$23,H1971+J1971-K1971,0)</f>
        <v>0</v>
      </c>
      <c r="J1971" s="1084"/>
      <c r="K1971" s="1084"/>
      <c r="L1971" s="1113"/>
      <c r="M1971" s="977">
        <v>560</v>
      </c>
    </row>
    <row r="1972" spans="1:13" s="1086" customFormat="1" ht="25.15" hidden="1" customHeight="1">
      <c r="A1972" s="1156">
        <f t="shared" si="154"/>
        <v>0</v>
      </c>
      <c r="B1972" s="1327" t="s">
        <v>1790</v>
      </c>
      <c r="C1972" s="1327"/>
      <c r="D1972" s="1081"/>
      <c r="E1972" s="1094">
        <f>VLOOKUP($B1972,DG!A:D,DG!$B$2,)</f>
        <v>0</v>
      </c>
      <c r="F1972" s="1083" t="str">
        <f>VLOOKUP($B1972,DG!A:D,DG!$C$2,)</f>
        <v>Boulon 16x300VRS+ 4 long đền vuông D18-50x50x3/Zn</v>
      </c>
      <c r="G1972" s="1082" t="s">
        <v>2448</v>
      </c>
      <c r="H1972" s="1873">
        <f>H1966*4</f>
        <v>0</v>
      </c>
      <c r="I1972" s="1262">
        <f t="shared" si="155"/>
        <v>0</v>
      </c>
      <c r="J1972" s="1084"/>
      <c r="K1972" s="1084"/>
      <c r="L1972" s="1113"/>
      <c r="M1972" s="977">
        <v>560</v>
      </c>
    </row>
    <row r="1973" spans="1:13" s="1086" customFormat="1" ht="25.15" hidden="1" customHeight="1">
      <c r="A1973" s="1156">
        <f t="shared" si="154"/>
        <v>0</v>
      </c>
      <c r="B1973" s="1327" t="s">
        <v>517</v>
      </c>
      <c r="C1973" s="1327"/>
      <c r="D1973" s="1081"/>
      <c r="E1973" s="1094" t="str">
        <f>VLOOKUP($B1973,DG!A:D,DG!$B$2,)</f>
        <v>05.6203</v>
      </c>
      <c r="F1973" s="1083" t="str">
        <f>VLOOKUP($B1973,DG!A:D,DG!$C$2,)</f>
        <v>Lắp xà néo ≤ 100kg</v>
      </c>
      <c r="G1973" s="1082" t="s">
        <v>2448</v>
      </c>
      <c r="H1973" s="1873">
        <f>H1966</f>
        <v>0</v>
      </c>
      <c r="I1973" s="1262">
        <f t="shared" si="155"/>
        <v>0</v>
      </c>
      <c r="J1973" s="1084"/>
      <c r="K1973" s="1084"/>
      <c r="L1973" s="1113"/>
      <c r="M1973" s="977">
        <v>560</v>
      </c>
    </row>
    <row r="1974" spans="1:13" s="1086" customFormat="1" ht="25.15" hidden="1" customHeight="1">
      <c r="A1974" s="1156">
        <f t="shared" si="154"/>
        <v>0</v>
      </c>
      <c r="B1974" s="1327"/>
      <c r="C1974" s="1327"/>
      <c r="D1974" s="1087">
        <f>IF(H1974&gt;0,D1966+1,D1966)</f>
        <v>0</v>
      </c>
      <c r="E1974" s="1088"/>
      <c r="F1974" s="1133" t="s">
        <v>3740</v>
      </c>
      <c r="G1974" s="1087" t="s">
        <v>2394</v>
      </c>
      <c r="H1974" s="1889">
        <f>H1901*1*0</f>
        <v>0</v>
      </c>
      <c r="I1974" s="1262">
        <f t="shared" si="155"/>
        <v>0</v>
      </c>
      <c r="J1974" s="1084"/>
      <c r="K1974" s="1084"/>
      <c r="L1974" s="1113"/>
      <c r="M1974" s="977">
        <v>560</v>
      </c>
    </row>
    <row r="1975" spans="1:13" s="1086" customFormat="1" ht="25.15" hidden="1" customHeight="1">
      <c r="A1975" s="1156">
        <f>IF(A1974&gt;0,1,0)</f>
        <v>0</v>
      </c>
      <c r="B1975" s="1327"/>
      <c r="C1975" s="1327"/>
      <c r="D1975" s="1081"/>
      <c r="E1975" s="1091"/>
      <c r="F1975" s="1370" t="s">
        <v>2287</v>
      </c>
      <c r="G1975" s="1093"/>
      <c r="H1975" s="1873"/>
      <c r="I1975" s="1262">
        <f t="shared" si="155"/>
        <v>0</v>
      </c>
      <c r="J1975" s="1084"/>
      <c r="K1975" s="1084"/>
      <c r="L1975" s="1113"/>
      <c r="M1975" s="977">
        <v>560</v>
      </c>
    </row>
    <row r="1976" spans="1:13" s="1086" customFormat="1" ht="25.15" hidden="1" customHeight="1">
      <c r="A1976" s="1156">
        <f t="shared" si="154"/>
        <v>0</v>
      </c>
      <c r="B1976" s="1327" t="s">
        <v>2028</v>
      </c>
      <c r="C1976" s="1327"/>
      <c r="D1976" s="1081"/>
      <c r="E1976" s="1094">
        <f>VLOOKUP($B1976,DG!A:D,DG!$B$2,)</f>
        <v>0</v>
      </c>
      <c r="F1976" s="1083" t="str">
        <f>VLOOKUP($B1976,DG!A:D,DG!$C$2,)</f>
        <v>Sắt góc L75 x75 x8</v>
      </c>
      <c r="G1976" s="1082" t="s">
        <v>2256</v>
      </c>
      <c r="H1976" s="1873">
        <f>H1974*9.02*(2.4+4*0.07)</f>
        <v>0</v>
      </c>
      <c r="I1976" s="1262">
        <f t="shared" si="155"/>
        <v>0</v>
      </c>
      <c r="J1976" s="1084"/>
      <c r="K1976" s="1084"/>
      <c r="L1976" s="1113"/>
      <c r="M1976" s="977">
        <v>560</v>
      </c>
    </row>
    <row r="1977" spans="1:13" s="1086" customFormat="1" ht="25.15" hidden="1" customHeight="1">
      <c r="A1977" s="1156">
        <f t="shared" si="154"/>
        <v>0</v>
      </c>
      <c r="B1977" s="1327" t="s">
        <v>1037</v>
      </c>
      <c r="C1977" s="1327"/>
      <c r="D1977" s="1081"/>
      <c r="E1977" s="1094">
        <f>VLOOKUP($B1977,DG!A:D,DG!$B$2,)</f>
        <v>0</v>
      </c>
      <c r="F1977" s="1083" t="str">
        <f>VLOOKUP($B1977,DG!A:D,DG!$C$2,)&amp;" (Thanh choáng 810)"</f>
        <v>Sắt góc L50 x50 x5 (Thanh choáng 810)</v>
      </c>
      <c r="G1977" s="1082" t="s">
        <v>2256</v>
      </c>
      <c r="H1977" s="1873">
        <f>H1974*3.77*0.81*2</f>
        <v>0</v>
      </c>
      <c r="I1977" s="1262">
        <f t="shared" si="155"/>
        <v>0</v>
      </c>
      <c r="J1977" s="1084"/>
      <c r="K1977" s="1084"/>
      <c r="L1977" s="1113"/>
      <c r="M1977" s="977">
        <v>560</v>
      </c>
    </row>
    <row r="1978" spans="1:13" s="1086" customFormat="1" ht="25.15" hidden="1" customHeight="1">
      <c r="A1978" s="1156">
        <f t="shared" si="154"/>
        <v>0</v>
      </c>
      <c r="B1978" s="1327" t="s">
        <v>1081</v>
      </c>
      <c r="C1978" s="1327"/>
      <c r="D1978" s="1081"/>
      <c r="E1978" s="1094">
        <f>VLOOKUP($B1978,DG!A:D,DG!$B$2,)</f>
        <v>0</v>
      </c>
      <c r="F1978" s="1083" t="str">
        <f>VLOOKUP($B1978,DG!A:D,DG!$C$2,)</f>
        <v>Boulon 16x350+ 2 long đền vuông D18-50x50x3/Zn</v>
      </c>
      <c r="G1978" s="1082" t="s">
        <v>2448</v>
      </c>
      <c r="H1978" s="1873">
        <f>H1974*2</f>
        <v>0</v>
      </c>
      <c r="I1978" s="1262">
        <f t="shared" si="155"/>
        <v>0</v>
      </c>
      <c r="J1978" s="1084"/>
      <c r="K1978" s="1084"/>
      <c r="L1978" s="1113"/>
      <c r="M1978" s="977">
        <v>560</v>
      </c>
    </row>
    <row r="1979" spans="1:13" s="1086" customFormat="1" ht="25.15" hidden="1" customHeight="1">
      <c r="A1979" s="1156">
        <f t="shared" si="154"/>
        <v>0</v>
      </c>
      <c r="B1979" s="1327" t="s">
        <v>1792</v>
      </c>
      <c r="C1979" s="1327"/>
      <c r="D1979" s="1081"/>
      <c r="E1979" s="1094">
        <f>VLOOKUP($B1979,DG!A:D,DG!$B$2,)</f>
        <v>0</v>
      </c>
      <c r="F1979" s="1083" t="str">
        <f>VLOOKUP($B1979,DG!A:D,DG!$C$2,)</f>
        <v>Boulon 16x50+ 2 long đền vuông D18-50x50x3/Zn</v>
      </c>
      <c r="G1979" s="1082" t="s">
        <v>2448</v>
      </c>
      <c r="H1979" s="1873">
        <f>H1974*2</f>
        <v>0</v>
      </c>
      <c r="I1979" s="1262">
        <f t="shared" si="155"/>
        <v>0</v>
      </c>
      <c r="J1979" s="1084"/>
      <c r="K1979" s="1084"/>
      <c r="L1979" s="1113"/>
      <c r="M1979" s="977">
        <v>560</v>
      </c>
    </row>
    <row r="1980" spans="1:13" s="1086" customFormat="1" ht="25.15" hidden="1" customHeight="1">
      <c r="A1980" s="1156">
        <f t="shared" si="154"/>
        <v>0</v>
      </c>
      <c r="B1980" s="1327" t="s">
        <v>1741</v>
      </c>
      <c r="C1980" s="1327"/>
      <c r="D1980" s="1081"/>
      <c r="E1980" s="1094">
        <f>VLOOKUP($B1980,DG!A:D,DG!$B$2,)</f>
        <v>0</v>
      </c>
      <c r="F1980" s="1083" t="str">
        <f>VLOOKUP($B1980,DG!A:D,DG!$C$2,)</f>
        <v>Bass LI bắt FCO</v>
      </c>
      <c r="G1980" s="1082" t="s">
        <v>2448</v>
      </c>
      <c r="H1980" s="1873">
        <f>IF(H1974&gt;0,3,)</f>
        <v>0</v>
      </c>
      <c r="I1980" s="1262">
        <f t="shared" si="155"/>
        <v>0</v>
      </c>
      <c r="J1980" s="1084"/>
      <c r="K1980" s="1084"/>
      <c r="L1980" s="1113"/>
      <c r="M1980" s="977">
        <v>560</v>
      </c>
    </row>
    <row r="1981" spans="1:13" s="1086" customFormat="1" ht="25.15" hidden="1" customHeight="1">
      <c r="A1981" s="1156">
        <f t="shared" si="154"/>
        <v>0</v>
      </c>
      <c r="B1981" s="1327" t="s">
        <v>990</v>
      </c>
      <c r="C1981" s="1327"/>
      <c r="D1981" s="1081"/>
      <c r="E1981" s="1094" t="str">
        <f>VLOOKUP($B1981,DG!A:D,DG!$B$2,)</f>
        <v>06.3231</v>
      </c>
      <c r="F1981" s="1083" t="str">
        <f>VLOOKUP($B1981,DG!A:D,DG!$C$2,)</f>
        <v xml:space="preserve">Cổ dê chống lắc 8x80x800 </v>
      </c>
      <c r="G1981" s="1082" t="s">
        <v>2448</v>
      </c>
      <c r="H1981" s="1873">
        <f>H1974*0</f>
        <v>0</v>
      </c>
      <c r="I1981" s="1262">
        <f t="shared" si="155"/>
        <v>0</v>
      </c>
      <c r="J1981" s="1084"/>
      <c r="K1981" s="1084"/>
      <c r="L1981" s="1113"/>
      <c r="M1981" s="977">
        <v>560</v>
      </c>
    </row>
    <row r="1982" spans="1:13" s="1086" customFormat="1" ht="25.15" hidden="1" customHeight="1">
      <c r="A1982" s="1156">
        <f t="shared" si="154"/>
        <v>0</v>
      </c>
      <c r="B1982" s="1327" t="s">
        <v>1445</v>
      </c>
      <c r="C1982" s="1327"/>
      <c r="D1982" s="1081"/>
      <c r="E1982" s="1094" t="str">
        <f>VLOOKUP($B1982,DG!A:D,DG!$B$2,)</f>
        <v>05.6102</v>
      </c>
      <c r="F1982" s="1083" t="str">
        <f>VLOOKUP($B1982,DG!A:D,DG!$C$2,)</f>
        <v>Lắp xà đỡ ≤ 50kg</v>
      </c>
      <c r="G1982" s="1082" t="s">
        <v>2448</v>
      </c>
      <c r="H1982" s="1873">
        <f>H1974</f>
        <v>0</v>
      </c>
      <c r="I1982" s="1262">
        <f t="shared" si="155"/>
        <v>0</v>
      </c>
      <c r="J1982" s="1084"/>
      <c r="K1982" s="1084"/>
      <c r="L1982" s="1113"/>
      <c r="M1982" s="977">
        <v>560</v>
      </c>
    </row>
    <row r="1983" spans="1:13" s="1086" customFormat="1" ht="25.15" hidden="1" customHeight="1">
      <c r="A1983" s="1156">
        <f t="shared" si="154"/>
        <v>0</v>
      </c>
      <c r="B1983" s="1327"/>
      <c r="C1983" s="1327"/>
      <c r="D1983" s="1087">
        <f>IF(H1983&gt;0,D1974+1,D1974)</f>
        <v>0</v>
      </c>
      <c r="E1983" s="1088"/>
      <c r="F1983" s="1133" t="s">
        <v>3741</v>
      </c>
      <c r="G1983" s="1087" t="s">
        <v>2394</v>
      </c>
      <c r="H1983" s="1889">
        <f>H1901</f>
        <v>0</v>
      </c>
      <c r="I1983" s="1262">
        <f t="shared" si="155"/>
        <v>0</v>
      </c>
      <c r="J1983" s="1084"/>
      <c r="K1983" s="1084"/>
      <c r="L1983" s="1113"/>
      <c r="M1983" s="977">
        <v>560</v>
      </c>
    </row>
    <row r="1984" spans="1:13" s="1086" customFormat="1" ht="25.15" hidden="1" customHeight="1">
      <c r="A1984" s="1156">
        <f>IF(A1983&gt;0,1,0)</f>
        <v>0</v>
      </c>
      <c r="B1984" s="1358"/>
      <c r="C1984" s="1358"/>
      <c r="D1984" s="1081"/>
      <c r="E1984" s="1091"/>
      <c r="F1984" s="1370" t="s">
        <v>2287</v>
      </c>
      <c r="G1984" s="1093"/>
      <c r="H1984" s="1873"/>
      <c r="I1984" s="1262">
        <f t="shared" si="155"/>
        <v>0</v>
      </c>
      <c r="J1984" s="1084"/>
      <c r="K1984" s="1084"/>
      <c r="L1984" s="1113"/>
      <c r="M1984" s="977">
        <v>560</v>
      </c>
    </row>
    <row r="1985" spans="1:13" s="1086" customFormat="1" ht="25.15" hidden="1" customHeight="1">
      <c r="A1985" s="1156">
        <f t="shared" si="154"/>
        <v>0</v>
      </c>
      <c r="B1985" s="1327" t="s">
        <v>1035</v>
      </c>
      <c r="C1985" s="1327"/>
      <c r="D1985" s="1081"/>
      <c r="E1985" s="1082">
        <f>VLOOKUP($B1985,DG!A:D,DG!$B$2,)</f>
        <v>0</v>
      </c>
      <c r="F1985" s="1083" t="str">
        <f>VLOOKUP($B1985,DG!A:D,DG!$C$2,)</f>
        <v>Cáp đồng trần M25mm2</v>
      </c>
      <c r="G1985" s="1094" t="str">
        <f>VLOOKUP($B1985,DG!A:D,DG!$D$2,)</f>
        <v>kg</v>
      </c>
      <c r="H1985" s="1873">
        <f>I3*0.224*H1983</f>
        <v>0</v>
      </c>
      <c r="I1985" s="1262">
        <f t="shared" si="155"/>
        <v>0</v>
      </c>
      <c r="J1985" s="1084"/>
      <c r="K1985" s="1084"/>
      <c r="L1985" s="1113"/>
      <c r="M1985" s="977">
        <v>560</v>
      </c>
    </row>
    <row r="1986" spans="1:13" s="1086" customFormat="1" ht="25.15" hidden="1" customHeight="1">
      <c r="A1986" s="1156">
        <f t="shared" si="154"/>
        <v>0</v>
      </c>
      <c r="B1986" s="1327" t="s">
        <v>1035</v>
      </c>
      <c r="C1986" s="1327"/>
      <c r="D1986" s="1081"/>
      <c r="E1986" s="1082">
        <f>VLOOKUP($B1986,DG!A:D,DG!$B$2,)</f>
        <v>0</v>
      </c>
      <c r="F1986" s="1083" t="str">
        <f>VLOOKUP($B1986,DG!A:D,DG!$C$2,)&amp;": 17m noái leân voû caùc thieát bò"</f>
        <v>Cáp đồng trần M25mm2: 17m noái leân voû caùc thieát bò</v>
      </c>
      <c r="G1986" s="1082" t="str">
        <f>VLOOKUP($B1986,DG!A:D,DG!$D$2,)</f>
        <v>kg</v>
      </c>
      <c r="H1986" s="1873">
        <f>17*0.224*H1983*0</f>
        <v>0</v>
      </c>
      <c r="I1986" s="1262">
        <f t="shared" si="155"/>
        <v>0</v>
      </c>
      <c r="J1986" s="1084"/>
      <c r="K1986" s="1084"/>
      <c r="L1986" s="1113"/>
      <c r="M1986" s="977">
        <v>560</v>
      </c>
    </row>
    <row r="1987" spans="1:13" s="1086" customFormat="1" ht="25.15" hidden="1" customHeight="1">
      <c r="A1987" s="1156">
        <f t="shared" si="154"/>
        <v>0</v>
      </c>
      <c r="B1987" s="1157" t="s">
        <v>1513</v>
      </c>
      <c r="C1987" s="1157"/>
      <c r="D1987" s="1081"/>
      <c r="E1987" s="1082">
        <f>VLOOKUP($B1987,DG!A:D,DG!$B$2,)</f>
        <v>0</v>
      </c>
      <c r="F1987" s="1083" t="str">
        <f>VLOOKUP($B1987,DG!A:D,DG!$C$2,)</f>
        <v>Cọc tiếp đất Þ 16- 2,4m + kẹp cọc mạ đồng</v>
      </c>
      <c r="G1987" s="1094" t="str">
        <f>VLOOKUP($B1987,DG!A:D,DG!$D$2,)</f>
        <v>bộ</v>
      </c>
      <c r="H1987" s="1873">
        <f>I2*H1983</f>
        <v>0</v>
      </c>
      <c r="I1987" s="1262">
        <f t="shared" si="155"/>
        <v>0</v>
      </c>
      <c r="J1987" s="1084"/>
      <c r="K1987" s="1084"/>
      <c r="L1987" s="1113"/>
      <c r="M1987" s="977">
        <v>560</v>
      </c>
    </row>
    <row r="1988" spans="1:13" s="1086" customFormat="1" ht="25.15" hidden="1" customHeight="1">
      <c r="A1988" s="1156">
        <f t="shared" si="154"/>
        <v>0</v>
      </c>
      <c r="B1988" s="1157" t="s">
        <v>1495</v>
      </c>
      <c r="C1988" s="1157"/>
      <c r="D1988" s="1081"/>
      <c r="E1988" s="1082" t="str">
        <f>VLOOKUP($B1988,DG!A:D,DG!$B$2,)</f>
        <v>07.2403</v>
      </c>
      <c r="F1988" s="1083" t="str">
        <f>VLOOKUP($B1988,DG!A:D,DG!$C$2,)</f>
        <v xml:space="preserve">Ống PVC D21x1,6mm </v>
      </c>
      <c r="G1988" s="1082" t="str">
        <f>VLOOKUP($B1988,DG!A:D,DG!$D$2,)</f>
        <v>m</v>
      </c>
      <c r="H1988" s="1873">
        <f>H1983*12</f>
        <v>0</v>
      </c>
      <c r="I1988" s="1262">
        <f t="shared" si="155"/>
        <v>0</v>
      </c>
      <c r="J1988" s="1084"/>
      <c r="K1988" s="1084"/>
      <c r="L1988" s="1085"/>
      <c r="M1988" s="977">
        <v>560</v>
      </c>
    </row>
    <row r="1989" spans="1:13" s="1086" customFormat="1" ht="25.15" hidden="1" customHeight="1">
      <c r="A1989" s="1156">
        <f t="shared" si="154"/>
        <v>0</v>
      </c>
      <c r="B1989" s="1332" t="s">
        <v>1584</v>
      </c>
      <c r="C1989" s="1332"/>
      <c r="D1989" s="1081"/>
      <c r="E1989" s="1082">
        <f>VLOOKUP($B1989,DG!A:D,DG!$B$2,)</f>
        <v>0</v>
      </c>
      <c r="F1989" s="1083" t="str">
        <f>VLOOKUP($B1989,DG!A:D,DG!$C$2,)&amp; " bắt dây trung tính "</f>
        <v xml:space="preserve">Kẹp ép WR cỡ dây 50mm2 bắt dây trung tính </v>
      </c>
      <c r="G1989" s="1094" t="str">
        <f>VLOOKUP($B1989,DG!A:D,DG!$D$2,)</f>
        <v>cái</v>
      </c>
      <c r="H1989" s="1873">
        <f>2*H1983</f>
        <v>0</v>
      </c>
      <c r="I1989" s="1262">
        <f t="shared" si="155"/>
        <v>0</v>
      </c>
      <c r="J1989" s="1084"/>
      <c r="K1989" s="1084"/>
      <c r="L1989" s="1113"/>
      <c r="M1989" s="977">
        <v>560</v>
      </c>
    </row>
    <row r="1990" spans="1:13" s="1086" customFormat="1" ht="25.15" hidden="1" customHeight="1">
      <c r="A1990" s="1156">
        <f t="shared" si="154"/>
        <v>0</v>
      </c>
      <c r="B1990" s="1332" t="s">
        <v>818</v>
      </c>
      <c r="C1990" s="1332"/>
      <c r="D1990" s="1135"/>
      <c r="E1990" s="1082" t="str">
        <f>VLOOKUP($B1990,DG!A:D,DG!$B$2,)</f>
        <v>04.3107</v>
      </c>
      <c r="F1990" s="1083" t="str">
        <f>VLOOKUP($B1990,DG!A:D,DG!$C$2,)&amp;":bắt lưới TĐ"</f>
        <v>Ốc siết cáp cỡ 25mm2:bắt lưới TĐ</v>
      </c>
      <c r="G1990" s="1094" t="str">
        <f>VLOOKUP($B1990,DG!A:D,DG!$D$2,)</f>
        <v>cái</v>
      </c>
      <c r="H1990" s="1873">
        <f>H1983*14</f>
        <v>0</v>
      </c>
      <c r="I1990" s="1262">
        <f t="shared" si="155"/>
        <v>0</v>
      </c>
      <c r="J1990" s="1084"/>
      <c r="K1990" s="1084"/>
      <c r="L1990" s="1113"/>
      <c r="M1990" s="977">
        <v>560</v>
      </c>
    </row>
    <row r="1991" spans="1:13" s="1086" customFormat="1" ht="25.15" hidden="1" customHeight="1">
      <c r="A1991" s="1156">
        <f t="shared" si="154"/>
        <v>0</v>
      </c>
      <c r="B1991" s="1157" t="s">
        <v>437</v>
      </c>
      <c r="C1991" s="1157"/>
      <c r="D1991" s="1081"/>
      <c r="E1991" s="1082">
        <f>VLOOKUP($B1991,DG!A:D,DG!$B$2,)</f>
        <v>0</v>
      </c>
      <c r="F1991" s="1083" t="str">
        <f>VLOOKUP($B1991,DG!A:D,DG!$C$2,)</f>
        <v>Boulon 12x30+ 2 long đền vuông D14-50x50x3/Zn</v>
      </c>
      <c r="G1991" s="1094" t="str">
        <f>VLOOKUP($B1991,DG!A:D,DG!$D$2,)</f>
        <v>bộ</v>
      </c>
      <c r="H1991" s="1873">
        <f>H1983*1</f>
        <v>0</v>
      </c>
      <c r="I1991" s="1262">
        <f t="shared" si="155"/>
        <v>0</v>
      </c>
      <c r="J1991" s="1084"/>
      <c r="K1991" s="1084"/>
      <c r="L1991" s="1113"/>
      <c r="M1991" s="977">
        <v>560</v>
      </c>
    </row>
    <row r="1992" spans="1:13" s="1086" customFormat="1" ht="25.15" hidden="1" customHeight="1">
      <c r="A1992" s="1156">
        <f t="shared" si="154"/>
        <v>0</v>
      </c>
      <c r="B1992" s="1157" t="s">
        <v>104</v>
      </c>
      <c r="C1992" s="1157"/>
      <c r="D1992" s="1081"/>
      <c r="E1992" s="1082" t="str">
        <f>VLOOKUP($B1992,DG!A:D,DG!$B$2,)</f>
        <v>03.4001</v>
      </c>
      <c r="F1992" s="1083" t="str">
        <f>VLOOKUP($B1992,DG!A:D,DG!$C$2,)</f>
        <v>Đầu cosse ép Cu 25mm2</v>
      </c>
      <c r="G1992" s="1094" t="str">
        <f>VLOOKUP($B1992,DG!A:D,DG!$D$2,)</f>
        <v>cái</v>
      </c>
      <c r="H1992" s="1873">
        <f>H1991*2</f>
        <v>0</v>
      </c>
      <c r="I1992" s="1262">
        <f t="shared" si="155"/>
        <v>0</v>
      </c>
      <c r="J1992" s="1084"/>
      <c r="K1992" s="1084"/>
      <c r="L1992" s="1113"/>
      <c r="M1992" s="977">
        <v>560</v>
      </c>
    </row>
    <row r="1993" spans="1:13" s="1086" customFormat="1" ht="25.15" hidden="1" customHeight="1">
      <c r="A1993" s="1156">
        <f t="shared" si="154"/>
        <v>0</v>
      </c>
      <c r="B1993" s="1157" t="s">
        <v>525</v>
      </c>
      <c r="C1993" s="1157"/>
      <c r="D1993" s="1081"/>
      <c r="E1993" s="1082" t="str">
        <f>VLOOKUP($B1993,DG!A:D,DG!$B$2,)</f>
        <v>06.3231</v>
      </c>
      <c r="F1993" s="1083" t="str">
        <f>VLOOKUP($B1993,DG!A:D,DG!$C$2,)&amp;": CD-250 01 bộ"</f>
        <v>Cổ dê kẹp ống PVC  21: CD-250 01 bộ</v>
      </c>
      <c r="G1993" s="1082" t="str">
        <f>VLOOKUP($B1993,DG!A:D,DG!$D$2,)</f>
        <v>bộ</v>
      </c>
      <c r="H1993" s="1873">
        <f>H1983*0.415</f>
        <v>0</v>
      </c>
      <c r="I1993" s="1262">
        <f t="shared" si="155"/>
        <v>0</v>
      </c>
      <c r="J1993" s="1084"/>
      <c r="K1993" s="1084"/>
      <c r="L1993" s="1085"/>
      <c r="M1993" s="977">
        <v>560</v>
      </c>
    </row>
    <row r="1994" spans="1:13" s="1086" customFormat="1" ht="25.15" hidden="1" customHeight="1">
      <c r="A1994" s="1156">
        <f t="shared" si="154"/>
        <v>0</v>
      </c>
      <c r="B1994" s="1157" t="s">
        <v>525</v>
      </c>
      <c r="C1994" s="1157"/>
      <c r="D1994" s="1081"/>
      <c r="E1994" s="1082" t="str">
        <f>VLOOKUP($B1994,DG!A:D,DG!$B$2,)</f>
        <v>06.3231</v>
      </c>
      <c r="F1994" s="1083" t="str">
        <f>VLOOKUP($B1994,DG!A:D,DG!$C$2,)&amp;": CD-280 01 bộ"</f>
        <v>Cổ dê kẹp ống PVC  21: CD-280 01 bộ</v>
      </c>
      <c r="G1994" s="1082" t="str">
        <f>VLOOKUP($B1994,DG!A:D,DG!$D$2,)</f>
        <v>bộ</v>
      </c>
      <c r="H1994" s="1873">
        <f>H1983*0.452</f>
        <v>0</v>
      </c>
      <c r="I1994" s="1262">
        <f t="shared" si="155"/>
        <v>0</v>
      </c>
      <c r="J1994" s="1084"/>
      <c r="K1994" s="1084"/>
      <c r="L1994" s="1085"/>
      <c r="M1994" s="977">
        <v>560</v>
      </c>
    </row>
    <row r="1995" spans="1:13" s="1086" customFormat="1" ht="25.15" hidden="1" customHeight="1">
      <c r="A1995" s="1156">
        <f t="shared" si="154"/>
        <v>0</v>
      </c>
      <c r="B1995" s="1157" t="s">
        <v>525</v>
      </c>
      <c r="C1995" s="1157"/>
      <c r="D1995" s="1081"/>
      <c r="E1995" s="1082" t="str">
        <f>VLOOKUP($B1995,DG!A:D,DG!$B$2,)</f>
        <v>06.3231</v>
      </c>
      <c r="F1995" s="1083" t="str">
        <f>VLOOKUP($B1995,DG!A:D,DG!$C$2,)&amp;": CD-320 01 bộ"</f>
        <v>Cổ dê kẹp ống PVC  21: CD-320 01 bộ</v>
      </c>
      <c r="G1995" s="1082" t="str">
        <f>VLOOKUP($B1995,DG!A:D,DG!$D$2,)</f>
        <v>bộ</v>
      </c>
      <c r="H1995" s="1873">
        <f>H1983*0.501</f>
        <v>0</v>
      </c>
      <c r="I1995" s="1262">
        <f t="shared" si="155"/>
        <v>0</v>
      </c>
      <c r="J1995" s="1084"/>
      <c r="K1995" s="1084"/>
      <c r="L1995" s="1085"/>
      <c r="M1995" s="977">
        <v>560</v>
      </c>
    </row>
    <row r="1996" spans="1:13" s="1086" customFormat="1" ht="25.15" hidden="1" customHeight="1">
      <c r="A1996" s="1156">
        <f t="shared" si="154"/>
        <v>0</v>
      </c>
      <c r="B1996" s="1157" t="s">
        <v>1133</v>
      </c>
      <c r="C1996" s="1157"/>
      <c r="D1996" s="1081"/>
      <c r="E1996" s="1082" t="str">
        <f>VLOOKUP($B1996,DG!A:D,DG!$B$2,)</f>
        <v>06.2110</v>
      </c>
      <c r="F1996" s="1083" t="str">
        <f>VLOOKUP($B1996,DG!A:D,DG!$C$2,)</f>
        <v>Lắp cổ dề</v>
      </c>
      <c r="G1996" s="1082" t="str">
        <f>VLOOKUP($B1996,DG!A:D,DG!$D$2,)</f>
        <v>bộ</v>
      </c>
      <c r="H1996" s="1873">
        <f>H1983*3</f>
        <v>0</v>
      </c>
      <c r="I1996" s="1262">
        <f t="shared" si="155"/>
        <v>0</v>
      </c>
      <c r="J1996" s="1084"/>
      <c r="K1996" s="1084"/>
      <c r="L1996" s="1085"/>
      <c r="M1996" s="977">
        <v>560</v>
      </c>
    </row>
    <row r="1997" spans="1:13" s="1086" customFormat="1" ht="25.15" hidden="1" customHeight="1">
      <c r="A1997" s="1156">
        <f t="shared" si="154"/>
        <v>0</v>
      </c>
      <c r="B1997" s="1157" t="s">
        <v>138</v>
      </c>
      <c r="C1997" s="1157"/>
      <c r="D1997" s="1081"/>
      <c r="E1997" s="1082">
        <f>VLOOKUP($B1997,DG!A:D,DG!$B$2,)</f>
        <v>0</v>
      </c>
      <c r="F1997" s="1083" t="str">
        <f>VLOOKUP($B1997,DG!A:D,DG!$C$2,)</f>
        <v>Boulon 12x40+ 2 long đền vuông D14-50x50x3/Zn</v>
      </c>
      <c r="G1997" s="1082" t="str">
        <f>VLOOKUP($B1997,DG!A:D,DG!$D$2,)</f>
        <v>bộ</v>
      </c>
      <c r="H1997" s="1873">
        <f>H1983*6</f>
        <v>0</v>
      </c>
      <c r="I1997" s="1262">
        <f t="shared" si="155"/>
        <v>0</v>
      </c>
      <c r="J1997" s="1084"/>
      <c r="K1997" s="1084"/>
      <c r="L1997" s="1085"/>
      <c r="M1997" s="977">
        <v>560</v>
      </c>
    </row>
    <row r="1998" spans="1:13" s="1086" customFormat="1" ht="25.15" hidden="1" customHeight="1">
      <c r="A1998" s="1156">
        <f t="shared" si="154"/>
        <v>0</v>
      </c>
      <c r="B1998" s="1157" t="s">
        <v>1355</v>
      </c>
      <c r="C1998" s="1157"/>
      <c r="D1998" s="1081"/>
      <c r="E1998" s="1082">
        <f>VLOOKUP($B1998,DG!A:D,DG!$B$2,)</f>
        <v>0</v>
      </c>
      <c r="F1998" s="1083" t="str">
        <f>VLOOKUP($B1998,DG!A:D,DG!$C$2,)</f>
        <v>Boulon 12x60+ 2 long đền vuông D14-50x50x3/Zn</v>
      </c>
      <c r="G1998" s="1082" t="str">
        <f>VLOOKUP($B1998,DG!A:D,DG!$D$2,)</f>
        <v>bộ</v>
      </c>
      <c r="H1998" s="1873">
        <f>H1997</f>
        <v>0</v>
      </c>
      <c r="I1998" s="1262">
        <f t="shared" si="155"/>
        <v>0</v>
      </c>
      <c r="J1998" s="1084"/>
      <c r="K1998" s="1084"/>
      <c r="L1998" s="1085"/>
      <c r="M1998" s="977">
        <v>560</v>
      </c>
    </row>
    <row r="1999" spans="1:13" s="1086" customFormat="1" ht="25.15" hidden="1" customHeight="1">
      <c r="A1999" s="1156">
        <f t="shared" si="154"/>
        <v>0</v>
      </c>
      <c r="B1999" s="1157" t="s">
        <v>1590</v>
      </c>
      <c r="C1999" s="1157"/>
      <c r="D1999" s="1081"/>
      <c r="E1999" s="1082">
        <f>VLOOKUP($B1999,DG!A:D,DG!$B$2,)</f>
        <v>0</v>
      </c>
      <c r="F1999" s="1083" t="str">
        <f>VLOOKUP($B1999,DG!A:D,DG!$C$2,)</f>
        <v>Giếng tiếp địa khoan đất</v>
      </c>
      <c r="G1999" s="1082" t="str">
        <f>VLOOKUP($B1999,DG!A:D,DG!$D$2,)</f>
        <v>Cái</v>
      </c>
      <c r="H1999" s="1873">
        <f>L3*H1983</f>
        <v>0</v>
      </c>
      <c r="I1999" s="1262">
        <f t="shared" si="155"/>
        <v>0</v>
      </c>
      <c r="J1999" s="1084"/>
      <c r="K1999" s="1084"/>
      <c r="L1999" s="1113"/>
      <c r="M1999" s="977">
        <v>560</v>
      </c>
    </row>
    <row r="2000" spans="1:13" s="1086" customFormat="1" ht="25.15" hidden="1" customHeight="1">
      <c r="A2000" s="1156">
        <f t="shared" si="154"/>
        <v>0</v>
      </c>
      <c r="B2000" s="1157" t="str">
        <f>"DTD"&amp;chitiet!G5</f>
        <v>DTD3</v>
      </c>
      <c r="C2000" s="1157"/>
      <c r="D2000" s="1093"/>
      <c r="E2000" s="1082" t="str">
        <f>VLOOKUP($B2000,DG!A:D,DG!$B$2,)</f>
        <v>03.3123</v>
      </c>
      <c r="F2000" s="1083" t="str">
        <f>VLOOKUP($B2000,DG!A:D,DG!$C$2,)</f>
        <v>Đào rãnh tiếp địa đất cấp 3</v>
      </c>
      <c r="G2000" s="1094" t="str">
        <f>VLOOKUP($B2000,DG!A:D,DG!$D$2,)</f>
        <v>m3</v>
      </c>
      <c r="H2000" s="1170">
        <f>I3*H1983</f>
        <v>0</v>
      </c>
      <c r="I2000" s="1262">
        <f t="shared" si="155"/>
        <v>0</v>
      </c>
      <c r="J2000" s="1084"/>
      <c r="K2000" s="1084"/>
      <c r="L2000" s="1113"/>
      <c r="M2000" s="977">
        <v>560</v>
      </c>
    </row>
    <row r="2001" spans="1:16" s="1086" customFormat="1" ht="25.15" hidden="1" customHeight="1">
      <c r="A2001" s="1156">
        <f t="shared" si="154"/>
        <v>0</v>
      </c>
      <c r="B2001" s="1157" t="str">
        <f>"DATD"&amp;chitiet!G5</f>
        <v>DATD3</v>
      </c>
      <c r="C2001" s="1157"/>
      <c r="D2001" s="1093"/>
      <c r="E2001" s="1082" t="str">
        <f>VLOOKUP($B2001,DG!A:D,DG!$B$2,)</f>
        <v>03.4123</v>
      </c>
      <c r="F2001" s="1083" t="str">
        <f>VLOOKUP($B2001,DG!A:D,DG!$C$2,)</f>
        <v>Đắp đất rãnh tiếp độ chặt k=0,85</v>
      </c>
      <c r="G2001" s="1094" t="str">
        <f>VLOOKUP($B2001,DG!A:D,DG!$D$2,)</f>
        <v>m3</v>
      </c>
      <c r="H2001" s="1170">
        <f>H2000</f>
        <v>0</v>
      </c>
      <c r="I2001" s="1262">
        <f t="shared" si="155"/>
        <v>0</v>
      </c>
      <c r="J2001" s="1084"/>
      <c r="K2001" s="1084"/>
      <c r="L2001" s="1113"/>
      <c r="M2001" s="977">
        <v>560</v>
      </c>
    </row>
    <row r="2002" spans="1:16" s="1086" customFormat="1" ht="25.15" hidden="1" customHeight="1">
      <c r="A2002" s="1156">
        <f t="shared" si="154"/>
        <v>0</v>
      </c>
      <c r="B2002" s="1157" t="s">
        <v>904</v>
      </c>
      <c r="C2002" s="1157"/>
      <c r="D2002" s="1093"/>
      <c r="E2002" s="1082" t="str">
        <f>VLOOKUP($B2002,DG!A:D,DG!$B$2,)</f>
        <v>04.7001</v>
      </c>
      <c r="F2002" s="1083" t="str">
        <f>VLOOKUP($B2002,DG!A:D,DG!$C$2,)</f>
        <v>Đóng cọc tiếp địa trong TBA</v>
      </c>
      <c r="G2002" s="1094" t="str">
        <f>VLOOKUP($B2002,DG!A:D,DG!$D$2,)</f>
        <v>cọc</v>
      </c>
      <c r="H2002" s="1170">
        <f>H1987</f>
        <v>0</v>
      </c>
      <c r="I2002" s="1262">
        <f t="shared" si="155"/>
        <v>0</v>
      </c>
      <c r="J2002" s="1084"/>
      <c r="K2002" s="1084"/>
      <c r="L2002" s="1113"/>
      <c r="M2002" s="977">
        <v>560</v>
      </c>
    </row>
    <row r="2003" spans="1:16" s="1086" customFormat="1" ht="25.15" hidden="1" customHeight="1">
      <c r="A2003" s="1156">
        <f t="shared" si="154"/>
        <v>0</v>
      </c>
      <c r="B2003" s="1157" t="s">
        <v>1442</v>
      </c>
      <c r="C2003" s="1157"/>
      <c r="D2003" s="1081"/>
      <c r="E2003" s="1082" t="str">
        <f>VLOOKUP($B2003,DG!A:D,DG!$B$2,)</f>
        <v>04.7002</v>
      </c>
      <c r="F2003" s="1083" t="str">
        <f>VLOOKUP($B2003,DG!A:D,DG!$C$2,)</f>
        <v>Kéo dây tiếp địa trong TBA</v>
      </c>
      <c r="G2003" s="1094" t="str">
        <f>VLOOKUP($B2003,DG!A:D,DG!$D$2,)</f>
        <v>mét</v>
      </c>
      <c r="H2003" s="1873">
        <f>H1983*I3</f>
        <v>0</v>
      </c>
      <c r="I2003" s="1262">
        <f t="shared" si="155"/>
        <v>0</v>
      </c>
      <c r="J2003" s="1084"/>
      <c r="K2003" s="1084"/>
      <c r="L2003" s="1113"/>
      <c r="M2003" s="977">
        <v>560</v>
      </c>
    </row>
    <row r="2004" spans="1:16" s="1086" customFormat="1" ht="25.15" hidden="1" customHeight="1">
      <c r="A2004" s="1156">
        <f t="shared" si="154"/>
        <v>0</v>
      </c>
      <c r="B2004" s="1327"/>
      <c r="C2004" s="1327"/>
      <c r="D2004" s="1087">
        <f>IF(H2004&gt;0,D1983+1,D1983)</f>
        <v>0</v>
      </c>
      <c r="E2004" s="1088"/>
      <c r="F2004" s="1089" t="s">
        <v>3769</v>
      </c>
      <c r="G2004" s="1087" t="s">
        <v>2394</v>
      </c>
      <c r="H2004" s="1889">
        <f>H1910</f>
        <v>0</v>
      </c>
      <c r="I2004" s="1262">
        <f t="shared" si="155"/>
        <v>0</v>
      </c>
      <c r="J2004" s="1084"/>
      <c r="K2004" s="1084"/>
      <c r="L2004" s="1085"/>
      <c r="M2004" s="977">
        <v>560</v>
      </c>
    </row>
    <row r="2005" spans="1:16" s="1086" customFormat="1" ht="25.15" hidden="1" customHeight="1">
      <c r="A2005" s="1156">
        <f>IF(A2004&gt;0,1,0)</f>
        <v>0</v>
      </c>
      <c r="B2005" s="1327"/>
      <c r="C2005" s="1327"/>
      <c r="D2005" s="1081"/>
      <c r="E2005" s="1091"/>
      <c r="F2005" s="1370" t="s">
        <v>2287</v>
      </c>
      <c r="G2005" s="1093"/>
      <c r="H2005" s="1873"/>
      <c r="I2005" s="1262">
        <f t="shared" si="155"/>
        <v>0</v>
      </c>
      <c r="J2005" s="1084"/>
      <c r="K2005" s="1084"/>
      <c r="L2005" s="1085"/>
      <c r="M2005" s="977">
        <v>560</v>
      </c>
    </row>
    <row r="2006" spans="1:16" s="1086" customFormat="1" ht="25.15" hidden="1" customHeight="1">
      <c r="A2006" s="1156">
        <f t="shared" si="154"/>
        <v>0</v>
      </c>
      <c r="B2006" s="1327" t="s">
        <v>653</v>
      </c>
      <c r="C2006" s="1327"/>
      <c r="D2006" s="1093"/>
      <c r="E2006" s="1094">
        <f>VLOOKUP($B2006,DG!A:D,DG!$B$2,)</f>
        <v>0</v>
      </c>
      <c r="F2006" s="1095" t="str">
        <f>VLOOKUP($B2006,DG!A:D,DG!$C$2,)</f>
        <v>Ximăng (PC40)</v>
      </c>
      <c r="G2006" s="1094" t="str">
        <f>VLOOKUP($B2006,DG!A:D,DG!$D$2,)</f>
        <v>kg</v>
      </c>
      <c r="H2006" s="1873">
        <f>H2004*M2009</f>
        <v>0</v>
      </c>
      <c r="I2006" s="1262">
        <f t="shared" si="155"/>
        <v>0</v>
      </c>
      <c r="J2006" s="1084"/>
      <c r="K2006" s="1084"/>
      <c r="L2006" s="1085"/>
      <c r="M2006" s="977">
        <v>560</v>
      </c>
    </row>
    <row r="2007" spans="1:16" s="1086" customFormat="1" ht="25.15" hidden="1" customHeight="1">
      <c r="A2007" s="1156">
        <f t="shared" ref="A2007:A2070" si="156">IF(I2007&gt;0,1,0)</f>
        <v>0</v>
      </c>
      <c r="B2007" s="1327" t="s">
        <v>4447</v>
      </c>
      <c r="C2007" s="1327"/>
      <c r="D2007" s="1081"/>
      <c r="E2007" s="1094">
        <f>VLOOKUP($B2007,DG!A:D,DG!$B$2,)</f>
        <v>0</v>
      </c>
      <c r="F2007" s="1095" t="str">
        <f>VLOOKUP($B2007,DG!A:D,DG!$C$2,)</f>
        <v>Cát vàng</v>
      </c>
      <c r="G2007" s="1094" t="str">
        <f>VLOOKUP($B2007,DG!A:D,DG!$D$2,)</f>
        <v>m3</v>
      </c>
      <c r="H2007" s="1873">
        <f>H2004*N2009</f>
        <v>0</v>
      </c>
      <c r="I2007" s="1262">
        <f t="shared" si="155"/>
        <v>0</v>
      </c>
      <c r="J2007" s="1084"/>
      <c r="K2007" s="1084"/>
      <c r="L2007" s="1085"/>
      <c r="M2007" s="977">
        <v>560</v>
      </c>
    </row>
    <row r="2008" spans="1:16" s="1086" customFormat="1" ht="25.15" hidden="1" customHeight="1">
      <c r="A2008" s="1156">
        <f t="shared" si="156"/>
        <v>0</v>
      </c>
      <c r="B2008" s="1327" t="s">
        <v>216</v>
      </c>
      <c r="C2008" s="1327"/>
      <c r="D2008" s="1081"/>
      <c r="E2008" s="1094">
        <f>VLOOKUP($B2008,DG!A:D,DG!$B$2,)</f>
        <v>0</v>
      </c>
      <c r="F2008" s="1095" t="str">
        <f>VLOOKUP($B2008,DG!A:D,DG!$C$2,)</f>
        <v>Đá 1x2</v>
      </c>
      <c r="G2008" s="1094" t="str">
        <f>VLOOKUP($B2008,DG!A:D,DG!$D$2,)</f>
        <v>m3</v>
      </c>
      <c r="H2008" s="1873">
        <f>H2004*O2009</f>
        <v>0</v>
      </c>
      <c r="I2008" s="1262">
        <f t="shared" si="155"/>
        <v>0</v>
      </c>
      <c r="J2008" s="1084"/>
      <c r="K2008" s="1084"/>
      <c r="L2008" s="1085"/>
      <c r="M2008" s="977">
        <v>560</v>
      </c>
    </row>
    <row r="2009" spans="1:16" s="1086" customFormat="1" ht="25.15" hidden="1" customHeight="1">
      <c r="A2009" s="1156">
        <f t="shared" si="156"/>
        <v>0</v>
      </c>
      <c r="B2009" s="1327" t="s">
        <v>654</v>
      </c>
      <c r="C2009" s="1327"/>
      <c r="D2009" s="1093"/>
      <c r="E2009" s="1094" t="str">
        <f>VLOOKUP($B2009,DG!A:D,DG!$B$2,)</f>
        <v>04.1203c</v>
      </c>
      <c r="F2009" s="1095" t="str">
        <f>VLOOKUP($B2009,DG!A:D,DG!$C$2,)</f>
        <v>Đổ bê tông móng trụ &lt;=250cm-M200 đá 1x2</v>
      </c>
      <c r="G2009" s="1094" t="str">
        <f>VLOOKUP($B2009,DG!A:D,DG!$D$2,)</f>
        <v>m3</v>
      </c>
      <c r="H2009" s="1873">
        <f>H2004*(0.4*3*1-2*3.14*0.15^2*0.4)*1.025</f>
        <v>0</v>
      </c>
      <c r="I2009" s="1262">
        <f t="shared" si="155"/>
        <v>0</v>
      </c>
      <c r="J2009" s="1084"/>
      <c r="K2009" s="1084"/>
      <c r="L2009" s="1085"/>
      <c r="M2009" s="977">
        <v>560</v>
      </c>
      <c r="N2009" s="1096">
        <f>1.025*0.45</f>
        <v>0.46124999999999999</v>
      </c>
      <c r="O2009" s="1096">
        <f>1.025*0.866</f>
        <v>0.88764999999999994</v>
      </c>
      <c r="P2009" s="1240"/>
    </row>
    <row r="2010" spans="1:16" s="1086" customFormat="1" ht="25.15" hidden="1" customHeight="1">
      <c r="A2010" s="1156">
        <f t="shared" si="156"/>
        <v>0</v>
      </c>
      <c r="B2010" s="1327"/>
      <c r="C2010" s="1327"/>
      <c r="D2010" s="1087">
        <f>IF(H2010&gt;0,D2004+1,D2004)</f>
        <v>0</v>
      </c>
      <c r="E2010" s="1088"/>
      <c r="F2010" s="1089" t="s">
        <v>3743</v>
      </c>
      <c r="G2010" s="1087" t="s">
        <v>2394</v>
      </c>
      <c r="H2010" s="1889"/>
      <c r="I2010" s="1262">
        <f t="shared" si="155"/>
        <v>0</v>
      </c>
      <c r="J2010" s="1084"/>
      <c r="K2010" s="1084"/>
      <c r="L2010" s="1085"/>
      <c r="M2010" s="977">
        <v>560</v>
      </c>
    </row>
    <row r="2011" spans="1:16" s="1086" customFormat="1" ht="25.15" hidden="1" customHeight="1">
      <c r="A2011" s="1156">
        <f>IF(A2010&gt;0,1,0)</f>
        <v>0</v>
      </c>
      <c r="B2011" s="1327"/>
      <c r="C2011" s="1327"/>
      <c r="D2011" s="1081"/>
      <c r="E2011" s="1091"/>
      <c r="F2011" s="1370" t="s">
        <v>2287</v>
      </c>
      <c r="G2011" s="1093"/>
      <c r="H2011" s="1873"/>
      <c r="I2011" s="1262">
        <f t="shared" si="155"/>
        <v>0</v>
      </c>
      <c r="J2011" s="1084"/>
      <c r="K2011" s="1084"/>
      <c r="L2011" s="1085"/>
      <c r="M2011" s="977">
        <v>560</v>
      </c>
    </row>
    <row r="2012" spans="1:16" s="1086" customFormat="1" ht="25.15" hidden="1" customHeight="1">
      <c r="A2012" s="1156">
        <f t="shared" si="156"/>
        <v>0</v>
      </c>
      <c r="B2012" s="1327" t="s">
        <v>653</v>
      </c>
      <c r="C2012" s="1327"/>
      <c r="D2012" s="1093"/>
      <c r="E2012" s="1094">
        <f>VLOOKUP($B2012,DG!A:D,DG!$B$2,)</f>
        <v>0</v>
      </c>
      <c r="F2012" s="1095" t="str">
        <f>VLOOKUP($B2012,DG!A:D,DG!$C$2,)</f>
        <v>Ximăng (PC40)</v>
      </c>
      <c r="G2012" s="1094" t="str">
        <f>VLOOKUP($B2012,DG!A:D,DG!$D$2,)</f>
        <v>kg</v>
      </c>
      <c r="H2012" s="1873">
        <f>H2015*M2015</f>
        <v>0</v>
      </c>
      <c r="I2012" s="1262">
        <f t="shared" si="155"/>
        <v>0</v>
      </c>
      <c r="J2012" s="1084"/>
      <c r="K2012" s="1084"/>
      <c r="L2012" s="1085"/>
      <c r="M2012" s="977">
        <v>560</v>
      </c>
    </row>
    <row r="2013" spans="1:16" s="1086" customFormat="1" ht="25.15" hidden="1" customHeight="1">
      <c r="A2013" s="1156">
        <f t="shared" si="156"/>
        <v>0</v>
      </c>
      <c r="B2013" s="1327" t="s">
        <v>4447</v>
      </c>
      <c r="C2013" s="1327"/>
      <c r="D2013" s="1081"/>
      <c r="E2013" s="1094">
        <f>VLOOKUP($B2013,DG!A:D,DG!$B$2,)</f>
        <v>0</v>
      </c>
      <c r="F2013" s="1095" t="str">
        <f>VLOOKUP($B2013,DG!A:D,DG!$C$2,)</f>
        <v>Cát vàng</v>
      </c>
      <c r="G2013" s="1094" t="str">
        <f>VLOOKUP($B2013,DG!A:D,DG!$D$2,)</f>
        <v>m3</v>
      </c>
      <c r="H2013" s="1890">
        <f>H2015*N2015</f>
        <v>0</v>
      </c>
      <c r="I2013" s="1262">
        <f t="shared" si="155"/>
        <v>0</v>
      </c>
      <c r="J2013" s="1084"/>
      <c r="K2013" s="1084"/>
      <c r="L2013" s="1085"/>
      <c r="M2013" s="977">
        <v>560</v>
      </c>
    </row>
    <row r="2014" spans="1:16" s="1086" customFormat="1" ht="25.15" hidden="1" customHeight="1">
      <c r="A2014" s="1156">
        <f t="shared" si="156"/>
        <v>0</v>
      </c>
      <c r="B2014" s="1327" t="s">
        <v>216</v>
      </c>
      <c r="C2014" s="1327"/>
      <c r="D2014" s="1081"/>
      <c r="E2014" s="1094">
        <f>VLOOKUP($B2014,DG!A:D,DG!$B$2,)</f>
        <v>0</v>
      </c>
      <c r="F2014" s="1095" t="str">
        <f>VLOOKUP($B2014,DG!A:D,DG!$C$2,)</f>
        <v>Đá 1x2</v>
      </c>
      <c r="G2014" s="1094" t="str">
        <f>VLOOKUP($B2014,DG!A:D,DG!$D$2,)</f>
        <v>m3</v>
      </c>
      <c r="H2014" s="1890">
        <f>H2015*O2015</f>
        <v>0</v>
      </c>
      <c r="I2014" s="1262">
        <f t="shared" si="155"/>
        <v>0</v>
      </c>
      <c r="J2014" s="1084"/>
      <c r="K2014" s="1084"/>
      <c r="L2014" s="1085"/>
      <c r="M2014" s="977">
        <v>560</v>
      </c>
    </row>
    <row r="2015" spans="1:16" s="1086" customFormat="1" ht="25.15" hidden="1" customHeight="1">
      <c r="A2015" s="1156">
        <f t="shared" si="156"/>
        <v>0</v>
      </c>
      <c r="B2015" s="1327" t="s">
        <v>654</v>
      </c>
      <c r="C2015" s="1327"/>
      <c r="D2015" s="1093"/>
      <c r="E2015" s="1094" t="str">
        <f>VLOOKUP($B2015,DG!A:D,DG!$B$2,)</f>
        <v>04.1203c</v>
      </c>
      <c r="F2015" s="1095" t="str">
        <f>VLOOKUP($B2015,DG!A:D,DG!$C$2,)</f>
        <v>Đổ bê tông móng trụ &lt;=250cm-M200 đá 1x2</v>
      </c>
      <c r="G2015" s="1094" t="str">
        <f>VLOOKUP($B2015,DG!A:D,DG!$D$2,)</f>
        <v>m3</v>
      </c>
      <c r="H2015" s="1873">
        <f>H2010*0.2*0.2*(0.2+0.2+0.8+0.8+2*4)</f>
        <v>0</v>
      </c>
      <c r="I2015" s="1262">
        <f t="shared" si="155"/>
        <v>0</v>
      </c>
      <c r="J2015" s="1084"/>
      <c r="K2015" s="1084"/>
      <c r="L2015" s="1085"/>
      <c r="M2015" s="977">
        <v>560</v>
      </c>
      <c r="N2015" s="1096">
        <f>1.025*0.45</f>
        <v>0.46124999999999999</v>
      </c>
      <c r="O2015" s="1096">
        <f>1.025*0.866</f>
        <v>0.88764999999999994</v>
      </c>
      <c r="P2015" s="1240"/>
    </row>
    <row r="2016" spans="1:16" s="1086" customFormat="1" ht="25.15" hidden="1" customHeight="1">
      <c r="A2016" s="1156">
        <f t="shared" si="156"/>
        <v>0</v>
      </c>
      <c r="B2016" s="1327"/>
      <c r="C2016" s="1327"/>
      <c r="D2016" s="1087">
        <f>IF(H2016&gt;0,D2010+1,D2010)</f>
        <v>0</v>
      </c>
      <c r="E2016" s="1088"/>
      <c r="F2016" s="1089" t="s">
        <v>3760</v>
      </c>
      <c r="G2016" s="1087" t="s">
        <v>2394</v>
      </c>
      <c r="H2016" s="1889">
        <f>H1901</f>
        <v>0</v>
      </c>
      <c r="I2016" s="1262">
        <f t="shared" si="155"/>
        <v>0</v>
      </c>
      <c r="J2016" s="1084"/>
      <c r="K2016" s="1084"/>
      <c r="L2016" s="1113"/>
      <c r="M2016" s="977">
        <v>560</v>
      </c>
    </row>
    <row r="2017" spans="1:14" s="1086" customFormat="1" ht="25.15" hidden="1" customHeight="1">
      <c r="A2017" s="1156">
        <f>IF(A2016&gt;0,1,0)</f>
        <v>0</v>
      </c>
      <c r="B2017" s="1327"/>
      <c r="C2017" s="1327"/>
      <c r="D2017" s="1081"/>
      <c r="E2017" s="1091"/>
      <c r="F2017" s="1370" t="s">
        <v>2287</v>
      </c>
      <c r="G2017" s="1093"/>
      <c r="H2017" s="1873"/>
      <c r="I2017" s="1262">
        <f t="shared" si="155"/>
        <v>0</v>
      </c>
      <c r="J2017" s="1084"/>
      <c r="K2017" s="1084"/>
      <c r="L2017" s="1113"/>
      <c r="M2017" s="977">
        <v>560</v>
      </c>
    </row>
    <row r="2018" spans="1:14" s="1086" customFormat="1" ht="25.15" hidden="1" customHeight="1">
      <c r="A2018" s="1156">
        <f t="shared" si="156"/>
        <v>0</v>
      </c>
      <c r="B2018" s="1327" t="s">
        <v>1028</v>
      </c>
      <c r="C2018" s="1327"/>
      <c r="D2018" s="1093"/>
      <c r="E2018" s="1094" t="str">
        <f>VLOOKUP($B2018,DG!A:D,DG!$B$2,)</f>
        <v>05.1102</v>
      </c>
      <c r="F2018" s="1095" t="str">
        <f>VLOOKUP($B2018,DG!A:D,DG!$C$2,)</f>
        <v>Vỏ tủ + khóa tủ</v>
      </c>
      <c r="G2018" s="1094" t="str">
        <f>VLOOKUP($B2018,DG!A:D,DG!$D$2,)</f>
        <v>cái</v>
      </c>
      <c r="H2018" s="1873">
        <f>H2016</f>
        <v>0</v>
      </c>
      <c r="I2018" s="1262">
        <f t="shared" si="155"/>
        <v>0</v>
      </c>
      <c r="J2018" s="1084"/>
      <c r="K2018" s="1084"/>
      <c r="L2018" s="1113"/>
      <c r="M2018" s="977">
        <v>560</v>
      </c>
    </row>
    <row r="2019" spans="1:14" s="1086" customFormat="1" ht="25.15" hidden="1" customHeight="1">
      <c r="A2019" s="1156">
        <f t="shared" si="156"/>
        <v>0</v>
      </c>
      <c r="B2019" s="1359" t="s">
        <v>1233</v>
      </c>
      <c r="C2019" s="1359"/>
      <c r="D2019" s="1093"/>
      <c r="E2019" s="1094" t="str">
        <f>VLOOKUP($B2019,DG!A:D,DG!$B$2,)</f>
        <v>05.1102</v>
      </c>
      <c r="F2019" s="1095" t="str">
        <f>VLOOKUP($B2019,DG!A:D,DG!$C$2,)</f>
        <v>Khung đỡ tủ MCCB và tủ bù</v>
      </c>
      <c r="G2019" s="1094" t="str">
        <f>VLOOKUP($B2019,DG!A:D,DG!$D$2,)</f>
        <v>trọn bộ</v>
      </c>
      <c r="H2019" s="1873"/>
      <c r="I2019" s="1262">
        <f t="shared" si="155"/>
        <v>0</v>
      </c>
      <c r="J2019" s="1084"/>
      <c r="K2019" s="1084"/>
      <c r="L2019" s="1113"/>
      <c r="M2019" s="977">
        <v>560</v>
      </c>
    </row>
    <row r="2020" spans="1:14" s="1086" customFormat="1" ht="25.15" hidden="1" customHeight="1">
      <c r="A2020" s="1156">
        <f t="shared" si="156"/>
        <v>0</v>
      </c>
      <c r="B2020" s="1327" t="s">
        <v>1540</v>
      </c>
      <c r="C2020" s="1327"/>
      <c r="D2020" s="1081"/>
      <c r="E2020" s="1094">
        <f>VLOOKUP($B2020,DG!A:D,DG!$B$2,)</f>
        <v>0</v>
      </c>
      <c r="F2020" s="1095" t="s">
        <v>3770</v>
      </c>
      <c r="G2020" s="1094" t="str">
        <f>VLOOKUP($B2020,DG!A:D,DG!$D$2,)</f>
        <v>bộ</v>
      </c>
      <c r="H2020" s="1890">
        <f>H2016</f>
        <v>0</v>
      </c>
      <c r="I2020" s="1262">
        <f t="shared" si="155"/>
        <v>0</v>
      </c>
      <c r="J2020" s="1084"/>
      <c r="K2020" s="1084"/>
      <c r="L2020" s="1113"/>
      <c r="M2020" s="977">
        <v>560</v>
      </c>
    </row>
    <row r="2021" spans="1:14" s="1086" customFormat="1" ht="25.15" hidden="1" customHeight="1">
      <c r="A2021" s="1156">
        <f t="shared" si="156"/>
        <v>0</v>
      </c>
      <c r="B2021" s="1327" t="s">
        <v>882</v>
      </c>
      <c r="C2021" s="1327"/>
      <c r="D2021" s="1081"/>
      <c r="E2021" s="1094">
        <f>VLOOKUP($B2021,DG!A:D,DG!$B$2,)</f>
        <v>0</v>
      </c>
      <c r="F2021" s="1095" t="str">
        <f>VLOOKUP($B2021,DG!A:D,DG!$C$2,)</f>
        <v xml:space="preserve">Bakelit 550x450 dầy 10mm </v>
      </c>
      <c r="G2021" s="1094" t="str">
        <f>VLOOKUP($B2021,DG!A:D,DG!$D$2,)</f>
        <v>cái</v>
      </c>
      <c r="H2021" s="1890">
        <f>H2016*1*0</f>
        <v>0</v>
      </c>
      <c r="I2021" s="1262">
        <f t="shared" si="155"/>
        <v>0</v>
      </c>
      <c r="J2021" s="1084"/>
      <c r="K2021" s="1084"/>
      <c r="L2021" s="1113"/>
      <c r="M2021" s="977">
        <v>560</v>
      </c>
    </row>
    <row r="2022" spans="1:14" s="1086" customFormat="1" ht="25.15" hidden="1" customHeight="1">
      <c r="A2022" s="1156">
        <f t="shared" si="156"/>
        <v>0</v>
      </c>
      <c r="B2022" s="1327" t="s">
        <v>289</v>
      </c>
      <c r="C2022" s="1327"/>
      <c r="D2022" s="1093"/>
      <c r="E2022" s="1094" t="str">
        <f>VLOOKUP($B2022,DG!A:D,DG!$B$2,)</f>
        <v>06.3191</v>
      </c>
      <c r="F2022" s="1095" t="str">
        <f>VLOOKUP($B2022,DG!A:D,DG!$C$2,)</f>
        <v>Bảng tên trạm, bảng báo nguy hiểm + đinh vít</v>
      </c>
      <c r="G2022" s="1094" t="str">
        <f>VLOOKUP($B2022,DG!A:D,DG!$D$2,)</f>
        <v>bộ</v>
      </c>
      <c r="H2022" s="1873">
        <f>H2018</f>
        <v>0</v>
      </c>
      <c r="I2022" s="1262">
        <f t="shared" si="155"/>
        <v>0</v>
      </c>
      <c r="J2022" s="1084"/>
      <c r="K2022" s="1084"/>
      <c r="L2022" s="1113"/>
      <c r="M2022" s="977">
        <v>560</v>
      </c>
    </row>
    <row r="2023" spans="1:14" s="1086" customFormat="1" ht="25.15" hidden="1" customHeight="1">
      <c r="A2023" s="1156">
        <f t="shared" si="156"/>
        <v>0</v>
      </c>
      <c r="B2023" s="1327"/>
      <c r="C2023" s="1327"/>
      <c r="D2023" s="1087">
        <f>IF(H2023&gt;0,D2016+1,D2016)</f>
        <v>0</v>
      </c>
      <c r="E2023" s="1088"/>
      <c r="F2023" s="1089" t="s">
        <v>3745</v>
      </c>
      <c r="G2023" s="1087" t="s">
        <v>2541</v>
      </c>
      <c r="H2023" s="1889">
        <f>H1901*0</f>
        <v>0</v>
      </c>
      <c r="I2023" s="1262">
        <f t="shared" si="155"/>
        <v>0</v>
      </c>
      <c r="J2023" s="1084"/>
      <c r="K2023" s="1084"/>
      <c r="L2023" s="1085"/>
      <c r="M2023" s="977">
        <v>560</v>
      </c>
    </row>
    <row r="2024" spans="1:14" s="1086" customFormat="1" ht="25.15" hidden="1" customHeight="1">
      <c r="A2024" s="1156">
        <f>IF(A2023&gt;0,1,0)</f>
        <v>0</v>
      </c>
      <c r="B2024" s="1327"/>
      <c r="C2024" s="1327"/>
      <c r="D2024" s="1081"/>
      <c r="E2024" s="1091"/>
      <c r="F2024" s="1370" t="s">
        <v>2287</v>
      </c>
      <c r="G2024" s="1093"/>
      <c r="H2024" s="1873"/>
      <c r="I2024" s="1262">
        <f t="shared" si="155"/>
        <v>0</v>
      </c>
      <c r="J2024" s="1084"/>
      <c r="K2024" s="1084"/>
      <c r="L2024" s="1085"/>
      <c r="M2024" s="977">
        <v>560</v>
      </c>
    </row>
    <row r="2025" spans="1:14" s="1086" customFormat="1" ht="25.15" hidden="1" customHeight="1">
      <c r="A2025" s="1156">
        <f t="shared" si="156"/>
        <v>0</v>
      </c>
      <c r="B2025" s="1327" t="s">
        <v>4447</v>
      </c>
      <c r="C2025" s="1327"/>
      <c r="D2025" s="1093"/>
      <c r="E2025" s="1094">
        <f>VLOOKUP($B2025,DG!A:D,DG!$B$2,)</f>
        <v>0</v>
      </c>
      <c r="F2025" s="1111" t="str">
        <f>VLOOKUP($B2025,DG!A:D,DG!$C$2,)&amp;": 0,315m3/m"</f>
        <v>Cát vàng: 0,315m3/m</v>
      </c>
      <c r="G2025" s="1094" t="str">
        <f>VLOOKUP($B2025,DG!A:D,DG!$D$2,)</f>
        <v>m3</v>
      </c>
      <c r="H2025" s="1873">
        <f>H2023*0.315</f>
        <v>0</v>
      </c>
      <c r="I2025" s="1262">
        <f t="shared" si="155"/>
        <v>0</v>
      </c>
      <c r="J2025" s="1084"/>
      <c r="K2025" s="1084"/>
      <c r="L2025" s="1085"/>
      <c r="M2025" s="977">
        <v>560</v>
      </c>
    </row>
    <row r="2026" spans="1:14" s="1086" customFormat="1" ht="25.15" hidden="1" customHeight="1">
      <c r="A2026" s="1156">
        <f t="shared" si="156"/>
        <v>0</v>
      </c>
      <c r="B2026" s="1329" t="s">
        <v>520</v>
      </c>
      <c r="C2026" s="1329"/>
      <c r="D2026" s="1093"/>
      <c r="E2026" s="1094">
        <f>VLOOKUP($B2026,DG!A:D,DG!$B$2,)</f>
        <v>0</v>
      </c>
      <c r="F2026" s="1111" t="str">
        <f>VLOOKUP($B2026,DG!A:D,DG!$C$2,)&amp;": 0,092m3/m"</f>
        <v>Đá 2x4: 0,092m3/m</v>
      </c>
      <c r="G2026" s="1094" t="str">
        <f>VLOOKUP($B2026,DG!A:D,DG!$D$2,)</f>
        <v>m3</v>
      </c>
      <c r="H2026" s="1873">
        <f>0.092*H2023</f>
        <v>0</v>
      </c>
      <c r="I2026" s="1262">
        <f t="shared" si="155"/>
        <v>0</v>
      </c>
      <c r="J2026" s="1084"/>
      <c r="K2026" s="1084"/>
      <c r="L2026" s="1085"/>
      <c r="M2026" s="977">
        <v>560</v>
      </c>
    </row>
    <row r="2027" spans="1:14" s="1086" customFormat="1" ht="25.15" hidden="1" customHeight="1">
      <c r="A2027" s="1156">
        <f t="shared" si="156"/>
        <v>0</v>
      </c>
      <c r="B2027" s="1329" t="s">
        <v>1681</v>
      </c>
      <c r="C2027" s="1329"/>
      <c r="D2027" s="1093"/>
      <c r="E2027" s="1094">
        <f>VLOOKUP($B2027,DG!A:D,DG!$B$2,)</f>
        <v>0</v>
      </c>
      <c r="F2027" s="1111" t="str">
        <f>VLOOKUP($B2027,DG!A:D,DG!$C$2,)&amp;": 3,3vieân/m"</f>
        <v>Gạch tàu: 3,3vieân/m</v>
      </c>
      <c r="G2027" s="1094" t="str">
        <f>VLOOKUP($B2027,DG!A:D,DG!$D$2,)</f>
        <v>viên</v>
      </c>
      <c r="H2027" s="1873">
        <f>3.3*H2023</f>
        <v>0</v>
      </c>
      <c r="I2027" s="1262">
        <f t="shared" si="155"/>
        <v>0</v>
      </c>
      <c r="J2027" s="1084"/>
      <c r="K2027" s="1084"/>
      <c r="L2027" s="1085"/>
      <c r="M2027" s="977">
        <v>560</v>
      </c>
    </row>
    <row r="2028" spans="1:14" s="1086" customFormat="1" ht="25.15" hidden="1" customHeight="1">
      <c r="A2028" s="1156">
        <f t="shared" si="156"/>
        <v>0</v>
      </c>
      <c r="B2028" s="1329" t="s">
        <v>1682</v>
      </c>
      <c r="C2028" s="1329"/>
      <c r="D2028" s="1093"/>
      <c r="E2028" s="1094">
        <f>VLOOKUP($B2028,DG!A:D,DG!$B$2,)</f>
        <v>0</v>
      </c>
      <c r="F2028" s="1111" t="str">
        <f>VLOOKUP($B2028,DG!A:D,DG!$C$2,)&amp;": 0,4m2/m"</f>
        <v>Tấm nilông màu cảnh báo: 0,4m2/m</v>
      </c>
      <c r="G2028" s="1094" t="str">
        <f>VLOOKUP($B2028,DG!A:D,DG!$D$2,)</f>
        <v>m2</v>
      </c>
      <c r="H2028" s="1873">
        <f>0.4*H2023</f>
        <v>0</v>
      </c>
      <c r="I2028" s="1262">
        <f t="shared" si="155"/>
        <v>0</v>
      </c>
      <c r="J2028" s="1084"/>
      <c r="K2028" s="1084"/>
      <c r="L2028" s="1085"/>
      <c r="M2028" s="977">
        <v>560</v>
      </c>
    </row>
    <row r="2029" spans="1:14" s="1086" customFormat="1" ht="25.15" hidden="1" customHeight="1">
      <c r="A2029" s="1156">
        <f t="shared" si="156"/>
        <v>0</v>
      </c>
      <c r="B2029" s="1329" t="s">
        <v>1523</v>
      </c>
      <c r="C2029" s="1329"/>
      <c r="D2029" s="1081"/>
      <c r="E2029" s="1094">
        <f>VLOOKUP($B2029,DG!A:D,DG!$B$2,)</f>
        <v>0</v>
      </c>
      <c r="F2029" s="1111" t="str">
        <f>VLOOKUP($B2029,DG!A:D,DG!$C$2,)</f>
        <v>Ống PVC D140x6,7mm</v>
      </c>
      <c r="G2029" s="1094" t="str">
        <f>VLOOKUP($B2029,DG!A:D,DG!$D$2,)</f>
        <v>m</v>
      </c>
      <c r="H2029" s="1873">
        <f>1*H2023</f>
        <v>0</v>
      </c>
      <c r="I2029" s="1262">
        <f t="shared" si="155"/>
        <v>0</v>
      </c>
      <c r="J2029" s="1084"/>
      <c r="K2029" s="1084"/>
      <c r="L2029" s="1085"/>
      <c r="M2029" s="977">
        <v>560</v>
      </c>
    </row>
    <row r="2030" spans="1:14" s="1086" customFormat="1" ht="25.15" hidden="1" customHeight="1">
      <c r="A2030" s="1156">
        <f t="shared" si="156"/>
        <v>0</v>
      </c>
      <c r="B2030" s="1329" t="s">
        <v>1684</v>
      </c>
      <c r="C2030" s="1329"/>
      <c r="D2030" s="1093"/>
      <c r="E2030" s="1094" t="str">
        <f>VLOOKUP($B2030,DG!A:D,DG!$B$2,)</f>
        <v>03.7000</v>
      </c>
      <c r="F2030" s="1111" t="str">
        <f>VLOOKUP($B2030,DG!A:D,DG!$C$2,)&amp;" + ñaép ñaù"</f>
        <v>Đắp cát  + ñaép ñaù</v>
      </c>
      <c r="G2030" s="1094" t="str">
        <f>VLOOKUP($B2030,DG!A:D,DG!$D$2,)</f>
        <v>m3</v>
      </c>
      <c r="H2030" s="1873">
        <f>H2025+H2026</f>
        <v>0</v>
      </c>
      <c r="I2030" s="1262">
        <f t="shared" si="155"/>
        <v>0</v>
      </c>
      <c r="J2030" s="1084"/>
      <c r="K2030" s="1084"/>
      <c r="L2030" s="1085"/>
      <c r="M2030" s="977">
        <v>560</v>
      </c>
    </row>
    <row r="2031" spans="1:14" s="1086" customFormat="1" ht="25.15" hidden="1" customHeight="1">
      <c r="A2031" s="1156">
        <f t="shared" si="156"/>
        <v>0</v>
      </c>
      <c r="B2031" s="1329" t="s">
        <v>144</v>
      </c>
      <c r="C2031" s="1329"/>
      <c r="D2031" s="1093"/>
      <c r="E2031" s="1094" t="str">
        <f>VLOOKUP($B2031,DG!A:D,DG!$B$2,)</f>
        <v>03.3103</v>
      </c>
      <c r="F2031" s="1111" t="str">
        <f>VLOOKUP($B2031,DG!A:D,DG!$C$2,)&amp;" : 0,48m3/m"</f>
        <v>Đào mương cáp ngầm đất cấp 3 : 0,48m3/m</v>
      </c>
      <c r="G2031" s="1094" t="str">
        <f>VLOOKUP($B2031,DG!A:D,DG!$D$2,)</f>
        <v>m3</v>
      </c>
      <c r="H2031" s="1873">
        <f>H2023*0.48</f>
        <v>0</v>
      </c>
      <c r="I2031" s="1262">
        <f t="shared" si="155"/>
        <v>0</v>
      </c>
      <c r="J2031" s="1084"/>
      <c r="K2031" s="1084"/>
      <c r="L2031" s="1085"/>
      <c r="M2031" s="977">
        <v>560</v>
      </c>
    </row>
    <row r="2032" spans="1:14" s="1086" customFormat="1" ht="25.15" hidden="1" customHeight="1">
      <c r="A2032" s="1156">
        <f t="shared" si="156"/>
        <v>0</v>
      </c>
      <c r="B2032" s="1329" t="s">
        <v>529</v>
      </c>
      <c r="C2032" s="1329"/>
      <c r="D2032" s="1093"/>
      <c r="E2032" s="1094" t="str">
        <f>VLOOKUP($B2032,DG!A:D,DG!$B$2,)</f>
        <v>03.3203</v>
      </c>
      <c r="F2032" s="1111" t="str">
        <f>VLOOKUP($B2032,DG!A:D,DG!$C$2,)&amp;" : 0,073m3/m"</f>
        <v>Đắp đất mương cáp ngầm, đất cấp 3 : 0,073m3/m</v>
      </c>
      <c r="G2032" s="1094" t="str">
        <f>VLOOKUP($B2032,DG!A:D,DG!$D$2,)</f>
        <v>m3</v>
      </c>
      <c r="H2032" s="1873">
        <f>H2023*0.073</f>
        <v>0</v>
      </c>
      <c r="I2032" s="1262">
        <f t="shared" si="155"/>
        <v>0</v>
      </c>
      <c r="J2032" s="1084"/>
      <c r="K2032" s="1084"/>
      <c r="L2032" s="1085"/>
      <c r="M2032" s="977">
        <v>560</v>
      </c>
      <c r="N2032" s="1136">
        <v>0.47499999999999998</v>
      </c>
    </row>
    <row r="2033" spans="1:14" s="1086" customFormat="1" ht="25.15" hidden="1" customHeight="1">
      <c r="A2033" s="1156">
        <f t="shared" si="156"/>
        <v>0</v>
      </c>
      <c r="B2033" s="1327"/>
      <c r="C2033" s="1327"/>
      <c r="D2033" s="1087">
        <f>IF(H2033&gt;0,D2023+1,D2023)</f>
        <v>0</v>
      </c>
      <c r="E2033" s="1088"/>
      <c r="F2033" s="1089" t="s">
        <v>3746</v>
      </c>
      <c r="G2033" s="1087" t="s">
        <v>2394</v>
      </c>
      <c r="H2033" s="1889">
        <f>H2042</f>
        <v>0</v>
      </c>
      <c r="I2033" s="1262">
        <f t="shared" si="155"/>
        <v>0</v>
      </c>
      <c r="J2033" s="1084"/>
      <c r="K2033" s="1084"/>
      <c r="L2033" s="1085"/>
      <c r="M2033" s="977">
        <v>560</v>
      </c>
      <c r="N2033" s="1136">
        <v>0.88100000000000001</v>
      </c>
    </row>
    <row r="2034" spans="1:14" s="1086" customFormat="1" ht="25.15" hidden="1" customHeight="1">
      <c r="A2034" s="1156">
        <f>IF(A2033&gt;0,1,0)</f>
        <v>0</v>
      </c>
      <c r="B2034" s="1327"/>
      <c r="C2034" s="1327"/>
      <c r="D2034" s="1081"/>
      <c r="E2034" s="1091"/>
      <c r="F2034" s="1370" t="s">
        <v>2287</v>
      </c>
      <c r="G2034" s="1093"/>
      <c r="H2034" s="1873"/>
      <c r="I2034" s="1262">
        <f t="shared" si="155"/>
        <v>0</v>
      </c>
      <c r="J2034" s="1084"/>
      <c r="K2034" s="1084"/>
      <c r="L2034" s="1085"/>
      <c r="M2034" s="977">
        <v>560</v>
      </c>
    </row>
    <row r="2035" spans="1:14" s="1086" customFormat="1" ht="25.15" hidden="1" customHeight="1">
      <c r="A2035" s="1156">
        <f t="shared" si="156"/>
        <v>0</v>
      </c>
      <c r="B2035" s="1327" t="s">
        <v>623</v>
      </c>
      <c r="C2035" s="1327"/>
      <c r="D2035" s="1093"/>
      <c r="E2035" s="1094" t="str">
        <f>VLOOKUP($B2035,DG!A:D,DG!$B$2,)</f>
        <v>07.2204</v>
      </c>
      <c r="F2035" s="1095" t="str">
        <f>VLOOKUP($B2035,DG!A:D,DG!$C$2,)</f>
        <v>ÔÁng sắt tráng kẽm D140</v>
      </c>
      <c r="G2035" s="1094" t="str">
        <f>VLOOKUP($B2035,DG!A:D,DG!$D$2,)</f>
        <v>mét</v>
      </c>
      <c r="H2035" s="1873">
        <f>H2033*5*0</f>
        <v>0</v>
      </c>
      <c r="I2035" s="1262">
        <f t="shared" ref="I2035:I2098" si="157">IF(M2035=$M$23,H2035+J2035-K2035,0)</f>
        <v>0</v>
      </c>
      <c r="J2035" s="1084"/>
      <c r="K2035" s="1084"/>
      <c r="L2035" s="1085"/>
      <c r="M2035" s="977">
        <v>560</v>
      </c>
    </row>
    <row r="2036" spans="1:14" s="1086" customFormat="1" ht="25.15" hidden="1" customHeight="1">
      <c r="A2036" s="1156">
        <f t="shared" si="156"/>
        <v>0</v>
      </c>
      <c r="B2036" s="1329" t="s">
        <v>473</v>
      </c>
      <c r="C2036" s="1329"/>
      <c r="D2036" s="1081"/>
      <c r="E2036" s="1094">
        <f>VLOOKUP($B2036,DG!A:D,DG!$B$2,)</f>
        <v>0</v>
      </c>
      <c r="F2036" s="1095" t="str">
        <f>VLOOKUP($B2036,DG!A:D,DG!$C$2,)</f>
        <v>Co sừng 90 độ PVC 140</v>
      </c>
      <c r="G2036" s="1094" t="str">
        <f>VLOOKUP($B2036,DG!A:D,DG!$D$2,)</f>
        <v>cái</v>
      </c>
      <c r="H2036" s="1873">
        <f>H2033*0</f>
        <v>0</v>
      </c>
      <c r="I2036" s="1262">
        <f t="shared" si="157"/>
        <v>0</v>
      </c>
      <c r="J2036" s="1084"/>
      <c r="K2036" s="1084"/>
      <c r="L2036" s="1085"/>
      <c r="M2036" s="977">
        <v>560</v>
      </c>
    </row>
    <row r="2037" spans="1:14" s="1086" customFormat="1" ht="25.15" hidden="1" customHeight="1">
      <c r="A2037" s="1156">
        <f t="shared" si="156"/>
        <v>0</v>
      </c>
      <c r="B2037" s="1327" t="s">
        <v>120</v>
      </c>
      <c r="C2037" s="1327"/>
      <c r="D2037" s="1093"/>
      <c r="E2037" s="1094" t="str">
        <f>VLOOKUP($B2037,DG!A:D,DG!$B$2,)</f>
        <v>06.3231</v>
      </c>
      <c r="F2037" s="1095" t="str">
        <f>VLOOKUP($B2037,DG!A:D,DG!$C$2,)</f>
        <v>Cổ dê giữ ống STK D140 vào tường+Boulon+long đền+tắc ke sắt</v>
      </c>
      <c r="G2037" s="1094" t="str">
        <f>VLOOKUP($B2037,DG!A:D,DG!$D$2,)</f>
        <v>bộ</v>
      </c>
      <c r="H2037" s="1873">
        <f>H2033*2*0</f>
        <v>0</v>
      </c>
      <c r="I2037" s="1262">
        <f t="shared" si="157"/>
        <v>0</v>
      </c>
      <c r="J2037" s="1084"/>
      <c r="K2037" s="1084"/>
      <c r="L2037" s="1085"/>
      <c r="M2037" s="977">
        <v>560</v>
      </c>
    </row>
    <row r="2038" spans="1:14" s="1086" customFormat="1" ht="25.15" hidden="1" customHeight="1">
      <c r="A2038" s="1156">
        <f t="shared" si="156"/>
        <v>0</v>
      </c>
      <c r="B2038" s="1157" t="s">
        <v>1414</v>
      </c>
      <c r="C2038" s="1157"/>
      <c r="D2038" s="1093"/>
      <c r="E2038" s="1094">
        <f>VLOOKUP($B2038,DG!A:D,DG!$B$2,)</f>
        <v>0</v>
      </c>
      <c r="F2038" s="1095" t="str">
        <f>VLOOKUP($B2038,DG!A:D,DG!$C$2,)</f>
        <v>Giá đỡ cáp ngầm (V63x6)</v>
      </c>
      <c r="G2038" s="1094" t="str">
        <f>VLOOKUP($B2038,DG!A:D,DG!$D$2,)</f>
        <v>bộ</v>
      </c>
      <c r="H2038" s="1873">
        <f>H2033*0</f>
        <v>0</v>
      </c>
      <c r="I2038" s="1262">
        <f t="shared" si="157"/>
        <v>0</v>
      </c>
      <c r="J2038" s="1084"/>
      <c r="K2038" s="1084"/>
      <c r="L2038" s="1085"/>
      <c r="M2038" s="977">
        <v>560</v>
      </c>
    </row>
    <row r="2039" spans="1:14" s="1086" customFormat="1" ht="25.15" hidden="1" customHeight="1">
      <c r="A2039" s="1156">
        <f t="shared" si="156"/>
        <v>0</v>
      </c>
      <c r="B2039" s="1157" t="s">
        <v>2146</v>
      </c>
      <c r="C2039" s="1157"/>
      <c r="D2039" s="1093"/>
      <c r="E2039" s="1094">
        <f>VLOOKUP($B2039,DG!A:D,DG!$B$2,)</f>
        <v>0</v>
      </c>
      <c r="F2039" s="1095" t="str">
        <f>VLOOKUP($B2039,DG!A:D,DG!$C$2,)</f>
        <v>Giá đỡ cáp trung hạ thế</v>
      </c>
      <c r="G2039" s="1094" t="str">
        <f>VLOOKUP($B2039,DG!A:D,DG!$D$2,)</f>
        <v>bộ</v>
      </c>
      <c r="H2039" s="1873">
        <f>H2033</f>
        <v>0</v>
      </c>
      <c r="I2039" s="1262">
        <f t="shared" si="157"/>
        <v>0</v>
      </c>
      <c r="J2039" s="1084"/>
      <c r="K2039" s="1084"/>
      <c r="L2039" s="1085"/>
      <c r="M2039" s="977">
        <v>560</v>
      </c>
    </row>
    <row r="2040" spans="1:14" s="1086" customFormat="1" ht="25.15" hidden="1" customHeight="1">
      <c r="A2040" s="1156">
        <f t="shared" si="156"/>
        <v>0</v>
      </c>
      <c r="B2040" s="1327" t="s">
        <v>1415</v>
      </c>
      <c r="C2040" s="1327"/>
      <c r="D2040" s="1081"/>
      <c r="E2040" s="1094" t="str">
        <f>VLOOKUP($B2040,DG!A:D,DG!$B$2,)</f>
        <v>05.6101</v>
      </c>
      <c r="F2040" s="1095" t="str">
        <f>VLOOKUP($B2040,DG!A:D,DG!$C$2,)</f>
        <v>Lắp Giá đỡ cáp</v>
      </c>
      <c r="G2040" s="1094" t="str">
        <f>VLOOKUP($B2040,DG!A:D,DG!$D$2,)</f>
        <v>bộ</v>
      </c>
      <c r="H2040" s="1873">
        <f>H2038+H2039</f>
        <v>0</v>
      </c>
      <c r="I2040" s="1262">
        <f t="shared" si="157"/>
        <v>0</v>
      </c>
      <c r="J2040" s="1084"/>
      <c r="K2040" s="1084"/>
      <c r="L2040" s="1085"/>
      <c r="M2040" s="977">
        <v>560</v>
      </c>
    </row>
    <row r="2041" spans="1:14" s="1086" customFormat="1" ht="25.15" hidden="1" customHeight="1">
      <c r="A2041" s="1156">
        <f t="shared" si="156"/>
        <v>0</v>
      </c>
      <c r="B2041" s="1327" t="s">
        <v>289</v>
      </c>
      <c r="C2041" s="1327"/>
      <c r="D2041" s="1093"/>
      <c r="E2041" s="1094" t="str">
        <f>VLOOKUP($B2041,DG!A:D,DG!$B$2,)</f>
        <v>06.3191</v>
      </c>
      <c r="F2041" s="1095" t="str">
        <f>VLOOKUP($B2041,DG!A:D,DG!$C$2,)</f>
        <v>Bảng tên trạm, bảng báo nguy hiểm + đinh vít</v>
      </c>
      <c r="G2041" s="1094" t="str">
        <f>VLOOKUP($B2041,DG!A:D,DG!$D$2,)</f>
        <v>bộ</v>
      </c>
      <c r="H2041" s="1873">
        <f>H2033*0</f>
        <v>0</v>
      </c>
      <c r="I2041" s="1262">
        <f t="shared" si="157"/>
        <v>0</v>
      </c>
      <c r="J2041" s="1084"/>
      <c r="K2041" s="1084"/>
      <c r="L2041" s="1085"/>
      <c r="M2041" s="977">
        <v>560</v>
      </c>
    </row>
    <row r="2042" spans="1:14" s="1086" customFormat="1" ht="25.15" hidden="1" customHeight="1">
      <c r="A2042" s="1156">
        <f t="shared" si="156"/>
        <v>0</v>
      </c>
      <c r="B2042" s="1327"/>
      <c r="C2042" s="1327"/>
      <c r="D2042" s="1087">
        <f>IF(H2042&gt;0,D2033+1,D2033)</f>
        <v>0</v>
      </c>
      <c r="E2042" s="1088"/>
      <c r="F2042" s="1097" t="s">
        <v>3747</v>
      </c>
      <c r="G2042" s="1087" t="s">
        <v>2394</v>
      </c>
      <c r="H2042" s="1889">
        <f>H1901*0</f>
        <v>0</v>
      </c>
      <c r="I2042" s="1262">
        <f t="shared" si="157"/>
        <v>0</v>
      </c>
      <c r="J2042" s="1084"/>
      <c r="K2042" s="1084"/>
      <c r="L2042" s="1085"/>
      <c r="M2042" s="977">
        <v>560</v>
      </c>
    </row>
    <row r="2043" spans="1:14" s="1086" customFormat="1" ht="25.15" hidden="1" customHeight="1">
      <c r="A2043" s="1156">
        <f>IF(A2042&gt;0,1,0)</f>
        <v>0</v>
      </c>
      <c r="B2043" s="1327"/>
      <c r="C2043" s="1327"/>
      <c r="D2043" s="1081"/>
      <c r="E2043" s="1091"/>
      <c r="F2043" s="1371" t="s">
        <v>2287</v>
      </c>
      <c r="G2043" s="1081"/>
      <c r="H2043" s="1890"/>
      <c r="I2043" s="1262">
        <f t="shared" si="157"/>
        <v>0</v>
      </c>
      <c r="J2043" s="1084"/>
      <c r="K2043" s="1084"/>
      <c r="L2043" s="1085"/>
      <c r="M2043" s="977">
        <v>560</v>
      </c>
    </row>
    <row r="2044" spans="1:14" s="1086" customFormat="1" ht="25.15" hidden="1" customHeight="1">
      <c r="A2044" s="1156">
        <f t="shared" si="156"/>
        <v>0</v>
      </c>
      <c r="B2044" s="1157" t="s">
        <v>470</v>
      </c>
      <c r="C2044" s="1157"/>
      <c r="D2044" s="1093"/>
      <c r="E2044" s="1082">
        <f>VLOOKUP($B2044,DG!A:D,DG!$B$2,)</f>
        <v>0</v>
      </c>
      <c r="F2044" s="1083" t="str">
        <f>VLOOKUP($B2044,DG!A:D,DG!$C$2,)&amp;": trong möông vaø leân MBA"</f>
        <v>Cáp 24kV C/XLPE/DSTA/PVC3x50: trong möông vaø leân MBA</v>
      </c>
      <c r="G2044" s="1082" t="str">
        <f>VLOOKUP($B2044,DG!A:D,DG!$D$2,)</f>
        <v>mét</v>
      </c>
      <c r="H2044" s="1873">
        <f>H2023+H2042*8</f>
        <v>0</v>
      </c>
      <c r="I2044" s="1262">
        <f t="shared" si="157"/>
        <v>0</v>
      </c>
      <c r="J2044" s="1084"/>
      <c r="K2044" s="1084"/>
      <c r="L2044" s="1085"/>
      <c r="M2044" s="977">
        <v>560</v>
      </c>
    </row>
    <row r="2045" spans="1:14" s="1086" customFormat="1" ht="25.15" hidden="1" customHeight="1">
      <c r="A2045" s="1156">
        <f t="shared" si="156"/>
        <v>0</v>
      </c>
      <c r="B2045" s="1157" t="s">
        <v>271</v>
      </c>
      <c r="C2045" s="1157"/>
      <c r="D2045" s="1093"/>
      <c r="E2045" s="1082">
        <f>VLOOKUP($B2045,DG!A:D,DG!$B$2,)</f>
        <v>0</v>
      </c>
      <c r="F2045" s="1083" t="str">
        <f>VLOOKUP($B2045,DG!A:D,DG!$C$2,)&amp;": trung tính"</f>
        <v>Cáp 24KV C/XLPE/PVC 50mm2: trung tính</v>
      </c>
      <c r="G2045" s="1082" t="str">
        <f>VLOOKUP($B2045,DG!A:D,DG!$D$2,)</f>
        <v>mét</v>
      </c>
      <c r="H2045" s="1873">
        <f>H2044</f>
        <v>0</v>
      </c>
      <c r="I2045" s="1262">
        <f t="shared" si="157"/>
        <v>0</v>
      </c>
      <c r="J2045" s="1084"/>
      <c r="K2045" s="1084"/>
      <c r="L2045" s="1085"/>
      <c r="M2045" s="977">
        <v>560</v>
      </c>
    </row>
    <row r="2046" spans="1:14" s="1086" customFormat="1" ht="25.15" hidden="1" customHeight="1">
      <c r="A2046" s="1156">
        <f t="shared" si="156"/>
        <v>0</v>
      </c>
      <c r="B2046" s="1157" t="s">
        <v>271</v>
      </c>
      <c r="C2046" s="1157"/>
      <c r="D2046" s="1093"/>
      <c r="E2046" s="1082">
        <f>VLOOKUP($B2046,DG!A:D,DG!$B$2,)</f>
        <v>0</v>
      </c>
      <c r="F2046" s="1083" t="str">
        <f>VLOOKUP($B2046,DG!A:D,DG!$C$2,)&amp;": 0,5m/pha töø FCO xuoáng MBA"</f>
        <v>Cáp 24KV C/XLPE/PVC 50mm2: 0,5m/pha töø FCO xuoáng MBA</v>
      </c>
      <c r="G2046" s="1082" t="str">
        <f>VLOOKUP($B2046,DG!A:D,DG!$D$2,)</f>
        <v>mét</v>
      </c>
      <c r="H2046" s="1873">
        <f>H2042*0.5*3*0</f>
        <v>0</v>
      </c>
      <c r="I2046" s="1262">
        <f t="shared" si="157"/>
        <v>0</v>
      </c>
      <c r="J2046" s="1084"/>
      <c r="K2046" s="1084"/>
      <c r="L2046" s="1085"/>
      <c r="M2046" s="977">
        <v>560</v>
      </c>
    </row>
    <row r="2047" spans="1:14" s="1086" customFormat="1" ht="25.15" hidden="1" customHeight="1">
      <c r="A2047" s="1156">
        <f t="shared" si="156"/>
        <v>0</v>
      </c>
      <c r="B2047" s="1157" t="s">
        <v>1357</v>
      </c>
      <c r="C2047" s="1157"/>
      <c r="D2047" s="1093"/>
      <c r="E2047" s="1082">
        <f>VLOOKUP($B2047,DG!A:D,DG!$B$2,)</f>
        <v>0</v>
      </c>
      <c r="F2047" s="1083" t="str">
        <f>VLOOKUP($B2047,DG!A:D,DG!$C$2,)</f>
        <v>Đầu cáp ngầm 24KV 3x50mm2 outdoor</v>
      </c>
      <c r="G2047" s="1082" t="str">
        <f>VLOOKUP($B2047,DG!A:D,DG!$D$2,)</f>
        <v>cái</v>
      </c>
      <c r="H2047" s="1873">
        <f>H2042</f>
        <v>0</v>
      </c>
      <c r="I2047" s="1262">
        <f t="shared" si="157"/>
        <v>0</v>
      </c>
      <c r="J2047" s="1084"/>
      <c r="K2047" s="1084"/>
      <c r="L2047" s="1085"/>
      <c r="M2047" s="977">
        <v>560</v>
      </c>
    </row>
    <row r="2048" spans="1:14" s="1086" customFormat="1" ht="25.15" hidden="1" customHeight="1">
      <c r="A2048" s="1156">
        <f t="shared" si="156"/>
        <v>0</v>
      </c>
      <c r="B2048" s="1157" t="s">
        <v>470</v>
      </c>
      <c r="C2048" s="1157"/>
      <c r="D2048" s="1093"/>
      <c r="E2048" s="1082">
        <f>VLOOKUP($B2048,DG!A:D,DG!$B$2,)</f>
        <v>0</v>
      </c>
      <c r="F2048" s="1083" t="str">
        <f>VLOOKUP($B2048,DG!A:D,DG!$C$2,)&amp;": töø tuû LBS ñeán MBA"</f>
        <v>Cáp 24kV C/XLPE/DSTA/PVC3x50: töø tuû LBS ñeán MBA</v>
      </c>
      <c r="G2048" s="1082" t="str">
        <f>VLOOKUP($B2048,DG!A:D,DG!$D$2,)</f>
        <v>mét</v>
      </c>
      <c r="H2048" s="1873">
        <f>(1.2+2.4)*H2042*0</f>
        <v>0</v>
      </c>
      <c r="I2048" s="1262">
        <f t="shared" si="157"/>
        <v>0</v>
      </c>
      <c r="J2048" s="1084"/>
      <c r="K2048" s="1084"/>
      <c r="L2048" s="1085"/>
      <c r="M2048" s="977">
        <v>560</v>
      </c>
    </row>
    <row r="2049" spans="1:13" s="1086" customFormat="1" ht="25.15" hidden="1" customHeight="1">
      <c r="A2049" s="1156">
        <f t="shared" si="156"/>
        <v>0</v>
      </c>
      <c r="B2049" s="1157" t="s">
        <v>271</v>
      </c>
      <c r="C2049" s="1157"/>
      <c r="D2049" s="1093"/>
      <c r="E2049" s="1082">
        <f>VLOOKUP($B2049,DG!A:D,DG!$B$2,)</f>
        <v>0</v>
      </c>
      <c r="F2049" s="1083" t="str">
        <f>VLOOKUP($B2049,DG!A:D,DG!$C$2,)&amp;": töø tuû LBS ñeán MBA"</f>
        <v>Cáp 24KV C/XLPE/PVC 50mm2: töø tuû LBS ñeán MBA</v>
      </c>
      <c r="G2049" s="1082" t="str">
        <f>VLOOKUP($B2049,DG!A:D,DG!$D$2,)</f>
        <v>mét</v>
      </c>
      <c r="H2049" s="1873">
        <f>H2042*1.2*0</f>
        <v>0</v>
      </c>
      <c r="I2049" s="1262">
        <f t="shared" si="157"/>
        <v>0</v>
      </c>
      <c r="J2049" s="1084"/>
      <c r="K2049" s="1084"/>
      <c r="L2049" s="1085"/>
      <c r="M2049" s="977">
        <v>560</v>
      </c>
    </row>
    <row r="2050" spans="1:13" s="1086" customFormat="1" ht="25.15" hidden="1" customHeight="1">
      <c r="A2050" s="1156">
        <f t="shared" si="156"/>
        <v>0</v>
      </c>
      <c r="B2050" s="1157" t="s">
        <v>1358</v>
      </c>
      <c r="C2050" s="1157"/>
      <c r="D2050" s="1093"/>
      <c r="E2050" s="1082">
        <f>VLOOKUP($B2050,DG!A:D,DG!$B$2,)</f>
        <v>0</v>
      </c>
      <c r="F2050" s="1083" t="str">
        <f>VLOOKUP($B2050,DG!A:D,DG!$C$2,)</f>
        <v>Đầu cáp ngầm 24KV 3x50mm2 indoor</v>
      </c>
      <c r="G2050" s="1082" t="str">
        <f>VLOOKUP($B2050,DG!A:D,DG!$D$2,)</f>
        <v>cái</v>
      </c>
      <c r="H2050" s="1873">
        <f>H2042</f>
        <v>0</v>
      </c>
      <c r="I2050" s="1262">
        <f t="shared" si="157"/>
        <v>0</v>
      </c>
      <c r="J2050" s="1084"/>
      <c r="K2050" s="1084"/>
      <c r="L2050" s="1085"/>
      <c r="M2050" s="977">
        <v>560</v>
      </c>
    </row>
    <row r="2051" spans="1:13" s="1086" customFormat="1" ht="25.15" hidden="1" customHeight="1">
      <c r="A2051" s="1156">
        <f t="shared" si="156"/>
        <v>0</v>
      </c>
      <c r="B2051" s="1157" t="s">
        <v>1680</v>
      </c>
      <c r="C2051" s="1157"/>
      <c r="D2051" s="1093"/>
      <c r="E2051" s="1082" t="str">
        <f>VLOOKUP($B2051,DG!A:D,DG!$B$2,)</f>
        <v>07.4312</v>
      </c>
      <c r="F2051" s="1083" t="str">
        <f>VLOOKUP($B2051,DG!A:D,DG!$C$2,)</f>
        <v>Lắp đầu cáp trung thế 3x50mm2, 70mm2</v>
      </c>
      <c r="G2051" s="1082" t="str">
        <f>VLOOKUP($B2051,DG!A:D,DG!$D$2,)</f>
        <v>cái</v>
      </c>
      <c r="H2051" s="1873">
        <f>H2047+H2050</f>
        <v>0</v>
      </c>
      <c r="I2051" s="1262">
        <f t="shared" si="157"/>
        <v>0</v>
      </c>
      <c r="J2051" s="1084"/>
      <c r="K2051" s="1084"/>
      <c r="L2051" s="1085"/>
      <c r="M2051" s="977">
        <v>560</v>
      </c>
    </row>
    <row r="2052" spans="1:13" s="1086" customFormat="1" ht="25.15" hidden="1" customHeight="1">
      <c r="A2052" s="1156">
        <f t="shared" si="156"/>
        <v>0</v>
      </c>
      <c r="B2052" s="1157" t="s">
        <v>1206</v>
      </c>
      <c r="C2052" s="1157"/>
      <c r="D2052" s="1093"/>
      <c r="E2052" s="1082" t="str">
        <f>VLOOKUP($B2052,DG!A:D,DG!$B$2,)</f>
        <v>03.1405</v>
      </c>
      <c r="F2052" s="1083" t="str">
        <f>VLOOKUP($B2052,DG!A:D,DG!$C$2,)</f>
        <v>Lắp cáp trong ống bảo vệ trong TBA loại &lt;=6kg</v>
      </c>
      <c r="G2052" s="1082" t="str">
        <f>VLOOKUP($B2052,DG!A:D,DG!$D$2,)</f>
        <v>mét</v>
      </c>
      <c r="H2052" s="1873">
        <f>H2044+H2048</f>
        <v>0</v>
      </c>
      <c r="I2052" s="1262">
        <f t="shared" si="157"/>
        <v>0</v>
      </c>
      <c r="J2052" s="1084"/>
      <c r="K2052" s="1084"/>
      <c r="L2052" s="1085"/>
      <c r="M2052" s="977">
        <v>560</v>
      </c>
    </row>
    <row r="2053" spans="1:13" s="1086" customFormat="1" ht="25.15" hidden="1" customHeight="1">
      <c r="A2053" s="1156">
        <f t="shared" si="156"/>
        <v>0</v>
      </c>
      <c r="B2053" s="1157" t="s">
        <v>1203</v>
      </c>
      <c r="C2053" s="1157"/>
      <c r="D2053" s="1093"/>
      <c r="E2053" s="1082" t="str">
        <f>VLOOKUP($B2053,DG!A:D,DG!$B$2,)</f>
        <v>03.1402</v>
      </c>
      <c r="F2053" s="1083" t="str">
        <f>VLOOKUP($B2053,DG!A:D,DG!$C$2,)</f>
        <v>Lắp cáp trong ống bảo vệ trong TBA loại &lt;=2kg</v>
      </c>
      <c r="G2053" s="1082" t="str">
        <f>VLOOKUP($B2053,DG!A:D,DG!$D$2,)</f>
        <v>mét</v>
      </c>
      <c r="H2053" s="1873">
        <f>H2045+H2049</f>
        <v>0</v>
      </c>
      <c r="I2053" s="1262">
        <f t="shared" si="157"/>
        <v>0</v>
      </c>
      <c r="J2053" s="1084"/>
      <c r="K2053" s="1084"/>
      <c r="L2053" s="1085"/>
      <c r="M2053" s="977">
        <v>560</v>
      </c>
    </row>
    <row r="2054" spans="1:13" s="1086" customFormat="1" ht="25.15" hidden="1" customHeight="1">
      <c r="A2054" s="1156">
        <f t="shared" si="156"/>
        <v>0</v>
      </c>
      <c r="B2054" s="1157" t="s">
        <v>1530</v>
      </c>
      <c r="C2054" s="1157"/>
      <c r="D2054" s="1093"/>
      <c r="E2054" s="1082" t="str">
        <f>VLOOKUP($B2054,DG!A:D,DG!$B$2,)</f>
        <v>04.4201</v>
      </c>
      <c r="F2054" s="1083" t="str">
        <f>VLOOKUP($B2054,DG!A:D,DG!$C$2,)</f>
        <v>Lắp cáp đồng xuống thiết bị D ≤ 95mm2</v>
      </c>
      <c r="G2054" s="1082" t="str">
        <f>VLOOKUP($B2054,DG!A:D,DG!$D$2,)</f>
        <v>m</v>
      </c>
      <c r="H2054" s="1873">
        <f>H2046</f>
        <v>0</v>
      </c>
      <c r="I2054" s="1262">
        <f t="shared" si="157"/>
        <v>0</v>
      </c>
      <c r="J2054" s="1084"/>
      <c r="K2054" s="1084"/>
      <c r="L2054" s="1085"/>
      <c r="M2054" s="977">
        <v>560</v>
      </c>
    </row>
    <row r="2055" spans="1:13" s="1086" customFormat="1" ht="25.15" hidden="1" customHeight="1">
      <c r="A2055" s="1156">
        <f t="shared" si="156"/>
        <v>0</v>
      </c>
      <c r="B2055" s="1157" t="s">
        <v>1354</v>
      </c>
      <c r="C2055" s="1157"/>
      <c r="D2055" s="1093"/>
      <c r="E2055" s="1082">
        <f>VLOOKUP($B2055,DG!A:D,DG!$B$2,)</f>
        <v>0</v>
      </c>
      <c r="F2055" s="1083" t="str">
        <f>VLOOKUP($B2055,DG!A:D,DG!$C$2,)</f>
        <v>Dây rút cáp</v>
      </c>
      <c r="G2055" s="1082" t="str">
        <f>VLOOKUP($B2055,DG!A:D,DG!$D$2,)</f>
        <v>bọc</v>
      </c>
      <c r="H2055" s="1873">
        <f>H2042*2</f>
        <v>0</v>
      </c>
      <c r="I2055" s="1262">
        <f t="shared" si="157"/>
        <v>0</v>
      </c>
      <c r="J2055" s="1084"/>
      <c r="K2055" s="1084"/>
      <c r="L2055" s="1085"/>
      <c r="M2055" s="977">
        <v>560</v>
      </c>
    </row>
    <row r="2056" spans="1:13" s="1086" customFormat="1" ht="25.15" hidden="1" customHeight="1">
      <c r="A2056" s="1156">
        <f t="shared" si="156"/>
        <v>0</v>
      </c>
      <c r="B2056" s="1327"/>
      <c r="C2056" s="1327"/>
      <c r="D2056" s="1087">
        <f>IF(H2056&gt;0,D2042+1,D2042)</f>
        <v>0</v>
      </c>
      <c r="E2056" s="1088"/>
      <c r="F2056" s="1097" t="s">
        <v>3765</v>
      </c>
      <c r="G2056" s="1087" t="s">
        <v>2394</v>
      </c>
      <c r="H2056" s="1889">
        <f>H1901</f>
        <v>0</v>
      </c>
      <c r="I2056" s="1262">
        <f t="shared" si="157"/>
        <v>0</v>
      </c>
      <c r="J2056" s="1084"/>
      <c r="K2056" s="1084"/>
      <c r="L2056" s="1113"/>
      <c r="M2056" s="977">
        <v>560</v>
      </c>
    </row>
    <row r="2057" spans="1:13" s="1086" customFormat="1" ht="25.15" hidden="1" customHeight="1">
      <c r="A2057" s="1156">
        <f>IF(A2056&gt;0,1,0)</f>
        <v>0</v>
      </c>
      <c r="B2057" s="1327"/>
      <c r="C2057" s="1327"/>
      <c r="D2057" s="1081"/>
      <c r="E2057" s="1091"/>
      <c r="F2057" s="1371" t="s">
        <v>2287</v>
      </c>
      <c r="G2057" s="1081"/>
      <c r="H2057" s="1890"/>
      <c r="I2057" s="1262">
        <f t="shared" si="157"/>
        <v>0</v>
      </c>
      <c r="J2057" s="1084"/>
      <c r="K2057" s="1084"/>
      <c r="L2057" s="1113"/>
      <c r="M2057" s="977">
        <v>560</v>
      </c>
    </row>
    <row r="2058" spans="1:13" s="1086" customFormat="1" ht="25.15" hidden="1" customHeight="1">
      <c r="A2058" s="1156">
        <f t="shared" si="156"/>
        <v>0</v>
      </c>
      <c r="B2058" s="1157" t="s">
        <v>699</v>
      </c>
      <c r="C2058" s="1157"/>
      <c r="D2058" s="1093"/>
      <c r="E2058" s="1082">
        <f>VLOOKUP($B2058,DG!A:D,DG!$B$2,)</f>
        <v>0</v>
      </c>
      <c r="F2058" s="1083" t="str">
        <f>VLOOKUP($B2058,DG!A:D,DG!$C$2,)&amp;": 9m/1pha"</f>
        <v>Cáp 24KV CX-25mm2: 9m/1pha</v>
      </c>
      <c r="G2058" s="1082" t="str">
        <f>VLOOKUP($B2058,DG!A:D,DG!$D$2,)</f>
        <v>mét</v>
      </c>
      <c r="H2058" s="1873">
        <f>H2056*(9)*3</f>
        <v>0</v>
      </c>
      <c r="I2058" s="1262">
        <f t="shared" si="157"/>
        <v>0</v>
      </c>
      <c r="J2058" s="1084"/>
      <c r="K2058" s="1084"/>
      <c r="L2058" s="1113"/>
      <c r="M2058" s="977">
        <v>560</v>
      </c>
    </row>
    <row r="2059" spans="1:13" s="1086" customFormat="1" ht="25.15" hidden="1" customHeight="1">
      <c r="A2059" s="1156">
        <f t="shared" si="156"/>
        <v>0</v>
      </c>
      <c r="B2059" s="1157" t="s">
        <v>1584</v>
      </c>
      <c r="C2059" s="1157"/>
      <c r="D2059" s="1093"/>
      <c r="E2059" s="1082">
        <f>VLOOKUP($B2059,DG!A:D,DG!$B$2,)</f>
        <v>0</v>
      </c>
      <c r="F2059" s="1083" t="str">
        <f>VLOOKUP($B2059,DG!A:D,DG!$C$2,)</f>
        <v>Kẹp ép WR cỡ dây 50mm2</v>
      </c>
      <c r="G2059" s="1082" t="str">
        <f>VLOOKUP($B2059,DG!A:D,DG!$D$2,)</f>
        <v>cái</v>
      </c>
      <c r="H2059" s="1873">
        <f>H2056*6*0</f>
        <v>0</v>
      </c>
      <c r="I2059" s="1262">
        <f t="shared" si="157"/>
        <v>0</v>
      </c>
      <c r="J2059" s="1084"/>
      <c r="K2059" s="1084"/>
      <c r="L2059" s="1113"/>
      <c r="M2059" s="977">
        <v>560</v>
      </c>
    </row>
    <row r="2060" spans="1:13" s="1086" customFormat="1" ht="25.15" hidden="1" customHeight="1">
      <c r="A2060" s="1156">
        <f t="shared" si="156"/>
        <v>0</v>
      </c>
      <c r="B2060" s="1157" t="s">
        <v>1117</v>
      </c>
      <c r="C2060" s="1157"/>
      <c r="D2060" s="1093"/>
      <c r="E2060" s="1082">
        <f>VLOOKUP($B2060,DG!A:D,DG!$B$2,)</f>
        <v>0</v>
      </c>
      <c r="F2060" s="1083" t="str">
        <f>VLOOKUP($B2060,DG!A:D,DG!$C$2,)</f>
        <v>Kẹp ép cỡ dây 25mm2</v>
      </c>
      <c r="G2060" s="1082" t="str">
        <f>VLOOKUP($B2060,DG!A:D,DG!$D$2,)</f>
        <v>cái</v>
      </c>
      <c r="H2060" s="1873">
        <f>H2056*3*2</f>
        <v>0</v>
      </c>
      <c r="I2060" s="1262">
        <f t="shared" si="157"/>
        <v>0</v>
      </c>
      <c r="J2060" s="1084"/>
      <c r="K2060" s="1084"/>
      <c r="L2060" s="1085"/>
      <c r="M2060" s="977">
        <v>560</v>
      </c>
    </row>
    <row r="2061" spans="1:13" s="1086" customFormat="1" ht="25.15" hidden="1" customHeight="1">
      <c r="A2061" s="1156">
        <f t="shared" si="156"/>
        <v>0</v>
      </c>
      <c r="B2061" s="1157" t="s">
        <v>550</v>
      </c>
      <c r="C2061" s="1157"/>
      <c r="D2061" s="1093"/>
      <c r="E2061" s="1082">
        <f>VLOOKUP($B2061,DG!A:D,DG!$B$2,)</f>
        <v>0</v>
      </c>
      <c r="F2061" s="1083" t="str">
        <f>VLOOKUP($B2061,DG!A:D,DG!$C$2,)</f>
        <v>Bass LI bắt FCO</v>
      </c>
      <c r="G2061" s="1082" t="str">
        <f>VLOOKUP($B2061,DG!A:D,DG!$D$2,)</f>
        <v>Bộ</v>
      </c>
      <c r="H2061" s="1873">
        <f>H2056*3*2</f>
        <v>0</v>
      </c>
      <c r="I2061" s="1262">
        <f t="shared" si="157"/>
        <v>0</v>
      </c>
      <c r="J2061" s="1084"/>
      <c r="K2061" s="1084"/>
      <c r="L2061" s="1085"/>
      <c r="M2061" s="977">
        <v>560</v>
      </c>
    </row>
    <row r="2062" spans="1:13" s="1086" customFormat="1" ht="25.15" hidden="1" customHeight="1">
      <c r="A2062" s="1156">
        <f t="shared" si="156"/>
        <v>0</v>
      </c>
      <c r="B2062" s="1157" t="s">
        <v>1484</v>
      </c>
      <c r="C2062" s="1157"/>
      <c r="D2062" s="1093"/>
      <c r="E2062" s="1082" t="str">
        <f>VLOOKUP($B2062,DG!A:D,DG!$B$2,)</f>
        <v>04.3007</v>
      </c>
      <c r="F2062" s="1083" t="str">
        <f>VLOOKUP($B2062,DG!A:D,DG!$C$2,)</f>
        <v>Kẹp quai 2/0</v>
      </c>
      <c r="G2062" s="1082" t="str">
        <f>VLOOKUP($B2062,DG!A:D,DG!$D$2,)</f>
        <v>cái</v>
      </c>
      <c r="H2062" s="1873">
        <f>H2056*3</f>
        <v>0</v>
      </c>
      <c r="I2062" s="1262">
        <f t="shared" si="157"/>
        <v>0</v>
      </c>
      <c r="J2062" s="1084"/>
      <c r="K2062" s="1084"/>
      <c r="L2062" s="1113"/>
      <c r="M2062" s="977">
        <v>560</v>
      </c>
    </row>
    <row r="2063" spans="1:13" s="1086" customFormat="1" ht="25.15" hidden="1" customHeight="1">
      <c r="A2063" s="1156">
        <f t="shared" si="156"/>
        <v>0</v>
      </c>
      <c r="B2063" s="1157" t="s">
        <v>1482</v>
      </c>
      <c r="C2063" s="1157"/>
      <c r="D2063" s="1093"/>
      <c r="E2063" s="1082" t="str">
        <f>VLOOKUP($B2063,DG!A:D,DG!$B$2,)</f>
        <v>04.3007</v>
      </c>
      <c r="F2063" s="1083" t="str">
        <f>VLOOKUP($B2063,DG!A:D,DG!$C$2,)&amp;": "</f>
        <v xml:space="preserve">Kẹp hotline 2/0: </v>
      </c>
      <c r="G2063" s="1082" t="str">
        <f>VLOOKUP($B2063,DG!A:D,DG!$D$2,)</f>
        <v>cái</v>
      </c>
      <c r="H2063" s="1873">
        <f>H2062</f>
        <v>0</v>
      </c>
      <c r="I2063" s="1262">
        <f t="shared" si="157"/>
        <v>0</v>
      </c>
      <c r="J2063" s="1084"/>
      <c r="K2063" s="1084"/>
      <c r="L2063" s="1113"/>
      <c r="M2063" s="977">
        <v>560</v>
      </c>
    </row>
    <row r="2064" spans="1:13" s="1086" customFormat="1" ht="25.15" hidden="1" customHeight="1">
      <c r="A2064" s="1156">
        <f t="shared" si="156"/>
        <v>0</v>
      </c>
      <c r="B2064" s="1157" t="s">
        <v>698</v>
      </c>
      <c r="C2064" s="1157"/>
      <c r="D2064" s="1113"/>
      <c r="E2064" s="1082">
        <f>VLOOKUP($B2064,DG!A:D,DG!$B$2,)</f>
        <v>0</v>
      </c>
      <c r="F2064" s="1083" t="str">
        <f>VLOOKUP($B2064,DG!A:D,DG!$C$2,)</f>
        <v xml:space="preserve">Sứ đứng 24KV </v>
      </c>
      <c r="G2064" s="1082" t="str">
        <f>VLOOKUP($B2064,DG!A:D,DG!$D$2,)</f>
        <v>cái</v>
      </c>
      <c r="H2064" s="1873">
        <f>H2056*9</f>
        <v>0</v>
      </c>
      <c r="I2064" s="1262">
        <f t="shared" si="157"/>
        <v>0</v>
      </c>
      <c r="J2064" s="1084"/>
      <c r="K2064" s="1084"/>
      <c r="L2064" s="1113"/>
      <c r="M2064" s="977">
        <v>560</v>
      </c>
    </row>
    <row r="2065" spans="1:13" s="1086" customFormat="1" ht="25.15" hidden="1" customHeight="1">
      <c r="A2065" s="1156">
        <f t="shared" si="156"/>
        <v>0</v>
      </c>
      <c r="B2065" s="1157" t="s">
        <v>1270</v>
      </c>
      <c r="C2065" s="1157"/>
      <c r="D2065" s="1093"/>
      <c r="E2065" s="1082">
        <f>VLOOKUP($B2065,DG!A:D,DG!$B$2,)</f>
        <v>0</v>
      </c>
      <c r="F2065" s="1083" t="str">
        <f>VLOOKUP($B2065,DG!A:D,DG!$C$2,)</f>
        <v>Chân sứ đứng D20</v>
      </c>
      <c r="G2065" s="1082" t="str">
        <f>VLOOKUP($B2065,DG!A:D,DG!$D$2,)</f>
        <v>cái</v>
      </c>
      <c r="H2065" s="1873">
        <f>H2064</f>
        <v>0</v>
      </c>
      <c r="I2065" s="1262">
        <f t="shared" si="157"/>
        <v>0</v>
      </c>
      <c r="J2065" s="1084"/>
      <c r="K2065" s="1084"/>
      <c r="L2065" s="1113"/>
      <c r="M2065" s="977">
        <v>560</v>
      </c>
    </row>
    <row r="2066" spans="1:13" s="1086" customFormat="1" ht="25.15" hidden="1" customHeight="1">
      <c r="A2066" s="1156">
        <f t="shared" si="156"/>
        <v>0</v>
      </c>
      <c r="B2066" s="1157" t="s">
        <v>439</v>
      </c>
      <c r="C2066" s="1157"/>
      <c r="D2066" s="1093"/>
      <c r="E2066" s="1082">
        <f>VLOOKUP($B2066,DG!A:D,DG!$B$2,)</f>
        <v>0</v>
      </c>
      <c r="F2066" s="1083" t="str">
        <f>VLOOKUP($B2066,DG!A:D,DG!$C$2,)</f>
        <v>Sứ treo polymer</v>
      </c>
      <c r="G2066" s="1082" t="str">
        <f>VLOOKUP($B2066,DG!A:D,DG!$D$2,)</f>
        <v>chuỗi</v>
      </c>
      <c r="H2066" s="1911">
        <f>H2056*6*0</f>
        <v>0</v>
      </c>
      <c r="I2066" s="1262">
        <f t="shared" si="157"/>
        <v>0</v>
      </c>
      <c r="J2066" s="1084"/>
      <c r="K2066" s="1084"/>
      <c r="L2066" s="1113"/>
      <c r="M2066" s="977">
        <v>560</v>
      </c>
    </row>
    <row r="2067" spans="1:13" s="1086" customFormat="1" ht="25.15" hidden="1" customHeight="1">
      <c r="A2067" s="1156">
        <f t="shared" si="156"/>
        <v>0</v>
      </c>
      <c r="B2067" s="1157" t="s">
        <v>1570</v>
      </c>
      <c r="C2067" s="1157"/>
      <c r="D2067" s="1093"/>
      <c r="E2067" s="1082" t="str">
        <f>VLOOKUP($B2067,DG!A:D,DG!$B$2,)</f>
        <v>06.1115</v>
      </c>
      <c r="F2067" s="1083" t="str">
        <f>VLOOKUP($B2067,DG!A:D,DG!$C$2,)</f>
        <v>Lắp sứ đứng 24KV</v>
      </c>
      <c r="G2067" s="1082" t="str">
        <f>VLOOKUP($B2067,DG!A:D,DG!$D$2,)</f>
        <v>bộ</v>
      </c>
      <c r="H2067" s="1873">
        <f>H2065</f>
        <v>0</v>
      </c>
      <c r="I2067" s="1262">
        <f t="shared" si="157"/>
        <v>0</v>
      </c>
      <c r="J2067" s="1084"/>
      <c r="K2067" s="1084"/>
      <c r="L2067" s="1113"/>
      <c r="M2067" s="977">
        <v>560</v>
      </c>
    </row>
    <row r="2068" spans="1:13" s="1086" customFormat="1" ht="25.15" hidden="1" customHeight="1">
      <c r="A2068" s="1156">
        <f t="shared" si="156"/>
        <v>0</v>
      </c>
      <c r="B2068" s="1157" t="s">
        <v>235</v>
      </c>
      <c r="C2068" s="1157"/>
      <c r="D2068" s="1093"/>
      <c r="E2068" s="1082" t="str">
        <f>VLOOKUP($B2068,DG!A:D,DG!$B$2,)</f>
        <v>06.1115</v>
      </c>
      <c r="F2068" s="1083" t="str">
        <f>VLOOKUP($B2068,DG!A:D,DG!$C$2,)</f>
        <v>Tháo sứ đứng 24KV</v>
      </c>
      <c r="G2068" s="1082" t="str">
        <f>VLOOKUP($B2068,DG!A:D,DG!$D$2,)</f>
        <v>bộ</v>
      </c>
      <c r="H2068" s="1873"/>
      <c r="I2068" s="1262">
        <f t="shared" si="157"/>
        <v>0</v>
      </c>
      <c r="J2068" s="1084"/>
      <c r="K2068" s="1084"/>
      <c r="L2068" s="1113"/>
      <c r="M2068" s="977">
        <v>560</v>
      </c>
    </row>
    <row r="2069" spans="1:13" s="1086" customFormat="1" ht="25.15" hidden="1" customHeight="1">
      <c r="A2069" s="1156">
        <f t="shared" si="156"/>
        <v>0</v>
      </c>
      <c r="B2069" s="1157" t="s">
        <v>1512</v>
      </c>
      <c r="C2069" s="1157"/>
      <c r="D2069" s="1093"/>
      <c r="E2069" s="1082" t="str">
        <f>VLOOKUP($B2069,DG!A:D,DG!$B$2,)</f>
        <v>06.2201</v>
      </c>
      <c r="F2069" s="1083" t="str">
        <f>VLOOKUP($B2069,DG!A:D,DG!$C$2,)</f>
        <v>Lắp chuỗi sứ néo Polymer</v>
      </c>
      <c r="G2069" s="1082" t="str">
        <f>VLOOKUP($B2069,DG!A:D,DG!$D$2,)</f>
        <v>chuỗi</v>
      </c>
      <c r="H2069" s="1873">
        <f>H2066</f>
        <v>0</v>
      </c>
      <c r="I2069" s="1262">
        <f t="shared" si="157"/>
        <v>0</v>
      </c>
      <c r="J2069" s="1084"/>
      <c r="K2069" s="1084"/>
      <c r="L2069" s="1113"/>
      <c r="M2069" s="977">
        <v>560</v>
      </c>
    </row>
    <row r="2070" spans="1:13" s="1086" customFormat="1" ht="25.15" hidden="1" customHeight="1">
      <c r="A2070" s="1156">
        <f t="shared" si="156"/>
        <v>0</v>
      </c>
      <c r="B2070" s="1157" t="s">
        <v>1530</v>
      </c>
      <c r="C2070" s="1157"/>
      <c r="D2070" s="1093"/>
      <c r="E2070" s="1082" t="str">
        <f>VLOOKUP($B2070,DG!A:D,DG!$B$2,)</f>
        <v>04.4201</v>
      </c>
      <c r="F2070" s="1083" t="str">
        <f>VLOOKUP($B2070,DG!A:D,DG!$C$2,)</f>
        <v>Lắp cáp đồng xuống thiết bị D ≤ 95mm2</v>
      </c>
      <c r="G2070" s="1082" t="str">
        <f>VLOOKUP($B2070,DG!A:D,DG!$D$2,)</f>
        <v>m</v>
      </c>
      <c r="H2070" s="1873">
        <f>H2058</f>
        <v>0</v>
      </c>
      <c r="I2070" s="1262">
        <f t="shared" si="157"/>
        <v>0</v>
      </c>
      <c r="J2070" s="1084"/>
      <c r="K2070" s="1084"/>
      <c r="L2070" s="1113"/>
      <c r="M2070" s="977">
        <v>560</v>
      </c>
    </row>
    <row r="2071" spans="1:13" s="1086" customFormat="1" ht="25.15" hidden="1" customHeight="1">
      <c r="A2071" s="1156">
        <f t="shared" ref="A2071:A2134" si="158">IF(I2071&gt;0,1,0)</f>
        <v>0</v>
      </c>
      <c r="B2071" s="1327"/>
      <c r="C2071" s="1327"/>
      <c r="D2071" s="1087">
        <f>IF(H2071&gt;0,D2056+1,D2056)</f>
        <v>0</v>
      </c>
      <c r="E2071" s="1088"/>
      <c r="F2071" s="1097" t="s">
        <v>3729</v>
      </c>
      <c r="G2071" s="1087" t="s">
        <v>2394</v>
      </c>
      <c r="H2071" s="1889">
        <f>H1934</f>
        <v>0</v>
      </c>
      <c r="I2071" s="1262">
        <f t="shared" si="157"/>
        <v>0</v>
      </c>
      <c r="J2071" s="1084"/>
      <c r="K2071" s="1084"/>
      <c r="L2071" s="1085"/>
      <c r="M2071" s="977">
        <v>560</v>
      </c>
    </row>
    <row r="2072" spans="1:13" s="1086" customFormat="1" ht="25.15" hidden="1" customHeight="1">
      <c r="A2072" s="1156">
        <f>IF(A2071&gt;0,1,0)</f>
        <v>0</v>
      </c>
      <c r="B2072" s="1327"/>
      <c r="C2072" s="1327"/>
      <c r="D2072" s="1081"/>
      <c r="E2072" s="1091"/>
      <c r="F2072" s="1371" t="s">
        <v>2287</v>
      </c>
      <c r="G2072" s="1081"/>
      <c r="H2072" s="1890"/>
      <c r="I2072" s="1262">
        <f t="shared" si="157"/>
        <v>0</v>
      </c>
      <c r="J2072" s="1084"/>
      <c r="K2072" s="1084"/>
      <c r="L2072" s="1085"/>
      <c r="M2072" s="977">
        <v>560</v>
      </c>
    </row>
    <row r="2073" spans="1:13" s="1086" customFormat="1" ht="25.15" hidden="1" customHeight="1">
      <c r="A2073" s="1156">
        <f t="shared" si="158"/>
        <v>0</v>
      </c>
      <c r="B2073" s="1327" t="s">
        <v>1494</v>
      </c>
      <c r="C2073" s="1327"/>
      <c r="D2073" s="1093"/>
      <c r="E2073" s="1082" t="str">
        <f>VLOOKUP($B2073,DG!A:D,DG!$B$2,)</f>
        <v>04.8003</v>
      </c>
      <c r="F2073" s="1083" t="str">
        <f>VLOOKUP($B2073,DG!A:D,DG!$C$2,)</f>
        <v xml:space="preserve">Ống PVC D90x3,8mm </v>
      </c>
      <c r="G2073" s="1082" t="str">
        <f>VLOOKUP($B2073,DG!A:D,DG!$D$2,)</f>
        <v>m</v>
      </c>
      <c r="H2073" s="1873">
        <f>H2071*2</f>
        <v>0</v>
      </c>
      <c r="I2073" s="1262">
        <f t="shared" si="157"/>
        <v>0</v>
      </c>
      <c r="J2073" s="1084"/>
      <c r="K2073" s="1084"/>
      <c r="L2073" s="1085"/>
      <c r="M2073" s="977">
        <v>560</v>
      </c>
    </row>
    <row r="2074" spans="1:13" s="1086" customFormat="1" ht="25.15" hidden="1" customHeight="1">
      <c r="A2074" s="1156">
        <f t="shared" si="158"/>
        <v>0</v>
      </c>
      <c r="B2074" s="1327" t="s">
        <v>86</v>
      </c>
      <c r="C2074" s="1327"/>
      <c r="D2074" s="1093"/>
      <c r="E2074" s="1082">
        <f>VLOOKUP($B2074,DG!A:D,DG!$B$2,)</f>
        <v>0</v>
      </c>
      <c r="F2074" s="1083" t="str">
        <f>VLOOKUP($B2074,DG!A:D,DG!$C$2,)</f>
        <v>Co  90 độ PVC 90</v>
      </c>
      <c r="G2074" s="1082" t="str">
        <f>VLOOKUP($B2074,DG!A:D,DG!$D$2,)</f>
        <v>cái</v>
      </c>
      <c r="H2074" s="1873">
        <f>H2071*2</f>
        <v>0</v>
      </c>
      <c r="I2074" s="1262">
        <f t="shared" si="157"/>
        <v>0</v>
      </c>
      <c r="J2074" s="1084"/>
      <c r="K2074" s="1084"/>
      <c r="L2074" s="1085"/>
      <c r="M2074" s="977">
        <v>560</v>
      </c>
    </row>
    <row r="2075" spans="1:13" s="1086" customFormat="1" ht="25.15" hidden="1" customHeight="1">
      <c r="A2075" s="1156">
        <f t="shared" si="158"/>
        <v>0</v>
      </c>
      <c r="B2075" s="1327" t="s">
        <v>933</v>
      </c>
      <c r="C2075" s="1327"/>
      <c r="D2075" s="1093"/>
      <c r="E2075" s="1082">
        <f>VLOOKUP($B2075,DG!A:D,DG!$B$2,)</f>
        <v>0</v>
      </c>
      <c r="F2075" s="1083" t="str">
        <f>VLOOKUP($B2075,DG!A:D,DG!$C$2,)</f>
        <v>Khâu ven răng trong D90</v>
      </c>
      <c r="G2075" s="1082" t="str">
        <f>VLOOKUP($B2075,DG!A:D,DG!$D$2,)</f>
        <v>cái</v>
      </c>
      <c r="H2075" s="1873">
        <f>H2071*1*0</f>
        <v>0</v>
      </c>
      <c r="I2075" s="1262">
        <f t="shared" si="157"/>
        <v>0</v>
      </c>
      <c r="J2075" s="1084"/>
      <c r="K2075" s="1084"/>
      <c r="L2075" s="1085"/>
      <c r="M2075" s="977">
        <v>560</v>
      </c>
    </row>
    <row r="2076" spans="1:13" s="1086" customFormat="1" ht="25.15" hidden="1" customHeight="1">
      <c r="A2076" s="1156">
        <f t="shared" si="158"/>
        <v>0</v>
      </c>
      <c r="B2076" s="1327" t="s">
        <v>932</v>
      </c>
      <c r="C2076" s="1327"/>
      <c r="D2076" s="1093"/>
      <c r="E2076" s="1082">
        <f>VLOOKUP($B2076,DG!A:D,DG!$B$2,)</f>
        <v>0</v>
      </c>
      <c r="F2076" s="1083" t="str">
        <f>VLOOKUP($B2076,DG!A:D,DG!$C$2,)</f>
        <v>Khâu ven răng ngoài D90</v>
      </c>
      <c r="G2076" s="1082" t="str">
        <f>VLOOKUP($B2076,DG!A:D,DG!$D$2,)</f>
        <v>cái</v>
      </c>
      <c r="H2076" s="1873">
        <f>H2075</f>
        <v>0</v>
      </c>
      <c r="I2076" s="1262">
        <f t="shared" si="157"/>
        <v>0</v>
      </c>
      <c r="J2076" s="1084"/>
      <c r="K2076" s="1084"/>
      <c r="L2076" s="1085"/>
      <c r="M2076" s="977">
        <v>560</v>
      </c>
    </row>
    <row r="2077" spans="1:13" s="1086" customFormat="1" ht="25.15" hidden="1" customHeight="1">
      <c r="A2077" s="1156">
        <f t="shared" si="158"/>
        <v>0</v>
      </c>
      <c r="B2077" s="1157"/>
      <c r="C2077" s="1157"/>
      <c r="D2077" s="1087">
        <f>IF(H2077&gt;0,D2071+1,D2071)</f>
        <v>0</v>
      </c>
      <c r="E2077" s="1088"/>
      <c r="F2077" s="1097" t="s">
        <v>3771</v>
      </c>
      <c r="G2077" s="1087" t="s">
        <v>2394</v>
      </c>
      <c r="H2077" s="1910">
        <f>H2016</f>
        <v>0</v>
      </c>
      <c r="I2077" s="1262">
        <f t="shared" si="157"/>
        <v>0</v>
      </c>
      <c r="J2077" s="1084"/>
      <c r="K2077" s="1084"/>
      <c r="L2077" s="1113"/>
      <c r="M2077" s="977">
        <v>560</v>
      </c>
    </row>
    <row r="2078" spans="1:13" s="1086" customFormat="1" ht="25.15" hidden="1" customHeight="1">
      <c r="A2078" s="1156">
        <f>IF(A2077&gt;0,1,0)</f>
        <v>0</v>
      </c>
      <c r="B2078" s="1157"/>
      <c r="C2078" s="1157"/>
      <c r="D2078" s="1081"/>
      <c r="E2078" s="1091"/>
      <c r="F2078" s="1371" t="s">
        <v>2287</v>
      </c>
      <c r="G2078" s="1081"/>
      <c r="H2078" s="1873"/>
      <c r="I2078" s="1262">
        <f t="shared" si="157"/>
        <v>0</v>
      </c>
      <c r="J2078" s="1084"/>
      <c r="K2078" s="1084"/>
      <c r="L2078" s="1113"/>
      <c r="M2078" s="977">
        <v>560</v>
      </c>
    </row>
    <row r="2079" spans="1:13" s="1086" customFormat="1" ht="25.15" hidden="1" customHeight="1">
      <c r="A2079" s="1156">
        <f t="shared" si="158"/>
        <v>0</v>
      </c>
      <c r="B2079" s="1327" t="s">
        <v>1224</v>
      </c>
      <c r="C2079" s="1327"/>
      <c r="D2079" s="1093"/>
      <c r="E2079" s="1082">
        <f>VLOOKUP($B2079,DG!A:D,DG!$B$2,)</f>
        <v>0</v>
      </c>
      <c r="F2079" s="1083" t="e">
        <f>VLOOKUP($B2079,DG!A:D,DG!$C$2,)&amp;":  "&amp;#REF!&amp;" x 8m/pha "</f>
        <v>#REF!</v>
      </c>
      <c r="G2079" s="1082" t="str">
        <f>VLOOKUP($B2079,DG!A:D,DG!$D$2,)</f>
        <v>mét</v>
      </c>
      <c r="H2079" s="1873">
        <f>2*8*3*H2077</f>
        <v>0</v>
      </c>
      <c r="I2079" s="1262">
        <f t="shared" si="157"/>
        <v>0</v>
      </c>
      <c r="J2079" s="1084"/>
      <c r="K2079" s="1084"/>
      <c r="L2079" s="1113"/>
      <c r="M2079" s="977">
        <v>560</v>
      </c>
    </row>
    <row r="2080" spans="1:13" s="1086" customFormat="1" ht="25.15" hidden="1" customHeight="1">
      <c r="A2080" s="1156">
        <f t="shared" si="158"/>
        <v>0</v>
      </c>
      <c r="B2080" s="1327" t="s">
        <v>1224</v>
      </c>
      <c r="C2080" s="1327"/>
      <c r="D2080" s="1093"/>
      <c r="E2080" s="1082">
        <f>VLOOKUP($B2080,DG!A:D,DG!$B$2,)</f>
        <v>0</v>
      </c>
      <c r="F2080" s="1083" t="e">
        <f>VLOOKUP($B2080,DG!A:D,DG!$C$2,)&amp;":  "&amp;#REF!&amp;" x 11m/trung tính "</f>
        <v>#REF!</v>
      </c>
      <c r="G2080" s="1082" t="str">
        <f>VLOOKUP($B2080,DG!A:D,DG!$D$2,)</f>
        <v>mét</v>
      </c>
      <c r="H2080" s="1873">
        <f>11*H2077</f>
        <v>0</v>
      </c>
      <c r="I2080" s="1262">
        <f t="shared" si="157"/>
        <v>0</v>
      </c>
      <c r="J2080" s="1084"/>
      <c r="K2080" s="1084"/>
      <c r="L2080" s="1113"/>
      <c r="M2080" s="977">
        <v>560</v>
      </c>
    </row>
    <row r="2081" spans="1:13" s="1086" customFormat="1" ht="25.15" hidden="1" customHeight="1">
      <c r="A2081" s="1156">
        <f t="shared" si="158"/>
        <v>0</v>
      </c>
      <c r="B2081" s="1327" t="s">
        <v>508</v>
      </c>
      <c r="C2081" s="1327"/>
      <c r="D2081" s="1093"/>
      <c r="E2081" s="1082">
        <f>VLOOKUP($B2081,DG!A:D,DG!$B$2,)</f>
        <v>0</v>
      </c>
      <c r="F2081" s="1083" t="str">
        <f>VLOOKUP($B2081,DG!A:D,DG!$C$2,)&amp;": ñaáu noái cho MCCB 800A  2sôïi/pha"</f>
        <v>Cáp đồng bọc CV250: ñaáu noái cho MCCB 800A  2sôïi/pha</v>
      </c>
      <c r="G2081" s="1082" t="str">
        <f>VLOOKUP($B2081,DG!A:D,DG!$D$2,)</f>
        <v>mét</v>
      </c>
      <c r="H2081" s="1873">
        <f>2*2*3*H2077</f>
        <v>0</v>
      </c>
      <c r="I2081" s="1262">
        <f t="shared" si="157"/>
        <v>0</v>
      </c>
      <c r="J2081" s="1084"/>
      <c r="K2081" s="1084"/>
      <c r="L2081" s="1113"/>
      <c r="M2081" s="977">
        <v>560</v>
      </c>
    </row>
    <row r="2082" spans="1:13" s="1086" customFormat="1" ht="25.15" hidden="1" customHeight="1">
      <c r="A2082" s="1156">
        <f t="shared" si="158"/>
        <v>0</v>
      </c>
      <c r="B2082" s="1327" t="s">
        <v>237</v>
      </c>
      <c r="C2082" s="1327"/>
      <c r="D2082" s="1093"/>
      <c r="E2082" s="1082">
        <f>VLOOKUP($B2082,DG!A:D,DG!$B$2,)</f>
        <v>0</v>
      </c>
      <c r="F2082" s="1083" t="str">
        <f>VLOOKUP($B2082,DG!A:D,DG!$C$2,)&amp;": ñaáu noái cho MCCB &lt;100A  1sôïi/pha"</f>
        <v>Cáp đồng bọc CV70: ñaáu noái cho MCCB &lt;100A  1sôïi/pha</v>
      </c>
      <c r="G2082" s="1082" t="str">
        <f>VLOOKUP($B2082,DG!A:D,DG!$D$2,)</f>
        <v>mét</v>
      </c>
      <c r="H2082" s="1873">
        <f>1*4*3*H2077</f>
        <v>0</v>
      </c>
      <c r="I2082" s="1262">
        <f t="shared" si="157"/>
        <v>0</v>
      </c>
      <c r="J2082" s="1084"/>
      <c r="K2082" s="1084"/>
      <c r="L2082" s="1113"/>
      <c r="M2082" s="977">
        <v>560</v>
      </c>
    </row>
    <row r="2083" spans="1:13" s="1086" customFormat="1" ht="25.15" hidden="1" customHeight="1">
      <c r="A2083" s="1156">
        <f t="shared" si="158"/>
        <v>0</v>
      </c>
      <c r="B2083" s="1327" t="s">
        <v>449</v>
      </c>
      <c r="C2083" s="1327"/>
      <c r="D2083" s="1093"/>
      <c r="E2083" s="1082" t="str">
        <f>VLOOKUP($B2083,DG!A:D,DG!$B$2,)</f>
        <v>03.4009</v>
      </c>
      <c r="F2083" s="1083" t="str">
        <f>VLOOKUP($B2083,DG!A:D,DG!$C$2,)&amp;": "</f>
        <v xml:space="preserve">Đầu cosse ép Cu 300mm2: </v>
      </c>
      <c r="G2083" s="1082" t="str">
        <f>VLOOKUP($B2083,DG!A:D,DG!$D$2,)</f>
        <v>cái</v>
      </c>
      <c r="H2083" s="1873">
        <f>H2077*14</f>
        <v>0</v>
      </c>
      <c r="I2083" s="1262">
        <f t="shared" si="157"/>
        <v>0</v>
      </c>
      <c r="J2083" s="1084"/>
      <c r="K2083" s="1084"/>
      <c r="L2083" s="1113"/>
      <c r="M2083" s="977">
        <v>560</v>
      </c>
    </row>
    <row r="2084" spans="1:13" s="1086" customFormat="1" ht="25.15" hidden="1" customHeight="1">
      <c r="A2084" s="1156">
        <f t="shared" si="158"/>
        <v>0</v>
      </c>
      <c r="B2084" s="1327" t="s">
        <v>448</v>
      </c>
      <c r="C2084" s="1327"/>
      <c r="D2084" s="1093"/>
      <c r="E2084" s="1082" t="str">
        <f>VLOOKUP($B2084,DG!A:D,DG!$B$2,)</f>
        <v>03.4009</v>
      </c>
      <c r="F2084" s="1083" t="str">
        <f>VLOOKUP($B2084,DG!A:D,DG!$C$2,)&amp;": "</f>
        <v xml:space="preserve">Đầu cosse ép Cu 250mm2: </v>
      </c>
      <c r="G2084" s="1082" t="str">
        <f>VLOOKUP($B2084,DG!A:D,DG!$D$2,)</f>
        <v>cái</v>
      </c>
      <c r="H2084" s="1873">
        <f>6*H2077*2</f>
        <v>0</v>
      </c>
      <c r="I2084" s="1262">
        <f t="shared" si="157"/>
        <v>0</v>
      </c>
      <c r="J2084" s="1084"/>
      <c r="K2084" s="1084"/>
      <c r="L2084" s="1113"/>
      <c r="M2084" s="977">
        <v>560</v>
      </c>
    </row>
    <row r="2085" spans="1:13" s="1086" customFormat="1" ht="25.15" hidden="1" customHeight="1">
      <c r="A2085" s="1156">
        <f t="shared" si="158"/>
        <v>0</v>
      </c>
      <c r="B2085" s="1327" t="s">
        <v>1308</v>
      </c>
      <c r="C2085" s="1327"/>
      <c r="D2085" s="1093"/>
      <c r="E2085" s="1082" t="str">
        <f>VLOOKUP($B2085,DG!A:D,DG!$B$2,)</f>
        <v>03.4003</v>
      </c>
      <c r="F2085" s="1083" t="str">
        <f>VLOOKUP($B2085,DG!A:D,DG!$C$2,)&amp;": "</f>
        <v xml:space="preserve">Đầu cosse ép Cu 70mm2: </v>
      </c>
      <c r="G2085" s="1082" t="str">
        <f>VLOOKUP($B2085,DG!A:D,DG!$D$2,)</f>
        <v>cái</v>
      </c>
      <c r="H2085" s="1873">
        <f>+H2077*4*6</f>
        <v>0</v>
      </c>
      <c r="I2085" s="1262">
        <f t="shared" si="157"/>
        <v>0</v>
      </c>
      <c r="J2085" s="1084"/>
      <c r="K2085" s="1084"/>
      <c r="L2085" s="1113"/>
      <c r="M2085" s="977">
        <v>560</v>
      </c>
    </row>
    <row r="2086" spans="1:13" s="1086" customFormat="1" ht="25.15" hidden="1" customHeight="1">
      <c r="A2086" s="1156">
        <f t="shared" si="158"/>
        <v>0</v>
      </c>
      <c r="B2086" s="1327" t="s">
        <v>977</v>
      </c>
      <c r="C2086" s="1327"/>
      <c r="D2086" s="1093"/>
      <c r="E2086" s="1082">
        <f>VLOOKUP($B2086,DG!A:D,DG!$B$2,)</f>
        <v>0</v>
      </c>
      <c r="F2086" s="1083" t="str">
        <f>VLOOKUP($B2086,DG!A:D,DG!$C$2,)&amp;": "</f>
        <v xml:space="preserve">Chụp đầu cosse  300mm2: </v>
      </c>
      <c r="G2086" s="1082" t="str">
        <f>VLOOKUP($B2086,DG!A:D,DG!$D$2,)</f>
        <v>cái</v>
      </c>
      <c r="H2086" s="1873">
        <f>H2083</f>
        <v>0</v>
      </c>
      <c r="I2086" s="1262">
        <f t="shared" si="157"/>
        <v>0</v>
      </c>
      <c r="J2086" s="1084"/>
      <c r="K2086" s="1084"/>
      <c r="L2086" s="1113"/>
      <c r="M2086" s="977">
        <v>560</v>
      </c>
    </row>
    <row r="2087" spans="1:13" s="1086" customFormat="1" ht="25.15" hidden="1" customHeight="1">
      <c r="A2087" s="1156">
        <f t="shared" si="158"/>
        <v>0</v>
      </c>
      <c r="B2087" s="1327" t="s">
        <v>1074</v>
      </c>
      <c r="C2087" s="1327"/>
      <c r="D2087" s="1093"/>
      <c r="E2087" s="1082">
        <f>VLOOKUP($B2087,DG!A:D,DG!$B$2,)</f>
        <v>0</v>
      </c>
      <c r="F2087" s="1083" t="str">
        <f>VLOOKUP($B2087,DG!A:D,DG!$C$2,)&amp;": "</f>
        <v xml:space="preserve">Chụp đầu cosse  250mm2: </v>
      </c>
      <c r="G2087" s="1082" t="str">
        <f>VLOOKUP($B2087,DG!A:D,DG!$D$2,)</f>
        <v>cái</v>
      </c>
      <c r="H2087" s="1873">
        <f>H2084</f>
        <v>0</v>
      </c>
      <c r="I2087" s="1262">
        <f t="shared" si="157"/>
        <v>0</v>
      </c>
      <c r="J2087" s="1084"/>
      <c r="K2087" s="1084"/>
      <c r="L2087" s="1113"/>
      <c r="M2087" s="977">
        <v>560</v>
      </c>
    </row>
    <row r="2088" spans="1:13" s="1086" customFormat="1" ht="25.15" hidden="1" customHeight="1">
      <c r="A2088" s="1156">
        <f t="shared" si="158"/>
        <v>0</v>
      </c>
      <c r="B2088" s="1327" t="s">
        <v>611</v>
      </c>
      <c r="C2088" s="1327"/>
      <c r="D2088" s="1093"/>
      <c r="E2088" s="1082">
        <f>VLOOKUP($B2088,DG!A:D,DG!$B$2,)</f>
        <v>0</v>
      </c>
      <c r="F2088" s="1083" t="str">
        <f>VLOOKUP($B2088,DG!A:D,DG!$C$2,)&amp;": "</f>
        <v xml:space="preserve">Chụp đầu cosse  70mm2: </v>
      </c>
      <c r="G2088" s="1082" t="str">
        <f>VLOOKUP($B2088,DG!A:D,DG!$D$2,)</f>
        <v>cái</v>
      </c>
      <c r="H2088" s="1873">
        <f>H2085</f>
        <v>0</v>
      </c>
      <c r="I2088" s="1262">
        <f t="shared" si="157"/>
        <v>0</v>
      </c>
      <c r="J2088" s="1084"/>
      <c r="K2088" s="1084"/>
      <c r="L2088" s="1113"/>
      <c r="M2088" s="977">
        <v>560</v>
      </c>
    </row>
    <row r="2089" spans="1:13" s="1086" customFormat="1" ht="25.15" hidden="1" customHeight="1">
      <c r="A2089" s="1156">
        <f t="shared" si="158"/>
        <v>0</v>
      </c>
      <c r="B2089" s="1327" t="s">
        <v>1523</v>
      </c>
      <c r="C2089" s="1327"/>
      <c r="D2089" s="1093"/>
      <c r="E2089" s="1082">
        <f>VLOOKUP($B2089,DG!A:D,DG!$B$2,)</f>
        <v>0</v>
      </c>
      <c r="F2089" s="1083" t="str">
        <f>VLOOKUP($B2089,DG!A:D,DG!$C$2,)&amp;" : cho caùp xuaát töø MBA-tuû MCCB"</f>
        <v>Ống PVC D140x6,7mm : cho caùp xuaát töø MBA-tuû MCCB</v>
      </c>
      <c r="G2089" s="1082" t="str">
        <f>VLOOKUP($B2089,DG!A:D,DG!$D$2,)</f>
        <v>m</v>
      </c>
      <c r="H2089" s="1916"/>
      <c r="I2089" s="1262">
        <f t="shared" si="157"/>
        <v>0</v>
      </c>
      <c r="J2089" s="1084"/>
      <c r="K2089" s="1084"/>
      <c r="L2089" s="1113"/>
      <c r="M2089" s="977">
        <v>560</v>
      </c>
    </row>
    <row r="2090" spans="1:13" s="1086" customFormat="1" ht="25.15" hidden="1" customHeight="1">
      <c r="A2090" s="1156">
        <f t="shared" si="158"/>
        <v>0</v>
      </c>
      <c r="B2090" s="1327" t="s">
        <v>1523</v>
      </c>
      <c r="C2090" s="1327"/>
      <c r="D2090" s="1093"/>
      <c r="E2090" s="1082">
        <f>VLOOKUP($B2090,DG!A:D,DG!$B$2,)</f>
        <v>0</v>
      </c>
      <c r="F2090" s="1083" t="str">
        <f>VLOOKUP($B2090,DG!A:D,DG!$C$2,)&amp;" : cho caùp xuaát töø tuû MCCB vaùo nhaø xöôûng"</f>
        <v>Ống PVC D140x6,7mm : cho caùp xuaát töø tuû MCCB vaùo nhaø xöôûng</v>
      </c>
      <c r="G2090" s="1082" t="str">
        <f>VLOOKUP($B2090,DG!A:D,DG!$D$2,)</f>
        <v>m</v>
      </c>
      <c r="H2090" s="1873">
        <f>2*3*H2077</f>
        <v>0</v>
      </c>
      <c r="I2090" s="1262">
        <f t="shared" si="157"/>
        <v>0</v>
      </c>
      <c r="J2090" s="1084"/>
      <c r="K2090" s="1084"/>
      <c r="L2090" s="1113"/>
      <c r="M2090" s="977">
        <v>560</v>
      </c>
    </row>
    <row r="2091" spans="1:13" s="1086" customFormat="1" ht="25.15" hidden="1" customHeight="1">
      <c r="A2091" s="1156">
        <f t="shared" si="158"/>
        <v>0</v>
      </c>
      <c r="B2091" s="1327" t="s">
        <v>282</v>
      </c>
      <c r="C2091" s="1327"/>
      <c r="D2091" s="1093"/>
      <c r="E2091" s="1082" t="str">
        <f>VLOOKUP($B2091,DG!A:D,DG!$B$2,)</f>
        <v>04.8003</v>
      </c>
      <c r="F2091" s="1083" t="str">
        <f>VLOOKUP($B2091,DG!A:D,DG!$C$2,)&amp;" : cho caùp xuaát töø tuû MCCB vaùo tuû buø"</f>
        <v>Ống PVC D90x3,8mm  : cho caùp xuaát töø tuû MCCB vaùo tuû buø</v>
      </c>
      <c r="G2091" s="1082" t="str">
        <f>VLOOKUP($B2091,DG!A:D,DG!$D$2,)</f>
        <v>m</v>
      </c>
      <c r="H2091" s="1873">
        <f>1*H2077*0</f>
        <v>0</v>
      </c>
      <c r="I2091" s="1262">
        <f t="shared" si="157"/>
        <v>0</v>
      </c>
      <c r="J2091" s="1084"/>
      <c r="K2091" s="1084"/>
      <c r="L2091" s="1113"/>
      <c r="M2091" s="977">
        <v>560</v>
      </c>
    </row>
    <row r="2092" spans="1:13" s="1086" customFormat="1" ht="25.15" hidden="1" customHeight="1">
      <c r="A2092" s="1156">
        <f t="shared" si="158"/>
        <v>0</v>
      </c>
      <c r="B2092" s="1157" t="s">
        <v>1225</v>
      </c>
      <c r="C2092" s="1157"/>
      <c r="D2092" s="1093"/>
      <c r="E2092" s="1082" t="str">
        <f>VLOOKUP($B2092,DG!A:D,DG!$B$2,)</f>
        <v>06.3231</v>
      </c>
      <c r="F2092" s="1083" t="str">
        <f>VLOOKUP($B2092,DG!A:D,DG!$C$2,)&amp;": CD-250 02 bộ"</f>
        <v>Cổ dê kẹp ống PVC Ø 140: CD-250 02 bộ</v>
      </c>
      <c r="G2092" s="1082" t="str">
        <f>VLOOKUP($B2092,DG!A:D,DG!$D$2,)</f>
        <v>bộ</v>
      </c>
      <c r="H2092" s="1873">
        <f>H2077*1.031*2</f>
        <v>0</v>
      </c>
      <c r="I2092" s="1262">
        <f t="shared" si="157"/>
        <v>0</v>
      </c>
      <c r="J2092" s="1084"/>
      <c r="K2092" s="1084"/>
      <c r="L2092" s="1113"/>
      <c r="M2092" s="977">
        <v>560</v>
      </c>
    </row>
    <row r="2093" spans="1:13" s="1086" customFormat="1" ht="25.15" hidden="1" customHeight="1">
      <c r="A2093" s="1156">
        <f t="shared" si="158"/>
        <v>0</v>
      </c>
      <c r="B2093" s="1157" t="s">
        <v>1541</v>
      </c>
      <c r="C2093" s="1157"/>
      <c r="D2093" s="1093"/>
      <c r="E2093" s="1082" t="str">
        <f>VLOOKUP($B2093,DG!A:D,DG!$B$2,)</f>
        <v>06.3231</v>
      </c>
      <c r="F2093" s="1083" t="str">
        <f>VLOOKUP($B2093,DG!A:D,DG!$C$2,)&amp;": CD-280 02 bộ"</f>
        <v>Cổ dê kẹp ống PVC Ø 140: CD-280 02 bộ</v>
      </c>
      <c r="G2093" s="1082" t="str">
        <f>VLOOKUP($B2093,DG!A:D,DG!$D$2,)</f>
        <v>bộ</v>
      </c>
      <c r="H2093" s="1873">
        <f>H2077*1.031*2</f>
        <v>0</v>
      </c>
      <c r="I2093" s="1262">
        <f t="shared" si="157"/>
        <v>0</v>
      </c>
      <c r="J2093" s="1084"/>
      <c r="K2093" s="1084"/>
      <c r="L2093" s="1113"/>
      <c r="M2093" s="977">
        <v>560</v>
      </c>
    </row>
    <row r="2094" spans="1:13" s="1086" customFormat="1" ht="25.15" hidden="1" customHeight="1">
      <c r="A2094" s="1156">
        <f t="shared" si="158"/>
        <v>0</v>
      </c>
      <c r="B2094" s="1157" t="s">
        <v>1133</v>
      </c>
      <c r="C2094" s="1157"/>
      <c r="D2094" s="1093"/>
      <c r="E2094" s="1082" t="str">
        <f>VLOOKUP($B2094,DG!A:D,DG!$B$2,)</f>
        <v>06.2110</v>
      </c>
      <c r="F2094" s="1083" t="str">
        <f>VLOOKUP($B2094,DG!A:D,DG!$C$2,)</f>
        <v>Lắp cổ dề</v>
      </c>
      <c r="G2094" s="1082" t="str">
        <f>VLOOKUP($B2094,DG!A:D,DG!$D$2,)</f>
        <v>bộ</v>
      </c>
      <c r="H2094" s="1873">
        <f>H2077*2*2</f>
        <v>0</v>
      </c>
      <c r="I2094" s="1262">
        <f t="shared" si="157"/>
        <v>0</v>
      </c>
      <c r="J2094" s="1084"/>
      <c r="K2094" s="1084"/>
      <c r="L2094" s="1113"/>
      <c r="M2094" s="977">
        <v>560</v>
      </c>
    </row>
    <row r="2095" spans="1:13" s="1086" customFormat="1" ht="25.15" hidden="1" customHeight="1">
      <c r="A2095" s="1156">
        <f t="shared" si="158"/>
        <v>0</v>
      </c>
      <c r="B2095" s="1349" t="s">
        <v>138</v>
      </c>
      <c r="C2095" s="1349"/>
      <c r="D2095" s="1093"/>
      <c r="E2095" s="1082">
        <f>VLOOKUP($B2095,DG!A:D,DG!$B$2,)</f>
        <v>0</v>
      </c>
      <c r="F2095" s="1083" t="str">
        <f>VLOOKUP($B2095,DG!A:D,DG!$C$2,)</f>
        <v>Boulon 12x40+ 2 long đền vuông D14-50x50x3/Zn</v>
      </c>
      <c r="G2095" s="1082" t="str">
        <f>VLOOKUP($B2095,DG!A:D,DG!$D$2,)</f>
        <v>bộ</v>
      </c>
      <c r="H2095" s="1873">
        <f>H2077*6</f>
        <v>0</v>
      </c>
      <c r="I2095" s="1262">
        <f t="shared" si="157"/>
        <v>0</v>
      </c>
      <c r="J2095" s="1084"/>
      <c r="K2095" s="1084"/>
      <c r="L2095" s="1113"/>
      <c r="M2095" s="977">
        <v>560</v>
      </c>
    </row>
    <row r="2096" spans="1:13" s="1086" customFormat="1" ht="25.15" hidden="1" customHeight="1">
      <c r="A2096" s="1156">
        <f t="shared" si="158"/>
        <v>0</v>
      </c>
      <c r="B2096" s="1349" t="s">
        <v>1355</v>
      </c>
      <c r="C2096" s="1349"/>
      <c r="D2096" s="1093"/>
      <c r="E2096" s="1082">
        <f>VLOOKUP($B2096,DG!A:D,DG!$B$2,)</f>
        <v>0</v>
      </c>
      <c r="F2096" s="1083" t="str">
        <f>VLOOKUP($B2096,DG!A:D,DG!$C$2,)</f>
        <v>Boulon 12x60+ 2 long đền vuông D14-50x50x3/Zn</v>
      </c>
      <c r="G2096" s="1082" t="str">
        <f>VLOOKUP($B2096,DG!A:D,DG!$D$2,)</f>
        <v>bộ</v>
      </c>
      <c r="H2096" s="1873">
        <f>H2095</f>
        <v>0</v>
      </c>
      <c r="I2096" s="1262">
        <f t="shared" si="157"/>
        <v>0</v>
      </c>
      <c r="J2096" s="1084"/>
      <c r="K2096" s="1084"/>
      <c r="L2096" s="1113"/>
      <c r="M2096" s="977">
        <v>560</v>
      </c>
    </row>
    <row r="2097" spans="1:13" s="1086" customFormat="1" ht="25.15" hidden="1" customHeight="1">
      <c r="A2097" s="1156">
        <f t="shared" si="158"/>
        <v>0</v>
      </c>
      <c r="B2097" s="1327" t="s">
        <v>1226</v>
      </c>
      <c r="C2097" s="1327"/>
      <c r="D2097" s="1093"/>
      <c r="E2097" s="1082">
        <f>VLOOKUP($B2097,DG!A:D,DG!$B$2,)</f>
        <v>0</v>
      </c>
      <c r="F2097" s="1083" t="str">
        <f>VLOOKUP($B2097,DG!A:D,DG!$C$2,)</f>
        <v>Khâu ven răng trong D140</v>
      </c>
      <c r="G2097" s="1082" t="str">
        <f>VLOOKUP($B2097,DG!A:D,DG!$D$2,)</f>
        <v>cái</v>
      </c>
      <c r="H2097" s="1873">
        <f>H2077*2</f>
        <v>0</v>
      </c>
      <c r="I2097" s="1262">
        <f t="shared" si="157"/>
        <v>0</v>
      </c>
      <c r="J2097" s="1084"/>
      <c r="K2097" s="1084"/>
      <c r="L2097" s="1113"/>
      <c r="M2097" s="977">
        <v>560</v>
      </c>
    </row>
    <row r="2098" spans="1:13" s="1086" customFormat="1" ht="25.15" hidden="1" customHeight="1">
      <c r="A2098" s="1156">
        <f t="shared" si="158"/>
        <v>0</v>
      </c>
      <c r="B2098" s="1327" t="s">
        <v>1227</v>
      </c>
      <c r="C2098" s="1327"/>
      <c r="D2098" s="1093"/>
      <c r="E2098" s="1082">
        <f>VLOOKUP($B2098,DG!A:D,DG!$B$2,)</f>
        <v>0</v>
      </c>
      <c r="F2098" s="1083" t="str">
        <f>VLOOKUP($B2098,DG!A:D,DG!$C$2,)&amp;": "</f>
        <v xml:space="preserve">Khâu ven răng ngoài D140: </v>
      </c>
      <c r="G2098" s="1082" t="str">
        <f>VLOOKUP($B2098,DG!A:D,DG!$D$2,)</f>
        <v>cái</v>
      </c>
      <c r="H2098" s="1873">
        <f>H2097</f>
        <v>0</v>
      </c>
      <c r="I2098" s="1262">
        <f t="shared" si="157"/>
        <v>0</v>
      </c>
      <c r="J2098" s="1084"/>
      <c r="K2098" s="1084"/>
      <c r="L2098" s="1113"/>
      <c r="M2098" s="977">
        <v>560</v>
      </c>
    </row>
    <row r="2099" spans="1:13" s="1086" customFormat="1" ht="25.15" hidden="1" customHeight="1">
      <c r="A2099" s="1156">
        <f t="shared" si="158"/>
        <v>0</v>
      </c>
      <c r="B2099" s="1327" t="s">
        <v>2082</v>
      </c>
      <c r="C2099" s="1327"/>
      <c r="D2099" s="1093"/>
      <c r="E2099" s="1082">
        <f>VLOOKUP($B2099,DG!A:D,DG!$B$2,)</f>
        <v>0</v>
      </c>
      <c r="F2099" s="1083" t="str">
        <f>VLOOKUP($B2099,DG!A:D,DG!$C$2,)&amp;": "</f>
        <v xml:space="preserve">Keo dán ống PVC (100gr): </v>
      </c>
      <c r="G2099" s="1082" t="str">
        <f>VLOOKUP($B2099,DG!A:D,DG!$D$2,)</f>
        <v>tuýp</v>
      </c>
      <c r="H2099" s="1873">
        <f>H2077*2</f>
        <v>0</v>
      </c>
      <c r="I2099" s="1262">
        <f t="shared" ref="I2099:I2162" si="159">IF(M2099=$M$23,H2099+J2099-K2099,0)</f>
        <v>0</v>
      </c>
      <c r="J2099" s="1084"/>
      <c r="K2099" s="1084"/>
      <c r="L2099" s="1113"/>
      <c r="M2099" s="977">
        <v>560</v>
      </c>
    </row>
    <row r="2100" spans="1:13" s="1086" customFormat="1" ht="25.15" hidden="1" customHeight="1">
      <c r="A2100" s="1156">
        <f t="shared" si="158"/>
        <v>0</v>
      </c>
      <c r="B2100" s="1157" t="s">
        <v>6</v>
      </c>
      <c r="C2100" s="1157"/>
      <c r="D2100" s="1093"/>
      <c r="E2100" s="1082"/>
      <c r="F2100" s="1083" t="str">
        <f>VLOOKUP($B2100,DG!A:D,DG!$C$2,)&amp;":"</f>
        <v>Keo silicon bít miệng ống:</v>
      </c>
      <c r="G2100" s="1082" t="str">
        <f>VLOOKUP($B2100,DG!A:D,DG!$D$2,)</f>
        <v>ống</v>
      </c>
      <c r="H2100" s="1873">
        <f>H2077*2</f>
        <v>0</v>
      </c>
      <c r="I2100" s="1262">
        <f t="shared" si="159"/>
        <v>0</v>
      </c>
      <c r="J2100" s="1084"/>
      <c r="K2100" s="1084"/>
      <c r="L2100" s="1085"/>
      <c r="M2100" s="977">
        <v>560</v>
      </c>
    </row>
    <row r="2101" spans="1:13" s="1086" customFormat="1" ht="25.15" hidden="1" customHeight="1">
      <c r="A2101" s="1156">
        <f t="shared" si="158"/>
        <v>0</v>
      </c>
      <c r="B2101" s="1157" t="s">
        <v>672</v>
      </c>
      <c r="C2101" s="1157"/>
      <c r="D2101" s="1093"/>
      <c r="E2101" s="1082">
        <f>VLOOKUP($B2101,DG!A:D,DG!$B$2,)</f>
        <v>0</v>
      </c>
      <c r="F2101" s="1083" t="str">
        <f>VLOOKUP($B2101,DG!A:D,DG!$C$2,)&amp;":"</f>
        <v>Băng keo cách điện:</v>
      </c>
      <c r="G2101" s="1082" t="str">
        <f>VLOOKUP($B2101,DG!A:D,DG!$D$2,)</f>
        <v>cuộn</v>
      </c>
      <c r="H2101" s="1873">
        <f>H2077*2</f>
        <v>0</v>
      </c>
      <c r="I2101" s="1262">
        <f t="shared" si="159"/>
        <v>0</v>
      </c>
      <c r="J2101" s="1084"/>
      <c r="K2101" s="1084"/>
      <c r="L2101" s="1113"/>
      <c r="M2101" s="977">
        <v>560</v>
      </c>
    </row>
    <row r="2102" spans="1:13" s="1086" customFormat="1" ht="25.15" hidden="1" customHeight="1">
      <c r="A2102" s="1156">
        <f t="shared" si="158"/>
        <v>0</v>
      </c>
      <c r="B2102" s="1157" t="s">
        <v>247</v>
      </c>
      <c r="C2102" s="1157"/>
      <c r="D2102" s="1093"/>
      <c r="E2102" s="1082" t="str">
        <f>VLOOKUP($B2102,DG!A:D,DG!$B$2,)</f>
        <v>04.4203</v>
      </c>
      <c r="F2102" s="1083" t="str">
        <f>VLOOKUP($B2102,DG!A:D,DG!$C$2,)&amp;":"</f>
        <v>Lắp cáp đồng xuống thiết bị D &gt; 150mm2:</v>
      </c>
      <c r="G2102" s="1082" t="str">
        <f>VLOOKUP($B2102,DG!A:D,DG!$D$2,)</f>
        <v>m</v>
      </c>
      <c r="H2102" s="1873">
        <f>H2079+H2080+H2081</f>
        <v>0</v>
      </c>
      <c r="I2102" s="1262">
        <f t="shared" si="159"/>
        <v>0</v>
      </c>
      <c r="J2102" s="1084"/>
      <c r="K2102" s="1084"/>
      <c r="L2102" s="1113"/>
      <c r="M2102" s="977">
        <v>560</v>
      </c>
    </row>
    <row r="2103" spans="1:13" s="1086" customFormat="1" ht="25.15" hidden="1" customHeight="1">
      <c r="A2103" s="1156">
        <f t="shared" si="158"/>
        <v>0</v>
      </c>
      <c r="B2103" s="1157" t="s">
        <v>2012</v>
      </c>
      <c r="C2103" s="1157"/>
      <c r="D2103" s="1093"/>
      <c r="E2103" s="1082" t="str">
        <f>VLOOKUP($B2103,DG!A:D,DG!$B$2,)</f>
        <v>04.4202</v>
      </c>
      <c r="F2103" s="1083" t="str">
        <f>VLOOKUP($B2103,DG!A:D,DG!$C$2,)&amp;":"</f>
        <v>Lắp cáp đồng xuống thiết bị D ≤ 150mm2:</v>
      </c>
      <c r="G2103" s="1082" t="str">
        <f>VLOOKUP($B2103,DG!A:D,DG!$D$2,)</f>
        <v>m</v>
      </c>
      <c r="H2103" s="1873">
        <f>+H2082</f>
        <v>0</v>
      </c>
      <c r="I2103" s="1262">
        <f t="shared" si="159"/>
        <v>0</v>
      </c>
      <c r="J2103" s="1084"/>
      <c r="K2103" s="1084"/>
      <c r="L2103" s="1113"/>
      <c r="M2103" s="977">
        <v>560</v>
      </c>
    </row>
    <row r="2104" spans="1:13" s="1086" customFormat="1" ht="25.15" hidden="1" customHeight="1">
      <c r="A2104" s="1156">
        <f t="shared" si="158"/>
        <v>0</v>
      </c>
      <c r="B2104" s="1157" t="s">
        <v>1221</v>
      </c>
      <c r="C2104" s="1157"/>
      <c r="D2104" s="1093"/>
      <c r="E2104" s="1082" t="str">
        <f>VLOOKUP($B2104,DG!A:D,DG!$B$2,)</f>
        <v>06.3191</v>
      </c>
      <c r="F2104" s="1083" t="str">
        <f>VLOOKUP($B2104,DG!A:D,DG!$C$2,)&amp;":"</f>
        <v>Bảng tên trạm, bảng báo nguy hiểm + đinh vít:</v>
      </c>
      <c r="G2104" s="1082" t="str">
        <f>VLOOKUP($B2104,DG!A:D,DG!$D$2,)</f>
        <v>bộ</v>
      </c>
      <c r="H2104" s="1873">
        <f>H2077</f>
        <v>0</v>
      </c>
      <c r="I2104" s="1262">
        <f t="shared" si="159"/>
        <v>0</v>
      </c>
      <c r="J2104" s="1084"/>
      <c r="K2104" s="1084"/>
      <c r="L2104" s="1113"/>
      <c r="M2104" s="977">
        <v>560</v>
      </c>
    </row>
    <row r="2105" spans="1:13" s="1086" customFormat="1" ht="25.15" hidden="1" customHeight="1">
      <c r="A2105" s="1156">
        <f t="shared" si="158"/>
        <v>0</v>
      </c>
      <c r="B2105" s="1157"/>
      <c r="C2105" s="1157"/>
      <c r="D2105" s="1087">
        <f>IF(H2105&gt;0,D2077+1,D2077)</f>
        <v>0</v>
      </c>
      <c r="E2105" s="1088"/>
      <c r="F2105" s="1097" t="s">
        <v>3750</v>
      </c>
      <c r="G2105" s="1087" t="s">
        <v>2394</v>
      </c>
      <c r="H2105" s="1910">
        <f>H2077</f>
        <v>0</v>
      </c>
      <c r="I2105" s="1262">
        <f t="shared" si="159"/>
        <v>0</v>
      </c>
      <c r="J2105" s="1084"/>
      <c r="K2105" s="1084"/>
      <c r="L2105" s="1113"/>
      <c r="M2105" s="977">
        <v>560</v>
      </c>
    </row>
    <row r="2106" spans="1:13" s="1137" customFormat="1" ht="25.15" hidden="1" customHeight="1">
      <c r="A2106" s="1156">
        <f>IF(A2105&gt;0,1,0)</f>
        <v>0</v>
      </c>
      <c r="B2106" s="1360"/>
      <c r="C2106" s="1360"/>
      <c r="D2106" s="1081"/>
      <c r="E2106" s="1091"/>
      <c r="F2106" s="1371" t="s">
        <v>2287</v>
      </c>
      <c r="G2106" s="1081"/>
      <c r="H2106" s="1890"/>
      <c r="I2106" s="1262">
        <f t="shared" si="159"/>
        <v>0</v>
      </c>
      <c r="J2106" s="1084"/>
      <c r="K2106" s="1084"/>
      <c r="L2106" s="1113"/>
      <c r="M2106" s="977">
        <v>560</v>
      </c>
    </row>
    <row r="2107" spans="1:13" s="1086" customFormat="1" ht="25.15" hidden="1" customHeight="1">
      <c r="A2107" s="1156">
        <f t="shared" si="158"/>
        <v>0</v>
      </c>
      <c r="B2107" s="1327" t="s">
        <v>1828</v>
      </c>
      <c r="C2107" s="1327"/>
      <c r="D2107" s="1113"/>
      <c r="E2107" s="1082" t="str">
        <f>VLOOKUP($B2107,DG!A:D,DG!$B$2,)</f>
        <v>03.1401</v>
      </c>
      <c r="F2107" s="1111" t="str">
        <f>VLOOKUP($B2107,DG!A:D,DG!$C$2,)</f>
        <v xml:space="preserve">Cáp CVV 4x2,5mm2  </v>
      </c>
      <c r="G2107" s="1138" t="str">
        <f>VLOOKUP($B2107,DG!A:D,DG!$D$2,)</f>
        <v>mét</v>
      </c>
      <c r="H2107" s="1873">
        <f>H2105*26</f>
        <v>0</v>
      </c>
      <c r="I2107" s="1262">
        <f t="shared" si="159"/>
        <v>0</v>
      </c>
      <c r="J2107" s="1134"/>
      <c r="K2107" s="1134"/>
      <c r="L2107" s="1113"/>
      <c r="M2107" s="977">
        <v>560</v>
      </c>
    </row>
    <row r="2108" spans="1:13" s="1086" customFormat="1" ht="25.15" hidden="1" customHeight="1">
      <c r="A2108" s="1156">
        <f t="shared" si="158"/>
        <v>0</v>
      </c>
      <c r="B2108" s="1327" t="s">
        <v>246</v>
      </c>
      <c r="C2108" s="1327"/>
      <c r="D2108" s="1113"/>
      <c r="E2108" s="1082" t="str">
        <f>VLOOKUP($B2108,DG!A:D,DG!$B$2,)</f>
        <v>05.6101</v>
      </c>
      <c r="F2108" s="1111" t="str">
        <f>VLOOKUP($B2108,DG!A:D,DG!$C$2,)</f>
        <v>Xà kẹp TU, TI U50x32x4 350</v>
      </c>
      <c r="G2108" s="1138" t="str">
        <f>VLOOKUP($B2108,DG!A:D,DG!$D$2,)</f>
        <v>Bộ</v>
      </c>
      <c r="H2108" s="1873">
        <f>H2105*12</f>
        <v>0</v>
      </c>
      <c r="I2108" s="1262">
        <f t="shared" si="159"/>
        <v>0</v>
      </c>
      <c r="J2108" s="1134"/>
      <c r="K2108" s="1134"/>
      <c r="L2108" s="1113"/>
      <c r="M2108" s="977">
        <v>560</v>
      </c>
    </row>
    <row r="2109" spans="1:13" s="1086" customFormat="1" ht="25.15" hidden="1" customHeight="1">
      <c r="A2109" s="1156">
        <f t="shared" si="158"/>
        <v>0</v>
      </c>
      <c r="B2109" s="1327" t="s">
        <v>468</v>
      </c>
      <c r="C2109" s="1327"/>
      <c r="D2109" s="1113"/>
      <c r="E2109" s="1082">
        <f>VLOOKUP($B2109,DG!A:D,DG!$B$2,)</f>
        <v>0</v>
      </c>
      <c r="F2109" s="1111" t="str">
        <f>VLOOKUP($B2109,DG!A:D,DG!$C$2,)</f>
        <v>Boulon 10x250+ 2 long đền vuông D14-50x50x3/Zn</v>
      </c>
      <c r="G2109" s="1138" t="str">
        <f>VLOOKUP($B2109,DG!A:D,DG!$D$2,)</f>
        <v>bộ</v>
      </c>
      <c r="H2109" s="1873">
        <f>H2108*4</f>
        <v>0</v>
      </c>
      <c r="I2109" s="1262">
        <f t="shared" si="159"/>
        <v>0</v>
      </c>
      <c r="J2109" s="1134"/>
      <c r="K2109" s="1134"/>
      <c r="L2109" s="1113"/>
      <c r="M2109" s="977">
        <v>560</v>
      </c>
    </row>
    <row r="2110" spans="1:13" s="1086" customFormat="1" ht="25.15" hidden="1" customHeight="1">
      <c r="A2110" s="1156">
        <f t="shared" si="158"/>
        <v>0</v>
      </c>
      <c r="B2110" s="1327" t="s">
        <v>1871</v>
      </c>
      <c r="C2110" s="1327"/>
      <c r="D2110" s="1093"/>
      <c r="E2110" s="1082" t="str">
        <f>VLOOKUP($B2110,DG!A:D,DG!$B$2,)</f>
        <v>03.4001</v>
      </c>
      <c r="F2110" s="1111" t="str">
        <f>VLOOKUP($B2110,DG!A:D,DG!$C$2,)</f>
        <v xml:space="preserve">Đầu cosse ép Cu 2,5mm2 + bao PVC </v>
      </c>
      <c r="G2110" s="1138" t="str">
        <f>VLOOKUP($B2110,DG!A:D,DG!$D$2,)</f>
        <v>cái</v>
      </c>
      <c r="H2110" s="1873">
        <f>H2105*16</f>
        <v>0</v>
      </c>
      <c r="I2110" s="1262">
        <f t="shared" si="159"/>
        <v>0</v>
      </c>
      <c r="J2110" s="1134"/>
      <c r="K2110" s="1134"/>
      <c r="L2110" s="1113"/>
      <c r="M2110" s="977">
        <v>560</v>
      </c>
    </row>
    <row r="2111" spans="1:13" s="1086" customFormat="1" ht="25.15" hidden="1" customHeight="1">
      <c r="A2111" s="1156">
        <f t="shared" si="158"/>
        <v>0</v>
      </c>
      <c r="B2111" s="1327" t="s">
        <v>1515</v>
      </c>
      <c r="C2111" s="1327"/>
      <c r="D2111" s="1093"/>
      <c r="E2111" s="1082">
        <f>VLOOKUP($B2111,DG!A:D,DG!$B$2,)</f>
        <v>0</v>
      </c>
      <c r="F2111" s="1111" t="str">
        <f>VLOOKUP($B2111,DG!A:D,DG!$C$2,)</f>
        <v>Dây điện đôi 16/10</v>
      </c>
      <c r="G2111" s="1138" t="str">
        <f>VLOOKUP($B2111,DG!A:D,DG!$D$2,)</f>
        <v>mét</v>
      </c>
      <c r="H2111" s="1873">
        <f>2*H2105</f>
        <v>0</v>
      </c>
      <c r="I2111" s="1262">
        <f t="shared" si="159"/>
        <v>0</v>
      </c>
      <c r="J2111" s="1134"/>
      <c r="K2111" s="1134"/>
      <c r="L2111" s="1113"/>
      <c r="M2111" s="977">
        <v>560</v>
      </c>
    </row>
    <row r="2112" spans="1:13" s="1086" customFormat="1" ht="25.15" hidden="1" customHeight="1">
      <c r="A2112" s="1156">
        <f t="shared" si="158"/>
        <v>0</v>
      </c>
      <c r="B2112" s="1327" t="s">
        <v>1116</v>
      </c>
      <c r="C2112" s="1327"/>
      <c r="D2112" s="1093"/>
      <c r="E2112" s="1082">
        <f>VLOOKUP($B2112,DG!A:D,DG!$B$2,)</f>
        <v>0</v>
      </c>
      <c r="F2112" s="1111" t="str">
        <f>VLOOKUP($B2112,DG!A:D,DG!$C$2,)&amp;" (ñaáu TU )"</f>
        <v>Kẹp ép cỡ dây 25mm2 (ñaáu TU )</v>
      </c>
      <c r="G2112" s="1138" t="str">
        <f>VLOOKUP($B2112,DG!A:D,DG!$D$2,)</f>
        <v>cái</v>
      </c>
      <c r="H2112" s="1873">
        <f>+H2105*3</f>
        <v>0</v>
      </c>
      <c r="I2112" s="1262">
        <f t="shared" si="159"/>
        <v>0</v>
      </c>
      <c r="J2112" s="1134"/>
      <c r="K2112" s="1134"/>
      <c r="L2112" s="1113"/>
      <c r="M2112" s="977">
        <v>560</v>
      </c>
    </row>
    <row r="2113" spans="1:13" s="1086" customFormat="1" ht="25.15" hidden="1" customHeight="1">
      <c r="A2113" s="1156">
        <f t="shared" si="158"/>
        <v>0</v>
      </c>
      <c r="B2113" s="1327" t="s">
        <v>2149</v>
      </c>
      <c r="C2113" s="1327"/>
      <c r="D2113" s="1093"/>
      <c r="E2113" s="1082" t="str">
        <f>VLOOKUP($B2113,DG!A:D,DG!$B$2,)</f>
        <v>07.2403</v>
      </c>
      <c r="F2113" s="1111" t="str">
        <f>VLOOKUP($B2113,DG!A:D,DG!$C$2,)</f>
        <v>Ống PVC D42x2,1mm</v>
      </c>
      <c r="G2113" s="1138" t="str">
        <f>VLOOKUP($B2113,DG!A:D,DG!$D$2,)</f>
        <v>m</v>
      </c>
      <c r="H2113" s="1873">
        <f>H2105*16</f>
        <v>0</v>
      </c>
      <c r="I2113" s="1262">
        <f t="shared" si="159"/>
        <v>0</v>
      </c>
      <c r="J2113" s="1134"/>
      <c r="K2113" s="1134"/>
      <c r="L2113" s="1113"/>
      <c r="M2113" s="977">
        <v>560</v>
      </c>
    </row>
    <row r="2114" spans="1:13" s="1086" customFormat="1" ht="25.15" hidden="1" customHeight="1">
      <c r="A2114" s="1156">
        <f t="shared" si="158"/>
        <v>0</v>
      </c>
      <c r="B2114" s="1157" t="s">
        <v>204</v>
      </c>
      <c r="C2114" s="1157"/>
      <c r="D2114" s="1093"/>
      <c r="E2114" s="1082" t="str">
        <f>VLOOKUP($B2114,DG!A:D,DG!$B$2,)</f>
        <v>06.3231</v>
      </c>
      <c r="F2114" s="1111" t="str">
        <f>VLOOKUP($B2114,DG!A:D,DG!$C$2,)&amp;": D230 01 bộ"</f>
        <v>Cổ dê giữ ống PVC D42: D230 01 bộ</v>
      </c>
      <c r="G2114" s="1138" t="str">
        <f>VLOOKUP($B2114,DG!A:D,DG!$D$2,)</f>
        <v>bộ</v>
      </c>
      <c r="H2114" s="1873">
        <f>0.459*H2105</f>
        <v>0</v>
      </c>
      <c r="I2114" s="1262">
        <f t="shared" si="159"/>
        <v>0</v>
      </c>
      <c r="J2114" s="1134"/>
      <c r="K2114" s="1134"/>
      <c r="L2114" s="1113"/>
      <c r="M2114" s="977">
        <v>560</v>
      </c>
    </row>
    <row r="2115" spans="1:13" s="1086" customFormat="1" ht="25.15" hidden="1" customHeight="1">
      <c r="A2115" s="1156">
        <f t="shared" si="158"/>
        <v>0</v>
      </c>
      <c r="B2115" s="1157" t="s">
        <v>204</v>
      </c>
      <c r="C2115" s="1157"/>
      <c r="D2115" s="1093"/>
      <c r="E2115" s="1082" t="str">
        <f>VLOOKUP($B2115,DG!A:D,DG!$B$2,)</f>
        <v>06.3231</v>
      </c>
      <c r="F2115" s="1111" t="str">
        <f>VLOOKUP($B2115,DG!A:D,DG!$C$2,)&amp;": D250 01 bộ"</f>
        <v>Cổ dê giữ ống PVC D42: D250 01 bộ</v>
      </c>
      <c r="G2115" s="1138" t="str">
        <f>VLOOKUP($B2115,DG!A:D,DG!$D$2,)</f>
        <v>bộ</v>
      </c>
      <c r="H2115" s="1873">
        <f>0.483*H2105</f>
        <v>0</v>
      </c>
      <c r="I2115" s="1262">
        <f t="shared" si="159"/>
        <v>0</v>
      </c>
      <c r="J2115" s="1134"/>
      <c r="K2115" s="1134"/>
      <c r="L2115" s="1113"/>
      <c r="M2115" s="977">
        <v>560</v>
      </c>
    </row>
    <row r="2116" spans="1:13" s="1086" customFormat="1" ht="25.15" hidden="1" customHeight="1">
      <c r="A2116" s="1156">
        <f t="shared" si="158"/>
        <v>0</v>
      </c>
      <c r="B2116" s="1157" t="s">
        <v>204</v>
      </c>
      <c r="C2116" s="1157"/>
      <c r="D2116" s="1093"/>
      <c r="E2116" s="1082" t="str">
        <f>VLOOKUP($B2116,DG!A:D,DG!$B$2,)</f>
        <v>06.3231</v>
      </c>
      <c r="F2116" s="1111" t="str">
        <f>VLOOKUP($B2116,DG!A:D,DG!$C$2,)&amp;": D280 01 bộ"</f>
        <v>Cổ dê giữ ống PVC D42: D280 01 bộ</v>
      </c>
      <c r="G2116" s="1138" t="str">
        <f>VLOOKUP($B2116,DG!A:D,DG!$D$2,)</f>
        <v>bộ</v>
      </c>
      <c r="H2116" s="1873">
        <f>H2105*0.52</f>
        <v>0</v>
      </c>
      <c r="I2116" s="1262">
        <f t="shared" si="159"/>
        <v>0</v>
      </c>
      <c r="J2116" s="1134"/>
      <c r="K2116" s="1134"/>
      <c r="L2116" s="1113"/>
      <c r="M2116" s="977">
        <v>560</v>
      </c>
    </row>
    <row r="2117" spans="1:13" s="1086" customFormat="1" ht="25.15" hidden="1" customHeight="1">
      <c r="A2117" s="1156">
        <f t="shared" si="158"/>
        <v>0</v>
      </c>
      <c r="B2117" s="1157" t="s">
        <v>204</v>
      </c>
      <c r="C2117" s="1157"/>
      <c r="D2117" s="1093"/>
      <c r="E2117" s="1082" t="str">
        <f>VLOOKUP($B2117,DG!A:D,DG!$B$2,)</f>
        <v>06.3231</v>
      </c>
      <c r="F2117" s="1111" t="str">
        <f>VLOOKUP($B2117,DG!A:D,DG!$C$2,)&amp;": D320 01 bộ"</f>
        <v>Cổ dê giữ ống PVC D42: D320 01 bộ</v>
      </c>
      <c r="G2117" s="1138" t="str">
        <f>VLOOKUP($B2117,DG!A:D,DG!$D$2,)</f>
        <v>bộ</v>
      </c>
      <c r="H2117" s="1873">
        <f>H2105*0.569</f>
        <v>0</v>
      </c>
      <c r="I2117" s="1262">
        <f t="shared" si="159"/>
        <v>0</v>
      </c>
      <c r="J2117" s="1134"/>
      <c r="K2117" s="1134"/>
      <c r="L2117" s="1113"/>
      <c r="M2117" s="977">
        <v>560</v>
      </c>
    </row>
    <row r="2118" spans="1:13" s="1086" customFormat="1" ht="25.15" hidden="1" customHeight="1">
      <c r="A2118" s="1156">
        <f t="shared" si="158"/>
        <v>0</v>
      </c>
      <c r="B2118" s="1157" t="s">
        <v>319</v>
      </c>
      <c r="C2118" s="1157"/>
      <c r="D2118" s="1093"/>
      <c r="E2118" s="1082" t="str">
        <f>VLOOKUP($B2118,DG!A:D,DG!$B$2,)</f>
        <v>06.3231</v>
      </c>
      <c r="F2118" s="1111" t="str">
        <f>VLOOKUP($B2118,DG!A:D,DG!$C$2,)&amp;": D320 02 bộ"</f>
        <v>Cổ dê CDĐKĐT( bắt thùng điện kế): D320 02 bộ</v>
      </c>
      <c r="G2118" s="1138" t="str">
        <f>VLOOKUP($B2118,DG!A:D,DG!$D$2,)</f>
        <v>bộ</v>
      </c>
      <c r="H2118" s="1873">
        <f>H2105*5.85*2</f>
        <v>0</v>
      </c>
      <c r="I2118" s="1262">
        <f t="shared" si="159"/>
        <v>0</v>
      </c>
      <c r="J2118" s="1134"/>
      <c r="K2118" s="1134"/>
      <c r="L2118" s="1113"/>
      <c r="M2118" s="977">
        <v>560</v>
      </c>
    </row>
    <row r="2119" spans="1:13" s="1086" customFormat="1" ht="25.15" hidden="1" customHeight="1">
      <c r="A2119" s="1156">
        <f t="shared" si="158"/>
        <v>0</v>
      </c>
      <c r="B2119" s="1157" t="s">
        <v>138</v>
      </c>
      <c r="C2119" s="1157"/>
      <c r="D2119" s="1093"/>
      <c r="E2119" s="1082">
        <f>VLOOKUP($B2119,DG!A:D,DG!$B$2,)</f>
        <v>0</v>
      </c>
      <c r="F2119" s="1111" t="str">
        <f>VLOOKUP($B2119,DG!A:D,DG!$C$2,)</f>
        <v>Boulon 12x40+ 2 long đền vuông D14-50x50x3/Zn</v>
      </c>
      <c r="G2119" s="1138" t="str">
        <f>VLOOKUP($B2119,DG!A:D,DG!$D$2,)</f>
        <v>bộ</v>
      </c>
      <c r="H2119" s="1873">
        <f>H2121*2</f>
        <v>0</v>
      </c>
      <c r="I2119" s="1262">
        <f t="shared" si="159"/>
        <v>0</v>
      </c>
      <c r="J2119" s="1134"/>
      <c r="K2119" s="1134"/>
      <c r="L2119" s="1113"/>
      <c r="M2119" s="977">
        <v>560</v>
      </c>
    </row>
    <row r="2120" spans="1:13" s="1086" customFormat="1" ht="25.15" hidden="1" customHeight="1">
      <c r="A2120" s="1156">
        <f t="shared" si="158"/>
        <v>0</v>
      </c>
      <c r="B2120" s="1157" t="s">
        <v>1355</v>
      </c>
      <c r="C2120" s="1157"/>
      <c r="D2120" s="1093"/>
      <c r="E2120" s="1082">
        <f>VLOOKUP($B2120,DG!A:D,DG!$B$2,)</f>
        <v>0</v>
      </c>
      <c r="F2120" s="1111" t="str">
        <f>VLOOKUP($B2120,DG!A:D,DG!$C$2,)</f>
        <v>Boulon 12x60+ 2 long đền vuông D14-50x50x3/Zn</v>
      </c>
      <c r="G2120" s="1138" t="str">
        <f>VLOOKUP($B2120,DG!A:D,DG!$D$2,)</f>
        <v>bộ</v>
      </c>
      <c r="H2120" s="1873">
        <f>H2119</f>
        <v>0</v>
      </c>
      <c r="I2120" s="1262">
        <f t="shared" si="159"/>
        <v>0</v>
      </c>
      <c r="J2120" s="1134"/>
      <c r="K2120" s="1134"/>
      <c r="L2120" s="1113"/>
      <c r="M2120" s="977">
        <v>560</v>
      </c>
    </row>
    <row r="2121" spans="1:13" s="1086" customFormat="1" ht="25.15" hidden="1" customHeight="1">
      <c r="A2121" s="1156">
        <f t="shared" si="158"/>
        <v>0</v>
      </c>
      <c r="B2121" s="1157" t="s">
        <v>1133</v>
      </c>
      <c r="C2121" s="1157"/>
      <c r="D2121" s="1093"/>
      <c r="E2121" s="1082" t="str">
        <f>VLOOKUP($B2121,DG!A:D,DG!$B$2,)</f>
        <v>06.2110</v>
      </c>
      <c r="F2121" s="1083" t="str">
        <f>VLOOKUP($B2121,DG!A:D,DG!$C$2,)</f>
        <v>Lắp cổ dề</v>
      </c>
      <c r="G2121" s="1082" t="str">
        <f>VLOOKUP($B2121,DG!A:D,DG!$D$2,)</f>
        <v>bộ</v>
      </c>
      <c r="H2121" s="1873">
        <f>H2105*6</f>
        <v>0</v>
      </c>
      <c r="I2121" s="1262">
        <f t="shared" si="159"/>
        <v>0</v>
      </c>
      <c r="J2121" s="1084"/>
      <c r="K2121" s="1084"/>
      <c r="L2121" s="1113"/>
      <c r="M2121" s="977">
        <v>560</v>
      </c>
    </row>
    <row r="2122" spans="1:13" s="1086" customFormat="1" ht="25.15" hidden="1" customHeight="1">
      <c r="A2122" s="1156">
        <f t="shared" si="158"/>
        <v>0</v>
      </c>
      <c r="B2122" s="1327" t="s">
        <v>1621</v>
      </c>
      <c r="C2122" s="1327"/>
      <c r="D2122" s="1093"/>
      <c r="E2122" s="1082">
        <f>VLOOKUP($B2122,DG!A:D,DG!$B$2,)</f>
        <v>0</v>
      </c>
      <c r="F2122" s="1111" t="str">
        <f>VLOOKUP($B2122,DG!A:D,DG!$C$2,)</f>
        <v>Co 90 độ PVC 42</v>
      </c>
      <c r="G2122" s="1138" t="str">
        <f>VLOOKUP($B2122,DG!A:D,DG!$D$2,)</f>
        <v>cái</v>
      </c>
      <c r="H2122" s="1873">
        <f>H2105*5</f>
        <v>0</v>
      </c>
      <c r="I2122" s="1262">
        <f t="shared" si="159"/>
        <v>0</v>
      </c>
      <c r="J2122" s="1134"/>
      <c r="K2122" s="1134"/>
      <c r="L2122" s="1113"/>
      <c r="M2122" s="977">
        <v>560</v>
      </c>
    </row>
    <row r="2123" spans="1:13" s="1086" customFormat="1" ht="25.15" hidden="1" customHeight="1">
      <c r="A2123" s="1156">
        <f t="shared" si="158"/>
        <v>0</v>
      </c>
      <c r="B2123" s="1327" t="s">
        <v>1052</v>
      </c>
      <c r="C2123" s="1327"/>
      <c r="D2123" s="1093"/>
      <c r="E2123" s="1082">
        <f>VLOOKUP($B2123,DG!A:D,DG!$B$2,)</f>
        <v>0</v>
      </c>
      <c r="F2123" s="1111" t="str">
        <f>VLOOKUP($B2123,DG!A:D,DG!$C$2,)</f>
        <v>Co chữ T ống PVC 42</v>
      </c>
      <c r="G2123" s="1138" t="str">
        <f>VLOOKUP($B2123,DG!A:D,DG!$D$2,)</f>
        <v>cái</v>
      </c>
      <c r="H2123" s="1873">
        <f>H2105*5</f>
        <v>0</v>
      </c>
      <c r="I2123" s="1262">
        <f t="shared" si="159"/>
        <v>0</v>
      </c>
      <c r="J2123" s="1134"/>
      <c r="K2123" s="1134"/>
      <c r="L2123" s="1113"/>
      <c r="M2123" s="977">
        <v>560</v>
      </c>
    </row>
    <row r="2124" spans="1:13" s="1086" customFormat="1" ht="25.15" hidden="1" customHeight="1">
      <c r="A2124" s="1156">
        <f t="shared" si="158"/>
        <v>0</v>
      </c>
      <c r="B2124" s="1327" t="s">
        <v>1919</v>
      </c>
      <c r="C2124" s="1327"/>
      <c r="D2124" s="1093"/>
      <c r="E2124" s="1082">
        <f>VLOOKUP($B2124,DG!A:D,DG!$B$2,)</f>
        <v>0</v>
      </c>
      <c r="F2124" s="1111" t="str">
        <f>VLOOKUP($B2124,DG!A:D,DG!$C$2,)</f>
        <v>Nối thẳng ống PVC 42</v>
      </c>
      <c r="G2124" s="1138" t="str">
        <f>VLOOKUP($B2124,DG!A:D,DG!$D$2,)</f>
        <v>cái</v>
      </c>
      <c r="H2124" s="1873">
        <f>H2105</f>
        <v>0</v>
      </c>
      <c r="I2124" s="1262">
        <f t="shared" si="159"/>
        <v>0</v>
      </c>
      <c r="J2124" s="1134"/>
      <c r="K2124" s="1134"/>
      <c r="L2124" s="1113"/>
      <c r="M2124" s="977">
        <v>560</v>
      </c>
    </row>
    <row r="2125" spans="1:13" s="1086" customFormat="1" ht="25.15" hidden="1" customHeight="1">
      <c r="A2125" s="1156">
        <f t="shared" si="158"/>
        <v>0</v>
      </c>
      <c r="B2125" s="1327" t="s">
        <v>728</v>
      </c>
      <c r="C2125" s="1327"/>
      <c r="D2125" s="1093"/>
      <c r="E2125" s="1082">
        <f>VLOOKUP($B2125,DG!A:D,DG!$B$2,)</f>
        <v>0</v>
      </c>
      <c r="F2125" s="1111" t="str">
        <f>VLOOKUP($B2125,DG!A:D,DG!$C$2,)</f>
        <v>Keo dán ống PVC (500gr)</v>
      </c>
      <c r="G2125" s="1138" t="str">
        <f>VLOOKUP($B2125,DG!A:D,DG!$D$2,)</f>
        <v>lon</v>
      </c>
      <c r="H2125" s="1873">
        <f>H2105</f>
        <v>0</v>
      </c>
      <c r="I2125" s="1262">
        <f t="shared" si="159"/>
        <v>0</v>
      </c>
      <c r="J2125" s="1134"/>
      <c r="K2125" s="1134"/>
      <c r="L2125" s="1113"/>
      <c r="M2125" s="977">
        <v>560</v>
      </c>
    </row>
    <row r="2126" spans="1:13" s="1086" customFormat="1" ht="25.15" hidden="1" customHeight="1">
      <c r="A2126" s="1156">
        <f t="shared" si="158"/>
        <v>0</v>
      </c>
      <c r="B2126" s="1157" t="s">
        <v>672</v>
      </c>
      <c r="C2126" s="1157"/>
      <c r="D2126" s="1093"/>
      <c r="E2126" s="1082">
        <f>VLOOKUP($B2126,DG!A:D,DG!$B$2,)</f>
        <v>0</v>
      </c>
      <c r="F2126" s="1111" t="str">
        <f>VLOOKUP($B2126,DG!A:D,DG!$C$2,)</f>
        <v>Băng keo cách điện</v>
      </c>
      <c r="G2126" s="1138" t="str">
        <f>VLOOKUP($B2126,DG!A:D,DG!$D$2,)</f>
        <v>cuộn</v>
      </c>
      <c r="H2126" s="1873">
        <f>H2105</f>
        <v>0</v>
      </c>
      <c r="I2126" s="1262">
        <f t="shared" si="159"/>
        <v>0</v>
      </c>
      <c r="J2126" s="1084"/>
      <c r="K2126" s="1084"/>
      <c r="L2126" s="1113"/>
      <c r="M2126" s="977">
        <v>560</v>
      </c>
    </row>
    <row r="2127" spans="1:13" s="1086" customFormat="1" ht="25.15" hidden="1" customHeight="1">
      <c r="A2127" s="1156">
        <f t="shared" si="158"/>
        <v>0</v>
      </c>
      <c r="B2127" s="1327" t="s">
        <v>2128</v>
      </c>
      <c r="C2127" s="1327"/>
      <c r="D2127" s="1093"/>
      <c r="E2127" s="1082">
        <f>VLOOKUP($B2127,DG!A:D,DG!$B$2,)</f>
        <v>0</v>
      </c>
      <c r="F2127" s="1111" t="str">
        <f>VLOOKUP($B2127,DG!A:D,DG!$C$2,)</f>
        <v>Khâu ven răng trong D42</v>
      </c>
      <c r="G2127" s="1138" t="str">
        <f>VLOOKUP($B2127,DG!A:D,DG!$D$2,)</f>
        <v>cái</v>
      </c>
      <c r="H2127" s="1873">
        <f>H2105</f>
        <v>0</v>
      </c>
      <c r="I2127" s="1262">
        <f t="shared" si="159"/>
        <v>0</v>
      </c>
      <c r="J2127" s="1084"/>
      <c r="K2127" s="1084"/>
      <c r="L2127" s="1113"/>
      <c r="M2127" s="977">
        <v>560</v>
      </c>
    </row>
    <row r="2128" spans="1:13" s="1086" customFormat="1" ht="25.15" hidden="1" customHeight="1">
      <c r="A2128" s="1156">
        <f t="shared" si="158"/>
        <v>0</v>
      </c>
      <c r="B2128" s="1157" t="s">
        <v>961</v>
      </c>
      <c r="C2128" s="1157"/>
      <c r="D2128" s="1093"/>
      <c r="E2128" s="1082">
        <f>VLOOKUP($B2128,DG!A:D,DG!$B$2,)</f>
        <v>0</v>
      </c>
      <c r="F2128" s="1111" t="str">
        <f>VLOOKUP($B2128,DG!A:D,DG!$C$2,)</f>
        <v>Khâu ven răng ngoài D42</v>
      </c>
      <c r="G2128" s="1138" t="str">
        <f>VLOOKUP($B2128,DG!A:D,DG!$D$2,)</f>
        <v>cái</v>
      </c>
      <c r="H2128" s="1873">
        <f>H2105</f>
        <v>0</v>
      </c>
      <c r="I2128" s="1262">
        <f t="shared" si="159"/>
        <v>0</v>
      </c>
      <c r="J2128" s="1084"/>
      <c r="K2128" s="1084"/>
      <c r="L2128" s="1113"/>
      <c r="M2128" s="977">
        <v>560</v>
      </c>
    </row>
    <row r="2129" spans="1:13" s="1086" customFormat="1" ht="25.15" hidden="1" customHeight="1">
      <c r="A2129" s="1156">
        <f t="shared" si="158"/>
        <v>0</v>
      </c>
      <c r="B2129" s="1157" t="s">
        <v>1921</v>
      </c>
      <c r="C2129" s="1157"/>
      <c r="D2129" s="1093"/>
      <c r="E2129" s="1082" t="str">
        <f>VLOOKUP($B2129,DG!A:D,DG!$B$2,)</f>
        <v>05.1101</v>
      </c>
      <c r="F2129" s="1111" t="str">
        <f>VLOOKUP($B2129,DG!A:D,DG!$C$2,)</f>
        <v>Thùng điện kế 450x300x200mm đo đếm trung thế</v>
      </c>
      <c r="G2129" s="1138" t="str">
        <f>VLOOKUP($B2129,DG!A:D,DG!$D$2,)</f>
        <v>cái</v>
      </c>
      <c r="H2129" s="1873">
        <f>H2105</f>
        <v>0</v>
      </c>
      <c r="I2129" s="1262">
        <f t="shared" si="159"/>
        <v>0</v>
      </c>
      <c r="J2129" s="1084"/>
      <c r="K2129" s="1084"/>
      <c r="L2129" s="1113"/>
      <c r="M2129" s="977">
        <v>560</v>
      </c>
    </row>
    <row r="2130" spans="1:13" s="1086" customFormat="1" ht="25.15" hidden="1" customHeight="1">
      <c r="A2130" s="1156">
        <f t="shared" si="158"/>
        <v>0</v>
      </c>
      <c r="B2130" s="1157" t="s">
        <v>6</v>
      </c>
      <c r="C2130" s="1157"/>
      <c r="D2130" s="1093"/>
      <c r="E2130" s="1082">
        <f>VLOOKUP($B2130,DG!A:D,DG!$B$2,)</f>
        <v>0</v>
      </c>
      <c r="F2130" s="1111" t="str">
        <f>VLOOKUP($B2130,DG!A:D,DG!$C$2,)</f>
        <v>Keo silicon bít miệng ống</v>
      </c>
      <c r="G2130" s="1138" t="str">
        <f>VLOOKUP($B2130,DG!A:D,DG!$D$2,)</f>
        <v>ống</v>
      </c>
      <c r="H2130" s="1873">
        <f>H2105</f>
        <v>0</v>
      </c>
      <c r="I2130" s="1262">
        <f t="shared" si="159"/>
        <v>0</v>
      </c>
      <c r="J2130" s="1084"/>
      <c r="K2130" s="1084"/>
      <c r="L2130" s="1113"/>
      <c r="M2130" s="977">
        <v>560</v>
      </c>
    </row>
    <row r="2131" spans="1:13" s="1086" customFormat="1" ht="25.15" hidden="1" customHeight="1">
      <c r="A2131" s="1156">
        <f t="shared" si="158"/>
        <v>0</v>
      </c>
      <c r="B2131" s="1157" t="s">
        <v>2147</v>
      </c>
      <c r="C2131" s="1157"/>
      <c r="D2131" s="1093"/>
      <c r="E2131" s="1082">
        <f>VLOOKUP($B2131,DG!A:D,DG!$B$2,)</f>
        <v>0</v>
      </c>
      <c r="F2131" s="1111" t="str">
        <f>VLOOKUP($B2131,DG!A:D,DG!$C$2,)</f>
        <v>Dây đồng trần mềm dẹt</v>
      </c>
      <c r="G2131" s="1138" t="str">
        <f>VLOOKUP($B2131,DG!A:D,DG!$D$2,)</f>
        <v>mét</v>
      </c>
      <c r="H2131" s="1873">
        <f>H2105*4</f>
        <v>0</v>
      </c>
      <c r="I2131" s="1262">
        <f t="shared" si="159"/>
        <v>0</v>
      </c>
      <c r="J2131" s="1084"/>
      <c r="K2131" s="1084"/>
      <c r="L2131" s="1113"/>
      <c r="M2131" s="977">
        <v>560</v>
      </c>
    </row>
    <row r="2132" spans="1:13" s="1086" customFormat="1" ht="25.15" hidden="1" customHeight="1">
      <c r="A2132" s="1156">
        <f t="shared" si="158"/>
        <v>0</v>
      </c>
      <c r="B2132" s="1157"/>
      <c r="C2132" s="1157"/>
      <c r="D2132" s="1118"/>
      <c r="E2132" s="1119"/>
      <c r="F2132" s="1108" t="s">
        <v>3751</v>
      </c>
      <c r="G2132" s="1108"/>
      <c r="H2132" s="1897"/>
      <c r="I2132" s="1262">
        <f t="shared" si="159"/>
        <v>0</v>
      </c>
      <c r="J2132" s="1108"/>
      <c r="K2132" s="1108"/>
      <c r="L2132" s="1139"/>
      <c r="M2132" s="977">
        <v>560</v>
      </c>
    </row>
    <row r="2133" spans="1:13" s="1086" customFormat="1" ht="25.15" hidden="1" customHeight="1">
      <c r="A2133" s="1156">
        <f t="shared" si="158"/>
        <v>0</v>
      </c>
      <c r="B2133" s="1157" t="s">
        <v>968</v>
      </c>
      <c r="C2133" s="1157"/>
      <c r="D2133" s="1093"/>
      <c r="E2133" s="1082" t="str">
        <f>VLOOKUP($B2133,DG!A:D,DG!$B$2,)</f>
        <v>02.5114</v>
      </c>
      <c r="F2133" s="1111" t="s">
        <v>3752</v>
      </c>
      <c r="G2133" s="1138" t="str">
        <f>VLOOKUP($B2133,DG!A:D,DG!$D$2,)</f>
        <v>cái</v>
      </c>
      <c r="H2133" s="1873"/>
      <c r="I2133" s="1262">
        <f t="shared" si="159"/>
        <v>0</v>
      </c>
      <c r="J2133" s="1084"/>
      <c r="K2133" s="1084"/>
      <c r="L2133" s="1113" t="s">
        <v>3753</v>
      </c>
      <c r="M2133" s="977">
        <v>560</v>
      </c>
    </row>
    <row r="2134" spans="1:13" s="1086" customFormat="1" ht="25.15" hidden="1" customHeight="1">
      <c r="A2134" s="1156">
        <f t="shared" si="158"/>
        <v>0</v>
      </c>
      <c r="B2134" s="1157" t="s">
        <v>1912</v>
      </c>
      <c r="C2134" s="1157"/>
      <c r="D2134" s="1093"/>
      <c r="E2134" s="1082" t="str">
        <f>VLOOKUP($B2134,DG!A:D,DG!$B$2,)</f>
        <v>05.6011</v>
      </c>
      <c r="F2134" s="1111" t="s">
        <v>2470</v>
      </c>
      <c r="G2134" s="1138" t="str">
        <f>VLOOKUP($B2134,DG!A:D,DG!$D$2,)</f>
        <v>bộ</v>
      </c>
      <c r="H2134" s="1873"/>
      <c r="I2134" s="1262">
        <f t="shared" si="159"/>
        <v>0</v>
      </c>
      <c r="J2134" s="1084"/>
      <c r="K2134" s="1084"/>
      <c r="L2134" s="1085"/>
      <c r="M2134" s="977">
        <v>560</v>
      </c>
    </row>
    <row r="2135" spans="1:13" s="1086" customFormat="1" ht="25.15" hidden="1" customHeight="1">
      <c r="A2135" s="1156">
        <f t="shared" ref="A2135:A2196" si="160">IF(I2135&gt;0,1,0)</f>
        <v>0</v>
      </c>
      <c r="B2135" s="1157"/>
      <c r="C2135" s="1157"/>
      <c r="D2135" s="1140"/>
      <c r="E2135" s="1141"/>
      <c r="F2135" s="1108"/>
      <c r="G2135" s="1142"/>
      <c r="H2135" s="1900"/>
      <c r="I2135" s="1262">
        <f t="shared" si="159"/>
        <v>0</v>
      </c>
      <c r="J2135" s="1143"/>
      <c r="K2135" s="1144"/>
      <c r="L2135" s="1110"/>
      <c r="M2135" s="977"/>
    </row>
    <row r="2136" spans="1:13" s="1086" customFormat="1" ht="25.15" hidden="1" customHeight="1">
      <c r="A2136" s="1156">
        <f t="shared" si="160"/>
        <v>0</v>
      </c>
      <c r="B2136" s="1157"/>
      <c r="C2136" s="1157"/>
      <c r="D2136" s="1145"/>
      <c r="F2136" s="1146"/>
      <c r="H2136" s="1902"/>
      <c r="I2136" s="1262">
        <f t="shared" si="159"/>
        <v>0</v>
      </c>
      <c r="M2136" s="977"/>
    </row>
    <row r="2137" spans="1:13" s="1086" customFormat="1" ht="25.15" hidden="1" customHeight="1">
      <c r="A2137" s="1156">
        <f t="shared" si="160"/>
        <v>0</v>
      </c>
      <c r="B2137" s="1353"/>
      <c r="C2137" s="1353"/>
      <c r="D2137" s="983" t="e">
        <f>"BAÛNG TOÅNG HÔÏP VAÄT LIEÄU, NHAÂN COÂNG, MAÙY THI COÂNG : "&amp;#REF!&amp;" TRAÏM 3P_630KVA"</f>
        <v>#REF!</v>
      </c>
      <c r="E2137" s="983"/>
      <c r="F2137" s="983"/>
      <c r="G2137" s="983"/>
      <c r="H2137" s="1894"/>
      <c r="I2137" s="1262">
        <f t="shared" si="159"/>
        <v>0</v>
      </c>
      <c r="J2137" s="1147"/>
      <c r="K2137" s="1147"/>
      <c r="L2137" s="1148"/>
      <c r="M2137" s="977"/>
    </row>
    <row r="2138" spans="1:13" s="1086" customFormat="1" ht="25.15" hidden="1" customHeight="1">
      <c r="A2138" s="1156">
        <f t="shared" si="160"/>
        <v>0</v>
      </c>
      <c r="B2138" s="1327"/>
      <c r="C2138" s="1327"/>
      <c r="D2138" s="1106"/>
      <c r="E2138" s="1107"/>
      <c r="F2138" s="1108" t="s">
        <v>3693</v>
      </c>
      <c r="G2138" s="1109"/>
      <c r="H2138" s="1930"/>
      <c r="I2138" s="1262">
        <f t="shared" si="159"/>
        <v>0</v>
      </c>
      <c r="J2138" s="1109"/>
      <c r="K2138" s="1109"/>
      <c r="L2138" s="1110"/>
      <c r="M2138" s="977">
        <v>630</v>
      </c>
    </row>
    <row r="2139" spans="1:13" s="1086" customFormat="1" ht="25.15" hidden="1" customHeight="1">
      <c r="A2139" s="1156">
        <f t="shared" si="160"/>
        <v>0</v>
      </c>
      <c r="B2139" s="1328" t="s">
        <v>958</v>
      </c>
      <c r="C2139" s="1328"/>
      <c r="D2139" s="1093">
        <f>IF(H2139&gt;0,1,0)</f>
        <v>0</v>
      </c>
      <c r="E2139" s="1082" t="str">
        <f>VLOOKUP($B2139,DG!A:D,DG!$B$2,)</f>
        <v>01.1146</v>
      </c>
      <c r="F2139" s="1083" t="str">
        <f>VLOOKUP($B2139,DG!A:D,DG!$C$2,)</f>
        <v>Máy biến áp 22/0,4kV- 630kVA</v>
      </c>
      <c r="G2139" s="1082" t="str">
        <f>VLOOKUP($B2139,DG!A:D,DG!$D$2,)</f>
        <v>máy</v>
      </c>
      <c r="H2139" s="1904">
        <f>L15</f>
        <v>0</v>
      </c>
      <c r="I2139" s="1262">
        <f t="shared" si="159"/>
        <v>0</v>
      </c>
      <c r="J2139" s="1111"/>
      <c r="K2139" s="1111"/>
      <c r="L2139" s="1112"/>
      <c r="M2139" s="977">
        <v>630</v>
      </c>
    </row>
    <row r="2140" spans="1:13" s="1086" customFormat="1" ht="25.15" hidden="1" customHeight="1">
      <c r="A2140" s="1156">
        <f t="shared" si="160"/>
        <v>0</v>
      </c>
      <c r="B2140" s="1328" t="s">
        <v>1657</v>
      </c>
      <c r="C2140" s="1328"/>
      <c r="D2140" s="1093">
        <f>IF(H2140&gt;0,D2139+1,D2139)</f>
        <v>0</v>
      </c>
      <c r="E2140" s="1082" t="str">
        <f>VLOOKUP($B2140,DG!A:D,DG!$B$2,)</f>
        <v>02.3155</v>
      </c>
      <c r="F2140" s="1083" t="str">
        <f>VLOOKUP($B2140,DG!A:D,DG!$C$2,)</f>
        <v>FCO 27kV - 100A</v>
      </c>
      <c r="G2140" s="1082" t="str">
        <f>VLOOKUP($B2140,DG!A:D,DG!$D$2,)</f>
        <v>cái</v>
      </c>
      <c r="H2140" s="1873">
        <f>H2139*3</f>
        <v>0</v>
      </c>
      <c r="I2140" s="1262">
        <f t="shared" si="159"/>
        <v>0</v>
      </c>
      <c r="J2140" s="1084"/>
      <c r="K2140" s="1084"/>
      <c r="L2140" s="1113"/>
      <c r="M2140" s="977">
        <v>630</v>
      </c>
    </row>
    <row r="2141" spans="1:13" s="1086" customFormat="1" ht="25.15" hidden="1" customHeight="1">
      <c r="A2141" s="1156">
        <f t="shared" si="160"/>
        <v>0</v>
      </c>
      <c r="B2141" s="1328" t="s">
        <v>4540</v>
      </c>
      <c r="C2141" s="1328"/>
      <c r="D2141" s="1093">
        <f t="shared" ref="D2141:D2147" si="161">IF(H2141&gt;0,D2140+1,D2140)</f>
        <v>0</v>
      </c>
      <c r="E2141" s="1082">
        <f>VLOOKUP($B2141,DG!A:D,DG!$B$2,)</f>
        <v>0</v>
      </c>
      <c r="F2141" s="1083" t="str">
        <f>VLOOKUP($B2141,DG!A:D,DG!$C$2,)</f>
        <v>Dây chảy 30K</v>
      </c>
      <c r="G2141" s="1082" t="str">
        <f>VLOOKUP($B2141,DG!A:D,DG!$D$2,)</f>
        <v>Sợi</v>
      </c>
      <c r="H2141" s="1873">
        <f>H2140</f>
        <v>0</v>
      </c>
      <c r="I2141" s="1262">
        <f t="shared" si="159"/>
        <v>0</v>
      </c>
      <c r="J2141" s="1084"/>
      <c r="K2141" s="1084"/>
      <c r="L2141" s="1113"/>
      <c r="M2141" s="977">
        <v>630</v>
      </c>
    </row>
    <row r="2142" spans="1:13" s="1086" customFormat="1" ht="25.15" hidden="1" customHeight="1">
      <c r="A2142" s="1156">
        <f t="shared" si="160"/>
        <v>0</v>
      </c>
      <c r="B2142" s="1327" t="s">
        <v>1378</v>
      </c>
      <c r="C2142" s="1327"/>
      <c r="D2142" s="1093">
        <f t="shared" si="161"/>
        <v>0</v>
      </c>
      <c r="E2142" s="1082" t="str">
        <f>VLOOKUP($B2142,DG!A:D,DG!$B$2,)</f>
        <v>02.5114</v>
      </c>
      <c r="F2142" s="1083" t="str">
        <f>VLOOKUP($B2142,DG!A:D,DG!$C$2,)</f>
        <v>Chống sét van LA-18KV-10KA</v>
      </c>
      <c r="G2142" s="1082" t="str">
        <f>VLOOKUP($B2142,DG!A:D,DG!$D$2,)</f>
        <v>cái</v>
      </c>
      <c r="H2142" s="1873">
        <f>H2140</f>
        <v>0</v>
      </c>
      <c r="I2142" s="1262">
        <f t="shared" si="159"/>
        <v>0</v>
      </c>
      <c r="J2142" s="1084"/>
      <c r="K2142" s="1084"/>
      <c r="L2142" s="1113"/>
      <c r="M2142" s="977">
        <v>630</v>
      </c>
    </row>
    <row r="2143" spans="1:13" s="1086" customFormat="1" ht="25.15" hidden="1" customHeight="1">
      <c r="A2143" s="1156">
        <f t="shared" si="160"/>
        <v>0</v>
      </c>
      <c r="B2143" s="1328" t="s">
        <v>884</v>
      </c>
      <c r="C2143" s="1328"/>
      <c r="D2143" s="1093">
        <f t="shared" si="161"/>
        <v>0</v>
      </c>
      <c r="E2143" s="1082" t="str">
        <f>VLOOKUP($B2143,DG!A:D,DG!$B$2,)</f>
        <v>02.8404</v>
      </c>
      <c r="F2143" s="1083" t="str">
        <f>VLOOKUP($B2143,DG!A:D,DG!$C$2,)</f>
        <v>MCCB 3 cực 400V -1000A - 50KA</v>
      </c>
      <c r="G2143" s="1082" t="str">
        <f>VLOOKUP($B2143,DG!A:D,DG!$D$2,)</f>
        <v>cái</v>
      </c>
      <c r="H2143" s="1873">
        <f>H2139</f>
        <v>0</v>
      </c>
      <c r="I2143" s="1262">
        <f t="shared" si="159"/>
        <v>0</v>
      </c>
      <c r="J2143" s="1084"/>
      <c r="K2143" s="1084"/>
      <c r="L2143" s="1113"/>
      <c r="M2143" s="977">
        <v>630</v>
      </c>
    </row>
    <row r="2144" spans="1:13" s="1086" customFormat="1" ht="25.15" hidden="1" customHeight="1">
      <c r="A2144" s="1156">
        <f t="shared" si="160"/>
        <v>0</v>
      </c>
      <c r="B2144" s="1328" t="s">
        <v>1468</v>
      </c>
      <c r="C2144" s="1328"/>
      <c r="D2144" s="1093">
        <f t="shared" si="161"/>
        <v>0</v>
      </c>
      <c r="E2144" s="1082" t="str">
        <f>VLOOKUP($B2144,DG!A:D,DG!$B$2,)</f>
        <v>02.8534</v>
      </c>
      <c r="F2144" s="1083" t="str">
        <f>VLOOKUP($B2144,DG!A:D,DG!$C$2,)</f>
        <v>Tủ tụ bù hạ thế 250kVAr</v>
      </c>
      <c r="G2144" s="1082" t="str">
        <f>VLOOKUP($B2144,DG!A:D,DG!$D$2,)</f>
        <v>tủ</v>
      </c>
      <c r="H2144" s="1873">
        <f>H2139</f>
        <v>0</v>
      </c>
      <c r="I2144" s="1262">
        <f t="shared" si="159"/>
        <v>0</v>
      </c>
      <c r="J2144" s="1084"/>
      <c r="K2144" s="1084"/>
      <c r="L2144" s="1113"/>
      <c r="M2144" s="977">
        <v>630</v>
      </c>
    </row>
    <row r="2145" spans="1:13" s="1086" customFormat="1" ht="25.15" hidden="1" customHeight="1">
      <c r="A2145" s="1156">
        <f t="shared" si="160"/>
        <v>0</v>
      </c>
      <c r="B2145" s="1328" t="s">
        <v>4539</v>
      </c>
      <c r="C2145" s="1328"/>
      <c r="D2145" s="1093">
        <f t="shared" si="161"/>
        <v>0</v>
      </c>
      <c r="E2145" s="1082" t="str">
        <f>VLOOKUP($B2145,DG!A:D,DG!$B$2,)</f>
        <v>02.1124</v>
      </c>
      <c r="F2145" s="1083" t="str">
        <f>VLOOKUP($B2145,DG!A:D,DG!$C$2,)</f>
        <v>Biến dòng 24kV  15/5A</v>
      </c>
      <c r="G2145" s="1082" t="str">
        <f>VLOOKUP($B2145,DG!A:D,DG!$D$2,)</f>
        <v>cái</v>
      </c>
      <c r="H2145" s="1905">
        <f>H2139*3</f>
        <v>0</v>
      </c>
      <c r="I2145" s="1262">
        <f t="shared" si="159"/>
        <v>0</v>
      </c>
      <c r="J2145" s="1084"/>
      <c r="K2145" s="1084"/>
      <c r="L2145" s="1114" t="s">
        <v>2612</v>
      </c>
      <c r="M2145" s="977">
        <v>630</v>
      </c>
    </row>
    <row r="2146" spans="1:13" s="1086" customFormat="1" ht="25.15" hidden="1" customHeight="1">
      <c r="A2146" s="1156">
        <f t="shared" si="160"/>
        <v>0</v>
      </c>
      <c r="B2146" s="1328" t="s">
        <v>4537</v>
      </c>
      <c r="C2146" s="1328"/>
      <c r="D2146" s="1093">
        <f t="shared" si="161"/>
        <v>0</v>
      </c>
      <c r="E2146" s="1082" t="str">
        <f>VLOOKUP($B2146,DG!A:D,DG!$B$2,)</f>
        <v>02.1114</v>
      </c>
      <c r="F2146" s="1083" t="str">
        <f>VLOOKUP($B2146,DG!A:D,DG!$C$2,)</f>
        <v>Biến điện áp 12000/120(60)V</v>
      </c>
      <c r="G2146" s="1082" t="str">
        <f>VLOOKUP($B2146,DG!A:D,DG!$D$2,)</f>
        <v>cái</v>
      </c>
      <c r="H2146" s="1905">
        <f>H2145</f>
        <v>0</v>
      </c>
      <c r="I2146" s="1262">
        <f t="shared" si="159"/>
        <v>0</v>
      </c>
      <c r="J2146" s="1084"/>
      <c r="K2146" s="1084"/>
      <c r="L2146" s="1114" t="s">
        <v>2612</v>
      </c>
      <c r="M2146" s="977">
        <v>630</v>
      </c>
    </row>
    <row r="2147" spans="1:13" s="1086" customFormat="1" ht="25.15" hidden="1" customHeight="1">
      <c r="A2147" s="1156">
        <f t="shared" si="160"/>
        <v>0</v>
      </c>
      <c r="B2147" s="1355" t="s">
        <v>1843</v>
      </c>
      <c r="C2147" s="1355"/>
      <c r="D2147" s="1093">
        <f t="shared" si="161"/>
        <v>0</v>
      </c>
      <c r="E2147" s="1082">
        <f>VLOOKUP($B2147,DG!A:D,DG!$B$2,)</f>
        <v>0</v>
      </c>
      <c r="F2147" s="1083" t="str">
        <f>VLOOKUP($B2147,DG!A:D,DG!$C$2,)</f>
        <v>Điện kế 3 pha điện tử 600V-5A</v>
      </c>
      <c r="G2147" s="1082" t="str">
        <f>VLOOKUP($B2147,DG!A:D,DG!$D$2,)</f>
        <v>cái</v>
      </c>
      <c r="H2147" s="1905">
        <f>H2139</f>
        <v>0</v>
      </c>
      <c r="I2147" s="1262">
        <f t="shared" si="159"/>
        <v>0</v>
      </c>
      <c r="J2147" s="1084"/>
      <c r="K2147" s="1084"/>
      <c r="L2147" s="1115" t="s">
        <v>2612</v>
      </c>
      <c r="M2147" s="977">
        <v>630</v>
      </c>
    </row>
    <row r="2148" spans="1:13" s="1086" customFormat="1" ht="25.15" hidden="1" customHeight="1">
      <c r="A2148" s="1156">
        <f t="shared" si="160"/>
        <v>0</v>
      </c>
      <c r="B2148" s="1327"/>
      <c r="C2148" s="1327"/>
      <c r="D2148" s="1116"/>
      <c r="E2148" s="1117"/>
      <c r="F2148" s="1079"/>
      <c r="G2148" s="1116"/>
      <c r="H2148" s="1883"/>
      <c r="I2148" s="1262">
        <f t="shared" si="159"/>
        <v>0</v>
      </c>
      <c r="J2148" s="1079"/>
      <c r="K2148" s="1116"/>
      <c r="L2148" s="1110"/>
      <c r="M2148" s="977">
        <v>630</v>
      </c>
    </row>
    <row r="2149" spans="1:13" s="1086" customFormat="1" ht="25.15" hidden="1" customHeight="1">
      <c r="A2149" s="1156">
        <f t="shared" si="160"/>
        <v>0</v>
      </c>
      <c r="B2149" s="1327"/>
      <c r="C2149" s="1327"/>
      <c r="D2149" s="1118"/>
      <c r="E2149" s="1119"/>
      <c r="F2149" s="1108" t="s">
        <v>3694</v>
      </c>
      <c r="G2149" s="1108"/>
      <c r="H2149" s="1897"/>
      <c r="I2149" s="1262">
        <f t="shared" si="159"/>
        <v>0</v>
      </c>
      <c r="J2149" s="1108"/>
      <c r="K2149" s="1108"/>
      <c r="L2149" s="1110"/>
      <c r="M2149" s="977">
        <v>630</v>
      </c>
    </row>
    <row r="2150" spans="1:13" s="1086" customFormat="1" ht="25.15" hidden="1" customHeight="1">
      <c r="A2150" s="1156">
        <f t="shared" si="160"/>
        <v>0</v>
      </c>
      <c r="B2150" s="1356"/>
      <c r="C2150" s="1356"/>
      <c r="D2150" s="1120">
        <f>IF(H2150&gt;0,1,0)</f>
        <v>0</v>
      </c>
      <c r="E2150" s="1121"/>
      <c r="F2150" s="1122" t="s">
        <v>3732</v>
      </c>
      <c r="G2150" s="1123" t="s">
        <v>2285</v>
      </c>
      <c r="H2150" s="1906">
        <f>H2139*2*0</f>
        <v>0</v>
      </c>
      <c r="I2150" s="1262">
        <f t="shared" si="159"/>
        <v>0</v>
      </c>
      <c r="J2150" s="1124"/>
      <c r="K2150" s="1124"/>
      <c r="L2150" s="1113"/>
      <c r="M2150" s="977">
        <v>630</v>
      </c>
    </row>
    <row r="2151" spans="1:13" s="1086" customFormat="1" ht="25.15" hidden="1" customHeight="1">
      <c r="A2151" s="1156">
        <f t="shared" si="160"/>
        <v>0</v>
      </c>
      <c r="B2151" s="1157" t="s">
        <v>115</v>
      </c>
      <c r="C2151" s="1157"/>
      <c r="D2151" s="1125"/>
      <c r="E2151" s="1082"/>
      <c r="F2151" s="1126" t="str">
        <f>VLOOKUP($B2151,DG!A:D,DG!$C$2,)</f>
        <v>Trụ BTLT 12m F350 dự ứng lực</v>
      </c>
      <c r="G2151" s="1082" t="str">
        <f>VLOOKUP($B2151,DG!A:D,DG!$D$2,)</f>
        <v>trụ</v>
      </c>
      <c r="H2151" s="1907">
        <f>H2150</f>
        <v>0</v>
      </c>
      <c r="I2151" s="1262">
        <f t="shared" si="159"/>
        <v>0</v>
      </c>
      <c r="J2151" s="1111"/>
      <c r="K2151" s="1081"/>
      <c r="L2151" s="1113"/>
      <c r="M2151" s="977">
        <v>630</v>
      </c>
    </row>
    <row r="2152" spans="1:13" s="1086" customFormat="1" ht="25.15" hidden="1" customHeight="1">
      <c r="A2152" s="1156">
        <f t="shared" si="160"/>
        <v>0</v>
      </c>
      <c r="B2152" s="1157" t="s">
        <v>1820</v>
      </c>
      <c r="C2152" s="1157"/>
      <c r="D2152" s="1125"/>
      <c r="E2152" s="1082"/>
      <c r="F2152" s="1126" t="str">
        <f>VLOOKUP($B2152,DG!A:D,DG!$C$2,)</f>
        <v>Vật liệu dựng trụ</v>
      </c>
      <c r="G2152" s="1082" t="str">
        <f>VLOOKUP($B2152,DG!A:D,DG!$D$2,)</f>
        <v>trụ</v>
      </c>
      <c r="H2152" s="1907">
        <f>H2151</f>
        <v>0</v>
      </c>
      <c r="I2152" s="1262">
        <f t="shared" si="159"/>
        <v>0</v>
      </c>
      <c r="J2152" s="1081"/>
      <c r="K2152" s="1081"/>
      <c r="L2152" s="1113"/>
      <c r="M2152" s="977">
        <v>630</v>
      </c>
    </row>
    <row r="2153" spans="1:13" s="1086" customFormat="1" ht="25.15" hidden="1" customHeight="1">
      <c r="A2153" s="1156">
        <f t="shared" si="160"/>
        <v>0</v>
      </c>
      <c r="B2153" s="1157" t="s">
        <v>643</v>
      </c>
      <c r="C2153" s="1157"/>
      <c r="D2153" s="1125"/>
      <c r="E2153" s="1082" t="str">
        <f>VLOOKUP($B2153,DG!A:D,DG!$B$2,)</f>
        <v>04.9203</v>
      </c>
      <c r="F2153" s="1126" t="str">
        <f>VLOOKUP($B2153,DG!A:D,DG!$C$2,)</f>
        <v>Dựng trụ BTLT 12m trong TBA bằng thủ công + cơ giới</v>
      </c>
      <c r="G2153" s="1082" t="str">
        <f>VLOOKUP($B2153,DG!A:D,DG!$D$2,)</f>
        <v>trụ</v>
      </c>
      <c r="H2153" s="1907">
        <f>H2151</f>
        <v>0</v>
      </c>
      <c r="I2153" s="1262">
        <f t="shared" si="159"/>
        <v>0</v>
      </c>
      <c r="J2153" s="1111"/>
      <c r="K2153" s="1111"/>
      <c r="L2153" s="1113"/>
      <c r="M2153" s="977">
        <v>630</v>
      </c>
    </row>
    <row r="2154" spans="1:13" s="1086" customFormat="1" ht="25.15" hidden="1" customHeight="1">
      <c r="A2154" s="1156">
        <f t="shared" si="160"/>
        <v>0</v>
      </c>
      <c r="B2154" s="1356"/>
      <c r="C2154" s="1356"/>
      <c r="D2154" s="1120">
        <f>IF(H2154&gt;0,1,0)</f>
        <v>0</v>
      </c>
      <c r="E2154" s="1121"/>
      <c r="F2154" s="1122" t="s">
        <v>3733</v>
      </c>
      <c r="G2154" s="1123" t="s">
        <v>2285</v>
      </c>
      <c r="H2154" s="1906">
        <f>H2139*2*0</f>
        <v>0</v>
      </c>
      <c r="I2154" s="1262">
        <f t="shared" si="159"/>
        <v>0</v>
      </c>
      <c r="J2154" s="1124"/>
      <c r="K2154" s="1124"/>
      <c r="L2154" s="1085"/>
      <c r="M2154" s="977">
        <v>630</v>
      </c>
    </row>
    <row r="2155" spans="1:13" s="1086" customFormat="1" ht="25.15" hidden="1" customHeight="1">
      <c r="A2155" s="1156">
        <f t="shared" si="160"/>
        <v>0</v>
      </c>
      <c r="B2155" s="1157" t="s">
        <v>114</v>
      </c>
      <c r="C2155" s="1157"/>
      <c r="D2155" s="1125"/>
      <c r="E2155" s="1082"/>
      <c r="F2155" s="1126" t="str">
        <f>VLOOKUP($B2155,DG!A:D,DG!$C$2,)</f>
        <v>Trụ BTLT 10,5m F350 dự ứng lực</v>
      </c>
      <c r="G2155" s="1082" t="str">
        <f>VLOOKUP($B2155,DG!A:D,DG!$D$2,)</f>
        <v>trụ</v>
      </c>
      <c r="H2155" s="1907">
        <f>H2154</f>
        <v>0</v>
      </c>
      <c r="I2155" s="1262">
        <f t="shared" si="159"/>
        <v>0</v>
      </c>
      <c r="J2155" s="1111"/>
      <c r="K2155" s="1081"/>
      <c r="L2155" s="1085"/>
      <c r="M2155" s="977">
        <v>630</v>
      </c>
    </row>
    <row r="2156" spans="1:13" s="1086" customFormat="1" ht="25.15" hidden="1" customHeight="1">
      <c r="A2156" s="1156">
        <f t="shared" si="160"/>
        <v>0</v>
      </c>
      <c r="B2156" s="1157" t="s">
        <v>1820</v>
      </c>
      <c r="C2156" s="1157"/>
      <c r="D2156" s="1125"/>
      <c r="E2156" s="1082"/>
      <c r="F2156" s="1126" t="str">
        <f>VLOOKUP($B2156,DG!A:D,DG!$C$2,)</f>
        <v>Vật liệu dựng trụ</v>
      </c>
      <c r="G2156" s="1082" t="str">
        <f>VLOOKUP($B2156,DG!A:D,DG!$D$2,)</f>
        <v>trụ</v>
      </c>
      <c r="H2156" s="1907">
        <f>H2155</f>
        <v>0</v>
      </c>
      <c r="I2156" s="1262">
        <f t="shared" si="159"/>
        <v>0</v>
      </c>
      <c r="J2156" s="1081"/>
      <c r="K2156" s="1081"/>
      <c r="L2156" s="1085"/>
      <c r="M2156" s="977">
        <v>630</v>
      </c>
    </row>
    <row r="2157" spans="1:13" s="1086" customFormat="1" ht="25.15" hidden="1" customHeight="1">
      <c r="A2157" s="1156">
        <f t="shared" si="160"/>
        <v>0</v>
      </c>
      <c r="B2157" s="1157" t="s">
        <v>644</v>
      </c>
      <c r="C2157" s="1157"/>
      <c r="D2157" s="1125"/>
      <c r="E2157" s="1082" t="str">
        <f>VLOOKUP($B2157,DG!A:D,DG!$B$2,)</f>
        <v>04.9203</v>
      </c>
      <c r="F2157" s="1126" t="str">
        <f>VLOOKUP($B2157,DG!A:D,DG!$C$2,)</f>
        <v>Dựng trụ BTLT 10,5m trong TBA bằng thủ công + cơ giới</v>
      </c>
      <c r="G2157" s="1082" t="str">
        <f>VLOOKUP($B2157,DG!A:D,DG!$D$2,)</f>
        <v>trụ</v>
      </c>
      <c r="H2157" s="1907">
        <f>H2155</f>
        <v>0</v>
      </c>
      <c r="I2157" s="1262">
        <f t="shared" si="159"/>
        <v>0</v>
      </c>
      <c r="J2157" s="1111"/>
      <c r="K2157" s="1111"/>
      <c r="L2157" s="1085"/>
      <c r="M2157" s="977">
        <v>630</v>
      </c>
    </row>
    <row r="2158" spans="1:13" s="1086" customFormat="1" ht="25.15" hidden="1" customHeight="1">
      <c r="A2158" s="1156">
        <f t="shared" si="160"/>
        <v>0</v>
      </c>
      <c r="B2158" s="1357"/>
      <c r="C2158" s="1357"/>
      <c r="D2158" s="1087">
        <f>IF(H2158&gt;0,D2150+1,D2150)</f>
        <v>0</v>
      </c>
      <c r="E2158" s="1121"/>
      <c r="F2158" s="1122" t="s">
        <v>2361</v>
      </c>
      <c r="G2158" s="1123" t="s">
        <v>2336</v>
      </c>
      <c r="H2158" s="1906">
        <f>H2150</f>
        <v>0</v>
      </c>
      <c r="I2158" s="1262">
        <f t="shared" si="159"/>
        <v>0</v>
      </c>
      <c r="J2158" s="1081"/>
      <c r="K2158" s="1081"/>
      <c r="L2158" s="1113"/>
      <c r="M2158" s="977">
        <v>630</v>
      </c>
    </row>
    <row r="2159" spans="1:13" s="1086" customFormat="1" ht="25.15" hidden="1" customHeight="1">
      <c r="A2159" s="1156">
        <f t="shared" si="160"/>
        <v>0</v>
      </c>
      <c r="B2159" s="1334" t="s">
        <v>636</v>
      </c>
      <c r="C2159" s="1334"/>
      <c r="D2159" s="1125"/>
      <c r="E2159" s="1082" t="str">
        <f>VLOOKUP($B2159,DG!A:D,DG!$B$2,)</f>
        <v>04.4001</v>
      </c>
      <c r="F2159" s="1127" t="str">
        <f>VLOOKUP($B2159,DG!A:D,DG!$C$2,)</f>
        <v>Đà cản BTCT 1,2m</v>
      </c>
      <c r="G2159" s="1094" t="str">
        <f>VLOOKUP($B2159,DG!A:D,DG!$D$2,)</f>
        <v>cái</v>
      </c>
      <c r="H2159" s="1907">
        <f>H2158</f>
        <v>0</v>
      </c>
      <c r="I2159" s="1262">
        <f t="shared" si="159"/>
        <v>0</v>
      </c>
      <c r="J2159" s="1111"/>
      <c r="K2159" s="1081"/>
      <c r="L2159" s="1113"/>
      <c r="M2159" s="977">
        <v>630</v>
      </c>
    </row>
    <row r="2160" spans="1:13" s="1086" customFormat="1" ht="25.15" hidden="1" customHeight="1">
      <c r="A2160" s="1156">
        <f t="shared" si="160"/>
        <v>0</v>
      </c>
      <c r="B2160" s="1334" t="s">
        <v>566</v>
      </c>
      <c r="C2160" s="1334"/>
      <c r="D2160" s="1125"/>
      <c r="E2160" s="1094"/>
      <c r="F2160" s="1127" t="str">
        <f>VLOOKUP($B2160,DG!A:D,DG!$C$2,)</f>
        <v>Boulon 22x650+ 2 long đền vuông D24-50x50x3/Zn</v>
      </c>
      <c r="G2160" s="1094" t="str">
        <f>VLOOKUP($B2160,DG!A:D,DG!$D$2,)</f>
        <v>bộ</v>
      </c>
      <c r="H2160" s="1907">
        <f>H2159</f>
        <v>0</v>
      </c>
      <c r="I2160" s="1262">
        <f t="shared" si="159"/>
        <v>0</v>
      </c>
      <c r="J2160" s="1127"/>
      <c r="K2160" s="1081"/>
      <c r="L2160" s="1113"/>
      <c r="M2160" s="977">
        <v>630</v>
      </c>
    </row>
    <row r="2161" spans="1:13" s="1086" customFormat="1" ht="25.15" hidden="1" customHeight="1">
      <c r="A2161" s="1156">
        <f t="shared" si="160"/>
        <v>0</v>
      </c>
      <c r="B2161" s="1334" t="str">
        <f>IF(chitiet!G5=1,"MDD1",IF(chitiet!G5=2,"MDD2",IF(chitiet!G5=3,"MDD3",IF(chitiet!G5=4,"MDD4"))))</f>
        <v>MDD3</v>
      </c>
      <c r="C2161" s="1334"/>
      <c r="D2161" s="1125"/>
      <c r="E2161" s="1094" t="str">
        <f>VLOOKUP($B2161,DG!A:D,DG!$B$2,)</f>
        <v>03.1013</v>
      </c>
      <c r="F2161" s="1127" t="str">
        <f>VLOOKUP($B2161,DG!A:D,DG!$C$2,)</f>
        <v>Đào hố móng đất cấp 3 sâu &gt;1m</v>
      </c>
      <c r="G2161" s="1094" t="str">
        <f>VLOOKUP($B2161,DG!A:D,DG!$D$2,)</f>
        <v>m3</v>
      </c>
      <c r="H2161" s="1908">
        <f>1.45*H2159</f>
        <v>0</v>
      </c>
      <c r="I2161" s="1262">
        <f t="shared" si="159"/>
        <v>0</v>
      </c>
      <c r="J2161" s="1128"/>
      <c r="K2161" s="1081"/>
      <c r="L2161" s="1113"/>
      <c r="M2161" s="977">
        <v>630</v>
      </c>
    </row>
    <row r="2162" spans="1:13" s="1086" customFormat="1" ht="25.15" hidden="1" customHeight="1">
      <c r="A2162" s="1156">
        <f t="shared" si="160"/>
        <v>0</v>
      </c>
      <c r="B2162" s="1334" t="str">
        <f>IF(chitiet!G5=1,"MDAP1",IF(chitiet!G5=2,"MDAP2",IF(chitiet!G5=3,"MDAP3",IF(chitiet!G5=4,"MDAP4"))))</f>
        <v>MDAP3</v>
      </c>
      <c r="C2162" s="1334"/>
      <c r="D2162" s="1125"/>
      <c r="E2162" s="1094" t="str">
        <f>VLOOKUP($B2162,DG!A:D,DG!$B$2,)</f>
        <v>03.4113</v>
      </c>
      <c r="F2162" s="1127" t="str">
        <f>VLOOKUP($B2162,DG!A:D,DG!$C$2,)</f>
        <v>Đắp đất hố móng, độ chặt k=0,95</v>
      </c>
      <c r="G2162" s="1094" t="str">
        <f>VLOOKUP($B2162,DG!A:D,DG!$D$2,)</f>
        <v>m3</v>
      </c>
      <c r="H2162" s="1908">
        <f>1.37*H2158</f>
        <v>0</v>
      </c>
      <c r="I2162" s="1262">
        <f t="shared" si="159"/>
        <v>0</v>
      </c>
      <c r="J2162" s="1128"/>
      <c r="K2162" s="1081"/>
      <c r="L2162" s="1113"/>
      <c r="M2162" s="977">
        <v>630</v>
      </c>
    </row>
    <row r="2163" spans="1:13" s="1086" customFormat="1" ht="25.15" hidden="1" customHeight="1">
      <c r="A2163" s="1156">
        <f t="shared" si="160"/>
        <v>0</v>
      </c>
      <c r="B2163" s="1357"/>
      <c r="C2163" s="1357"/>
      <c r="D2163" s="1087">
        <f>IF(H2163&gt;0,D2155+1,D2155)</f>
        <v>0</v>
      </c>
      <c r="E2163" s="1121"/>
      <c r="F2163" s="1122" t="s">
        <v>3734</v>
      </c>
      <c r="G2163" s="1123" t="s">
        <v>2336</v>
      </c>
      <c r="H2163" s="1906">
        <f>H2154*0</f>
        <v>0</v>
      </c>
      <c r="I2163" s="1262">
        <f t="shared" ref="I2163:I2226" si="162">IF(M2163=$M$23,H2163+J2163-K2163,0)</f>
        <v>0</v>
      </c>
      <c r="J2163" s="1081"/>
      <c r="K2163" s="1081"/>
      <c r="L2163" s="1085"/>
      <c r="M2163" s="977">
        <v>630</v>
      </c>
    </row>
    <row r="2164" spans="1:13" s="1086" customFormat="1" ht="25.15" hidden="1" customHeight="1">
      <c r="A2164" s="1156">
        <f t="shared" si="160"/>
        <v>0</v>
      </c>
      <c r="B2164" s="1334" t="s">
        <v>636</v>
      </c>
      <c r="C2164" s="1334"/>
      <c r="D2164" s="1125"/>
      <c r="E2164" s="1082" t="str">
        <f>VLOOKUP($B2164,DG!A:D,DG!$B$2,)</f>
        <v>04.4001</v>
      </c>
      <c r="F2164" s="1127" t="str">
        <f>VLOOKUP($B2164,DG!A:D,DG!$C$2,)</f>
        <v>Đà cản BTCT 1,2m</v>
      </c>
      <c r="G2164" s="1094" t="str">
        <f>VLOOKUP($B2164,DG!A:D,DG!$D$2,)</f>
        <v>cái</v>
      </c>
      <c r="H2164" s="1907">
        <f>H2163</f>
        <v>0</v>
      </c>
      <c r="I2164" s="1262">
        <f t="shared" si="162"/>
        <v>0</v>
      </c>
      <c r="J2164" s="1111"/>
      <c r="K2164" s="1081"/>
      <c r="L2164" s="1085"/>
      <c r="M2164" s="977">
        <v>630</v>
      </c>
    </row>
    <row r="2165" spans="1:13" s="1086" customFormat="1" ht="25.15" hidden="1" customHeight="1">
      <c r="A2165" s="1156">
        <f t="shared" si="160"/>
        <v>0</v>
      </c>
      <c r="B2165" s="1334" t="s">
        <v>566</v>
      </c>
      <c r="C2165" s="1334"/>
      <c r="D2165" s="1125"/>
      <c r="E2165" s="1094"/>
      <c r="F2165" s="1127" t="str">
        <f>VLOOKUP($B2165,DG!A:D,DG!$C$2,)</f>
        <v>Boulon 22x650+ 2 long đền vuông D24-50x50x3/Zn</v>
      </c>
      <c r="G2165" s="1094" t="str">
        <f>VLOOKUP($B2165,DG!A:D,DG!$D$2,)</f>
        <v>bộ</v>
      </c>
      <c r="H2165" s="1907">
        <f>H2164</f>
        <v>0</v>
      </c>
      <c r="I2165" s="1262">
        <f t="shared" si="162"/>
        <v>0</v>
      </c>
      <c r="J2165" s="1127"/>
      <c r="K2165" s="1081"/>
      <c r="L2165" s="1085"/>
      <c r="M2165" s="977">
        <v>630</v>
      </c>
    </row>
    <row r="2166" spans="1:13" s="1086" customFormat="1" ht="25.15" hidden="1" customHeight="1">
      <c r="A2166" s="1156">
        <f t="shared" si="160"/>
        <v>0</v>
      </c>
      <c r="B2166" s="1334" t="str">
        <f>IF(chitiet!G5=1,"MDD1",IF(chitiet!G5=2,"MDD2",IF(chitiet!G5=3,"MDD3",IF(chitiet!G5=4,"MDD4"))))</f>
        <v>MDD3</v>
      </c>
      <c r="C2166" s="1334"/>
      <c r="D2166" s="1125"/>
      <c r="E2166" s="1094" t="str">
        <f>VLOOKUP($B2166,DG!A:D,DG!$B$2,)</f>
        <v>03.1013</v>
      </c>
      <c r="F2166" s="1127" t="str">
        <f>VLOOKUP($B2166,DG!A:D,DG!$C$2,)</f>
        <v>Đào hố móng đất cấp 3 sâu &gt;1m</v>
      </c>
      <c r="G2166" s="1094" t="str">
        <f>VLOOKUP($B2166,DG!A:D,DG!$D$2,)</f>
        <v>m3</v>
      </c>
      <c r="H2166" s="1908">
        <f>1.48*H2164</f>
        <v>0</v>
      </c>
      <c r="I2166" s="1262">
        <f t="shared" si="162"/>
        <v>0</v>
      </c>
      <c r="J2166" s="1128"/>
      <c r="K2166" s="1081"/>
      <c r="L2166" s="1085"/>
      <c r="M2166" s="977">
        <v>630</v>
      </c>
    </row>
    <row r="2167" spans="1:13" s="1086" customFormat="1" ht="25.15" hidden="1" customHeight="1">
      <c r="A2167" s="1156">
        <f t="shared" si="160"/>
        <v>0</v>
      </c>
      <c r="B2167" s="1334" t="str">
        <f>IF(chitiet!G5=1,"MDAP1",IF(chitiet!G5=2,"MDAP2",IF(chitiet!G5=3,"MDAP3",IF(chitiet!G5=4,"MDAP4"))))</f>
        <v>MDAP3</v>
      </c>
      <c r="C2167" s="1334"/>
      <c r="D2167" s="1125"/>
      <c r="E2167" s="1094" t="str">
        <f>VLOOKUP($B2167,DG!A:D,DG!$B$2,)</f>
        <v>03.4113</v>
      </c>
      <c r="F2167" s="1127" t="str">
        <f>VLOOKUP($B2167,DG!A:D,DG!$C$2,)</f>
        <v>Đắp đất hố móng, độ chặt k=0,95</v>
      </c>
      <c r="G2167" s="1094" t="str">
        <f>VLOOKUP($B2167,DG!A:D,DG!$D$2,)</f>
        <v>m3</v>
      </c>
      <c r="H2167" s="1908">
        <f>1.39*H2163</f>
        <v>0</v>
      </c>
      <c r="I2167" s="1262">
        <f t="shared" si="162"/>
        <v>0</v>
      </c>
      <c r="J2167" s="1128"/>
      <c r="K2167" s="1081"/>
      <c r="L2167" s="1085"/>
      <c r="M2167" s="977">
        <v>630</v>
      </c>
    </row>
    <row r="2168" spans="1:13" s="1086" customFormat="1" ht="25.15" hidden="1" customHeight="1">
      <c r="A2168" s="1156">
        <f t="shared" si="160"/>
        <v>0</v>
      </c>
      <c r="B2168" s="1327"/>
      <c r="C2168" s="1327"/>
      <c r="D2168" s="1087">
        <f>IF(H2168&gt;0,D2158+1,D2158)</f>
        <v>0</v>
      </c>
      <c r="E2168" s="1129"/>
      <c r="F2168" s="1122" t="s">
        <v>3735</v>
      </c>
      <c r="G2168" s="1120" t="s">
        <v>2394</v>
      </c>
      <c r="H2168" s="1909">
        <f>H2139*1</f>
        <v>0</v>
      </c>
      <c r="I2168" s="1262">
        <f t="shared" si="162"/>
        <v>0</v>
      </c>
      <c r="J2168" s="1130"/>
      <c r="K2168" s="1130"/>
      <c r="L2168" s="1085"/>
      <c r="M2168" s="977">
        <v>630</v>
      </c>
    </row>
    <row r="2169" spans="1:13" s="1086" customFormat="1" ht="25.15" hidden="1" customHeight="1">
      <c r="A2169" s="1156">
        <f>IF(A2168&gt;0,1,0)</f>
        <v>0</v>
      </c>
      <c r="B2169" s="1327"/>
      <c r="C2169" s="1327"/>
      <c r="D2169" s="1081"/>
      <c r="E2169" s="1131"/>
      <c r="F2169" s="1370" t="s">
        <v>2287</v>
      </c>
      <c r="G2169" s="1093"/>
      <c r="H2169" s="1873"/>
      <c r="I2169" s="1262">
        <f t="shared" si="162"/>
        <v>0</v>
      </c>
      <c r="J2169" s="1132"/>
      <c r="K2169" s="1132"/>
      <c r="L2169" s="1085"/>
      <c r="M2169" s="977">
        <v>630</v>
      </c>
    </row>
    <row r="2170" spans="1:13" s="1086" customFormat="1" ht="25.15" hidden="1" customHeight="1">
      <c r="A2170" s="1156">
        <f t="shared" si="160"/>
        <v>0</v>
      </c>
      <c r="B2170" s="1157" t="s">
        <v>1138</v>
      </c>
      <c r="C2170" s="1157"/>
      <c r="D2170" s="1081"/>
      <c r="E2170" s="1094" t="str">
        <f>VLOOKUP($B2170,DG!A:D,DG!$B$2,)</f>
        <v>05.6105</v>
      </c>
      <c r="F2170" s="1083" t="str">
        <f>VLOOKUP($B2170,DG!A:D,DG!$C$2,)&amp;": 2 cái"</f>
        <v>Đà U160x68x5x2800 đỡ MBA: 2 cái</v>
      </c>
      <c r="G2170" s="1082" t="str">
        <f>VLOOKUP($B2170,DG!A:D,DG!$D$2,)</f>
        <v>cái</v>
      </c>
      <c r="H2170" s="1873">
        <f>52.049*H2168*2</f>
        <v>0</v>
      </c>
      <c r="I2170" s="1262">
        <f t="shared" si="162"/>
        <v>0</v>
      </c>
      <c r="J2170" s="1111"/>
      <c r="K2170" s="1111"/>
      <c r="L2170" s="1085"/>
      <c r="M2170" s="977">
        <v>630</v>
      </c>
    </row>
    <row r="2171" spans="1:13" s="1086" customFormat="1" ht="25.15" hidden="1" customHeight="1">
      <c r="A2171" s="1156">
        <f t="shared" si="160"/>
        <v>0</v>
      </c>
      <c r="B2171" s="1157" t="s">
        <v>1139</v>
      </c>
      <c r="C2171" s="1157"/>
      <c r="D2171" s="1081"/>
      <c r="E2171" s="1094" t="str">
        <f>VLOOKUP($B2171,DG!A:D,DG!$B$2,)</f>
        <v>05.6101</v>
      </c>
      <c r="F2171" s="1083" t="str">
        <f>VLOOKUP($B2171,DG!A:D,DG!$C$2,)&amp;": 4 cái"</f>
        <v>Đà U100x46x4.5x400 : 4 cái</v>
      </c>
      <c r="G2171" s="1082" t="str">
        <f>VLOOKUP($B2171,DG!A:D,DG!$D$2,)</f>
        <v>cái</v>
      </c>
      <c r="H2171" s="1873">
        <f>H2168*2.713*4</f>
        <v>0</v>
      </c>
      <c r="I2171" s="1262">
        <f t="shared" si="162"/>
        <v>0</v>
      </c>
      <c r="J2171" s="1111"/>
      <c r="K2171" s="1111"/>
      <c r="L2171" s="1085"/>
      <c r="M2171" s="977">
        <v>630</v>
      </c>
    </row>
    <row r="2172" spans="1:13" s="1086" customFormat="1" ht="25.15" hidden="1" customHeight="1">
      <c r="A2172" s="1156">
        <f t="shared" si="160"/>
        <v>0</v>
      </c>
      <c r="B2172" s="1157" t="s">
        <v>1140</v>
      </c>
      <c r="C2172" s="1157"/>
      <c r="D2172" s="1081"/>
      <c r="E2172" s="1094" t="str">
        <f>VLOOKUP($B2172,DG!A:D,DG!$B$2,)</f>
        <v>05.6101</v>
      </c>
      <c r="F2172" s="1083" t="str">
        <f>VLOOKUP($B2172,DG!A:D,DG!$C$2,)&amp;": 2 cái"</f>
        <v>Đà U100x46x5x800 : 2 cái</v>
      </c>
      <c r="G2172" s="1082" t="str">
        <f>VLOOKUP($B2172,DG!A:D,DG!$D$2,)</f>
        <v>cái</v>
      </c>
      <c r="H2172" s="1873">
        <f>H2168*5.426*2</f>
        <v>0</v>
      </c>
      <c r="I2172" s="1262">
        <f t="shared" si="162"/>
        <v>0</v>
      </c>
      <c r="J2172" s="1111"/>
      <c r="K2172" s="1111"/>
      <c r="L2172" s="1085"/>
      <c r="M2172" s="977">
        <v>630</v>
      </c>
    </row>
    <row r="2173" spans="1:13" s="1086" customFormat="1" ht="25.15" hidden="1" customHeight="1">
      <c r="A2173" s="1156">
        <f t="shared" si="160"/>
        <v>0</v>
      </c>
      <c r="B2173" s="1327" t="s">
        <v>1787</v>
      </c>
      <c r="C2173" s="1327"/>
      <c r="D2173" s="1081"/>
      <c r="E2173" s="1094">
        <f>VLOOKUP($B2173,DG!A:D,DG!$B$2,)</f>
        <v>0</v>
      </c>
      <c r="F2173" s="1083" t="str">
        <f>VLOOKUP($B2173,DG!A:D,DG!$C$2,)</f>
        <v>Boulon 16x400VRS+ 4 long đền vuông D18-50x50x3/Zn</v>
      </c>
      <c r="G2173" s="1082" t="str">
        <f>VLOOKUP($B2173,DG!A:D,DG!$D$2,)</f>
        <v>bộ</v>
      </c>
      <c r="H2173" s="1873">
        <f>H2168*10</f>
        <v>0</v>
      </c>
      <c r="I2173" s="1262">
        <f t="shared" si="162"/>
        <v>0</v>
      </c>
      <c r="J2173" s="1111"/>
      <c r="K2173" s="1111"/>
      <c r="L2173" s="1085"/>
      <c r="M2173" s="977">
        <v>630</v>
      </c>
    </row>
    <row r="2174" spans="1:13" s="1086" customFormat="1" ht="25.15" hidden="1" customHeight="1">
      <c r="A2174" s="1156">
        <f t="shared" si="160"/>
        <v>0</v>
      </c>
      <c r="B2174" s="1327" t="s">
        <v>1085</v>
      </c>
      <c r="C2174" s="1327"/>
      <c r="D2174" s="1081"/>
      <c r="E2174" s="1094">
        <f>VLOOKUP($B2174,DG!A:D,DG!$B$2,)</f>
        <v>0</v>
      </c>
      <c r="F2174" s="1083" t="str">
        <f>VLOOKUP($B2174,DG!A:D,DG!$C$2,)</f>
        <v>Boulon 16x400+ 2 long đền vuông D18-50x50x3/Zn</v>
      </c>
      <c r="G2174" s="1082" t="str">
        <f>VLOOKUP($B2174,DG!A:D,DG!$D$2,)</f>
        <v>bộ</v>
      </c>
      <c r="H2174" s="1873">
        <f>H2168*2</f>
        <v>0</v>
      </c>
      <c r="I2174" s="1262">
        <f t="shared" si="162"/>
        <v>0</v>
      </c>
      <c r="J2174" s="1111"/>
      <c r="K2174" s="1111"/>
      <c r="L2174" s="1085"/>
      <c r="M2174" s="977">
        <v>630</v>
      </c>
    </row>
    <row r="2175" spans="1:13" s="1086" customFormat="1" ht="25.15" hidden="1" customHeight="1">
      <c r="A2175" s="1156">
        <f t="shared" si="160"/>
        <v>0</v>
      </c>
      <c r="B2175" s="1327" t="s">
        <v>1081</v>
      </c>
      <c r="C2175" s="1327"/>
      <c r="D2175" s="1081"/>
      <c r="E2175" s="1094">
        <f>VLOOKUP($B2175,DG!A:D,DG!$B$2,)</f>
        <v>0</v>
      </c>
      <c r="F2175" s="1083" t="str">
        <f>VLOOKUP($B2175,DG!A:D,DG!$C$2,)</f>
        <v>Boulon 16x350+ 2 long đền vuông D18-50x50x3/Zn</v>
      </c>
      <c r="G2175" s="1082" t="str">
        <f>VLOOKUP($B2175,DG!A:D,DG!$D$2,)</f>
        <v>bộ</v>
      </c>
      <c r="H2175" s="1873">
        <f>H2168*12</f>
        <v>0</v>
      </c>
      <c r="I2175" s="1262">
        <f t="shared" si="162"/>
        <v>0</v>
      </c>
      <c r="J2175" s="1111"/>
      <c r="K2175" s="1111"/>
      <c r="L2175" s="1085"/>
      <c r="M2175" s="977">
        <v>630</v>
      </c>
    </row>
    <row r="2176" spans="1:13" s="1086" customFormat="1" ht="25.15" hidden="1" customHeight="1">
      <c r="A2176" s="1156">
        <f t="shared" si="160"/>
        <v>0</v>
      </c>
      <c r="B2176" s="1327"/>
      <c r="C2176" s="1327"/>
      <c r="D2176" s="1087">
        <f>IF(H2176&gt;0,D2168+1,D2168)</f>
        <v>0</v>
      </c>
      <c r="E2176" s="1088"/>
      <c r="F2176" s="1133" t="s">
        <v>3736</v>
      </c>
      <c r="G2176" s="1087" t="s">
        <v>2394</v>
      </c>
      <c r="H2176" s="1889">
        <f>H2168*2</f>
        <v>0</v>
      </c>
      <c r="I2176" s="1262">
        <f t="shared" si="162"/>
        <v>0</v>
      </c>
      <c r="J2176" s="1134"/>
      <c r="K2176" s="1134"/>
      <c r="L2176" s="1085"/>
      <c r="M2176" s="977">
        <v>630</v>
      </c>
    </row>
    <row r="2177" spans="1:13" s="1086" customFormat="1" ht="25.15" hidden="1" customHeight="1">
      <c r="A2177" s="1156">
        <f>IF(A2176&gt;0,1,0)</f>
        <v>0</v>
      </c>
      <c r="B2177" s="1327"/>
      <c r="C2177" s="1327"/>
      <c r="D2177" s="1081"/>
      <c r="E2177" s="1094"/>
      <c r="F2177" s="1370" t="s">
        <v>2287</v>
      </c>
      <c r="G2177" s="1093"/>
      <c r="H2177" s="1873"/>
      <c r="I2177" s="1262">
        <f t="shared" si="162"/>
        <v>0</v>
      </c>
      <c r="J2177" s="1134"/>
      <c r="K2177" s="1134"/>
      <c r="L2177" s="1085"/>
      <c r="M2177" s="977">
        <v>630</v>
      </c>
    </row>
    <row r="2178" spans="1:13" s="1086" customFormat="1" ht="25.15" hidden="1" customHeight="1">
      <c r="A2178" s="1156">
        <f t="shared" si="160"/>
        <v>0</v>
      </c>
      <c r="B2178" s="1334" t="s">
        <v>2028</v>
      </c>
      <c r="C2178" s="1334"/>
      <c r="D2178" s="1081"/>
      <c r="E2178" s="1094">
        <f>VLOOKUP($B2178,DG!A:D,DG!$B$2,)</f>
        <v>0</v>
      </c>
      <c r="F2178" s="1083" t="str">
        <f>VLOOKUP($B2178,DG!A:D,DG!$C$2,)</f>
        <v>Sắt góc L75 x75 x8</v>
      </c>
      <c r="G2178" s="1094" t="str">
        <f>VLOOKUP($B2178,DG!A:D,DG!$D$2,)</f>
        <v>kg</v>
      </c>
      <c r="H2178" s="1873">
        <f>H2176*9.42*(2.6+3*0.07)*2</f>
        <v>0</v>
      </c>
      <c r="I2178" s="1262">
        <f t="shared" si="162"/>
        <v>0</v>
      </c>
      <c r="J2178" s="1111"/>
      <c r="K2178" s="1111"/>
      <c r="L2178" s="1085"/>
      <c r="M2178" s="977">
        <v>630</v>
      </c>
    </row>
    <row r="2179" spans="1:13" s="1086" customFormat="1" ht="25.15" hidden="1" customHeight="1">
      <c r="A2179" s="1156">
        <f t="shared" si="160"/>
        <v>0</v>
      </c>
      <c r="B2179" s="1327" t="s">
        <v>1790</v>
      </c>
      <c r="C2179" s="1327"/>
      <c r="D2179" s="1081"/>
      <c r="E2179" s="1094">
        <f>VLOOKUP($B2179,DG!A:D,DG!$B$2,)</f>
        <v>0</v>
      </c>
      <c r="F2179" s="1083" t="str">
        <f>VLOOKUP($B2179,DG!A:D,DG!$C$2,)</f>
        <v>Boulon 16x300VRS+ 4 long đền vuông D18-50x50x3/Zn</v>
      </c>
      <c r="G2179" s="1094" t="str">
        <f>VLOOKUP($B2179,DG!A:D,DG!$D$2,)</f>
        <v>bộ</v>
      </c>
      <c r="H2179" s="1873">
        <f>H2176*2</f>
        <v>0</v>
      </c>
      <c r="I2179" s="1262">
        <f t="shared" si="162"/>
        <v>0</v>
      </c>
      <c r="J2179" s="1111"/>
      <c r="K2179" s="1111"/>
      <c r="L2179" s="1085"/>
      <c r="M2179" s="977">
        <v>630</v>
      </c>
    </row>
    <row r="2180" spans="1:13" s="1086" customFormat="1" ht="25.15" hidden="1" customHeight="1">
      <c r="A2180" s="1156">
        <f t="shared" si="160"/>
        <v>0</v>
      </c>
      <c r="B2180" s="1327" t="s">
        <v>1615</v>
      </c>
      <c r="C2180" s="1327"/>
      <c r="D2180" s="1081"/>
      <c r="E2180" s="1094">
        <f>VLOOKUP($B2180,DG!A:D,DG!$B$2,)</f>
        <v>0</v>
      </c>
      <c r="F2180" s="1083" t="str">
        <f>VLOOKUP($B2180,DG!A:D,DG!$C$2,)</f>
        <v>Boulon 16x300+ 2 long đền vuông D18-50x50x3/Zn</v>
      </c>
      <c r="G2180" s="1094" t="str">
        <f>VLOOKUP($B2180,DG!A:D,DG!$D$2,)</f>
        <v>bộ</v>
      </c>
      <c r="H2180" s="1873">
        <f>H2176*2</f>
        <v>0</v>
      </c>
      <c r="I2180" s="1262">
        <f t="shared" si="162"/>
        <v>0</v>
      </c>
      <c r="J2180" s="1111"/>
      <c r="K2180" s="1111"/>
      <c r="L2180" s="1085"/>
      <c r="M2180" s="977">
        <v>630</v>
      </c>
    </row>
    <row r="2181" spans="1:13" s="1086" customFormat="1" ht="25.15" hidden="1" customHeight="1">
      <c r="A2181" s="1156">
        <f t="shared" si="160"/>
        <v>0</v>
      </c>
      <c r="B2181" s="1327" t="s">
        <v>1614</v>
      </c>
      <c r="C2181" s="1327"/>
      <c r="D2181" s="1081"/>
      <c r="E2181" s="1094">
        <f>VLOOKUP($B2181,DG!A:D,DG!$B$2,)</f>
        <v>0</v>
      </c>
      <c r="F2181" s="1083" t="str">
        <f>VLOOKUP($B2181,DG!A:D,DG!$C$2,)</f>
        <v>Boulon 16x250+ 2 long đền vuông D18-50x50x3/Zn</v>
      </c>
      <c r="G2181" s="1094" t="str">
        <f>VLOOKUP($B2181,DG!A:D,DG!$D$2,)</f>
        <v>bộ</v>
      </c>
      <c r="H2181" s="1873">
        <f>H2180</f>
        <v>0</v>
      </c>
      <c r="I2181" s="1262">
        <f t="shared" si="162"/>
        <v>0</v>
      </c>
      <c r="J2181" s="1111"/>
      <c r="K2181" s="1111"/>
      <c r="L2181" s="1085"/>
      <c r="M2181" s="977">
        <v>630</v>
      </c>
    </row>
    <row r="2182" spans="1:13" s="1086" customFormat="1" ht="25.15" hidden="1" customHeight="1">
      <c r="A2182" s="1156">
        <f t="shared" si="160"/>
        <v>0</v>
      </c>
      <c r="B2182" s="1327" t="s">
        <v>2250</v>
      </c>
      <c r="C2182" s="1327"/>
      <c r="D2182" s="1081"/>
      <c r="E2182" s="1094" t="str">
        <f>VLOOKUP($B2182,DG!A:D,DG!$B$2,)</f>
        <v>05.6044</v>
      </c>
      <c r="F2182" s="1083" t="str">
        <f>VLOOKUP($B2182,DG!A:D,DG!$C$2,)</f>
        <v>Lắp xà cột Pi loại ≤140kg/xà</v>
      </c>
      <c r="G2182" s="1094" t="str">
        <f>VLOOKUP($B2182,DG!A:D,DG!$D$2,)</f>
        <v>bộ</v>
      </c>
      <c r="H2182" s="1873">
        <f>H2176</f>
        <v>0</v>
      </c>
      <c r="I2182" s="1262">
        <f t="shared" si="162"/>
        <v>0</v>
      </c>
      <c r="J2182" s="1111"/>
      <c r="K2182" s="1111"/>
      <c r="L2182" s="1085"/>
      <c r="M2182" s="977">
        <v>630</v>
      </c>
    </row>
    <row r="2183" spans="1:13" s="1086" customFormat="1" ht="25.15" hidden="1" customHeight="1">
      <c r="A2183" s="1156">
        <f t="shared" si="160"/>
        <v>0</v>
      </c>
      <c r="B2183" s="1327"/>
      <c r="C2183" s="1327"/>
      <c r="D2183" s="1087">
        <f>IF(H2183&gt;0,D2176+1,D2176)</f>
        <v>0</v>
      </c>
      <c r="E2183" s="1088"/>
      <c r="F2183" s="1133" t="s">
        <v>3737</v>
      </c>
      <c r="G2183" s="1087" t="s">
        <v>2394</v>
      </c>
      <c r="H2183" s="1889">
        <f>H2139*2</f>
        <v>0</v>
      </c>
      <c r="I2183" s="1262">
        <f t="shared" si="162"/>
        <v>0</v>
      </c>
      <c r="J2183" s="1134"/>
      <c r="K2183" s="1134"/>
      <c r="L2183" s="1085"/>
      <c r="M2183" s="977">
        <v>630</v>
      </c>
    </row>
    <row r="2184" spans="1:13" s="1086" customFormat="1" ht="25.15" hidden="1" customHeight="1">
      <c r="A2184" s="1156">
        <f>IF(A2183&gt;0,1,0)</f>
        <v>0</v>
      </c>
      <c r="B2184" s="1327"/>
      <c r="C2184" s="1327"/>
      <c r="D2184" s="1081"/>
      <c r="E2184" s="1091"/>
      <c r="F2184" s="1370" t="s">
        <v>2287</v>
      </c>
      <c r="G2184" s="1093"/>
      <c r="H2184" s="1873"/>
      <c r="I2184" s="1262">
        <f t="shared" si="162"/>
        <v>0</v>
      </c>
      <c r="J2184" s="1134"/>
      <c r="K2184" s="1134"/>
      <c r="L2184" s="1085"/>
      <c r="M2184" s="977">
        <v>630</v>
      </c>
    </row>
    <row r="2185" spans="1:13" s="1086" customFormat="1" ht="25.15" hidden="1" customHeight="1">
      <c r="A2185" s="1156">
        <f t="shared" si="160"/>
        <v>0</v>
      </c>
      <c r="B2185" s="1334" t="s">
        <v>2028</v>
      </c>
      <c r="C2185" s="1334"/>
      <c r="D2185" s="1081"/>
      <c r="E2185" s="1094">
        <f>VLOOKUP($B2185,DG!A:D,DG!$B$2,)</f>
        <v>0</v>
      </c>
      <c r="F2185" s="1083" t="str">
        <f>VLOOKUP($B2185,DG!A:D,DG!$C$2,)</f>
        <v>Sắt góc L75 x75 x8</v>
      </c>
      <c r="G2185" s="1094" t="str">
        <f>VLOOKUP($B2185,DG!A:D,DG!$D$2,)</f>
        <v>kg</v>
      </c>
      <c r="H2185" s="1873">
        <f>H2183*9.42*(2.6+3*0.07)</f>
        <v>0</v>
      </c>
      <c r="I2185" s="1262">
        <f t="shared" si="162"/>
        <v>0</v>
      </c>
      <c r="J2185" s="1111"/>
      <c r="K2185" s="1111"/>
      <c r="L2185" s="1085"/>
      <c r="M2185" s="977">
        <v>630</v>
      </c>
    </row>
    <row r="2186" spans="1:13" s="1086" customFormat="1" ht="25.15" hidden="1" customHeight="1">
      <c r="A2186" s="1156">
        <f t="shared" si="160"/>
        <v>0</v>
      </c>
      <c r="B2186" s="1327" t="s">
        <v>1614</v>
      </c>
      <c r="C2186" s="1327"/>
      <c r="D2186" s="1081"/>
      <c r="E2186" s="1094">
        <f>VLOOKUP($B2186,DG!A:D,DG!$B$2,)</f>
        <v>0</v>
      </c>
      <c r="F2186" s="1083" t="str">
        <f>VLOOKUP($B2186,DG!A:D,DG!$C$2,)</f>
        <v>Boulon 16x250+ 2 long đền vuông D18-50x50x3/Zn</v>
      </c>
      <c r="G2186" s="1094" t="str">
        <f>VLOOKUP($B2186,DG!A:D,DG!$D$2,)</f>
        <v>bộ</v>
      </c>
      <c r="H2186" s="1873">
        <f>H2183</f>
        <v>0</v>
      </c>
      <c r="I2186" s="1262">
        <f t="shared" si="162"/>
        <v>0</v>
      </c>
      <c r="J2186" s="1111"/>
      <c r="K2186" s="1111"/>
      <c r="L2186" s="1085"/>
      <c r="M2186" s="977">
        <v>630</v>
      </c>
    </row>
    <row r="2187" spans="1:13" s="1086" customFormat="1" ht="25.15" hidden="1" customHeight="1">
      <c r="A2187" s="1156">
        <f t="shared" si="160"/>
        <v>0</v>
      </c>
      <c r="B2187" s="1327" t="s">
        <v>1615</v>
      </c>
      <c r="C2187" s="1327"/>
      <c r="D2187" s="1081"/>
      <c r="E2187" s="1094">
        <f>VLOOKUP($B2187,DG!A:D,DG!$B$2,)</f>
        <v>0</v>
      </c>
      <c r="F2187" s="1083" t="str">
        <f>VLOOKUP($B2187,DG!A:D,DG!$C$2,)</f>
        <v>Boulon 16x300+ 2 long đền vuông D18-50x50x3/Zn</v>
      </c>
      <c r="G2187" s="1094" t="str">
        <f>VLOOKUP($B2187,DG!A:D,DG!$D$2,)</f>
        <v>bộ</v>
      </c>
      <c r="H2187" s="1873">
        <f>H2183</f>
        <v>0</v>
      </c>
      <c r="I2187" s="1262">
        <f t="shared" si="162"/>
        <v>0</v>
      </c>
      <c r="J2187" s="1111"/>
      <c r="K2187" s="1111"/>
      <c r="L2187" s="1085"/>
      <c r="M2187" s="977">
        <v>630</v>
      </c>
    </row>
    <row r="2188" spans="1:13" s="1086" customFormat="1" ht="25.15" hidden="1" customHeight="1">
      <c r="A2188" s="1156">
        <f t="shared" si="160"/>
        <v>0</v>
      </c>
      <c r="B2188" s="1327" t="s">
        <v>30</v>
      </c>
      <c r="C2188" s="1327"/>
      <c r="D2188" s="1081"/>
      <c r="E2188" s="1094">
        <f>VLOOKUP($B2188,DG!A:D,DG!$B$2,)</f>
        <v>0</v>
      </c>
      <c r="F2188" s="1083" t="str">
        <f>VLOOKUP($B2188,DG!A:D,DG!$C$2,)</f>
        <v>Bass LI bắt FCO</v>
      </c>
      <c r="G2188" s="1094" t="str">
        <f>VLOOKUP($B2188,DG!A:D,DG!$D$2,)</f>
        <v>Bộ</v>
      </c>
      <c r="H2188" s="1873">
        <f>H2140*2</f>
        <v>0</v>
      </c>
      <c r="I2188" s="1262">
        <f t="shared" si="162"/>
        <v>0</v>
      </c>
      <c r="J2188" s="1111"/>
      <c r="K2188" s="1111"/>
      <c r="L2188" s="1085"/>
      <c r="M2188" s="977">
        <v>630</v>
      </c>
    </row>
    <row r="2189" spans="1:13" s="1086" customFormat="1" ht="25.15" hidden="1" customHeight="1">
      <c r="A2189" s="1156">
        <f t="shared" si="160"/>
        <v>0</v>
      </c>
      <c r="B2189" s="1327" t="s">
        <v>2250</v>
      </c>
      <c r="C2189" s="1327"/>
      <c r="D2189" s="1081"/>
      <c r="E2189" s="1094" t="str">
        <f>VLOOKUP($B2189,DG!A:D,DG!$B$2,)</f>
        <v>05.6044</v>
      </c>
      <c r="F2189" s="1083" t="str">
        <f>VLOOKUP($B2189,DG!A:D,DG!$C$2,)</f>
        <v>Lắp xà cột Pi loại ≤140kg/xà</v>
      </c>
      <c r="G2189" s="1094" t="str">
        <f>VLOOKUP($B2189,DG!A:D,DG!$D$2,)</f>
        <v>bộ</v>
      </c>
      <c r="H2189" s="1873">
        <f>H2139</f>
        <v>0</v>
      </c>
      <c r="I2189" s="1262">
        <f t="shared" si="162"/>
        <v>0</v>
      </c>
      <c r="J2189" s="1111"/>
      <c r="K2189" s="1111"/>
      <c r="L2189" s="1085"/>
      <c r="M2189" s="977">
        <v>630</v>
      </c>
    </row>
    <row r="2190" spans="1:13" s="1086" customFormat="1" ht="25.15" hidden="1" customHeight="1">
      <c r="A2190" s="1156">
        <f t="shared" si="160"/>
        <v>0</v>
      </c>
      <c r="B2190" s="1327"/>
      <c r="C2190" s="1327"/>
      <c r="D2190" s="1087">
        <f>IF(H2190&gt;0,D2183+1,D2183)</f>
        <v>0</v>
      </c>
      <c r="E2190" s="1088"/>
      <c r="F2190" s="1133" t="s">
        <v>3738</v>
      </c>
      <c r="G2190" s="1087" t="s">
        <v>2394</v>
      </c>
      <c r="H2190" s="1889">
        <f>H2139*2</f>
        <v>0</v>
      </c>
      <c r="I2190" s="1262">
        <f t="shared" si="162"/>
        <v>0</v>
      </c>
      <c r="J2190" s="1134"/>
      <c r="K2190" s="1134"/>
      <c r="L2190" s="1085"/>
      <c r="M2190" s="977">
        <v>630</v>
      </c>
    </row>
    <row r="2191" spans="1:13" s="1086" customFormat="1" ht="25.15" hidden="1" customHeight="1">
      <c r="A2191" s="1156">
        <f>IF(A2190&gt;0,1,0)</f>
        <v>0</v>
      </c>
      <c r="B2191" s="1327"/>
      <c r="C2191" s="1327"/>
      <c r="D2191" s="1081"/>
      <c r="E2191" s="1091"/>
      <c r="F2191" s="1370" t="s">
        <v>2287</v>
      </c>
      <c r="G2191" s="1093"/>
      <c r="H2191" s="1873"/>
      <c r="I2191" s="1262">
        <f t="shared" si="162"/>
        <v>0</v>
      </c>
      <c r="J2191" s="1134"/>
      <c r="K2191" s="1134"/>
      <c r="L2191" s="1085"/>
      <c r="M2191" s="977">
        <v>630</v>
      </c>
    </row>
    <row r="2192" spans="1:13" s="1086" customFormat="1" ht="25.15" hidden="1" customHeight="1">
      <c r="A2192" s="1156">
        <f t="shared" si="160"/>
        <v>0</v>
      </c>
      <c r="B2192" s="1327" t="s">
        <v>2028</v>
      </c>
      <c r="C2192" s="1327"/>
      <c r="D2192" s="1081"/>
      <c r="E2192" s="1094">
        <f>VLOOKUP($B2192,DG!A:D,DG!$B$2,)</f>
        <v>0</v>
      </c>
      <c r="F2192" s="1083" t="str">
        <f>VLOOKUP($B2192,DG!A:D,DG!$C$2,)</f>
        <v>Sắt góc L75 x75 x8</v>
      </c>
      <c r="G2192" s="1094" t="str">
        <f>VLOOKUP($B2192,DG!A:D,DG!$D$2,)</f>
        <v>kg</v>
      </c>
      <c r="H2192" s="1873">
        <f>H2190*9.42*2.6</f>
        <v>0</v>
      </c>
      <c r="I2192" s="1262">
        <f t="shared" si="162"/>
        <v>0</v>
      </c>
      <c r="J2192" s="1111"/>
      <c r="K2192" s="1111"/>
      <c r="L2192" s="1085"/>
      <c r="M2192" s="977">
        <v>630</v>
      </c>
    </row>
    <row r="2193" spans="1:13" s="1086" customFormat="1" ht="25.15" hidden="1" customHeight="1">
      <c r="A2193" s="1156">
        <f t="shared" si="160"/>
        <v>0</v>
      </c>
      <c r="B2193" s="1327" t="s">
        <v>1085</v>
      </c>
      <c r="C2193" s="1327"/>
      <c r="D2193" s="1081"/>
      <c r="E2193" s="1094">
        <f>VLOOKUP($B2193,DG!A:D,DG!$B$2,)</f>
        <v>0</v>
      </c>
      <c r="F2193" s="1083" t="str">
        <f>VLOOKUP($B2193,DG!A:D,DG!$C$2,)</f>
        <v>Boulon 16x400+ 2 long đền vuông D18-50x50x3/Zn</v>
      </c>
      <c r="G2193" s="1094" t="str">
        <f>VLOOKUP($B2193,DG!A:D,DG!$D$2,)</f>
        <v>bộ</v>
      </c>
      <c r="H2193" s="1873">
        <f>H2190*2</f>
        <v>0</v>
      </c>
      <c r="I2193" s="1262">
        <f t="shared" si="162"/>
        <v>0</v>
      </c>
      <c r="J2193" s="1111"/>
      <c r="K2193" s="1111"/>
      <c r="L2193" s="1085"/>
      <c r="M2193" s="977">
        <v>630</v>
      </c>
    </row>
    <row r="2194" spans="1:13" s="1086" customFormat="1" ht="25.15" hidden="1" customHeight="1">
      <c r="A2194" s="1156">
        <f t="shared" si="160"/>
        <v>0</v>
      </c>
      <c r="B2194" s="1327" t="s">
        <v>138</v>
      </c>
      <c r="C2194" s="1327"/>
      <c r="D2194" s="1081"/>
      <c r="E2194" s="1094">
        <f>VLOOKUP($B2194,DG!A:D,DG!$B$2,)</f>
        <v>0</v>
      </c>
      <c r="F2194" s="1083" t="str">
        <f>VLOOKUP($B2194,DG!A:D,DG!$C$2,)</f>
        <v>Boulon 12x40+ 2 long đền vuông D14-50x50x3/Zn</v>
      </c>
      <c r="G2194" s="1094" t="str">
        <f>VLOOKUP($B2194,DG!A:D,DG!$D$2,)</f>
        <v>bộ</v>
      </c>
      <c r="H2194" s="1873">
        <f>H2190*2</f>
        <v>0</v>
      </c>
      <c r="I2194" s="1262">
        <f t="shared" si="162"/>
        <v>0</v>
      </c>
      <c r="J2194" s="1111"/>
      <c r="K2194" s="1111"/>
      <c r="L2194" s="1085"/>
      <c r="M2194" s="977">
        <v>630</v>
      </c>
    </row>
    <row r="2195" spans="1:13" s="1086" customFormat="1" ht="25.15" hidden="1" customHeight="1">
      <c r="A2195" s="1156">
        <f t="shared" si="160"/>
        <v>0</v>
      </c>
      <c r="B2195" s="1327" t="s">
        <v>2250</v>
      </c>
      <c r="C2195" s="1327"/>
      <c r="D2195" s="1081"/>
      <c r="E2195" s="1094" t="str">
        <f>VLOOKUP($B2195,DG!A:D,DG!$B$2,)</f>
        <v>05.6044</v>
      </c>
      <c r="F2195" s="1083" t="str">
        <f>VLOOKUP($B2195,DG!A:D,DG!$C$2,)</f>
        <v>Lắp xà cột Pi loại ≤140kg/xà</v>
      </c>
      <c r="G2195" s="1094" t="str">
        <f>VLOOKUP($B2195,DG!A:D,DG!$D$2,)</f>
        <v>bộ</v>
      </c>
      <c r="H2195" s="1873">
        <f>H2190/2</f>
        <v>0</v>
      </c>
      <c r="I2195" s="1262">
        <f t="shared" si="162"/>
        <v>0</v>
      </c>
      <c r="J2195" s="1111"/>
      <c r="K2195" s="1111"/>
      <c r="L2195" s="1085"/>
      <c r="M2195" s="977">
        <v>630</v>
      </c>
    </row>
    <row r="2196" spans="1:13" s="1086" customFormat="1" ht="25.15" hidden="1" customHeight="1">
      <c r="A2196" s="1156">
        <f t="shared" si="160"/>
        <v>0</v>
      </c>
      <c r="B2196" s="1327" t="s">
        <v>217</v>
      </c>
      <c r="C2196" s="1327"/>
      <c r="D2196" s="1081"/>
      <c r="E2196" s="1094" t="str">
        <f>VLOOKUP($B2196,DG!A:D,DG!$B$2,)</f>
        <v>02.1115</v>
      </c>
      <c r="F2196" s="1083" t="str">
        <f>VLOOKUP($B2196,DG!A:D,DG!$C$2,)</f>
        <v>Bốc dỡ xà, thép thanh</v>
      </c>
      <c r="G2196" s="1094" t="str">
        <f>VLOOKUP($B2196,DG!A:D,DG!$D$2,)</f>
        <v>tấn</v>
      </c>
      <c r="H2196" s="1873">
        <f>0.05*0</f>
        <v>0</v>
      </c>
      <c r="I2196" s="1262">
        <f t="shared" si="162"/>
        <v>0</v>
      </c>
      <c r="J2196" s="1111"/>
      <c r="K2196" s="1111"/>
      <c r="L2196" s="1085"/>
      <c r="M2196" s="977">
        <v>630</v>
      </c>
    </row>
    <row r="2197" spans="1:13" s="1086" customFormat="1" ht="25.15" hidden="1" customHeight="1">
      <c r="A2197" s="1156">
        <f t="shared" ref="A2197:A2260" si="163">IF(I2197&gt;0,1,0)</f>
        <v>0</v>
      </c>
      <c r="B2197" s="1327" t="s">
        <v>1615</v>
      </c>
      <c r="C2197" s="1327"/>
      <c r="D2197" s="1081"/>
      <c r="E2197" s="1094">
        <f>VLOOKUP($B2197,DG!A:D,DG!$B$2,)</f>
        <v>0</v>
      </c>
      <c r="F2197" s="1083" t="str">
        <f>VLOOKUP($B2197,DG!A:D,DG!$C$2,)</f>
        <v>Boulon 16x300+ 2 long đền vuông D18-50x50x3/Zn</v>
      </c>
      <c r="G2197" s="1082" t="s">
        <v>2448</v>
      </c>
      <c r="H2197" s="1873">
        <f>H2190*2*0</f>
        <v>0</v>
      </c>
      <c r="I2197" s="1262">
        <f t="shared" si="162"/>
        <v>0</v>
      </c>
      <c r="J2197" s="1111"/>
      <c r="K2197" s="1111"/>
      <c r="L2197" s="1085"/>
      <c r="M2197" s="977">
        <v>630</v>
      </c>
    </row>
    <row r="2198" spans="1:13" s="1086" customFormat="1" ht="25.15" hidden="1" customHeight="1">
      <c r="A2198" s="1156">
        <f t="shared" si="163"/>
        <v>0</v>
      </c>
      <c r="B2198" s="1327" t="s">
        <v>1614</v>
      </c>
      <c r="C2198" s="1327"/>
      <c r="D2198" s="1081"/>
      <c r="E2198" s="1094">
        <f>VLOOKUP($B2198,DG!A:D,DG!$B$2,)</f>
        <v>0</v>
      </c>
      <c r="F2198" s="1083" t="str">
        <f>VLOOKUP($B2198,DG!A:D,DG!$C$2,)</f>
        <v>Boulon 16x250+ 2 long đền vuông D18-50x50x3/Zn</v>
      </c>
      <c r="G2198" s="1082" t="s">
        <v>2448</v>
      </c>
      <c r="H2198" s="1873">
        <f>2*H2190*2*0</f>
        <v>0</v>
      </c>
      <c r="I2198" s="1262">
        <f t="shared" si="162"/>
        <v>0</v>
      </c>
      <c r="J2198" s="1111"/>
      <c r="K2198" s="1111"/>
      <c r="L2198" s="1085"/>
      <c r="M2198" s="977">
        <v>630</v>
      </c>
    </row>
    <row r="2199" spans="1:13" s="1086" customFormat="1" ht="25.15" hidden="1" customHeight="1" collapsed="1">
      <c r="A2199" s="1156">
        <f t="shared" si="163"/>
        <v>0</v>
      </c>
      <c r="B2199" s="1327"/>
      <c r="C2199" s="1327"/>
      <c r="D2199" s="1087">
        <f>IF(H2199&gt;0,D2190+1,D2190)</f>
        <v>0</v>
      </c>
      <c r="E2199" s="1088"/>
      <c r="F2199" s="1133" t="s">
        <v>3739</v>
      </c>
      <c r="G2199" s="1087" t="s">
        <v>2394</v>
      </c>
      <c r="H2199" s="1889">
        <f>H2139*0</f>
        <v>0</v>
      </c>
      <c r="I2199" s="1262">
        <f t="shared" si="162"/>
        <v>0</v>
      </c>
      <c r="J2199" s="1084"/>
      <c r="K2199" s="1084"/>
      <c r="L2199" s="1113"/>
      <c r="M2199" s="977">
        <v>630</v>
      </c>
    </row>
    <row r="2200" spans="1:13" s="1086" customFormat="1" ht="25.15" hidden="1" customHeight="1">
      <c r="A2200" s="1156">
        <f>IF(A2199&gt;0,1,0)</f>
        <v>0</v>
      </c>
      <c r="B2200" s="1327"/>
      <c r="C2200" s="1327"/>
      <c r="D2200" s="1081"/>
      <c r="E2200" s="1091"/>
      <c r="F2200" s="1370" t="s">
        <v>2287</v>
      </c>
      <c r="G2200" s="1093"/>
      <c r="H2200" s="1873"/>
      <c r="I2200" s="1262">
        <f t="shared" si="162"/>
        <v>0</v>
      </c>
      <c r="J2200" s="1084"/>
      <c r="K2200" s="1084"/>
      <c r="L2200" s="1113"/>
      <c r="M2200" s="977">
        <v>630</v>
      </c>
    </row>
    <row r="2201" spans="1:13" s="1086" customFormat="1" ht="25.15" hidden="1" customHeight="1">
      <c r="A2201" s="1156">
        <f t="shared" si="163"/>
        <v>0</v>
      </c>
      <c r="B2201" s="1327" t="s">
        <v>2028</v>
      </c>
      <c r="C2201" s="1327"/>
      <c r="D2201" s="1081"/>
      <c r="E2201" s="1094">
        <f>VLOOKUP($B2201,DG!A:D,DG!$B$2,)</f>
        <v>0</v>
      </c>
      <c r="F2201" s="1083" t="str">
        <f>VLOOKUP($B2201,DG!A:D,DG!$C$2,)</f>
        <v>Sắt góc L75 x75 x8</v>
      </c>
      <c r="G2201" s="1082" t="s">
        <v>2256</v>
      </c>
      <c r="H2201" s="1873">
        <f>H2199*9.02*(2.4+4*0.07)*2</f>
        <v>0</v>
      </c>
      <c r="I2201" s="1262">
        <f t="shared" si="162"/>
        <v>0</v>
      </c>
      <c r="J2201" s="1084"/>
      <c r="K2201" s="1084"/>
      <c r="L2201" s="1113"/>
      <c r="M2201" s="977">
        <v>630</v>
      </c>
    </row>
    <row r="2202" spans="1:13" s="1086" customFormat="1" ht="25.15" hidden="1" customHeight="1">
      <c r="A2202" s="1156">
        <f t="shared" si="163"/>
        <v>0</v>
      </c>
      <c r="B2202" s="1327" t="s">
        <v>1037</v>
      </c>
      <c r="C2202" s="1327"/>
      <c r="D2202" s="1081"/>
      <c r="E2202" s="1094">
        <f>VLOOKUP($B2202,DG!A:D,DG!$B$2,)</f>
        <v>0</v>
      </c>
      <c r="F2202" s="1083" t="str">
        <f>VLOOKUP($B2202,DG!A:D,DG!$C$2,)&amp;" (Thanh choáng 810)"</f>
        <v>Sắt góc L50 x50 x5 (Thanh choáng 810)</v>
      </c>
      <c r="G2202" s="1082" t="s">
        <v>2256</v>
      </c>
      <c r="H2202" s="1873">
        <f>H2199*3.77*0.81*4</f>
        <v>0</v>
      </c>
      <c r="I2202" s="1262">
        <f t="shared" si="162"/>
        <v>0</v>
      </c>
      <c r="J2202" s="1084"/>
      <c r="K2202" s="1084"/>
      <c r="L2202" s="1113"/>
      <c r="M2202" s="977">
        <v>630</v>
      </c>
    </row>
    <row r="2203" spans="1:13" s="1086" customFormat="1" ht="25.15" hidden="1" customHeight="1">
      <c r="A2203" s="1156">
        <f t="shared" si="163"/>
        <v>0</v>
      </c>
      <c r="B2203" s="1327" t="s">
        <v>1615</v>
      </c>
      <c r="C2203" s="1327"/>
      <c r="D2203" s="1081"/>
      <c r="E2203" s="1094">
        <f>VLOOKUP($B2203,DG!A:D,DG!$B$2,)</f>
        <v>0</v>
      </c>
      <c r="F2203" s="1083" t="str">
        <f>VLOOKUP($B2203,DG!A:D,DG!$C$2,)</f>
        <v>Boulon 16x300+ 2 long đền vuông D18-50x50x3/Zn</v>
      </c>
      <c r="G2203" s="1082" t="s">
        <v>2448</v>
      </c>
      <c r="H2203" s="1873">
        <f>H2199*2</f>
        <v>0</v>
      </c>
      <c r="I2203" s="1262">
        <f t="shared" si="162"/>
        <v>0</v>
      </c>
      <c r="J2203" s="1084"/>
      <c r="K2203" s="1084"/>
      <c r="L2203" s="1113"/>
      <c r="M2203" s="977">
        <v>630</v>
      </c>
    </row>
    <row r="2204" spans="1:13" s="1086" customFormat="1" ht="25.15" hidden="1" customHeight="1">
      <c r="A2204" s="1156">
        <f t="shared" si="163"/>
        <v>0</v>
      </c>
      <c r="B2204" s="1327" t="s">
        <v>1792</v>
      </c>
      <c r="C2204" s="1327"/>
      <c r="D2204" s="1081"/>
      <c r="E2204" s="1094">
        <f>VLOOKUP($B2204,DG!A:D,DG!$B$2,)</f>
        <v>0</v>
      </c>
      <c r="F2204" s="1083" t="str">
        <f>VLOOKUP($B2204,DG!A:D,DG!$C$2,)</f>
        <v>Boulon 16x50+ 2 long đền vuông D18-50x50x3/Zn</v>
      </c>
      <c r="G2204" s="1082" t="s">
        <v>2448</v>
      </c>
      <c r="H2204" s="1873">
        <f>H2199*4</f>
        <v>0</v>
      </c>
      <c r="I2204" s="1262">
        <f t="shared" si="162"/>
        <v>0</v>
      </c>
      <c r="J2204" s="1084"/>
      <c r="K2204" s="1084"/>
      <c r="L2204" s="1113"/>
      <c r="M2204" s="977">
        <v>630</v>
      </c>
    </row>
    <row r="2205" spans="1:13" s="1086" customFormat="1" ht="25.15" hidden="1" customHeight="1">
      <c r="A2205" s="1156">
        <f t="shared" si="163"/>
        <v>0</v>
      </c>
      <c r="B2205" s="1327" t="s">
        <v>1790</v>
      </c>
      <c r="C2205" s="1327"/>
      <c r="D2205" s="1081"/>
      <c r="E2205" s="1094">
        <f>VLOOKUP($B2205,DG!A:D,DG!$B$2,)</f>
        <v>0</v>
      </c>
      <c r="F2205" s="1083" t="str">
        <f>VLOOKUP($B2205,DG!A:D,DG!$C$2,)</f>
        <v>Boulon 16x300VRS+ 4 long đền vuông D18-50x50x3/Zn</v>
      </c>
      <c r="G2205" s="1082" t="s">
        <v>2448</v>
      </c>
      <c r="H2205" s="1873">
        <f>H2199*4</f>
        <v>0</v>
      </c>
      <c r="I2205" s="1262">
        <f t="shared" si="162"/>
        <v>0</v>
      </c>
      <c r="J2205" s="1084"/>
      <c r="K2205" s="1084"/>
      <c r="L2205" s="1113"/>
      <c r="M2205" s="977">
        <v>630</v>
      </c>
    </row>
    <row r="2206" spans="1:13" s="1086" customFormat="1" ht="25.15" hidden="1" customHeight="1">
      <c r="A2206" s="1156">
        <f t="shared" si="163"/>
        <v>0</v>
      </c>
      <c r="B2206" s="1327" t="s">
        <v>517</v>
      </c>
      <c r="C2206" s="1327"/>
      <c r="D2206" s="1081"/>
      <c r="E2206" s="1094" t="str">
        <f>VLOOKUP($B2206,DG!A:D,DG!$B$2,)</f>
        <v>05.6203</v>
      </c>
      <c r="F2206" s="1083" t="str">
        <f>VLOOKUP($B2206,DG!A:D,DG!$C$2,)</f>
        <v>Lắp xà néo ≤ 100kg</v>
      </c>
      <c r="G2206" s="1082" t="s">
        <v>2448</v>
      </c>
      <c r="H2206" s="1873">
        <f>H2199</f>
        <v>0</v>
      </c>
      <c r="I2206" s="1262">
        <f t="shared" si="162"/>
        <v>0</v>
      </c>
      <c r="J2206" s="1084"/>
      <c r="K2206" s="1084"/>
      <c r="L2206" s="1113"/>
      <c r="M2206" s="977">
        <v>630</v>
      </c>
    </row>
    <row r="2207" spans="1:13" s="1086" customFormat="1" ht="25.15" hidden="1" customHeight="1">
      <c r="A2207" s="1156">
        <f t="shared" si="163"/>
        <v>0</v>
      </c>
      <c r="B2207" s="1327"/>
      <c r="C2207" s="1327"/>
      <c r="D2207" s="1087">
        <f>IF(H2207&gt;0,D2199+1,D2199)</f>
        <v>0</v>
      </c>
      <c r="E2207" s="1088"/>
      <c r="F2207" s="1133" t="s">
        <v>3740</v>
      </c>
      <c r="G2207" s="1087" t="s">
        <v>2394</v>
      </c>
      <c r="H2207" s="1889">
        <f>H2139*1*0</f>
        <v>0</v>
      </c>
      <c r="I2207" s="1262">
        <f t="shared" si="162"/>
        <v>0</v>
      </c>
      <c r="J2207" s="1084"/>
      <c r="K2207" s="1084"/>
      <c r="L2207" s="1113"/>
      <c r="M2207" s="977">
        <v>630</v>
      </c>
    </row>
    <row r="2208" spans="1:13" s="1086" customFormat="1" ht="25.15" hidden="1" customHeight="1">
      <c r="A2208" s="1156">
        <f>IF(A2207&gt;0,1,0)</f>
        <v>0</v>
      </c>
      <c r="B2208" s="1327"/>
      <c r="C2208" s="1327"/>
      <c r="D2208" s="1081"/>
      <c r="E2208" s="1091"/>
      <c r="F2208" s="1370" t="s">
        <v>2287</v>
      </c>
      <c r="G2208" s="1093"/>
      <c r="H2208" s="1873"/>
      <c r="I2208" s="1262">
        <f t="shared" si="162"/>
        <v>0</v>
      </c>
      <c r="J2208" s="1084"/>
      <c r="K2208" s="1084"/>
      <c r="L2208" s="1113"/>
      <c r="M2208" s="977">
        <v>630</v>
      </c>
    </row>
    <row r="2209" spans="1:13" s="1086" customFormat="1" ht="25.15" hidden="1" customHeight="1">
      <c r="A2209" s="1156">
        <f t="shared" si="163"/>
        <v>0</v>
      </c>
      <c r="B2209" s="1327" t="s">
        <v>2028</v>
      </c>
      <c r="C2209" s="1327"/>
      <c r="D2209" s="1081"/>
      <c r="E2209" s="1094">
        <f>VLOOKUP($B2209,DG!A:D,DG!$B$2,)</f>
        <v>0</v>
      </c>
      <c r="F2209" s="1083" t="str">
        <f>VLOOKUP($B2209,DG!A:D,DG!$C$2,)</f>
        <v>Sắt góc L75 x75 x8</v>
      </c>
      <c r="G2209" s="1082" t="s">
        <v>2256</v>
      </c>
      <c r="H2209" s="1873">
        <f>H2207*9.02*(2.4+4*0.07)</f>
        <v>0</v>
      </c>
      <c r="I2209" s="1262">
        <f t="shared" si="162"/>
        <v>0</v>
      </c>
      <c r="J2209" s="1084"/>
      <c r="K2209" s="1084"/>
      <c r="L2209" s="1113"/>
      <c r="M2209" s="977">
        <v>630</v>
      </c>
    </row>
    <row r="2210" spans="1:13" s="1086" customFormat="1" ht="25.15" hidden="1" customHeight="1">
      <c r="A2210" s="1156">
        <f t="shared" si="163"/>
        <v>0</v>
      </c>
      <c r="B2210" s="1327" t="s">
        <v>1037</v>
      </c>
      <c r="C2210" s="1327"/>
      <c r="D2210" s="1081"/>
      <c r="E2210" s="1094">
        <f>VLOOKUP($B2210,DG!A:D,DG!$B$2,)</f>
        <v>0</v>
      </c>
      <c r="F2210" s="1083" t="str">
        <f>VLOOKUP($B2210,DG!A:D,DG!$C$2,)&amp;" (Thanh choáng 810)"</f>
        <v>Sắt góc L50 x50 x5 (Thanh choáng 810)</v>
      </c>
      <c r="G2210" s="1082" t="s">
        <v>2256</v>
      </c>
      <c r="H2210" s="1873">
        <f>H2207*3.77*0.81*2</f>
        <v>0</v>
      </c>
      <c r="I2210" s="1262">
        <f t="shared" si="162"/>
        <v>0</v>
      </c>
      <c r="J2210" s="1084"/>
      <c r="K2210" s="1084"/>
      <c r="L2210" s="1113"/>
      <c r="M2210" s="977">
        <v>630</v>
      </c>
    </row>
    <row r="2211" spans="1:13" s="1086" customFormat="1" ht="25.15" hidden="1" customHeight="1">
      <c r="A2211" s="1156">
        <f t="shared" si="163"/>
        <v>0</v>
      </c>
      <c r="B2211" s="1327" t="s">
        <v>1081</v>
      </c>
      <c r="C2211" s="1327"/>
      <c r="D2211" s="1081"/>
      <c r="E2211" s="1094">
        <f>VLOOKUP($B2211,DG!A:D,DG!$B$2,)</f>
        <v>0</v>
      </c>
      <c r="F2211" s="1083" t="str">
        <f>VLOOKUP($B2211,DG!A:D,DG!$C$2,)</f>
        <v>Boulon 16x350+ 2 long đền vuông D18-50x50x3/Zn</v>
      </c>
      <c r="G2211" s="1082" t="s">
        <v>2448</v>
      </c>
      <c r="H2211" s="1873">
        <f>H2207*2</f>
        <v>0</v>
      </c>
      <c r="I2211" s="1262">
        <f t="shared" si="162"/>
        <v>0</v>
      </c>
      <c r="J2211" s="1084"/>
      <c r="K2211" s="1084"/>
      <c r="L2211" s="1113"/>
      <c r="M2211" s="977">
        <v>630</v>
      </c>
    </row>
    <row r="2212" spans="1:13" s="1086" customFormat="1" ht="25.15" hidden="1" customHeight="1">
      <c r="A2212" s="1156">
        <f t="shared" si="163"/>
        <v>0</v>
      </c>
      <c r="B2212" s="1327" t="s">
        <v>1792</v>
      </c>
      <c r="C2212" s="1327"/>
      <c r="D2212" s="1081"/>
      <c r="E2212" s="1094">
        <f>VLOOKUP($B2212,DG!A:D,DG!$B$2,)</f>
        <v>0</v>
      </c>
      <c r="F2212" s="1083" t="str">
        <f>VLOOKUP($B2212,DG!A:D,DG!$C$2,)</f>
        <v>Boulon 16x50+ 2 long đền vuông D18-50x50x3/Zn</v>
      </c>
      <c r="G2212" s="1082" t="s">
        <v>2448</v>
      </c>
      <c r="H2212" s="1873">
        <f>H2207*2</f>
        <v>0</v>
      </c>
      <c r="I2212" s="1262">
        <f t="shared" si="162"/>
        <v>0</v>
      </c>
      <c r="J2212" s="1084"/>
      <c r="K2212" s="1084"/>
      <c r="L2212" s="1113"/>
      <c r="M2212" s="977">
        <v>630</v>
      </c>
    </row>
    <row r="2213" spans="1:13" s="1086" customFormat="1" ht="25.15" hidden="1" customHeight="1">
      <c r="A2213" s="1156">
        <f t="shared" si="163"/>
        <v>0</v>
      </c>
      <c r="B2213" s="1327" t="s">
        <v>1741</v>
      </c>
      <c r="C2213" s="1327"/>
      <c r="D2213" s="1081"/>
      <c r="E2213" s="1094">
        <f>VLOOKUP($B2213,DG!A:D,DG!$B$2,)</f>
        <v>0</v>
      </c>
      <c r="F2213" s="1083" t="str">
        <f>VLOOKUP($B2213,DG!A:D,DG!$C$2,)</f>
        <v>Bass LI bắt FCO</v>
      </c>
      <c r="G2213" s="1082" t="s">
        <v>2448</v>
      </c>
      <c r="H2213" s="1873">
        <f>IF(H2207&gt;0,3,)</f>
        <v>0</v>
      </c>
      <c r="I2213" s="1262">
        <f t="shared" si="162"/>
        <v>0</v>
      </c>
      <c r="J2213" s="1084"/>
      <c r="K2213" s="1084"/>
      <c r="L2213" s="1113"/>
      <c r="M2213" s="977">
        <v>630</v>
      </c>
    </row>
    <row r="2214" spans="1:13" s="1086" customFormat="1" ht="25.15" hidden="1" customHeight="1">
      <c r="A2214" s="1156">
        <f t="shared" si="163"/>
        <v>0</v>
      </c>
      <c r="B2214" s="1327" t="s">
        <v>990</v>
      </c>
      <c r="C2214" s="1327"/>
      <c r="D2214" s="1081"/>
      <c r="E2214" s="1094" t="str">
        <f>VLOOKUP($B2214,DG!A:D,DG!$B$2,)</f>
        <v>06.3231</v>
      </c>
      <c r="F2214" s="1083" t="str">
        <f>VLOOKUP($B2214,DG!A:D,DG!$C$2,)</f>
        <v xml:space="preserve">Cổ dê chống lắc 8x80x800 </v>
      </c>
      <c r="G2214" s="1082" t="s">
        <v>2448</v>
      </c>
      <c r="H2214" s="1873">
        <f>H2207*0</f>
        <v>0</v>
      </c>
      <c r="I2214" s="1262">
        <f t="shared" si="162"/>
        <v>0</v>
      </c>
      <c r="J2214" s="1084"/>
      <c r="K2214" s="1084"/>
      <c r="L2214" s="1113"/>
      <c r="M2214" s="977">
        <v>630</v>
      </c>
    </row>
    <row r="2215" spans="1:13" s="1086" customFormat="1" ht="25.15" hidden="1" customHeight="1">
      <c r="A2215" s="1156">
        <f t="shared" si="163"/>
        <v>0</v>
      </c>
      <c r="B2215" s="1327" t="s">
        <v>1445</v>
      </c>
      <c r="C2215" s="1327"/>
      <c r="D2215" s="1081"/>
      <c r="E2215" s="1094" t="str">
        <f>VLOOKUP($B2215,DG!A:D,DG!$B$2,)</f>
        <v>05.6102</v>
      </c>
      <c r="F2215" s="1083" t="str">
        <f>VLOOKUP($B2215,DG!A:D,DG!$C$2,)</f>
        <v>Lắp xà đỡ ≤ 50kg</v>
      </c>
      <c r="G2215" s="1082" t="s">
        <v>2448</v>
      </c>
      <c r="H2215" s="1873">
        <f>H2207</f>
        <v>0</v>
      </c>
      <c r="I2215" s="1262">
        <f t="shared" si="162"/>
        <v>0</v>
      </c>
      <c r="J2215" s="1084"/>
      <c r="K2215" s="1084"/>
      <c r="L2215" s="1113"/>
      <c r="M2215" s="977">
        <v>630</v>
      </c>
    </row>
    <row r="2216" spans="1:13" s="1086" customFormat="1" ht="25.15" hidden="1" customHeight="1">
      <c r="A2216" s="1156">
        <f t="shared" si="163"/>
        <v>0</v>
      </c>
      <c r="B2216" s="1327"/>
      <c r="C2216" s="1327"/>
      <c r="D2216" s="1087">
        <f>IF(H2216&gt;0,D2207+1,D2207)</f>
        <v>0</v>
      </c>
      <c r="E2216" s="1088"/>
      <c r="F2216" s="1133" t="s">
        <v>3741</v>
      </c>
      <c r="G2216" s="1087" t="s">
        <v>2394</v>
      </c>
      <c r="H2216" s="1889">
        <f>H2139</f>
        <v>0</v>
      </c>
      <c r="I2216" s="1262">
        <f t="shared" si="162"/>
        <v>0</v>
      </c>
      <c r="J2216" s="1084"/>
      <c r="K2216" s="1084"/>
      <c r="L2216" s="1113"/>
      <c r="M2216" s="977">
        <v>630</v>
      </c>
    </row>
    <row r="2217" spans="1:13" s="1086" customFormat="1" ht="25.15" hidden="1" customHeight="1">
      <c r="A2217" s="1156">
        <f>IF(A2216&gt;0,1,0)</f>
        <v>0</v>
      </c>
      <c r="B2217" s="1358"/>
      <c r="C2217" s="1358"/>
      <c r="D2217" s="1081"/>
      <c r="E2217" s="1091"/>
      <c r="F2217" s="1370" t="s">
        <v>2287</v>
      </c>
      <c r="G2217" s="1093"/>
      <c r="H2217" s="1873"/>
      <c r="I2217" s="1262">
        <f t="shared" si="162"/>
        <v>0</v>
      </c>
      <c r="J2217" s="1084"/>
      <c r="K2217" s="1084"/>
      <c r="L2217" s="1113"/>
      <c r="M2217" s="977">
        <v>630</v>
      </c>
    </row>
    <row r="2218" spans="1:13" s="1086" customFormat="1" ht="25.15" hidden="1" customHeight="1">
      <c r="A2218" s="1156">
        <f t="shared" si="163"/>
        <v>0</v>
      </c>
      <c r="B2218" s="1327" t="s">
        <v>1035</v>
      </c>
      <c r="C2218" s="1327"/>
      <c r="D2218" s="1081"/>
      <c r="E2218" s="1082">
        <f>VLOOKUP($B2218,DG!A:D,DG!$B$2,)</f>
        <v>0</v>
      </c>
      <c r="F2218" s="1083" t="str">
        <f>VLOOKUP($B2218,DG!A:D,DG!$C$2,)</f>
        <v>Cáp đồng trần M25mm2</v>
      </c>
      <c r="G2218" s="1094" t="str">
        <f>VLOOKUP($B2218,DG!A:D,DG!$D$2,)</f>
        <v>kg</v>
      </c>
      <c r="H2218" s="1873">
        <f>I3*0.224*H2216</f>
        <v>0</v>
      </c>
      <c r="I2218" s="1262">
        <f t="shared" si="162"/>
        <v>0</v>
      </c>
      <c r="J2218" s="1084"/>
      <c r="K2218" s="1084"/>
      <c r="L2218" s="1113"/>
      <c r="M2218" s="977">
        <v>630</v>
      </c>
    </row>
    <row r="2219" spans="1:13" s="1086" customFormat="1" ht="25.15" hidden="1" customHeight="1">
      <c r="A2219" s="1156">
        <f t="shared" si="163"/>
        <v>0</v>
      </c>
      <c r="B2219" s="1327" t="s">
        <v>1035</v>
      </c>
      <c r="C2219" s="1327"/>
      <c r="D2219" s="1081"/>
      <c r="E2219" s="1082">
        <f>VLOOKUP($B2219,DG!A:D,DG!$B$2,)</f>
        <v>0</v>
      </c>
      <c r="F2219" s="1083" t="str">
        <f>VLOOKUP($B2219,DG!A:D,DG!$C$2,)&amp;": 17m noái leân voû caùc thieát bò"</f>
        <v>Cáp đồng trần M25mm2: 17m noái leân voû caùc thieát bò</v>
      </c>
      <c r="G2219" s="1082" t="str">
        <f>VLOOKUP($B2219,DG!A:D,DG!$D$2,)</f>
        <v>kg</v>
      </c>
      <c r="H2219" s="1873">
        <f>17*0.224*H2216*0</f>
        <v>0</v>
      </c>
      <c r="I2219" s="1262">
        <f t="shared" si="162"/>
        <v>0</v>
      </c>
      <c r="J2219" s="1084"/>
      <c r="K2219" s="1084"/>
      <c r="L2219" s="1113"/>
      <c r="M2219" s="977">
        <v>630</v>
      </c>
    </row>
    <row r="2220" spans="1:13" s="1086" customFormat="1" ht="25.15" hidden="1" customHeight="1">
      <c r="A2220" s="1156">
        <f t="shared" si="163"/>
        <v>0</v>
      </c>
      <c r="B2220" s="1157" t="s">
        <v>1513</v>
      </c>
      <c r="C2220" s="1157"/>
      <c r="D2220" s="1081"/>
      <c r="E2220" s="1082">
        <f>VLOOKUP($B2220,DG!A:D,DG!$B$2,)</f>
        <v>0</v>
      </c>
      <c r="F2220" s="1083" t="str">
        <f>VLOOKUP($B2220,DG!A:D,DG!$C$2,)</f>
        <v>Cọc tiếp đất Þ 16- 2,4m + kẹp cọc mạ đồng</v>
      </c>
      <c r="G2220" s="1094" t="str">
        <f>VLOOKUP($B2220,DG!A:D,DG!$D$2,)</f>
        <v>bộ</v>
      </c>
      <c r="H2220" s="1873">
        <f>I2*H2216</f>
        <v>0</v>
      </c>
      <c r="I2220" s="1262">
        <f t="shared" si="162"/>
        <v>0</v>
      </c>
      <c r="J2220" s="1084"/>
      <c r="K2220" s="1084"/>
      <c r="L2220" s="1113"/>
      <c r="M2220" s="977">
        <v>630</v>
      </c>
    </row>
    <row r="2221" spans="1:13" s="1086" customFormat="1" ht="25.15" hidden="1" customHeight="1">
      <c r="A2221" s="1156">
        <f t="shared" si="163"/>
        <v>0</v>
      </c>
      <c r="B2221" s="1157" t="s">
        <v>1495</v>
      </c>
      <c r="C2221" s="1157"/>
      <c r="D2221" s="1081"/>
      <c r="E2221" s="1082" t="str">
        <f>VLOOKUP($B2221,DG!A:D,DG!$B$2,)</f>
        <v>07.2403</v>
      </c>
      <c r="F2221" s="1083" t="str">
        <f>VLOOKUP($B2221,DG!A:D,DG!$C$2,)</f>
        <v xml:space="preserve">Ống PVC D21x1,6mm </v>
      </c>
      <c r="G2221" s="1082" t="str">
        <f>VLOOKUP($B2221,DG!A:D,DG!$D$2,)</f>
        <v>m</v>
      </c>
      <c r="H2221" s="1873">
        <f>H2216*12</f>
        <v>0</v>
      </c>
      <c r="I2221" s="1262">
        <f t="shared" si="162"/>
        <v>0</v>
      </c>
      <c r="J2221" s="1084"/>
      <c r="K2221" s="1084"/>
      <c r="L2221" s="1085"/>
      <c r="M2221" s="977">
        <v>630</v>
      </c>
    </row>
    <row r="2222" spans="1:13" s="1086" customFormat="1" ht="25.15" hidden="1" customHeight="1">
      <c r="A2222" s="1156">
        <f t="shared" si="163"/>
        <v>0</v>
      </c>
      <c r="B2222" s="1332" t="s">
        <v>1584</v>
      </c>
      <c r="C2222" s="1332"/>
      <c r="D2222" s="1081"/>
      <c r="E2222" s="1082">
        <f>VLOOKUP($B2222,DG!A:D,DG!$B$2,)</f>
        <v>0</v>
      </c>
      <c r="F2222" s="1083" t="str">
        <f>VLOOKUP($B2222,DG!A:D,DG!$C$2,)&amp; " bắt dây trung tính "</f>
        <v xml:space="preserve">Kẹp ép WR cỡ dây 50mm2 bắt dây trung tính </v>
      </c>
      <c r="G2222" s="1094" t="str">
        <f>VLOOKUP($B2222,DG!A:D,DG!$D$2,)</f>
        <v>cái</v>
      </c>
      <c r="H2222" s="1873">
        <f>2*H2216</f>
        <v>0</v>
      </c>
      <c r="I2222" s="1262">
        <f t="shared" si="162"/>
        <v>0</v>
      </c>
      <c r="J2222" s="1084"/>
      <c r="K2222" s="1084"/>
      <c r="L2222" s="1113"/>
      <c r="M2222" s="977">
        <v>630</v>
      </c>
    </row>
    <row r="2223" spans="1:13" s="1086" customFormat="1" ht="25.15" hidden="1" customHeight="1">
      <c r="A2223" s="1156">
        <f t="shared" si="163"/>
        <v>0</v>
      </c>
      <c r="B2223" s="1332" t="s">
        <v>1400</v>
      </c>
      <c r="C2223" s="1332"/>
      <c r="D2223" s="1135"/>
      <c r="E2223" s="1082">
        <f>VLOOKUP($B2223,DG!A:D,DG!$B$2,)</f>
        <v>0</v>
      </c>
      <c r="F2223" s="1083" t="str">
        <f>VLOOKUP($B2223,DG!A:D,DG!$C$2,)&amp;":bắt lưới TĐ"</f>
        <v>Kẹp ép cỡ dây 25mm2:bắt lưới TĐ</v>
      </c>
      <c r="G2223" s="1094" t="str">
        <f>VLOOKUP($B2223,DG!A:D,DG!$D$2,)</f>
        <v>cái</v>
      </c>
      <c r="H2223" s="1911">
        <f>H2216*11</f>
        <v>0</v>
      </c>
      <c r="I2223" s="1262">
        <f t="shared" si="162"/>
        <v>0</v>
      </c>
      <c r="J2223" s="1084"/>
      <c r="K2223" s="1084"/>
      <c r="L2223" s="1113"/>
      <c r="M2223" s="977">
        <v>630</v>
      </c>
    </row>
    <row r="2224" spans="1:13" s="1086" customFormat="1" ht="25.15" hidden="1" customHeight="1">
      <c r="A2224" s="1156">
        <f t="shared" si="163"/>
        <v>0</v>
      </c>
      <c r="B2224" s="1157" t="s">
        <v>138</v>
      </c>
      <c r="C2224" s="1157"/>
      <c r="D2224" s="1081"/>
      <c r="E2224" s="1082">
        <f>VLOOKUP($B2224,DG!A:D,DG!$B$2,)</f>
        <v>0</v>
      </c>
      <c r="F2224" s="1083" t="str">
        <f>VLOOKUP($B2224,DG!A:D,DG!$C$2,)</f>
        <v>Boulon 12x40+ 2 long đền vuông D14-50x50x3/Zn</v>
      </c>
      <c r="G2224" s="1094" t="str">
        <f>VLOOKUP($B2224,DG!A:D,DG!$D$2,)</f>
        <v>bộ</v>
      </c>
      <c r="H2224" s="1873">
        <f>H2216*1</f>
        <v>0</v>
      </c>
      <c r="I2224" s="1262">
        <f t="shared" si="162"/>
        <v>0</v>
      </c>
      <c r="J2224" s="1084"/>
      <c r="K2224" s="1084"/>
      <c r="L2224" s="1113"/>
      <c r="M2224" s="977">
        <v>630</v>
      </c>
    </row>
    <row r="2225" spans="1:13" s="1086" customFormat="1" ht="25.15" hidden="1" customHeight="1">
      <c r="A2225" s="1156">
        <f t="shared" si="163"/>
        <v>0</v>
      </c>
      <c r="B2225" s="1157" t="s">
        <v>104</v>
      </c>
      <c r="C2225" s="1157"/>
      <c r="D2225" s="1081"/>
      <c r="E2225" s="1082" t="str">
        <f>VLOOKUP($B2225,DG!A:D,DG!$B$2,)</f>
        <v>03.4001</v>
      </c>
      <c r="F2225" s="1083" t="str">
        <f>VLOOKUP($B2225,DG!A:D,DG!$C$2,)</f>
        <v>Đầu cosse ép Cu 25mm2</v>
      </c>
      <c r="G2225" s="1094" t="str">
        <f>VLOOKUP($B2225,DG!A:D,DG!$D$2,)</f>
        <v>cái</v>
      </c>
      <c r="H2225" s="1873">
        <f>H2224*2</f>
        <v>0</v>
      </c>
      <c r="I2225" s="1262">
        <f t="shared" si="162"/>
        <v>0</v>
      </c>
      <c r="J2225" s="1084"/>
      <c r="K2225" s="1084"/>
      <c r="L2225" s="1113"/>
      <c r="M2225" s="977">
        <v>630</v>
      </c>
    </row>
    <row r="2226" spans="1:13" s="1086" customFormat="1" ht="25.15" hidden="1" customHeight="1">
      <c r="A2226" s="1156">
        <f t="shared" si="163"/>
        <v>0</v>
      </c>
      <c r="B2226" s="1157" t="s">
        <v>525</v>
      </c>
      <c r="C2226" s="1157"/>
      <c r="D2226" s="1081"/>
      <c r="E2226" s="1082" t="str">
        <f>VLOOKUP($B2226,DG!A:D,DG!$B$2,)</f>
        <v>06.3231</v>
      </c>
      <c r="F2226" s="1083" t="str">
        <f>VLOOKUP($B2226,DG!A:D,DG!$C$2,)&amp;": CD-250"</f>
        <v>Cổ dê kẹp ống PVC  21: CD-250</v>
      </c>
      <c r="G2226" s="1082" t="str">
        <f>VLOOKUP($B2226,DG!A:D,DG!$D$2,)</f>
        <v>bộ</v>
      </c>
      <c r="H2226" s="1873">
        <f>H2216*0.415</f>
        <v>0</v>
      </c>
      <c r="I2226" s="1262">
        <f t="shared" si="162"/>
        <v>0</v>
      </c>
      <c r="J2226" s="1084"/>
      <c r="K2226" s="1084"/>
      <c r="L2226" s="1085"/>
      <c r="M2226" s="977">
        <v>630</v>
      </c>
    </row>
    <row r="2227" spans="1:13" s="1086" customFormat="1" ht="25.15" hidden="1" customHeight="1">
      <c r="A2227" s="1156">
        <f t="shared" si="163"/>
        <v>0</v>
      </c>
      <c r="B2227" s="1157" t="s">
        <v>525</v>
      </c>
      <c r="C2227" s="1157"/>
      <c r="D2227" s="1081"/>
      <c r="E2227" s="1082" t="str">
        <f>VLOOKUP($B2227,DG!A:D,DG!$B$2,)</f>
        <v>06.3231</v>
      </c>
      <c r="F2227" s="1083" t="str">
        <f>VLOOKUP($B2227,DG!A:D,DG!$C$2,)&amp;": CD-280"</f>
        <v>Cổ dê kẹp ống PVC  21: CD-280</v>
      </c>
      <c r="G2227" s="1082" t="str">
        <f>VLOOKUP($B2227,DG!A:D,DG!$D$2,)</f>
        <v>bộ</v>
      </c>
      <c r="H2227" s="1873">
        <f>H2216*0.452</f>
        <v>0</v>
      </c>
      <c r="I2227" s="1262">
        <f t="shared" ref="I2227:I2290" si="164">IF(M2227=$M$23,H2227+J2227-K2227,0)</f>
        <v>0</v>
      </c>
      <c r="J2227" s="1084"/>
      <c r="K2227" s="1084"/>
      <c r="L2227" s="1085"/>
      <c r="M2227" s="977">
        <v>630</v>
      </c>
    </row>
    <row r="2228" spans="1:13" s="1086" customFormat="1" ht="25.15" hidden="1" customHeight="1">
      <c r="A2228" s="1156">
        <f t="shared" si="163"/>
        <v>0</v>
      </c>
      <c r="B2228" s="1157" t="s">
        <v>525</v>
      </c>
      <c r="C2228" s="1157"/>
      <c r="D2228" s="1081"/>
      <c r="E2228" s="1082" t="str">
        <f>VLOOKUP($B2228,DG!A:D,DG!$B$2,)</f>
        <v>06.3231</v>
      </c>
      <c r="F2228" s="1083" t="str">
        <f>VLOOKUP($B2228,DG!A:D,DG!$C$2,)&amp;": CD-320"</f>
        <v>Cổ dê kẹp ống PVC  21: CD-320</v>
      </c>
      <c r="G2228" s="1082" t="str">
        <f>VLOOKUP($B2228,DG!A:D,DG!$D$2,)</f>
        <v>bộ</v>
      </c>
      <c r="H2228" s="1873">
        <f>H2216*0.501</f>
        <v>0</v>
      </c>
      <c r="I2228" s="1262">
        <f t="shared" si="164"/>
        <v>0</v>
      </c>
      <c r="J2228" s="1084"/>
      <c r="K2228" s="1084"/>
      <c r="L2228" s="1085"/>
      <c r="M2228" s="977">
        <v>630</v>
      </c>
    </row>
    <row r="2229" spans="1:13" s="1086" customFormat="1" ht="25.15" hidden="1" customHeight="1">
      <c r="A2229" s="1156">
        <f t="shared" si="163"/>
        <v>0</v>
      </c>
      <c r="B2229" s="1157" t="s">
        <v>1133</v>
      </c>
      <c r="C2229" s="1157"/>
      <c r="D2229" s="1081"/>
      <c r="E2229" s="1082" t="str">
        <f>VLOOKUP($B2229,DG!A:D,DG!$B$2,)</f>
        <v>06.2110</v>
      </c>
      <c r="F2229" s="1083" t="str">
        <f>VLOOKUP($B2229,DG!A:D,DG!$C$2,)&amp;": CD-320"</f>
        <v>Lắp cổ dề: CD-320</v>
      </c>
      <c r="G2229" s="1082" t="str">
        <f>VLOOKUP($B2229,DG!A:D,DG!$D$2,)</f>
        <v>bộ</v>
      </c>
      <c r="H2229" s="1873">
        <f>H2217*0.501</f>
        <v>0</v>
      </c>
      <c r="I2229" s="1262">
        <f t="shared" si="164"/>
        <v>0</v>
      </c>
      <c r="J2229" s="1084"/>
      <c r="K2229" s="1084"/>
      <c r="L2229" s="1085"/>
      <c r="M2229" s="977">
        <v>630</v>
      </c>
    </row>
    <row r="2230" spans="1:13" s="1086" customFormat="1" ht="25.15" hidden="1" customHeight="1">
      <c r="A2230" s="1156">
        <f t="shared" si="163"/>
        <v>0</v>
      </c>
      <c r="B2230" s="1157" t="s">
        <v>138</v>
      </c>
      <c r="C2230" s="1157"/>
      <c r="D2230" s="1081"/>
      <c r="E2230" s="1082">
        <f>VLOOKUP($B2230,DG!A:D,DG!$B$2,)</f>
        <v>0</v>
      </c>
      <c r="F2230" s="1083" t="str">
        <f>VLOOKUP($B2230,DG!A:D,DG!$C$2,)</f>
        <v>Boulon 12x40+ 2 long đền vuông D14-50x50x3/Zn</v>
      </c>
      <c r="G2230" s="1082" t="str">
        <f>VLOOKUP($B2230,DG!A:D,DG!$D$2,)</f>
        <v>bộ</v>
      </c>
      <c r="H2230" s="1873">
        <f>H2216*6</f>
        <v>0</v>
      </c>
      <c r="I2230" s="1262">
        <f t="shared" si="164"/>
        <v>0</v>
      </c>
      <c r="J2230" s="1084"/>
      <c r="K2230" s="1084"/>
      <c r="L2230" s="1085"/>
      <c r="M2230" s="977">
        <v>630</v>
      </c>
    </row>
    <row r="2231" spans="1:13" s="1086" customFormat="1" ht="25.15" hidden="1" customHeight="1">
      <c r="A2231" s="1156">
        <f t="shared" si="163"/>
        <v>0</v>
      </c>
      <c r="B2231" s="1157" t="s">
        <v>1590</v>
      </c>
      <c r="C2231" s="1157"/>
      <c r="D2231" s="1081"/>
      <c r="E2231" s="1082">
        <f>VLOOKUP($B2231,DG!A:D,DG!$B$2,)</f>
        <v>0</v>
      </c>
      <c r="F2231" s="1083" t="str">
        <f>VLOOKUP($B2231,DG!A:D,DG!$C$2,)</f>
        <v>Giếng tiếp địa khoan đất</v>
      </c>
      <c r="G2231" s="1082" t="str">
        <f>VLOOKUP($B2231,DG!A:D,DG!$D$2,)</f>
        <v>Cái</v>
      </c>
      <c r="H2231" s="1873">
        <f>L3*H2216</f>
        <v>0</v>
      </c>
      <c r="I2231" s="1262">
        <f t="shared" si="164"/>
        <v>0</v>
      </c>
      <c r="J2231" s="1084"/>
      <c r="K2231" s="1084"/>
      <c r="L2231" s="1113"/>
      <c r="M2231" s="977">
        <v>630</v>
      </c>
    </row>
    <row r="2232" spans="1:13" s="1086" customFormat="1" ht="25.15" hidden="1" customHeight="1">
      <c r="A2232" s="1156">
        <f t="shared" si="163"/>
        <v>0</v>
      </c>
      <c r="B2232" s="1157" t="str">
        <f>"DTD"&amp;chitiet!G5</f>
        <v>DTD3</v>
      </c>
      <c r="C2232" s="1157"/>
      <c r="D2232" s="1093"/>
      <c r="E2232" s="1082" t="str">
        <f>VLOOKUP($B2232,DG!A:D,DG!$B$2,)</f>
        <v>03.3123</v>
      </c>
      <c r="F2232" s="1083" t="str">
        <f>VLOOKUP($B2232,DG!A:D,DG!$C$2,)</f>
        <v>Đào rãnh tiếp địa đất cấp 3</v>
      </c>
      <c r="G2232" s="1094" t="str">
        <f>VLOOKUP($B2232,DG!A:D,DG!$D$2,)</f>
        <v>m3</v>
      </c>
      <c r="H2232" s="1170">
        <f>I3*H2216</f>
        <v>0</v>
      </c>
      <c r="I2232" s="1262">
        <f t="shared" si="164"/>
        <v>0</v>
      </c>
      <c r="J2232" s="1084"/>
      <c r="K2232" s="1084"/>
      <c r="L2232" s="1113"/>
      <c r="M2232" s="977">
        <v>630</v>
      </c>
    </row>
    <row r="2233" spans="1:13" s="1086" customFormat="1" ht="25.15" hidden="1" customHeight="1">
      <c r="A2233" s="1156">
        <f t="shared" si="163"/>
        <v>0</v>
      </c>
      <c r="B2233" s="1157" t="str">
        <f>"DATD"&amp;chitiet!G5</f>
        <v>DATD3</v>
      </c>
      <c r="C2233" s="1157"/>
      <c r="D2233" s="1093"/>
      <c r="E2233" s="1082" t="str">
        <f>VLOOKUP($B2233,DG!A:D,DG!$B$2,)</f>
        <v>03.4123</v>
      </c>
      <c r="F2233" s="1083" t="str">
        <f>VLOOKUP($B2233,DG!A:D,DG!$C$2,)</f>
        <v>Đắp đất rãnh tiếp độ chặt k=0,85</v>
      </c>
      <c r="G2233" s="1094" t="str">
        <f>VLOOKUP($B2233,DG!A:D,DG!$D$2,)</f>
        <v>m3</v>
      </c>
      <c r="H2233" s="1170">
        <f>H2232</f>
        <v>0</v>
      </c>
      <c r="I2233" s="1262">
        <f t="shared" si="164"/>
        <v>0</v>
      </c>
      <c r="J2233" s="1084"/>
      <c r="K2233" s="1084"/>
      <c r="L2233" s="1113"/>
      <c r="M2233" s="977">
        <v>630</v>
      </c>
    </row>
    <row r="2234" spans="1:13" s="1086" customFormat="1" ht="25.15" hidden="1" customHeight="1">
      <c r="A2234" s="1156">
        <f t="shared" si="163"/>
        <v>0</v>
      </c>
      <c r="B2234" s="1157" t="s">
        <v>904</v>
      </c>
      <c r="C2234" s="1157"/>
      <c r="D2234" s="1093"/>
      <c r="E2234" s="1082" t="str">
        <f>VLOOKUP($B2234,DG!A:D,DG!$B$2,)</f>
        <v>04.7001</v>
      </c>
      <c r="F2234" s="1083" t="str">
        <f>VLOOKUP($B2234,DG!A:D,DG!$C$2,)</f>
        <v>Đóng cọc tiếp địa trong TBA</v>
      </c>
      <c r="G2234" s="1094" t="str">
        <f>VLOOKUP($B2234,DG!A:D,DG!$D$2,)</f>
        <v>cọc</v>
      </c>
      <c r="H2234" s="1170">
        <f>H2220</f>
        <v>0</v>
      </c>
      <c r="I2234" s="1262">
        <f t="shared" si="164"/>
        <v>0</v>
      </c>
      <c r="J2234" s="1084"/>
      <c r="K2234" s="1084"/>
      <c r="L2234" s="1113"/>
      <c r="M2234" s="977">
        <v>630</v>
      </c>
    </row>
    <row r="2235" spans="1:13" s="1086" customFormat="1" ht="25.15" hidden="1" customHeight="1">
      <c r="A2235" s="1156">
        <f t="shared" si="163"/>
        <v>0</v>
      </c>
      <c r="B2235" s="1157" t="s">
        <v>1442</v>
      </c>
      <c r="C2235" s="1157"/>
      <c r="D2235" s="1081"/>
      <c r="E2235" s="1082" t="str">
        <f>VLOOKUP($B2235,DG!A:D,DG!$B$2,)</f>
        <v>04.7002</v>
      </c>
      <c r="F2235" s="1083" t="str">
        <f>VLOOKUP($B2235,DG!A:D,DG!$C$2,)</f>
        <v>Kéo dây tiếp địa trong TBA</v>
      </c>
      <c r="G2235" s="1094" t="str">
        <f>VLOOKUP($B2235,DG!A:D,DG!$D$2,)</f>
        <v>mét</v>
      </c>
      <c r="H2235" s="1873">
        <f>H2216*I3</f>
        <v>0</v>
      </c>
      <c r="I2235" s="1262">
        <f t="shared" si="164"/>
        <v>0</v>
      </c>
      <c r="J2235" s="1084"/>
      <c r="K2235" s="1084"/>
      <c r="L2235" s="1113"/>
      <c r="M2235" s="977">
        <v>630</v>
      </c>
    </row>
    <row r="2236" spans="1:13" s="1086" customFormat="1" ht="25.15" hidden="1" customHeight="1">
      <c r="A2236" s="1156">
        <f t="shared" si="163"/>
        <v>0</v>
      </c>
      <c r="B2236" s="1327"/>
      <c r="C2236" s="1327"/>
      <c r="D2236" s="1087">
        <f>IF(H2236&gt;0,D2216+1,D2216)</f>
        <v>0</v>
      </c>
      <c r="E2236" s="1088"/>
      <c r="F2236" s="1089" t="s">
        <v>3742</v>
      </c>
      <c r="G2236" s="1087" t="s">
        <v>2394</v>
      </c>
      <c r="H2236" s="1889">
        <f>H2144</f>
        <v>0</v>
      </c>
      <c r="I2236" s="1262">
        <f t="shared" si="164"/>
        <v>0</v>
      </c>
      <c r="J2236" s="1084"/>
      <c r="K2236" s="1084"/>
      <c r="L2236" s="1085"/>
      <c r="M2236" s="977">
        <v>630</v>
      </c>
    </row>
    <row r="2237" spans="1:13" s="1086" customFormat="1" ht="25.15" hidden="1" customHeight="1">
      <c r="A2237" s="1156">
        <f>IF(A2236&gt;0,1,0)</f>
        <v>0</v>
      </c>
      <c r="B2237" s="1327"/>
      <c r="C2237" s="1327"/>
      <c r="D2237" s="1081"/>
      <c r="E2237" s="1091"/>
      <c r="F2237" s="1370" t="s">
        <v>2287</v>
      </c>
      <c r="G2237" s="1093"/>
      <c r="H2237" s="1873"/>
      <c r="I2237" s="1262">
        <f t="shared" si="164"/>
        <v>0</v>
      </c>
      <c r="J2237" s="1084"/>
      <c r="K2237" s="1084"/>
      <c r="L2237" s="1085"/>
      <c r="M2237" s="977">
        <v>630</v>
      </c>
    </row>
    <row r="2238" spans="1:13" s="1086" customFormat="1" ht="25.15" hidden="1" customHeight="1">
      <c r="A2238" s="1156">
        <f t="shared" si="163"/>
        <v>0</v>
      </c>
      <c r="B2238" s="1327" t="s">
        <v>653</v>
      </c>
      <c r="C2238" s="1327"/>
      <c r="D2238" s="1093"/>
      <c r="E2238" s="1094">
        <f>VLOOKUP($B2238,DG!A:D,DG!$B$2,)</f>
        <v>0</v>
      </c>
      <c r="F2238" s="1095" t="str">
        <f>VLOOKUP($B2238,DG!A:D,DG!$C$2,)</f>
        <v>Ximăng (PC40)</v>
      </c>
      <c r="G2238" s="1094" t="str">
        <f>VLOOKUP($B2238,DG!A:D,DG!$D$2,)</f>
        <v>kg</v>
      </c>
      <c r="H2238" s="1873">
        <f>H2236*M2241</f>
        <v>0</v>
      </c>
      <c r="I2238" s="1262">
        <f t="shared" si="164"/>
        <v>0</v>
      </c>
      <c r="J2238" s="1084"/>
      <c r="K2238" s="1084"/>
      <c r="L2238" s="1085"/>
      <c r="M2238" s="977">
        <v>630</v>
      </c>
    </row>
    <row r="2239" spans="1:13" s="1086" customFormat="1" ht="25.15" hidden="1" customHeight="1">
      <c r="A2239" s="1156">
        <f t="shared" si="163"/>
        <v>0</v>
      </c>
      <c r="B2239" s="1327" t="s">
        <v>4447</v>
      </c>
      <c r="C2239" s="1327"/>
      <c r="D2239" s="1081"/>
      <c r="E2239" s="1094">
        <f>VLOOKUP($B2239,DG!A:D,DG!$B$2,)</f>
        <v>0</v>
      </c>
      <c r="F2239" s="1095" t="str">
        <f>VLOOKUP($B2239,DG!A:D,DG!$C$2,)</f>
        <v>Cát vàng</v>
      </c>
      <c r="G2239" s="1094" t="str">
        <f>VLOOKUP($B2239,DG!A:D,DG!$D$2,)</f>
        <v>m3</v>
      </c>
      <c r="H2239" s="1873">
        <f>H2236*N2241</f>
        <v>0</v>
      </c>
      <c r="I2239" s="1262">
        <f t="shared" si="164"/>
        <v>0</v>
      </c>
      <c r="J2239" s="1084"/>
      <c r="K2239" s="1084"/>
      <c r="L2239" s="1085"/>
      <c r="M2239" s="977">
        <v>630</v>
      </c>
    </row>
    <row r="2240" spans="1:13" s="1086" customFormat="1" ht="25.15" hidden="1" customHeight="1">
      <c r="A2240" s="1156">
        <f t="shared" si="163"/>
        <v>0</v>
      </c>
      <c r="B2240" s="1327" t="s">
        <v>216</v>
      </c>
      <c r="C2240" s="1327"/>
      <c r="D2240" s="1081"/>
      <c r="E2240" s="1094">
        <f>VLOOKUP($B2240,DG!A:D,DG!$B$2,)</f>
        <v>0</v>
      </c>
      <c r="F2240" s="1095" t="str">
        <f>VLOOKUP($B2240,DG!A:D,DG!$C$2,)</f>
        <v>Đá 1x2</v>
      </c>
      <c r="G2240" s="1094" t="str">
        <f>VLOOKUP($B2240,DG!A:D,DG!$D$2,)</f>
        <v>m3</v>
      </c>
      <c r="H2240" s="1873">
        <f>H2236*O2241</f>
        <v>0</v>
      </c>
      <c r="I2240" s="1262">
        <f t="shared" si="164"/>
        <v>0</v>
      </c>
      <c r="J2240" s="1084"/>
      <c r="K2240" s="1084"/>
      <c r="L2240" s="1085"/>
      <c r="M2240" s="977">
        <v>630</v>
      </c>
    </row>
    <row r="2241" spans="1:16" s="1086" customFormat="1" ht="25.15" hidden="1" customHeight="1">
      <c r="A2241" s="1156">
        <f t="shared" si="163"/>
        <v>0</v>
      </c>
      <c r="B2241" s="1327" t="s">
        <v>654</v>
      </c>
      <c r="C2241" s="1327"/>
      <c r="D2241" s="1093"/>
      <c r="E2241" s="1094" t="str">
        <f>VLOOKUP($B2241,DG!A:D,DG!$B$2,)</f>
        <v>04.1203c</v>
      </c>
      <c r="F2241" s="1095" t="str">
        <f>VLOOKUP($B2241,DG!A:D,DG!$C$2,)</f>
        <v>Đổ bê tông móng trụ &lt;=250cm-M200 đá 1x2</v>
      </c>
      <c r="G2241" s="1094" t="str">
        <f>VLOOKUP($B2241,DG!A:D,DG!$D$2,)</f>
        <v>m3</v>
      </c>
      <c r="H2241" s="1873">
        <f>H2236*(0.4*3*1-2*3.14*0.15^2*0.4)*1.025</f>
        <v>0</v>
      </c>
      <c r="I2241" s="1262">
        <f t="shared" si="164"/>
        <v>0</v>
      </c>
      <c r="J2241" s="1084"/>
      <c r="K2241" s="1084"/>
      <c r="L2241" s="1085"/>
      <c r="M2241" s="977">
        <v>630</v>
      </c>
      <c r="N2241" s="1096">
        <f>1.025*0.45</f>
        <v>0.46124999999999999</v>
      </c>
      <c r="O2241" s="1096">
        <f>1.025*0.866</f>
        <v>0.88764999999999994</v>
      </c>
      <c r="P2241" s="1240"/>
    </row>
    <row r="2242" spans="1:16" s="1086" customFormat="1" ht="25.15" hidden="1" customHeight="1">
      <c r="A2242" s="1156">
        <f t="shared" si="163"/>
        <v>0</v>
      </c>
      <c r="B2242" s="1327"/>
      <c r="C2242" s="1327"/>
      <c r="D2242" s="1087">
        <f>IF(H2242&gt;0,D2236+1,D2236)</f>
        <v>0</v>
      </c>
      <c r="E2242" s="1088"/>
      <c r="F2242" s="1089" t="s">
        <v>3743</v>
      </c>
      <c r="G2242" s="1087" t="s">
        <v>2394</v>
      </c>
      <c r="H2242" s="1889"/>
      <c r="I2242" s="1262">
        <f t="shared" si="164"/>
        <v>0</v>
      </c>
      <c r="J2242" s="1084"/>
      <c r="K2242" s="1084"/>
      <c r="L2242" s="1085"/>
      <c r="M2242" s="977">
        <v>630</v>
      </c>
    </row>
    <row r="2243" spans="1:16" s="1086" customFormat="1" ht="25.15" hidden="1" customHeight="1">
      <c r="A2243" s="1156">
        <f>IF(A2242&gt;0,1,0)</f>
        <v>0</v>
      </c>
      <c r="B2243" s="1327"/>
      <c r="C2243" s="1327"/>
      <c r="D2243" s="1081"/>
      <c r="E2243" s="1091"/>
      <c r="F2243" s="1370" t="s">
        <v>2287</v>
      </c>
      <c r="G2243" s="1093"/>
      <c r="H2243" s="1873"/>
      <c r="I2243" s="1262">
        <f t="shared" si="164"/>
        <v>0</v>
      </c>
      <c r="J2243" s="1084"/>
      <c r="K2243" s="1084"/>
      <c r="L2243" s="1085"/>
      <c r="M2243" s="977">
        <v>630</v>
      </c>
    </row>
    <row r="2244" spans="1:16" s="1086" customFormat="1" ht="25.15" hidden="1" customHeight="1">
      <c r="A2244" s="1156">
        <f t="shared" si="163"/>
        <v>0</v>
      </c>
      <c r="B2244" s="1327" t="s">
        <v>653</v>
      </c>
      <c r="C2244" s="1327"/>
      <c r="D2244" s="1093"/>
      <c r="E2244" s="1094">
        <f>VLOOKUP($B2244,DG!A:D,DG!$B$2,)</f>
        <v>0</v>
      </c>
      <c r="F2244" s="1095" t="str">
        <f>VLOOKUP($B2244,DG!A:D,DG!$C$2,)</f>
        <v>Ximăng (PC40)</v>
      </c>
      <c r="G2244" s="1094" t="str">
        <f>VLOOKUP($B2244,DG!A:D,DG!$D$2,)</f>
        <v>kg</v>
      </c>
      <c r="H2244" s="1873">
        <f>H2247*M2247</f>
        <v>0</v>
      </c>
      <c r="I2244" s="1262">
        <f t="shared" si="164"/>
        <v>0</v>
      </c>
      <c r="J2244" s="1084"/>
      <c r="K2244" s="1084"/>
      <c r="L2244" s="1085"/>
      <c r="M2244" s="977">
        <v>630</v>
      </c>
    </row>
    <row r="2245" spans="1:16" s="1086" customFormat="1" ht="25.15" hidden="1" customHeight="1">
      <c r="A2245" s="1156">
        <f t="shared" si="163"/>
        <v>0</v>
      </c>
      <c r="B2245" s="1327" t="s">
        <v>4447</v>
      </c>
      <c r="C2245" s="1327"/>
      <c r="D2245" s="1081"/>
      <c r="E2245" s="1094">
        <f>VLOOKUP($B2245,DG!A:D,DG!$B$2,)</f>
        <v>0</v>
      </c>
      <c r="F2245" s="1095" t="str">
        <f>VLOOKUP($B2245,DG!A:D,DG!$C$2,)</f>
        <v>Cát vàng</v>
      </c>
      <c r="G2245" s="1094" t="str">
        <f>VLOOKUP($B2245,DG!A:D,DG!$D$2,)</f>
        <v>m3</v>
      </c>
      <c r="H2245" s="1890">
        <f>H2247*N2247</f>
        <v>0</v>
      </c>
      <c r="I2245" s="1262">
        <f t="shared" si="164"/>
        <v>0</v>
      </c>
      <c r="J2245" s="1084"/>
      <c r="K2245" s="1084"/>
      <c r="L2245" s="1085"/>
      <c r="M2245" s="977">
        <v>630</v>
      </c>
    </row>
    <row r="2246" spans="1:16" s="1086" customFormat="1" ht="25.15" hidden="1" customHeight="1">
      <c r="A2246" s="1156">
        <f t="shared" si="163"/>
        <v>0</v>
      </c>
      <c r="B2246" s="1327" t="s">
        <v>216</v>
      </c>
      <c r="C2246" s="1327"/>
      <c r="D2246" s="1081"/>
      <c r="E2246" s="1094">
        <f>VLOOKUP($B2246,DG!A:D,DG!$B$2,)</f>
        <v>0</v>
      </c>
      <c r="F2246" s="1095" t="str">
        <f>VLOOKUP($B2246,DG!A:D,DG!$C$2,)</f>
        <v>Đá 1x2</v>
      </c>
      <c r="G2246" s="1094" t="str">
        <f>VLOOKUP($B2246,DG!A:D,DG!$D$2,)</f>
        <v>m3</v>
      </c>
      <c r="H2246" s="1890">
        <f>H2247*O2247</f>
        <v>0</v>
      </c>
      <c r="I2246" s="1262">
        <f t="shared" si="164"/>
        <v>0</v>
      </c>
      <c r="J2246" s="1084"/>
      <c r="K2246" s="1084"/>
      <c r="L2246" s="1085"/>
      <c r="M2246" s="977">
        <v>630</v>
      </c>
    </row>
    <row r="2247" spans="1:16" s="1086" customFormat="1" ht="25.15" hidden="1" customHeight="1">
      <c r="A2247" s="1156">
        <f t="shared" si="163"/>
        <v>0</v>
      </c>
      <c r="B2247" s="1327" t="s">
        <v>654</v>
      </c>
      <c r="C2247" s="1327"/>
      <c r="D2247" s="1093"/>
      <c r="E2247" s="1094" t="str">
        <f>VLOOKUP($B2247,DG!A:D,DG!$B$2,)</f>
        <v>04.1203c</v>
      </c>
      <c r="F2247" s="1095" t="str">
        <f>VLOOKUP($B2247,DG!A:D,DG!$C$2,)</f>
        <v>Đổ bê tông móng trụ &lt;=250cm-M200 đá 1x2</v>
      </c>
      <c r="G2247" s="1094" t="str">
        <f>VLOOKUP($B2247,DG!A:D,DG!$D$2,)</f>
        <v>m3</v>
      </c>
      <c r="H2247" s="1873">
        <f>H2242*0.2*0.2*(0.2+0.2+0.8+0.8+2*4)</f>
        <v>0</v>
      </c>
      <c r="I2247" s="1262">
        <f t="shared" si="164"/>
        <v>0</v>
      </c>
      <c r="J2247" s="1084"/>
      <c r="K2247" s="1084"/>
      <c r="L2247" s="1085"/>
      <c r="M2247" s="977">
        <v>630</v>
      </c>
      <c r="N2247" s="1096">
        <f>1.025*0.45</f>
        <v>0.46124999999999999</v>
      </c>
      <c r="O2247" s="1096">
        <f>1.025*0.866</f>
        <v>0.88764999999999994</v>
      </c>
      <c r="P2247" s="1240"/>
    </row>
    <row r="2248" spans="1:16" s="1086" customFormat="1" ht="25.15" hidden="1" customHeight="1">
      <c r="A2248" s="1156">
        <f t="shared" si="163"/>
        <v>0</v>
      </c>
      <c r="B2248" s="1327"/>
      <c r="C2248" s="1327"/>
      <c r="D2248" s="1087">
        <f>IF(H2248&gt;0,D2242+1,D2242)</f>
        <v>0</v>
      </c>
      <c r="E2248" s="1088"/>
      <c r="F2248" s="1089" t="s">
        <v>3744</v>
      </c>
      <c r="G2248" s="1087" t="s">
        <v>2394</v>
      </c>
      <c r="H2248" s="1889">
        <f>H2139</f>
        <v>0</v>
      </c>
      <c r="I2248" s="1262">
        <f t="shared" si="164"/>
        <v>0</v>
      </c>
      <c r="J2248" s="1084"/>
      <c r="K2248" s="1084"/>
      <c r="L2248" s="1113"/>
      <c r="M2248" s="977">
        <v>630</v>
      </c>
    </row>
    <row r="2249" spans="1:16" s="1086" customFormat="1" ht="25.15" hidden="1" customHeight="1">
      <c r="A2249" s="1156">
        <f>IF(A2248&gt;0,1,0)</f>
        <v>0</v>
      </c>
      <c r="B2249" s="1327"/>
      <c r="C2249" s="1327"/>
      <c r="D2249" s="1081"/>
      <c r="E2249" s="1091"/>
      <c r="F2249" s="1370" t="s">
        <v>2287</v>
      </c>
      <c r="G2249" s="1093"/>
      <c r="H2249" s="1873"/>
      <c r="I2249" s="1262">
        <f t="shared" si="164"/>
        <v>0</v>
      </c>
      <c r="J2249" s="1084"/>
      <c r="K2249" s="1084"/>
      <c r="L2249" s="1113"/>
      <c r="M2249" s="977">
        <v>630</v>
      </c>
    </row>
    <row r="2250" spans="1:16" s="1086" customFormat="1" ht="25.15" hidden="1" customHeight="1">
      <c r="A2250" s="1156">
        <f t="shared" si="163"/>
        <v>0</v>
      </c>
      <c r="B2250" s="1359" t="s">
        <v>2055</v>
      </c>
      <c r="C2250" s="1359"/>
      <c r="D2250" s="1093"/>
      <c r="E2250" s="1094" t="str">
        <f>VLOOKUP($B2250,DG!A:D,DG!$B$2,)</f>
        <v>05.1002</v>
      </c>
      <c r="F2250" s="1095" t="str">
        <f>VLOOKUP($B2250,DG!A:D,DG!$C$2,)</f>
        <v>Vỏ tủ trạm giàn 2 ngăn + khóa tủ</v>
      </c>
      <c r="G2250" s="1094" t="str">
        <f>VLOOKUP($B2250,DG!A:D,DG!$D$2,)</f>
        <v>cái</v>
      </c>
      <c r="H2250" s="1873">
        <f>H2248</f>
        <v>0</v>
      </c>
      <c r="I2250" s="1262">
        <f t="shared" si="164"/>
        <v>0</v>
      </c>
      <c r="J2250" s="1084"/>
      <c r="K2250" s="1084"/>
      <c r="L2250" s="1113"/>
      <c r="M2250" s="977">
        <v>630</v>
      </c>
    </row>
    <row r="2251" spans="1:16" s="1086" customFormat="1" ht="25.15" hidden="1" customHeight="1">
      <c r="A2251" s="1156">
        <f t="shared" si="163"/>
        <v>0</v>
      </c>
      <c r="B2251" s="1359" t="s">
        <v>1233</v>
      </c>
      <c r="C2251" s="1359"/>
      <c r="D2251" s="1093"/>
      <c r="E2251" s="1094" t="str">
        <f>VLOOKUP($B2251,DG!A:D,DG!$B$2,)</f>
        <v>05.1102</v>
      </c>
      <c r="F2251" s="1095" t="str">
        <f>VLOOKUP($B2251,DG!A:D,DG!$C$2,)</f>
        <v>Khung đỡ tủ MCCB và tủ bù</v>
      </c>
      <c r="G2251" s="1094" t="str">
        <f>VLOOKUP($B2251,DG!A:D,DG!$D$2,)</f>
        <v>trọn bộ</v>
      </c>
      <c r="H2251" s="1873"/>
      <c r="I2251" s="1262">
        <f t="shared" si="164"/>
        <v>0</v>
      </c>
      <c r="J2251" s="1084"/>
      <c r="K2251" s="1084"/>
      <c r="L2251" s="1113"/>
      <c r="M2251" s="977">
        <v>630</v>
      </c>
    </row>
    <row r="2252" spans="1:16" s="1086" customFormat="1" ht="25.15" hidden="1" customHeight="1">
      <c r="A2252" s="1156">
        <f t="shared" si="163"/>
        <v>0</v>
      </c>
      <c r="B2252" s="1327" t="s">
        <v>1540</v>
      </c>
      <c r="C2252" s="1327"/>
      <c r="D2252" s="1081"/>
      <c r="E2252" s="1094">
        <f>VLOOKUP($B2252,DG!A:D,DG!$B$2,)</f>
        <v>0</v>
      </c>
      <c r="F2252" s="1095" t="str">
        <f>VLOOKUP($B2252,DG!A:D,DG!$C$2,)</f>
        <v>Giá nới + Thanh cái tủ CB</v>
      </c>
      <c r="G2252" s="1094" t="str">
        <f>VLOOKUP($B2252,DG!A:D,DG!$D$2,)</f>
        <v>bộ</v>
      </c>
      <c r="H2252" s="1890">
        <f>H2248*0</f>
        <v>0</v>
      </c>
      <c r="I2252" s="1262">
        <f t="shared" si="164"/>
        <v>0</v>
      </c>
      <c r="J2252" s="1084"/>
      <c r="K2252" s="1084"/>
      <c r="L2252" s="1113"/>
      <c r="M2252" s="977">
        <v>630</v>
      </c>
    </row>
    <row r="2253" spans="1:16" s="1086" customFormat="1" ht="25.15" hidden="1" customHeight="1">
      <c r="A2253" s="1156">
        <f t="shared" si="163"/>
        <v>0</v>
      </c>
      <c r="B2253" s="1327" t="s">
        <v>882</v>
      </c>
      <c r="C2253" s="1327"/>
      <c r="D2253" s="1081"/>
      <c r="E2253" s="1094">
        <f>VLOOKUP($B2253,DG!A:D,DG!$B$2,)</f>
        <v>0</v>
      </c>
      <c r="F2253" s="1095" t="str">
        <f>VLOOKUP($B2253,DG!A:D,DG!$C$2,)</f>
        <v xml:space="preserve">Bakelit 550x450 dầy 10mm </v>
      </c>
      <c r="G2253" s="1094" t="str">
        <f>VLOOKUP($B2253,DG!A:D,DG!$D$2,)</f>
        <v>cái</v>
      </c>
      <c r="H2253" s="1890">
        <f>H2248*1</f>
        <v>0</v>
      </c>
      <c r="I2253" s="1262">
        <f t="shared" si="164"/>
        <v>0</v>
      </c>
      <c r="J2253" s="1084"/>
      <c r="K2253" s="1084"/>
      <c r="L2253" s="1113"/>
      <c r="M2253" s="977">
        <v>630</v>
      </c>
    </row>
    <row r="2254" spans="1:16" s="1086" customFormat="1" ht="25.15" hidden="1" customHeight="1">
      <c r="A2254" s="1156">
        <f t="shared" si="163"/>
        <v>0</v>
      </c>
      <c r="B2254" s="1327" t="s">
        <v>289</v>
      </c>
      <c r="C2254" s="1327"/>
      <c r="D2254" s="1093"/>
      <c r="E2254" s="1094" t="str">
        <f>VLOOKUP($B2254,DG!A:D,DG!$B$2,)</f>
        <v>06.3191</v>
      </c>
      <c r="F2254" s="1095" t="str">
        <f>VLOOKUP($B2254,DG!A:D,DG!$C$2,)</f>
        <v>Bảng tên trạm, bảng báo nguy hiểm + đinh vít</v>
      </c>
      <c r="G2254" s="1094" t="str">
        <f>VLOOKUP($B2254,DG!A:D,DG!$D$2,)</f>
        <v>bộ</v>
      </c>
      <c r="H2254" s="1873">
        <f>H2248</f>
        <v>0</v>
      </c>
      <c r="I2254" s="1262">
        <f t="shared" si="164"/>
        <v>0</v>
      </c>
      <c r="J2254" s="1084"/>
      <c r="K2254" s="1084"/>
      <c r="L2254" s="1113"/>
      <c r="M2254" s="977">
        <v>630</v>
      </c>
    </row>
    <row r="2255" spans="1:16" s="1086" customFormat="1" ht="25.15" hidden="1" customHeight="1">
      <c r="A2255" s="1156">
        <f t="shared" si="163"/>
        <v>0</v>
      </c>
      <c r="B2255" s="1327"/>
      <c r="C2255" s="1327"/>
      <c r="D2255" s="1087">
        <f>IF(H2255&gt;0,D2248+1,D2248)</f>
        <v>0</v>
      </c>
      <c r="E2255" s="1088"/>
      <c r="F2255" s="1089" t="s">
        <v>3745</v>
      </c>
      <c r="G2255" s="1087" t="s">
        <v>2541</v>
      </c>
      <c r="H2255" s="1889">
        <f>H2139*0</f>
        <v>0</v>
      </c>
      <c r="I2255" s="1262">
        <f t="shared" si="164"/>
        <v>0</v>
      </c>
      <c r="J2255" s="1084"/>
      <c r="K2255" s="1084"/>
      <c r="L2255" s="1085"/>
      <c r="M2255" s="977">
        <v>630</v>
      </c>
    </row>
    <row r="2256" spans="1:16" s="1086" customFormat="1" ht="25.15" hidden="1" customHeight="1">
      <c r="A2256" s="1156">
        <f>IF(A2255&gt;0,1,0)</f>
        <v>0</v>
      </c>
      <c r="B2256" s="1327"/>
      <c r="C2256" s="1327"/>
      <c r="D2256" s="1081"/>
      <c r="E2256" s="1091"/>
      <c r="F2256" s="1370" t="s">
        <v>2287</v>
      </c>
      <c r="G2256" s="1093"/>
      <c r="H2256" s="1873"/>
      <c r="I2256" s="1262">
        <f t="shared" si="164"/>
        <v>0</v>
      </c>
      <c r="J2256" s="1084"/>
      <c r="K2256" s="1084"/>
      <c r="L2256" s="1085"/>
      <c r="M2256" s="977">
        <v>630</v>
      </c>
    </row>
    <row r="2257" spans="1:14" s="1086" customFormat="1" ht="25.15" hidden="1" customHeight="1">
      <c r="A2257" s="1156">
        <f t="shared" si="163"/>
        <v>0</v>
      </c>
      <c r="B2257" s="1327" t="s">
        <v>4447</v>
      </c>
      <c r="C2257" s="1327"/>
      <c r="D2257" s="1093"/>
      <c r="E2257" s="1094">
        <f>VLOOKUP($B2257,DG!A:D,DG!$B$2,)</f>
        <v>0</v>
      </c>
      <c r="F2257" s="1111" t="str">
        <f>VLOOKUP($B2257,DG!A:D,DG!$C$2,)&amp;": 0,315m3/m"</f>
        <v>Cát vàng: 0,315m3/m</v>
      </c>
      <c r="G2257" s="1094" t="str">
        <f>VLOOKUP($B2257,DG!A:D,DG!$D$2,)</f>
        <v>m3</v>
      </c>
      <c r="H2257" s="1873">
        <f>H2255*0.315</f>
        <v>0</v>
      </c>
      <c r="I2257" s="1262">
        <f t="shared" si="164"/>
        <v>0</v>
      </c>
      <c r="J2257" s="1084"/>
      <c r="K2257" s="1084"/>
      <c r="L2257" s="1085"/>
      <c r="M2257" s="977">
        <v>630</v>
      </c>
    </row>
    <row r="2258" spans="1:14" s="1086" customFormat="1" ht="25.15" hidden="1" customHeight="1">
      <c r="A2258" s="1156">
        <f t="shared" si="163"/>
        <v>0</v>
      </c>
      <c r="B2258" s="1329" t="s">
        <v>520</v>
      </c>
      <c r="C2258" s="1329"/>
      <c r="D2258" s="1093"/>
      <c r="E2258" s="1094">
        <f>VLOOKUP($B2258,DG!A:D,DG!$B$2,)</f>
        <v>0</v>
      </c>
      <c r="F2258" s="1111" t="str">
        <f>VLOOKUP($B2258,DG!A:D,DG!$C$2,)&amp;": 0,092m3/m"</f>
        <v>Đá 2x4: 0,092m3/m</v>
      </c>
      <c r="G2258" s="1094" t="str">
        <f>VLOOKUP($B2258,DG!A:D,DG!$D$2,)</f>
        <v>m3</v>
      </c>
      <c r="H2258" s="1873">
        <f>0.092*H2255</f>
        <v>0</v>
      </c>
      <c r="I2258" s="1262">
        <f t="shared" si="164"/>
        <v>0</v>
      </c>
      <c r="J2258" s="1084"/>
      <c r="K2258" s="1084"/>
      <c r="L2258" s="1085"/>
      <c r="M2258" s="977">
        <v>630</v>
      </c>
    </row>
    <row r="2259" spans="1:14" s="1086" customFormat="1" ht="25.15" hidden="1" customHeight="1">
      <c r="A2259" s="1156">
        <f t="shared" si="163"/>
        <v>0</v>
      </c>
      <c r="B2259" s="1329" t="s">
        <v>1681</v>
      </c>
      <c r="C2259" s="1329"/>
      <c r="D2259" s="1093"/>
      <c r="E2259" s="1094">
        <f>VLOOKUP($B2259,DG!A:D,DG!$B$2,)</f>
        <v>0</v>
      </c>
      <c r="F2259" s="1111" t="str">
        <f>VLOOKUP($B2259,DG!A:D,DG!$C$2,)&amp;": 3,3vieân/m"</f>
        <v>Gạch tàu: 3,3vieân/m</v>
      </c>
      <c r="G2259" s="1094" t="str">
        <f>VLOOKUP($B2259,DG!A:D,DG!$D$2,)</f>
        <v>viên</v>
      </c>
      <c r="H2259" s="1873">
        <f>3.3*H2255</f>
        <v>0</v>
      </c>
      <c r="I2259" s="1262">
        <f t="shared" si="164"/>
        <v>0</v>
      </c>
      <c r="J2259" s="1084"/>
      <c r="K2259" s="1084"/>
      <c r="L2259" s="1085"/>
      <c r="M2259" s="977">
        <v>630</v>
      </c>
    </row>
    <row r="2260" spans="1:14" s="1086" customFormat="1" ht="25.15" hidden="1" customHeight="1">
      <c r="A2260" s="1156">
        <f t="shared" si="163"/>
        <v>0</v>
      </c>
      <c r="B2260" s="1329" t="s">
        <v>1682</v>
      </c>
      <c r="C2260" s="1329"/>
      <c r="D2260" s="1093"/>
      <c r="E2260" s="1094">
        <f>VLOOKUP($B2260,DG!A:D,DG!$B$2,)</f>
        <v>0</v>
      </c>
      <c r="F2260" s="1111" t="str">
        <f>VLOOKUP($B2260,DG!A:D,DG!$C$2,)&amp;": 0,4m2/m"</f>
        <v>Tấm nilông màu cảnh báo: 0,4m2/m</v>
      </c>
      <c r="G2260" s="1094" t="str">
        <f>VLOOKUP($B2260,DG!A:D,DG!$D$2,)</f>
        <v>m2</v>
      </c>
      <c r="H2260" s="1873">
        <f>0.4*H2255</f>
        <v>0</v>
      </c>
      <c r="I2260" s="1262">
        <f t="shared" si="164"/>
        <v>0</v>
      </c>
      <c r="J2260" s="1084"/>
      <c r="K2260" s="1084"/>
      <c r="L2260" s="1085"/>
      <c r="M2260" s="977">
        <v>630</v>
      </c>
    </row>
    <row r="2261" spans="1:14" s="1086" customFormat="1" ht="25.15" hidden="1" customHeight="1">
      <c r="A2261" s="1156">
        <f t="shared" ref="A2261:A2324" si="165">IF(I2261&gt;0,1,0)</f>
        <v>0</v>
      </c>
      <c r="B2261" s="1329" t="s">
        <v>1523</v>
      </c>
      <c r="C2261" s="1329"/>
      <c r="D2261" s="1081"/>
      <c r="E2261" s="1094">
        <f>VLOOKUP($B2261,DG!A:D,DG!$B$2,)</f>
        <v>0</v>
      </c>
      <c r="F2261" s="1111" t="str">
        <f>VLOOKUP($B2261,DG!A:D,DG!$C$2,)</f>
        <v>Ống PVC D140x6,7mm</v>
      </c>
      <c r="G2261" s="1094" t="str">
        <f>VLOOKUP($B2261,DG!A:D,DG!$D$2,)</f>
        <v>m</v>
      </c>
      <c r="H2261" s="1873">
        <f>1*H2255</f>
        <v>0</v>
      </c>
      <c r="I2261" s="1262">
        <f t="shared" si="164"/>
        <v>0</v>
      </c>
      <c r="J2261" s="1084"/>
      <c r="K2261" s="1084"/>
      <c r="L2261" s="1085"/>
      <c r="M2261" s="977">
        <v>630</v>
      </c>
    </row>
    <row r="2262" spans="1:14" s="1086" customFormat="1" ht="25.15" hidden="1" customHeight="1">
      <c r="A2262" s="1156">
        <f t="shared" si="165"/>
        <v>0</v>
      </c>
      <c r="B2262" s="1329" t="s">
        <v>1684</v>
      </c>
      <c r="C2262" s="1329"/>
      <c r="D2262" s="1093"/>
      <c r="E2262" s="1094" t="str">
        <f>VLOOKUP($B2262,DG!A:D,DG!$B$2,)</f>
        <v>03.7000</v>
      </c>
      <c r="F2262" s="1111" t="str">
        <f>VLOOKUP($B2262,DG!A:D,DG!$C$2,)&amp;" + ñaép ñaù"</f>
        <v>Đắp cát  + ñaép ñaù</v>
      </c>
      <c r="G2262" s="1094" t="str">
        <f>VLOOKUP($B2262,DG!A:D,DG!$D$2,)</f>
        <v>m3</v>
      </c>
      <c r="H2262" s="1873">
        <f>H2257+H2258</f>
        <v>0</v>
      </c>
      <c r="I2262" s="1262">
        <f t="shared" si="164"/>
        <v>0</v>
      </c>
      <c r="J2262" s="1084"/>
      <c r="K2262" s="1084"/>
      <c r="L2262" s="1085"/>
      <c r="M2262" s="977">
        <v>630</v>
      </c>
    </row>
    <row r="2263" spans="1:14" s="1086" customFormat="1" ht="25.15" hidden="1" customHeight="1">
      <c r="A2263" s="1156">
        <f t="shared" si="165"/>
        <v>0</v>
      </c>
      <c r="B2263" s="1329" t="s">
        <v>144</v>
      </c>
      <c r="C2263" s="1329"/>
      <c r="D2263" s="1093"/>
      <c r="E2263" s="1094" t="str">
        <f>VLOOKUP($B2263,DG!A:D,DG!$B$2,)</f>
        <v>03.3103</v>
      </c>
      <c r="F2263" s="1111" t="str">
        <f>VLOOKUP($B2263,DG!A:D,DG!$C$2,)&amp;" : 0,48m3/m"</f>
        <v>Đào mương cáp ngầm đất cấp 3 : 0,48m3/m</v>
      </c>
      <c r="G2263" s="1094" t="str">
        <f>VLOOKUP($B2263,DG!A:D,DG!$D$2,)</f>
        <v>m3</v>
      </c>
      <c r="H2263" s="1873">
        <f>H2255*0.48</f>
        <v>0</v>
      </c>
      <c r="I2263" s="1262">
        <f t="shared" si="164"/>
        <v>0</v>
      </c>
      <c r="J2263" s="1084"/>
      <c r="K2263" s="1084"/>
      <c r="L2263" s="1085"/>
      <c r="M2263" s="977">
        <v>630</v>
      </c>
    </row>
    <row r="2264" spans="1:14" s="1086" customFormat="1" ht="25.15" hidden="1" customHeight="1">
      <c r="A2264" s="1156">
        <f t="shared" si="165"/>
        <v>0</v>
      </c>
      <c r="B2264" s="1329" t="s">
        <v>529</v>
      </c>
      <c r="C2264" s="1329"/>
      <c r="D2264" s="1093"/>
      <c r="E2264" s="1094" t="str">
        <f>VLOOKUP($B2264,DG!A:D,DG!$B$2,)</f>
        <v>03.3203</v>
      </c>
      <c r="F2264" s="1111" t="str">
        <f>VLOOKUP($B2264,DG!A:D,DG!$C$2,)&amp;" : 0,073m3/m"</f>
        <v>Đắp đất mương cáp ngầm, đất cấp 3 : 0,073m3/m</v>
      </c>
      <c r="G2264" s="1094" t="str">
        <f>VLOOKUP($B2264,DG!A:D,DG!$D$2,)</f>
        <v>m3</v>
      </c>
      <c r="H2264" s="1873">
        <f>H2255*0.073</f>
        <v>0</v>
      </c>
      <c r="I2264" s="1262">
        <f t="shared" si="164"/>
        <v>0</v>
      </c>
      <c r="J2264" s="1084"/>
      <c r="K2264" s="1084"/>
      <c r="L2264" s="1085"/>
      <c r="M2264" s="977">
        <v>630</v>
      </c>
      <c r="N2264" s="1136">
        <v>0.47499999999999998</v>
      </c>
    </row>
    <row r="2265" spans="1:14" s="1086" customFormat="1" ht="25.15" hidden="1" customHeight="1">
      <c r="A2265" s="1156">
        <f t="shared" si="165"/>
        <v>0</v>
      </c>
      <c r="B2265" s="1327"/>
      <c r="C2265" s="1327"/>
      <c r="D2265" s="1087">
        <f>IF(H2265&gt;0,D2255+1,D2255)</f>
        <v>0</v>
      </c>
      <c r="E2265" s="1088"/>
      <c r="F2265" s="1089" t="s">
        <v>3746</v>
      </c>
      <c r="G2265" s="1087" t="s">
        <v>2394</v>
      </c>
      <c r="H2265" s="1889">
        <f>H2274</f>
        <v>0</v>
      </c>
      <c r="I2265" s="1262">
        <f t="shared" si="164"/>
        <v>0</v>
      </c>
      <c r="J2265" s="1084"/>
      <c r="K2265" s="1084"/>
      <c r="L2265" s="1085"/>
      <c r="M2265" s="977">
        <v>630</v>
      </c>
      <c r="N2265" s="1136">
        <v>0.88100000000000001</v>
      </c>
    </row>
    <row r="2266" spans="1:14" s="1086" customFormat="1" ht="25.15" hidden="1" customHeight="1">
      <c r="A2266" s="1156">
        <f>IF(A2265&gt;0,1,0)</f>
        <v>0</v>
      </c>
      <c r="B2266" s="1327"/>
      <c r="C2266" s="1327"/>
      <c r="D2266" s="1081"/>
      <c r="E2266" s="1091"/>
      <c r="F2266" s="1370" t="s">
        <v>2287</v>
      </c>
      <c r="G2266" s="1093"/>
      <c r="H2266" s="1873"/>
      <c r="I2266" s="1262">
        <f t="shared" si="164"/>
        <v>0</v>
      </c>
      <c r="J2266" s="1084"/>
      <c r="K2266" s="1084"/>
      <c r="L2266" s="1085"/>
      <c r="M2266" s="977">
        <v>630</v>
      </c>
    </row>
    <row r="2267" spans="1:14" s="1086" customFormat="1" ht="25.15" hidden="1" customHeight="1">
      <c r="A2267" s="1156">
        <f t="shared" si="165"/>
        <v>0</v>
      </c>
      <c r="B2267" s="1327" t="s">
        <v>623</v>
      </c>
      <c r="C2267" s="1327"/>
      <c r="D2267" s="1093"/>
      <c r="E2267" s="1094" t="str">
        <f>VLOOKUP($B2267,DG!A:D,DG!$B$2,)</f>
        <v>07.2204</v>
      </c>
      <c r="F2267" s="1095" t="str">
        <f>VLOOKUP($B2267,DG!A:D,DG!$C$2,)</f>
        <v>ÔÁng sắt tráng kẽm D140</v>
      </c>
      <c r="G2267" s="1094" t="str">
        <f>VLOOKUP($B2267,DG!A:D,DG!$D$2,)</f>
        <v>mét</v>
      </c>
      <c r="H2267" s="1873">
        <f>H2265*5*0</f>
        <v>0</v>
      </c>
      <c r="I2267" s="1262">
        <f t="shared" si="164"/>
        <v>0</v>
      </c>
      <c r="J2267" s="1084"/>
      <c r="K2267" s="1084"/>
      <c r="L2267" s="1085"/>
      <c r="M2267" s="977">
        <v>630</v>
      </c>
    </row>
    <row r="2268" spans="1:14" s="1086" customFormat="1" ht="25.15" hidden="1" customHeight="1">
      <c r="A2268" s="1156">
        <f t="shared" si="165"/>
        <v>0</v>
      </c>
      <c r="B2268" s="1329" t="s">
        <v>473</v>
      </c>
      <c r="C2268" s="1329"/>
      <c r="D2268" s="1081"/>
      <c r="E2268" s="1094">
        <f>VLOOKUP($B2268,DG!A:D,DG!$B$2,)</f>
        <v>0</v>
      </c>
      <c r="F2268" s="1095" t="str">
        <f>VLOOKUP($B2268,DG!A:D,DG!$C$2,)</f>
        <v>Co sừng 90 độ PVC 140</v>
      </c>
      <c r="G2268" s="1094" t="str">
        <f>VLOOKUP($B2268,DG!A:D,DG!$D$2,)</f>
        <v>cái</v>
      </c>
      <c r="H2268" s="1873">
        <f>H2265*0</f>
        <v>0</v>
      </c>
      <c r="I2268" s="1262">
        <f t="shared" si="164"/>
        <v>0</v>
      </c>
      <c r="J2268" s="1084"/>
      <c r="K2268" s="1084"/>
      <c r="L2268" s="1085"/>
      <c r="M2268" s="977">
        <v>630</v>
      </c>
    </row>
    <row r="2269" spans="1:14" s="1086" customFormat="1" ht="25.15" hidden="1" customHeight="1">
      <c r="A2269" s="1156">
        <f t="shared" si="165"/>
        <v>0</v>
      </c>
      <c r="B2269" s="1327" t="s">
        <v>120</v>
      </c>
      <c r="C2269" s="1327"/>
      <c r="D2269" s="1093"/>
      <c r="E2269" s="1094" t="str">
        <f>VLOOKUP($B2269,DG!A:D,DG!$B$2,)</f>
        <v>06.3231</v>
      </c>
      <c r="F2269" s="1095" t="str">
        <f>VLOOKUP($B2269,DG!A:D,DG!$C$2,)</f>
        <v>Cổ dê giữ ống STK D140 vào tường+Boulon+long đền+tắc ke sắt</v>
      </c>
      <c r="G2269" s="1094" t="str">
        <f>VLOOKUP($B2269,DG!A:D,DG!$D$2,)</f>
        <v>bộ</v>
      </c>
      <c r="H2269" s="1873">
        <f>H2265*2*0</f>
        <v>0</v>
      </c>
      <c r="I2269" s="1262">
        <f t="shared" si="164"/>
        <v>0</v>
      </c>
      <c r="J2269" s="1084"/>
      <c r="K2269" s="1084"/>
      <c r="L2269" s="1085"/>
      <c r="M2269" s="977">
        <v>630</v>
      </c>
    </row>
    <row r="2270" spans="1:14" s="1086" customFormat="1" ht="25.15" hidden="1" customHeight="1">
      <c r="A2270" s="1156">
        <f t="shared" si="165"/>
        <v>0</v>
      </c>
      <c r="B2270" s="1157" t="s">
        <v>1414</v>
      </c>
      <c r="C2270" s="1157"/>
      <c r="D2270" s="1093"/>
      <c r="E2270" s="1094">
        <f>VLOOKUP($B2270,DG!A:D,DG!$B$2,)</f>
        <v>0</v>
      </c>
      <c r="F2270" s="1095" t="str">
        <f>VLOOKUP($B2270,DG!A:D,DG!$C$2,)</f>
        <v>Giá đỡ cáp ngầm (V63x6)</v>
      </c>
      <c r="G2270" s="1094" t="str">
        <f>VLOOKUP($B2270,DG!A:D,DG!$D$2,)</f>
        <v>bộ</v>
      </c>
      <c r="H2270" s="1873">
        <f>H2265*0</f>
        <v>0</v>
      </c>
      <c r="I2270" s="1262">
        <f t="shared" si="164"/>
        <v>0</v>
      </c>
      <c r="J2270" s="1084"/>
      <c r="K2270" s="1084"/>
      <c r="L2270" s="1085"/>
      <c r="M2270" s="977">
        <v>630</v>
      </c>
    </row>
    <row r="2271" spans="1:14" s="1086" customFormat="1" ht="25.15" hidden="1" customHeight="1">
      <c r="A2271" s="1156">
        <f t="shared" si="165"/>
        <v>0</v>
      </c>
      <c r="B2271" s="1157" t="s">
        <v>2146</v>
      </c>
      <c r="C2271" s="1157"/>
      <c r="D2271" s="1093"/>
      <c r="E2271" s="1094">
        <f>VLOOKUP($B2271,DG!A:D,DG!$B$2,)</f>
        <v>0</v>
      </c>
      <c r="F2271" s="1095" t="str">
        <f>VLOOKUP($B2271,DG!A:D,DG!$C$2,)</f>
        <v>Giá đỡ cáp trung hạ thế</v>
      </c>
      <c r="G2271" s="1094" t="str">
        <f>VLOOKUP($B2271,DG!A:D,DG!$D$2,)</f>
        <v>bộ</v>
      </c>
      <c r="H2271" s="1873">
        <f>H2265</f>
        <v>0</v>
      </c>
      <c r="I2271" s="1262">
        <f t="shared" si="164"/>
        <v>0</v>
      </c>
      <c r="J2271" s="1084"/>
      <c r="K2271" s="1084"/>
      <c r="L2271" s="1085"/>
      <c r="M2271" s="977">
        <v>630</v>
      </c>
    </row>
    <row r="2272" spans="1:14" s="1086" customFormat="1" ht="25.15" hidden="1" customHeight="1">
      <c r="A2272" s="1156">
        <f t="shared" si="165"/>
        <v>0</v>
      </c>
      <c r="B2272" s="1327" t="s">
        <v>1415</v>
      </c>
      <c r="C2272" s="1327"/>
      <c r="D2272" s="1081"/>
      <c r="E2272" s="1094" t="str">
        <f>VLOOKUP($B2272,DG!A:D,DG!$B$2,)</f>
        <v>05.6101</v>
      </c>
      <c r="F2272" s="1095" t="str">
        <f>VLOOKUP($B2272,DG!A:D,DG!$C$2,)</f>
        <v>Lắp Giá đỡ cáp</v>
      </c>
      <c r="G2272" s="1094" t="str">
        <f>VLOOKUP($B2272,DG!A:D,DG!$D$2,)</f>
        <v>bộ</v>
      </c>
      <c r="H2272" s="1873">
        <f>H2270+H2271</f>
        <v>0</v>
      </c>
      <c r="I2272" s="1262">
        <f t="shared" si="164"/>
        <v>0</v>
      </c>
      <c r="J2272" s="1084"/>
      <c r="K2272" s="1084"/>
      <c r="L2272" s="1085"/>
      <c r="M2272" s="977">
        <v>630</v>
      </c>
    </row>
    <row r="2273" spans="1:13" s="1086" customFormat="1" ht="25.15" hidden="1" customHeight="1">
      <c r="A2273" s="1156">
        <f t="shared" si="165"/>
        <v>0</v>
      </c>
      <c r="B2273" s="1327" t="s">
        <v>289</v>
      </c>
      <c r="C2273" s="1327"/>
      <c r="D2273" s="1093"/>
      <c r="E2273" s="1094" t="str">
        <f>VLOOKUP($B2273,DG!A:D,DG!$B$2,)</f>
        <v>06.3191</v>
      </c>
      <c r="F2273" s="1095" t="str">
        <f>VLOOKUP($B2273,DG!A:D,DG!$C$2,)</f>
        <v>Bảng tên trạm, bảng báo nguy hiểm + đinh vít</v>
      </c>
      <c r="G2273" s="1094" t="str">
        <f>VLOOKUP($B2273,DG!A:D,DG!$D$2,)</f>
        <v>bộ</v>
      </c>
      <c r="H2273" s="1873">
        <f>H2265*0</f>
        <v>0</v>
      </c>
      <c r="I2273" s="1262">
        <f t="shared" si="164"/>
        <v>0</v>
      </c>
      <c r="J2273" s="1084"/>
      <c r="K2273" s="1084"/>
      <c r="L2273" s="1085"/>
      <c r="M2273" s="977">
        <v>630</v>
      </c>
    </row>
    <row r="2274" spans="1:13" s="1086" customFormat="1" ht="25.15" hidden="1" customHeight="1">
      <c r="A2274" s="1156">
        <f t="shared" si="165"/>
        <v>0</v>
      </c>
      <c r="B2274" s="1327"/>
      <c r="C2274" s="1327"/>
      <c r="D2274" s="1087">
        <f>IF(H2274&gt;0,D2265+1,D2265)</f>
        <v>0</v>
      </c>
      <c r="E2274" s="1088"/>
      <c r="F2274" s="1097" t="s">
        <v>3761</v>
      </c>
      <c r="G2274" s="1087" t="s">
        <v>2394</v>
      </c>
      <c r="H2274" s="1889">
        <f>H2139*0</f>
        <v>0</v>
      </c>
      <c r="I2274" s="1262">
        <f t="shared" si="164"/>
        <v>0</v>
      </c>
      <c r="J2274" s="1084"/>
      <c r="K2274" s="1084"/>
      <c r="L2274" s="1085"/>
      <c r="M2274" s="977">
        <v>630</v>
      </c>
    </row>
    <row r="2275" spans="1:13" s="1086" customFormat="1" ht="25.15" hidden="1" customHeight="1">
      <c r="A2275" s="1156">
        <f>IF(A2274&gt;0,1,0)</f>
        <v>0</v>
      </c>
      <c r="B2275" s="1327"/>
      <c r="C2275" s="1327"/>
      <c r="D2275" s="1081"/>
      <c r="E2275" s="1091"/>
      <c r="F2275" s="1371" t="s">
        <v>2287</v>
      </c>
      <c r="G2275" s="1081"/>
      <c r="H2275" s="1890"/>
      <c r="I2275" s="1262">
        <f t="shared" si="164"/>
        <v>0</v>
      </c>
      <c r="J2275" s="1084"/>
      <c r="K2275" s="1084"/>
      <c r="L2275" s="1085"/>
      <c r="M2275" s="977">
        <v>630</v>
      </c>
    </row>
    <row r="2276" spans="1:13" s="1086" customFormat="1" ht="25.15" hidden="1" customHeight="1">
      <c r="A2276" s="1156">
        <f t="shared" si="165"/>
        <v>0</v>
      </c>
      <c r="B2276" s="1157" t="s">
        <v>470</v>
      </c>
      <c r="C2276" s="1157"/>
      <c r="D2276" s="1093"/>
      <c r="E2276" s="1082">
        <f>VLOOKUP($B2276,DG!A:D,DG!$B$2,)</f>
        <v>0</v>
      </c>
      <c r="F2276" s="1083" t="str">
        <f>VLOOKUP($B2276,DG!A:D,DG!$C$2,)&amp;": trong möông vaø leân MBA"</f>
        <v>Cáp 24kV C/XLPE/DSTA/PVC3x50: trong möông vaø leân MBA</v>
      </c>
      <c r="G2276" s="1082" t="str">
        <f>VLOOKUP($B2276,DG!A:D,DG!$D$2,)</f>
        <v>mét</v>
      </c>
      <c r="H2276" s="1873">
        <f>H2255+H2274*8</f>
        <v>0</v>
      </c>
      <c r="I2276" s="1262">
        <f t="shared" si="164"/>
        <v>0</v>
      </c>
      <c r="J2276" s="1084"/>
      <c r="K2276" s="1084"/>
      <c r="L2276" s="1085"/>
      <c r="M2276" s="977">
        <v>630</v>
      </c>
    </row>
    <row r="2277" spans="1:13" s="1086" customFormat="1" ht="25.15" hidden="1" customHeight="1">
      <c r="A2277" s="1156">
        <f t="shared" si="165"/>
        <v>0</v>
      </c>
      <c r="B2277" s="1157" t="s">
        <v>271</v>
      </c>
      <c r="C2277" s="1157"/>
      <c r="D2277" s="1093"/>
      <c r="E2277" s="1082">
        <f>VLOOKUP($B2277,DG!A:D,DG!$B$2,)</f>
        <v>0</v>
      </c>
      <c r="F2277" s="1083" t="str">
        <f>VLOOKUP($B2277,DG!A:D,DG!$C$2,)&amp;": trung tính"</f>
        <v>Cáp 24KV C/XLPE/PVC 50mm2: trung tính</v>
      </c>
      <c r="G2277" s="1082" t="str">
        <f>VLOOKUP($B2277,DG!A:D,DG!$D$2,)</f>
        <v>mét</v>
      </c>
      <c r="H2277" s="1873">
        <f>H2276</f>
        <v>0</v>
      </c>
      <c r="I2277" s="1262">
        <f t="shared" si="164"/>
        <v>0</v>
      </c>
      <c r="J2277" s="1084"/>
      <c r="K2277" s="1084"/>
      <c r="L2277" s="1085"/>
      <c r="M2277" s="977">
        <v>630</v>
      </c>
    </row>
    <row r="2278" spans="1:13" s="1086" customFormat="1" ht="25.15" hidden="1" customHeight="1">
      <c r="A2278" s="1156">
        <f t="shared" si="165"/>
        <v>0</v>
      </c>
      <c r="B2278" s="1157" t="s">
        <v>271</v>
      </c>
      <c r="C2278" s="1157"/>
      <c r="D2278" s="1093"/>
      <c r="E2278" s="1082">
        <f>VLOOKUP($B2278,DG!A:D,DG!$B$2,)</f>
        <v>0</v>
      </c>
      <c r="F2278" s="1083" t="str">
        <f>VLOOKUP($B2278,DG!A:D,DG!$C$2,)&amp;": 0,5m/pha töø FCO xuoáng MBA"</f>
        <v>Cáp 24KV C/XLPE/PVC 50mm2: 0,5m/pha töø FCO xuoáng MBA</v>
      </c>
      <c r="G2278" s="1082" t="str">
        <f>VLOOKUP($B2278,DG!A:D,DG!$D$2,)</f>
        <v>mét</v>
      </c>
      <c r="H2278" s="1873">
        <f>H2274*0.5*3*0</f>
        <v>0</v>
      </c>
      <c r="I2278" s="1262">
        <f t="shared" si="164"/>
        <v>0</v>
      </c>
      <c r="J2278" s="1084"/>
      <c r="K2278" s="1084"/>
      <c r="L2278" s="1085"/>
      <c r="M2278" s="977">
        <v>630</v>
      </c>
    </row>
    <row r="2279" spans="1:13" s="1086" customFormat="1" ht="25.15" hidden="1" customHeight="1">
      <c r="A2279" s="1156">
        <f t="shared" si="165"/>
        <v>0</v>
      </c>
      <c r="B2279" s="1157" t="s">
        <v>1357</v>
      </c>
      <c r="C2279" s="1157"/>
      <c r="D2279" s="1093"/>
      <c r="E2279" s="1082">
        <f>VLOOKUP($B2279,DG!A:D,DG!$B$2,)</f>
        <v>0</v>
      </c>
      <c r="F2279" s="1083" t="str">
        <f>VLOOKUP($B2279,DG!A:D,DG!$C$2,)</f>
        <v>Đầu cáp ngầm 24KV 3x50mm2 outdoor</v>
      </c>
      <c r="G2279" s="1082" t="str">
        <f>VLOOKUP($B2279,DG!A:D,DG!$D$2,)</f>
        <v>cái</v>
      </c>
      <c r="H2279" s="1873">
        <f>H2274</f>
        <v>0</v>
      </c>
      <c r="I2279" s="1262">
        <f t="shared" si="164"/>
        <v>0</v>
      </c>
      <c r="J2279" s="1084"/>
      <c r="K2279" s="1084"/>
      <c r="L2279" s="1085"/>
      <c r="M2279" s="977">
        <v>630</v>
      </c>
    </row>
    <row r="2280" spans="1:13" s="1086" customFormat="1" ht="25.15" hidden="1" customHeight="1">
      <c r="A2280" s="1156">
        <f t="shared" si="165"/>
        <v>0</v>
      </c>
      <c r="B2280" s="1157" t="s">
        <v>470</v>
      </c>
      <c r="C2280" s="1157"/>
      <c r="D2280" s="1093"/>
      <c r="E2280" s="1082">
        <f>VLOOKUP($B2280,DG!A:D,DG!$B$2,)</f>
        <v>0</v>
      </c>
      <c r="F2280" s="1083" t="str">
        <f>VLOOKUP($B2280,DG!A:D,DG!$C$2,)&amp;": töø tuû LBS ñeán MBA"</f>
        <v>Cáp 24kV C/XLPE/DSTA/PVC3x50: töø tuû LBS ñeán MBA</v>
      </c>
      <c r="G2280" s="1082" t="str">
        <f>VLOOKUP($B2280,DG!A:D,DG!$D$2,)</f>
        <v>mét</v>
      </c>
      <c r="H2280" s="1873">
        <f>(1.2+2.4)*H2274*0</f>
        <v>0</v>
      </c>
      <c r="I2280" s="1262">
        <f t="shared" si="164"/>
        <v>0</v>
      </c>
      <c r="J2280" s="1084"/>
      <c r="K2280" s="1084"/>
      <c r="L2280" s="1085"/>
      <c r="M2280" s="977">
        <v>630</v>
      </c>
    </row>
    <row r="2281" spans="1:13" s="1086" customFormat="1" ht="25.15" hidden="1" customHeight="1">
      <c r="A2281" s="1156">
        <f t="shared" si="165"/>
        <v>0</v>
      </c>
      <c r="B2281" s="1157" t="s">
        <v>271</v>
      </c>
      <c r="C2281" s="1157"/>
      <c r="D2281" s="1093"/>
      <c r="E2281" s="1082">
        <f>VLOOKUP($B2281,DG!A:D,DG!$B$2,)</f>
        <v>0</v>
      </c>
      <c r="F2281" s="1083" t="str">
        <f>VLOOKUP($B2281,DG!A:D,DG!$C$2,)&amp;": töø tuû LBS ñeán MBA"</f>
        <v>Cáp 24KV C/XLPE/PVC 50mm2: töø tuû LBS ñeán MBA</v>
      </c>
      <c r="G2281" s="1082" t="str">
        <f>VLOOKUP($B2281,DG!A:D,DG!$D$2,)</f>
        <v>mét</v>
      </c>
      <c r="H2281" s="1873">
        <f>H2274*1.2*0</f>
        <v>0</v>
      </c>
      <c r="I2281" s="1262">
        <f t="shared" si="164"/>
        <v>0</v>
      </c>
      <c r="J2281" s="1084"/>
      <c r="K2281" s="1084"/>
      <c r="L2281" s="1085"/>
      <c r="M2281" s="977">
        <v>630</v>
      </c>
    </row>
    <row r="2282" spans="1:13" s="1086" customFormat="1" ht="25.15" hidden="1" customHeight="1">
      <c r="A2282" s="1156">
        <f t="shared" si="165"/>
        <v>0</v>
      </c>
      <c r="B2282" s="1157" t="s">
        <v>1358</v>
      </c>
      <c r="C2282" s="1157"/>
      <c r="D2282" s="1093"/>
      <c r="E2282" s="1082">
        <f>VLOOKUP($B2282,DG!A:D,DG!$B$2,)</f>
        <v>0</v>
      </c>
      <c r="F2282" s="1083" t="str">
        <f>VLOOKUP($B2282,DG!A:D,DG!$C$2,)</f>
        <v>Đầu cáp ngầm 24KV 3x50mm2 indoor</v>
      </c>
      <c r="G2282" s="1082" t="str">
        <f>VLOOKUP($B2282,DG!A:D,DG!$D$2,)</f>
        <v>cái</v>
      </c>
      <c r="H2282" s="1873">
        <f>H2274</f>
        <v>0</v>
      </c>
      <c r="I2282" s="1262">
        <f t="shared" si="164"/>
        <v>0</v>
      </c>
      <c r="J2282" s="1084"/>
      <c r="K2282" s="1084"/>
      <c r="L2282" s="1085"/>
      <c r="M2282" s="977">
        <v>630</v>
      </c>
    </row>
    <row r="2283" spans="1:13" s="1086" customFormat="1" ht="25.15" hidden="1" customHeight="1">
      <c r="A2283" s="1156">
        <f t="shared" si="165"/>
        <v>0</v>
      </c>
      <c r="B2283" s="1157" t="s">
        <v>1680</v>
      </c>
      <c r="C2283" s="1157"/>
      <c r="D2283" s="1093"/>
      <c r="E2283" s="1082" t="str">
        <f>VLOOKUP($B2283,DG!A:D,DG!$B$2,)</f>
        <v>07.4312</v>
      </c>
      <c r="F2283" s="1083" t="str">
        <f>VLOOKUP($B2283,DG!A:D,DG!$C$2,)</f>
        <v>Lắp đầu cáp trung thế 3x50mm2, 70mm2</v>
      </c>
      <c r="G2283" s="1082" t="str">
        <f>VLOOKUP($B2283,DG!A:D,DG!$D$2,)</f>
        <v>cái</v>
      </c>
      <c r="H2283" s="1873">
        <f>H2279+H2282</f>
        <v>0</v>
      </c>
      <c r="I2283" s="1262">
        <f t="shared" si="164"/>
        <v>0</v>
      </c>
      <c r="J2283" s="1084"/>
      <c r="K2283" s="1084"/>
      <c r="L2283" s="1085"/>
      <c r="M2283" s="977">
        <v>630</v>
      </c>
    </row>
    <row r="2284" spans="1:13" s="1086" customFormat="1" ht="25.15" hidden="1" customHeight="1">
      <c r="A2284" s="1156">
        <f t="shared" si="165"/>
        <v>0</v>
      </c>
      <c r="B2284" s="1157" t="s">
        <v>1206</v>
      </c>
      <c r="C2284" s="1157"/>
      <c r="D2284" s="1093"/>
      <c r="E2284" s="1082" t="str">
        <f>VLOOKUP($B2284,DG!A:D,DG!$B$2,)</f>
        <v>03.1405</v>
      </c>
      <c r="F2284" s="1083" t="str">
        <f>VLOOKUP($B2284,DG!A:D,DG!$C$2,)</f>
        <v>Lắp cáp trong ống bảo vệ trong TBA loại &lt;=6kg</v>
      </c>
      <c r="G2284" s="1082" t="str">
        <f>VLOOKUP($B2284,DG!A:D,DG!$D$2,)</f>
        <v>mét</v>
      </c>
      <c r="H2284" s="1873">
        <f>H2276+H2280</f>
        <v>0</v>
      </c>
      <c r="I2284" s="1262">
        <f t="shared" si="164"/>
        <v>0</v>
      </c>
      <c r="J2284" s="1084"/>
      <c r="K2284" s="1084"/>
      <c r="L2284" s="1085"/>
      <c r="M2284" s="977">
        <v>630</v>
      </c>
    </row>
    <row r="2285" spans="1:13" s="1086" customFormat="1" ht="25.15" hidden="1" customHeight="1">
      <c r="A2285" s="1156">
        <f t="shared" si="165"/>
        <v>0</v>
      </c>
      <c r="B2285" s="1157" t="s">
        <v>1203</v>
      </c>
      <c r="C2285" s="1157"/>
      <c r="D2285" s="1093"/>
      <c r="E2285" s="1082" t="str">
        <f>VLOOKUP($B2285,DG!A:D,DG!$B$2,)</f>
        <v>03.1402</v>
      </c>
      <c r="F2285" s="1083" t="str">
        <f>VLOOKUP($B2285,DG!A:D,DG!$C$2,)</f>
        <v>Lắp cáp trong ống bảo vệ trong TBA loại &lt;=2kg</v>
      </c>
      <c r="G2285" s="1082" t="str">
        <f>VLOOKUP($B2285,DG!A:D,DG!$D$2,)</f>
        <v>mét</v>
      </c>
      <c r="H2285" s="1873">
        <f>H2277+H2281</f>
        <v>0</v>
      </c>
      <c r="I2285" s="1262">
        <f t="shared" si="164"/>
        <v>0</v>
      </c>
      <c r="J2285" s="1084"/>
      <c r="K2285" s="1084"/>
      <c r="L2285" s="1085"/>
      <c r="M2285" s="977">
        <v>630</v>
      </c>
    </row>
    <row r="2286" spans="1:13" s="1086" customFormat="1" ht="25.15" hidden="1" customHeight="1">
      <c r="A2286" s="1156">
        <f t="shared" si="165"/>
        <v>0</v>
      </c>
      <c r="B2286" s="1157" t="s">
        <v>1530</v>
      </c>
      <c r="C2286" s="1157"/>
      <c r="D2286" s="1093"/>
      <c r="E2286" s="1082" t="str">
        <f>VLOOKUP($B2286,DG!A:D,DG!$B$2,)</f>
        <v>04.4201</v>
      </c>
      <c r="F2286" s="1083" t="str">
        <f>VLOOKUP($B2286,DG!A:D,DG!$C$2,)</f>
        <v>Lắp cáp đồng xuống thiết bị D ≤ 95mm2</v>
      </c>
      <c r="G2286" s="1082" t="str">
        <f>VLOOKUP($B2286,DG!A:D,DG!$D$2,)</f>
        <v>m</v>
      </c>
      <c r="H2286" s="1873">
        <f>H2278</f>
        <v>0</v>
      </c>
      <c r="I2286" s="1262">
        <f t="shared" si="164"/>
        <v>0</v>
      </c>
      <c r="J2286" s="1084"/>
      <c r="K2286" s="1084"/>
      <c r="L2286" s="1085"/>
      <c r="M2286" s="977">
        <v>630</v>
      </c>
    </row>
    <row r="2287" spans="1:13" s="1086" customFormat="1" ht="25.15" hidden="1" customHeight="1">
      <c r="A2287" s="1156">
        <f t="shared" si="165"/>
        <v>0</v>
      </c>
      <c r="B2287" s="1157" t="s">
        <v>1354</v>
      </c>
      <c r="C2287" s="1157"/>
      <c r="D2287" s="1093"/>
      <c r="E2287" s="1082">
        <f>VLOOKUP($B2287,DG!A:D,DG!$B$2,)</f>
        <v>0</v>
      </c>
      <c r="F2287" s="1083" t="str">
        <f>VLOOKUP($B2287,DG!A:D,DG!$C$2,)</f>
        <v>Dây rút cáp</v>
      </c>
      <c r="G2287" s="1082" t="str">
        <f>VLOOKUP($B2287,DG!A:D,DG!$D$2,)</f>
        <v>bọc</v>
      </c>
      <c r="H2287" s="1873">
        <f>H2274*2</f>
        <v>0</v>
      </c>
      <c r="I2287" s="1262">
        <f t="shared" si="164"/>
        <v>0</v>
      </c>
      <c r="J2287" s="1084"/>
      <c r="K2287" s="1084"/>
      <c r="L2287" s="1085"/>
      <c r="M2287" s="977">
        <v>630</v>
      </c>
    </row>
    <row r="2288" spans="1:13" s="1086" customFormat="1" ht="25.15" hidden="1" customHeight="1">
      <c r="A2288" s="1156">
        <f t="shared" si="165"/>
        <v>0</v>
      </c>
      <c r="B2288" s="1327"/>
      <c r="C2288" s="1327"/>
      <c r="D2288" s="1087">
        <f>IF(H2288&gt;0,D2274+1,D2274)</f>
        <v>0</v>
      </c>
      <c r="E2288" s="1088"/>
      <c r="F2288" s="1097" t="s">
        <v>3765</v>
      </c>
      <c r="G2288" s="1087" t="s">
        <v>2394</v>
      </c>
      <c r="H2288" s="1889">
        <f>H2139</f>
        <v>0</v>
      </c>
      <c r="I2288" s="1262">
        <f t="shared" si="164"/>
        <v>0</v>
      </c>
      <c r="J2288" s="1084"/>
      <c r="K2288" s="1084"/>
      <c r="L2288" s="1113"/>
      <c r="M2288" s="977">
        <v>630</v>
      </c>
    </row>
    <row r="2289" spans="1:13" s="1086" customFormat="1" ht="25.15" hidden="1" customHeight="1">
      <c r="A2289" s="1156">
        <f>IF(A2288&gt;0,1,0)</f>
        <v>0</v>
      </c>
      <c r="B2289" s="1327"/>
      <c r="C2289" s="1327"/>
      <c r="D2289" s="1081"/>
      <c r="E2289" s="1091"/>
      <c r="F2289" s="1371" t="s">
        <v>2287</v>
      </c>
      <c r="G2289" s="1081"/>
      <c r="H2289" s="1890"/>
      <c r="I2289" s="1262">
        <f t="shared" si="164"/>
        <v>0</v>
      </c>
      <c r="J2289" s="1084"/>
      <c r="K2289" s="1084"/>
      <c r="L2289" s="1113"/>
      <c r="M2289" s="977">
        <v>630</v>
      </c>
    </row>
    <row r="2290" spans="1:13" s="1086" customFormat="1" ht="25.15" hidden="1" customHeight="1">
      <c r="A2290" s="1156">
        <f t="shared" si="165"/>
        <v>0</v>
      </c>
      <c r="B2290" s="1157" t="s">
        <v>699</v>
      </c>
      <c r="C2290" s="1157"/>
      <c r="D2290" s="1093"/>
      <c r="E2290" s="1082">
        <f>VLOOKUP($B2290,DG!A:D,DG!$B$2,)</f>
        <v>0</v>
      </c>
      <c r="F2290" s="1083" t="str">
        <f>VLOOKUP($B2290,DG!A:D,DG!$C$2,)&amp;": 9m/1pha"</f>
        <v>Cáp 24KV CX-25mm2: 9m/1pha</v>
      </c>
      <c r="G2290" s="1082" t="str">
        <f>VLOOKUP($B2290,DG!A:D,DG!$D$2,)</f>
        <v>mét</v>
      </c>
      <c r="H2290" s="1873">
        <f>H2288*(9)*3</f>
        <v>0</v>
      </c>
      <c r="I2290" s="1262">
        <f t="shared" si="164"/>
        <v>0</v>
      </c>
      <c r="J2290" s="1084"/>
      <c r="K2290" s="1084"/>
      <c r="L2290" s="1113"/>
      <c r="M2290" s="977">
        <v>630</v>
      </c>
    </row>
    <row r="2291" spans="1:13" s="1086" customFormat="1" ht="25.15" hidden="1" customHeight="1">
      <c r="A2291" s="1156">
        <f t="shared" si="165"/>
        <v>0</v>
      </c>
      <c r="B2291" s="1157" t="s">
        <v>699</v>
      </c>
      <c r="C2291" s="1157"/>
      <c r="D2291" s="1093"/>
      <c r="E2291" s="1082">
        <f>VLOOKUP($B2291,DG!A:D,DG!$B$2,)</f>
        <v>0</v>
      </c>
      <c r="F2291" s="1083" t="str">
        <f>VLOOKUP($B2291,DG!A:D,DG!$C$2,)&amp;": 1m/1pha ñaáu noái  LA"</f>
        <v>Cáp 24KV CX-25mm2: 1m/1pha ñaáu noái  LA</v>
      </c>
      <c r="G2291" s="1082" t="str">
        <f>VLOOKUP($B2291,DG!A:D,DG!$D$2,)</f>
        <v>mét</v>
      </c>
      <c r="H2291" s="1911">
        <f>H2288*3*1</f>
        <v>0</v>
      </c>
      <c r="I2291" s="1262">
        <f t="shared" ref="I2291:I2354" si="166">IF(M2291=$M$23,H2291+J2291-K2291,0)</f>
        <v>0</v>
      </c>
      <c r="J2291" s="1084"/>
      <c r="K2291" s="1084"/>
      <c r="L2291" s="1113"/>
      <c r="M2291" s="977">
        <v>630</v>
      </c>
    </row>
    <row r="2292" spans="1:13" s="1086" customFormat="1" ht="25.15" hidden="1" customHeight="1">
      <c r="A2292" s="1156">
        <f t="shared" si="165"/>
        <v>0</v>
      </c>
      <c r="B2292" s="1157" t="s">
        <v>1117</v>
      </c>
      <c r="C2292" s="1157"/>
      <c r="D2292" s="1093"/>
      <c r="E2292" s="1082">
        <f>VLOOKUP($B2292,DG!A:D,DG!$B$2,)</f>
        <v>0</v>
      </c>
      <c r="F2292" s="1083" t="str">
        <f>VLOOKUP($B2292,DG!A:D,DG!$C$2,)</f>
        <v>Kẹp ép cỡ dây 25mm2</v>
      </c>
      <c r="G2292" s="1082" t="str">
        <f>VLOOKUP($B2292,DG!A:D,DG!$D$2,)</f>
        <v>cái</v>
      </c>
      <c r="H2292" s="1911">
        <f>H2288*3*2</f>
        <v>0</v>
      </c>
      <c r="I2292" s="1262">
        <f t="shared" si="166"/>
        <v>0</v>
      </c>
      <c r="J2292" s="1084"/>
      <c r="K2292" s="1084"/>
      <c r="L2292" s="1085"/>
      <c r="M2292" s="977">
        <v>630</v>
      </c>
    </row>
    <row r="2293" spans="1:13" s="1086" customFormat="1" ht="25.15" hidden="1" customHeight="1">
      <c r="A2293" s="1156">
        <f t="shared" si="165"/>
        <v>0</v>
      </c>
      <c r="B2293" s="1157" t="s">
        <v>550</v>
      </c>
      <c r="C2293" s="1157"/>
      <c r="D2293" s="1093"/>
      <c r="E2293" s="1082">
        <f>VLOOKUP($B2293,DG!A:D,DG!$B$2,)</f>
        <v>0</v>
      </c>
      <c r="F2293" s="1083" t="str">
        <f>VLOOKUP($B2293,DG!A:D,DG!$C$2,)&amp;" + LA"</f>
        <v>Bass LI bắt FCO + LA</v>
      </c>
      <c r="G2293" s="1082" t="str">
        <f>VLOOKUP($B2293,DG!A:D,DG!$D$2,)</f>
        <v>Bộ</v>
      </c>
      <c r="H2293" s="1911">
        <f>H2288*3*2</f>
        <v>0</v>
      </c>
      <c r="I2293" s="1262">
        <f t="shared" si="166"/>
        <v>0</v>
      </c>
      <c r="J2293" s="1084"/>
      <c r="K2293" s="1084"/>
      <c r="L2293" s="1085"/>
      <c r="M2293" s="977">
        <v>630</v>
      </c>
    </row>
    <row r="2294" spans="1:13" s="1086" customFormat="1" ht="25.15" hidden="1" customHeight="1">
      <c r="A2294" s="1156">
        <f t="shared" si="165"/>
        <v>0</v>
      </c>
      <c r="B2294" s="1157" t="s">
        <v>1484</v>
      </c>
      <c r="C2294" s="1157"/>
      <c r="D2294" s="1093"/>
      <c r="E2294" s="1082" t="str">
        <f>VLOOKUP($B2294,DG!A:D,DG!$B$2,)</f>
        <v>04.3007</v>
      </c>
      <c r="F2294" s="1083" t="str">
        <f>VLOOKUP($B2294,DG!A:D,DG!$C$2,)</f>
        <v>Kẹp quai 2/0</v>
      </c>
      <c r="G2294" s="1082" t="str">
        <f>VLOOKUP($B2294,DG!A:D,DG!$D$2,)</f>
        <v>cái</v>
      </c>
      <c r="H2294" s="1911">
        <f>H2288*3</f>
        <v>0</v>
      </c>
      <c r="I2294" s="1262">
        <f t="shared" si="166"/>
        <v>0</v>
      </c>
      <c r="J2294" s="1084"/>
      <c r="K2294" s="1084"/>
      <c r="L2294" s="1113"/>
      <c r="M2294" s="977">
        <v>630</v>
      </c>
    </row>
    <row r="2295" spans="1:13" s="1086" customFormat="1" ht="25.15" hidden="1" customHeight="1">
      <c r="A2295" s="1156">
        <f t="shared" si="165"/>
        <v>0</v>
      </c>
      <c r="B2295" s="1157" t="s">
        <v>1482</v>
      </c>
      <c r="C2295" s="1157"/>
      <c r="D2295" s="1093"/>
      <c r="E2295" s="1082" t="str">
        <f>VLOOKUP($B2295,DG!A:D,DG!$B$2,)</f>
        <v>04.3007</v>
      </c>
      <c r="F2295" s="1083" t="str">
        <f>VLOOKUP($B2295,DG!A:D,DG!$C$2,)&amp;": "</f>
        <v xml:space="preserve">Kẹp hotline 2/0: </v>
      </c>
      <c r="G2295" s="1082" t="str">
        <f>VLOOKUP($B2295,DG!A:D,DG!$D$2,)</f>
        <v>cái</v>
      </c>
      <c r="H2295" s="1873">
        <f>H2294</f>
        <v>0</v>
      </c>
      <c r="I2295" s="1262">
        <f t="shared" si="166"/>
        <v>0</v>
      </c>
      <c r="J2295" s="1084"/>
      <c r="K2295" s="1084"/>
      <c r="L2295" s="1113"/>
      <c r="M2295" s="977">
        <v>630</v>
      </c>
    </row>
    <row r="2296" spans="1:13" s="1086" customFormat="1" ht="25.15" hidden="1" customHeight="1">
      <c r="A2296" s="1156">
        <f t="shared" si="165"/>
        <v>0</v>
      </c>
      <c r="B2296" s="1157" t="s">
        <v>698</v>
      </c>
      <c r="C2296" s="1157"/>
      <c r="D2296" s="1113"/>
      <c r="E2296" s="1082">
        <f>VLOOKUP($B2296,DG!A:D,DG!$B$2,)</f>
        <v>0</v>
      </c>
      <c r="F2296" s="1083" t="str">
        <f>VLOOKUP($B2296,DG!A:D,DG!$C$2,)</f>
        <v xml:space="preserve">Sứ đứng 24KV </v>
      </c>
      <c r="G2296" s="1082" t="str">
        <f>VLOOKUP($B2296,DG!A:D,DG!$D$2,)</f>
        <v>cái</v>
      </c>
      <c r="H2296" s="1873">
        <f>H2288*9</f>
        <v>0</v>
      </c>
      <c r="I2296" s="1262">
        <f t="shared" si="166"/>
        <v>0</v>
      </c>
      <c r="J2296" s="1084"/>
      <c r="K2296" s="1084"/>
      <c r="L2296" s="1113"/>
      <c r="M2296" s="977">
        <v>630</v>
      </c>
    </row>
    <row r="2297" spans="1:13" s="1086" customFormat="1" ht="25.15" hidden="1" customHeight="1">
      <c r="A2297" s="1156">
        <f t="shared" si="165"/>
        <v>0</v>
      </c>
      <c r="B2297" s="1157" t="s">
        <v>1270</v>
      </c>
      <c r="C2297" s="1157"/>
      <c r="D2297" s="1093"/>
      <c r="E2297" s="1082">
        <f>VLOOKUP($B2297,DG!A:D,DG!$B$2,)</f>
        <v>0</v>
      </c>
      <c r="F2297" s="1083" t="str">
        <f>VLOOKUP($B2297,DG!A:D,DG!$C$2,)</f>
        <v>Chân sứ đứng D20</v>
      </c>
      <c r="G2297" s="1082" t="str">
        <f>VLOOKUP($B2297,DG!A:D,DG!$D$2,)</f>
        <v>cái</v>
      </c>
      <c r="H2297" s="1873">
        <f>H2296</f>
        <v>0</v>
      </c>
      <c r="I2297" s="1262">
        <f t="shared" si="166"/>
        <v>0</v>
      </c>
      <c r="J2297" s="1084"/>
      <c r="K2297" s="1084"/>
      <c r="L2297" s="1113"/>
      <c r="M2297" s="977">
        <v>630</v>
      </c>
    </row>
    <row r="2298" spans="1:13" s="1086" customFormat="1" ht="25.15" hidden="1" customHeight="1">
      <c r="A2298" s="1156">
        <f t="shared" si="165"/>
        <v>0</v>
      </c>
      <c r="B2298" s="1157" t="s">
        <v>439</v>
      </c>
      <c r="C2298" s="1157"/>
      <c r="D2298" s="1093"/>
      <c r="E2298" s="1082">
        <f>VLOOKUP($B2298,DG!A:D,DG!$B$2,)</f>
        <v>0</v>
      </c>
      <c r="F2298" s="1083" t="str">
        <f>VLOOKUP($B2298,DG!A:D,DG!$C$2,)</f>
        <v>Sứ treo polymer</v>
      </c>
      <c r="G2298" s="1082" t="str">
        <f>VLOOKUP($B2298,DG!A:D,DG!$D$2,)</f>
        <v>chuỗi</v>
      </c>
      <c r="H2298" s="1911">
        <f>H2288*6*0</f>
        <v>0</v>
      </c>
      <c r="I2298" s="1262">
        <f t="shared" si="166"/>
        <v>0</v>
      </c>
      <c r="J2298" s="1084"/>
      <c r="K2298" s="1084"/>
      <c r="L2298" s="1113"/>
      <c r="M2298" s="977">
        <v>630</v>
      </c>
    </row>
    <row r="2299" spans="1:13" s="1086" customFormat="1" ht="25.15" hidden="1" customHeight="1">
      <c r="A2299" s="1156">
        <f t="shared" si="165"/>
        <v>0</v>
      </c>
      <c r="B2299" s="1157" t="s">
        <v>1570</v>
      </c>
      <c r="C2299" s="1157"/>
      <c r="D2299" s="1093"/>
      <c r="E2299" s="1082" t="str">
        <f>VLOOKUP($B2299,DG!A:D,DG!$B$2,)</f>
        <v>06.1115</v>
      </c>
      <c r="F2299" s="1083" t="str">
        <f>VLOOKUP($B2299,DG!A:D,DG!$C$2,)</f>
        <v>Lắp sứ đứng 24KV</v>
      </c>
      <c r="G2299" s="1082" t="str">
        <f>VLOOKUP($B2299,DG!A:D,DG!$D$2,)</f>
        <v>bộ</v>
      </c>
      <c r="H2299" s="1873">
        <f>H2297</f>
        <v>0</v>
      </c>
      <c r="I2299" s="1262">
        <f t="shared" si="166"/>
        <v>0</v>
      </c>
      <c r="J2299" s="1084"/>
      <c r="K2299" s="1084"/>
      <c r="L2299" s="1113"/>
      <c r="M2299" s="977">
        <v>630</v>
      </c>
    </row>
    <row r="2300" spans="1:13" s="1086" customFormat="1" ht="25.15" hidden="1" customHeight="1">
      <c r="A2300" s="1156">
        <f t="shared" si="165"/>
        <v>0</v>
      </c>
      <c r="B2300" s="1157" t="s">
        <v>235</v>
      </c>
      <c r="C2300" s="1157"/>
      <c r="D2300" s="1093"/>
      <c r="E2300" s="1082" t="str">
        <f>VLOOKUP($B2300,DG!A:D,DG!$B$2,)</f>
        <v>06.1115</v>
      </c>
      <c r="F2300" s="1083" t="str">
        <f>VLOOKUP($B2300,DG!A:D,DG!$C$2,)</f>
        <v>Tháo sứ đứng 24KV</v>
      </c>
      <c r="G2300" s="1082" t="str">
        <f>VLOOKUP($B2300,DG!A:D,DG!$D$2,)</f>
        <v>bộ</v>
      </c>
      <c r="H2300" s="1873"/>
      <c r="I2300" s="1262">
        <f t="shared" si="166"/>
        <v>0</v>
      </c>
      <c r="J2300" s="1084"/>
      <c r="K2300" s="1084"/>
      <c r="L2300" s="1113"/>
      <c r="M2300" s="977">
        <v>630</v>
      </c>
    </row>
    <row r="2301" spans="1:13" s="1086" customFormat="1" ht="25.15" hidden="1" customHeight="1">
      <c r="A2301" s="1156">
        <f t="shared" si="165"/>
        <v>0</v>
      </c>
      <c r="B2301" s="1157" t="s">
        <v>1512</v>
      </c>
      <c r="C2301" s="1157"/>
      <c r="D2301" s="1093"/>
      <c r="E2301" s="1082" t="str">
        <f>VLOOKUP($B2301,DG!A:D,DG!$B$2,)</f>
        <v>06.2201</v>
      </c>
      <c r="F2301" s="1083" t="str">
        <f>VLOOKUP($B2301,DG!A:D,DG!$C$2,)</f>
        <v>Lắp chuỗi sứ néo Polymer</v>
      </c>
      <c r="G2301" s="1082" t="str">
        <f>VLOOKUP($B2301,DG!A:D,DG!$D$2,)</f>
        <v>chuỗi</v>
      </c>
      <c r="H2301" s="1873">
        <f>H2298</f>
        <v>0</v>
      </c>
      <c r="I2301" s="1262">
        <f t="shared" si="166"/>
        <v>0</v>
      </c>
      <c r="J2301" s="1084"/>
      <c r="K2301" s="1084"/>
      <c r="L2301" s="1113"/>
      <c r="M2301" s="977">
        <v>630</v>
      </c>
    </row>
    <row r="2302" spans="1:13" s="1086" customFormat="1" ht="25.15" hidden="1" customHeight="1">
      <c r="A2302" s="1156">
        <f t="shared" si="165"/>
        <v>0</v>
      </c>
      <c r="B2302" s="1157" t="s">
        <v>1530</v>
      </c>
      <c r="C2302" s="1157"/>
      <c r="D2302" s="1093"/>
      <c r="E2302" s="1082" t="str">
        <f>VLOOKUP($B2302,DG!A:D,DG!$B$2,)</f>
        <v>04.4201</v>
      </c>
      <c r="F2302" s="1083" t="str">
        <f>VLOOKUP($B2302,DG!A:D,DG!$C$2,)</f>
        <v>Lắp cáp đồng xuống thiết bị D ≤ 95mm2</v>
      </c>
      <c r="G2302" s="1082" t="str">
        <f>VLOOKUP($B2302,DG!A:D,DG!$D$2,)</f>
        <v>m</v>
      </c>
      <c r="H2302" s="1873">
        <f>H2290+H2291</f>
        <v>0</v>
      </c>
      <c r="I2302" s="1262">
        <f t="shared" si="166"/>
        <v>0</v>
      </c>
      <c r="J2302" s="1084"/>
      <c r="K2302" s="1084"/>
      <c r="L2302" s="1113"/>
      <c r="M2302" s="977">
        <v>630</v>
      </c>
    </row>
    <row r="2303" spans="1:13" s="1086" customFormat="1" ht="25.15" hidden="1" customHeight="1">
      <c r="A2303" s="1156">
        <f t="shared" si="165"/>
        <v>0</v>
      </c>
      <c r="B2303" s="1327"/>
      <c r="C2303" s="1327"/>
      <c r="D2303" s="1087">
        <f>IF(H2303&gt;0,D2288+1,D2288)</f>
        <v>0</v>
      </c>
      <c r="E2303" s="1088"/>
      <c r="F2303" s="1097" t="s">
        <v>3729</v>
      </c>
      <c r="G2303" s="1087" t="s">
        <v>2394</v>
      </c>
      <c r="H2303" s="1889">
        <f>H2168*0</f>
        <v>0</v>
      </c>
      <c r="I2303" s="1262">
        <f t="shared" si="166"/>
        <v>0</v>
      </c>
      <c r="J2303" s="1084"/>
      <c r="K2303" s="1084"/>
      <c r="L2303" s="1085"/>
      <c r="M2303" s="977">
        <v>630</v>
      </c>
    </row>
    <row r="2304" spans="1:13" s="1086" customFormat="1" ht="25.15" hidden="1" customHeight="1">
      <c r="A2304" s="1156">
        <f>IF(A2303&gt;0,1,0)</f>
        <v>0</v>
      </c>
      <c r="B2304" s="1327"/>
      <c r="C2304" s="1327"/>
      <c r="D2304" s="1081"/>
      <c r="E2304" s="1091"/>
      <c r="F2304" s="1371" t="s">
        <v>2287</v>
      </c>
      <c r="G2304" s="1081"/>
      <c r="H2304" s="1890"/>
      <c r="I2304" s="1262">
        <f t="shared" si="166"/>
        <v>0</v>
      </c>
      <c r="J2304" s="1084"/>
      <c r="K2304" s="1084"/>
      <c r="L2304" s="1085"/>
      <c r="M2304" s="977">
        <v>630</v>
      </c>
    </row>
    <row r="2305" spans="1:13" s="1086" customFormat="1" ht="25.15" hidden="1" customHeight="1">
      <c r="A2305" s="1156">
        <f t="shared" si="165"/>
        <v>0</v>
      </c>
      <c r="B2305" s="1327" t="s">
        <v>1494</v>
      </c>
      <c r="C2305" s="1327"/>
      <c r="D2305" s="1093"/>
      <c r="E2305" s="1082" t="str">
        <f>VLOOKUP($B2305,DG!A:D,DG!$B$2,)</f>
        <v>04.8003</v>
      </c>
      <c r="F2305" s="1083" t="str">
        <f>VLOOKUP($B2305,DG!A:D,DG!$C$2,)</f>
        <v xml:space="preserve">Ống PVC D90x3,8mm </v>
      </c>
      <c r="G2305" s="1082" t="str">
        <f>VLOOKUP($B2305,DG!A:D,DG!$D$2,)</f>
        <v>m</v>
      </c>
      <c r="H2305" s="1873">
        <f>H2303*2</f>
        <v>0</v>
      </c>
      <c r="I2305" s="1262">
        <f t="shared" si="166"/>
        <v>0</v>
      </c>
      <c r="J2305" s="1084"/>
      <c r="K2305" s="1084"/>
      <c r="L2305" s="1085"/>
      <c r="M2305" s="977">
        <v>630</v>
      </c>
    </row>
    <row r="2306" spans="1:13" s="1086" customFormat="1" ht="25.15" hidden="1" customHeight="1">
      <c r="A2306" s="1156">
        <f t="shared" si="165"/>
        <v>0</v>
      </c>
      <c r="B2306" s="1327" t="s">
        <v>86</v>
      </c>
      <c r="C2306" s="1327"/>
      <c r="D2306" s="1093"/>
      <c r="E2306" s="1082">
        <f>VLOOKUP($B2306,DG!A:D,DG!$B$2,)</f>
        <v>0</v>
      </c>
      <c r="F2306" s="1083" t="str">
        <f>VLOOKUP($B2306,DG!A:D,DG!$C$2,)</f>
        <v>Co  90 độ PVC 90</v>
      </c>
      <c r="G2306" s="1082" t="str">
        <f>VLOOKUP($B2306,DG!A:D,DG!$D$2,)</f>
        <v>cái</v>
      </c>
      <c r="H2306" s="1873">
        <f>H2303</f>
        <v>0</v>
      </c>
      <c r="I2306" s="1262">
        <f t="shared" si="166"/>
        <v>0</v>
      </c>
      <c r="J2306" s="1084"/>
      <c r="K2306" s="1084"/>
      <c r="L2306" s="1085"/>
      <c r="M2306" s="977">
        <v>630</v>
      </c>
    </row>
    <row r="2307" spans="1:13" s="1086" customFormat="1" ht="25.15" hidden="1" customHeight="1">
      <c r="A2307" s="1156">
        <f t="shared" si="165"/>
        <v>0</v>
      </c>
      <c r="B2307" s="1327" t="s">
        <v>933</v>
      </c>
      <c r="C2307" s="1327"/>
      <c r="D2307" s="1093"/>
      <c r="E2307" s="1082">
        <f>VLOOKUP($B2307,DG!A:D,DG!$B$2,)</f>
        <v>0</v>
      </c>
      <c r="F2307" s="1083" t="str">
        <f>VLOOKUP($B2307,DG!A:D,DG!$C$2,)</f>
        <v>Khâu ven răng trong D90</v>
      </c>
      <c r="G2307" s="1082" t="str">
        <f>VLOOKUP($B2307,DG!A:D,DG!$D$2,)</f>
        <v>cái</v>
      </c>
      <c r="H2307" s="1873">
        <f>H2303*2</f>
        <v>0</v>
      </c>
      <c r="I2307" s="1262">
        <f t="shared" si="166"/>
        <v>0</v>
      </c>
      <c r="J2307" s="1084"/>
      <c r="K2307" s="1084"/>
      <c r="L2307" s="1085"/>
      <c r="M2307" s="977">
        <v>630</v>
      </c>
    </row>
    <row r="2308" spans="1:13" s="1086" customFormat="1" ht="25.15" hidden="1" customHeight="1">
      <c r="A2308" s="1156">
        <f t="shared" si="165"/>
        <v>0</v>
      </c>
      <c r="B2308" s="1327" t="s">
        <v>932</v>
      </c>
      <c r="C2308" s="1327"/>
      <c r="D2308" s="1093"/>
      <c r="E2308" s="1082">
        <f>VLOOKUP($B2308,DG!A:D,DG!$B$2,)</f>
        <v>0</v>
      </c>
      <c r="F2308" s="1083" t="str">
        <f>VLOOKUP($B2308,DG!A:D,DG!$C$2,)</f>
        <v>Khâu ven răng ngoài D90</v>
      </c>
      <c r="G2308" s="1082" t="str">
        <f>VLOOKUP($B2308,DG!A:D,DG!$D$2,)</f>
        <v>cái</v>
      </c>
      <c r="H2308" s="1873">
        <f>H2307</f>
        <v>0</v>
      </c>
      <c r="I2308" s="1262">
        <f t="shared" si="166"/>
        <v>0</v>
      </c>
      <c r="J2308" s="1084"/>
      <c r="K2308" s="1084"/>
      <c r="L2308" s="1085"/>
      <c r="M2308" s="977">
        <v>630</v>
      </c>
    </row>
    <row r="2309" spans="1:13" s="1086" customFormat="1" ht="25.15" hidden="1" customHeight="1">
      <c r="A2309" s="1156">
        <f t="shared" si="165"/>
        <v>0</v>
      </c>
      <c r="B2309" s="1157"/>
      <c r="C2309" s="1157"/>
      <c r="D2309" s="1087">
        <f>IF(H2309&gt;0,D2303+1,D2303)</f>
        <v>0</v>
      </c>
      <c r="E2309" s="1088"/>
      <c r="F2309" s="1097" t="s">
        <v>3749</v>
      </c>
      <c r="G2309" s="1087" t="s">
        <v>2394</v>
      </c>
      <c r="H2309" s="1910">
        <f>H2248</f>
        <v>0</v>
      </c>
      <c r="I2309" s="1262">
        <f t="shared" si="166"/>
        <v>0</v>
      </c>
      <c r="J2309" s="1084"/>
      <c r="K2309" s="1084"/>
      <c r="L2309" s="1113"/>
      <c r="M2309" s="977">
        <v>630</v>
      </c>
    </row>
    <row r="2310" spans="1:13" s="1086" customFormat="1" ht="25.15" hidden="1" customHeight="1">
      <c r="A2310" s="1156">
        <f>IF(A2309&gt;0,1,0)</f>
        <v>0</v>
      </c>
      <c r="B2310" s="1157"/>
      <c r="C2310" s="1157"/>
      <c r="D2310" s="1081"/>
      <c r="E2310" s="1091"/>
      <c r="F2310" s="1371" t="s">
        <v>2287</v>
      </c>
      <c r="G2310" s="1081"/>
      <c r="H2310" s="1873"/>
      <c r="I2310" s="1262">
        <f t="shared" si="166"/>
        <v>0</v>
      </c>
      <c r="J2310" s="1084"/>
      <c r="K2310" s="1084"/>
      <c r="L2310" s="1113"/>
      <c r="M2310" s="977">
        <v>630</v>
      </c>
    </row>
    <row r="2311" spans="1:13" s="1086" customFormat="1" ht="25.15" hidden="1" customHeight="1">
      <c r="A2311" s="1156">
        <f t="shared" si="165"/>
        <v>0</v>
      </c>
      <c r="B2311" s="1359" t="s">
        <v>608</v>
      </c>
      <c r="C2311" s="1359"/>
      <c r="D2311" s="1093"/>
      <c r="E2311" s="1082">
        <f>VLOOKUP($B2311,DG!A:D,DG!$B$2,)</f>
        <v>0</v>
      </c>
      <c r="F2311" s="1083" t="e">
        <f>VLOOKUP($B2311,DG!A:D,DG!$C$2,)&amp;":  "&amp;#REF!&amp;" x 8m/pha "</f>
        <v>#REF!</v>
      </c>
      <c r="G2311" s="1082" t="str">
        <f>VLOOKUP($B2311,DG!A:D,DG!$D$2,)</f>
        <v>mét</v>
      </c>
      <c r="H2311" s="1873">
        <f>8*3*H2309*L15</f>
        <v>0</v>
      </c>
      <c r="I2311" s="1262">
        <f t="shared" si="166"/>
        <v>0</v>
      </c>
      <c r="J2311" s="1084"/>
      <c r="K2311" s="1084"/>
      <c r="L2311" s="1113"/>
      <c r="M2311" s="977">
        <v>630</v>
      </c>
    </row>
    <row r="2312" spans="1:13" s="1086" customFormat="1" ht="25.15" hidden="1" customHeight="1">
      <c r="A2312" s="1156">
        <f t="shared" si="165"/>
        <v>0</v>
      </c>
      <c r="B2312" s="1359" t="s">
        <v>34</v>
      </c>
      <c r="C2312" s="1359"/>
      <c r="D2312" s="1093"/>
      <c r="E2312" s="1082">
        <f>VLOOKUP($B2312,DG!A:D,DG!$B$2,)</f>
        <v>0</v>
      </c>
      <c r="F2312" s="1083" t="e">
        <f>VLOOKUP($B2312,DG!A:D,DG!$C$2,)&amp;":  "&amp;#REF!&amp;" x 8m/trung tính "</f>
        <v>#REF!</v>
      </c>
      <c r="G2312" s="1082" t="str">
        <f>VLOOKUP($B2312,DG!A:D,DG!$D$2,)</f>
        <v>mét</v>
      </c>
      <c r="H2312" s="1873">
        <f>8*H2309</f>
        <v>0</v>
      </c>
      <c r="I2312" s="1262">
        <f t="shared" si="166"/>
        <v>0</v>
      </c>
      <c r="J2312" s="1084"/>
      <c r="K2312" s="1084"/>
      <c r="L2312" s="1113"/>
      <c r="M2312" s="977">
        <v>630</v>
      </c>
    </row>
    <row r="2313" spans="1:13" s="1086" customFormat="1" ht="25.15" hidden="1" customHeight="1">
      <c r="A2313" s="1156">
        <f t="shared" si="165"/>
        <v>0</v>
      </c>
      <c r="B2313" s="1327" t="s">
        <v>447</v>
      </c>
      <c r="C2313" s="1327"/>
      <c r="D2313" s="1093"/>
      <c r="E2313" s="1082" t="str">
        <f>VLOOKUP($B2313,DG!A:D,DG!$B$2,)</f>
        <v>03.4008</v>
      </c>
      <c r="F2313" s="1083" t="str">
        <f>VLOOKUP($B2313,DG!A:D,DG!$C$2,)&amp;": "</f>
        <v xml:space="preserve">Đầu cosse ép Cu 200mm2: </v>
      </c>
      <c r="G2313" s="1082" t="str">
        <f>VLOOKUP($B2313,DG!A:D,DG!$D$2,)</f>
        <v>cái</v>
      </c>
      <c r="H2313" s="1916"/>
      <c r="I2313" s="1262">
        <f t="shared" si="166"/>
        <v>0</v>
      </c>
      <c r="J2313" s="1084"/>
      <c r="K2313" s="1084"/>
      <c r="L2313" s="1113"/>
      <c r="M2313" s="977">
        <v>630</v>
      </c>
    </row>
    <row r="2314" spans="1:13" s="1086" customFormat="1" ht="25.15" hidden="1" customHeight="1">
      <c r="A2314" s="1156">
        <f t="shared" si="165"/>
        <v>0</v>
      </c>
      <c r="B2314" s="1327" t="s">
        <v>2163</v>
      </c>
      <c r="C2314" s="1327"/>
      <c r="D2314" s="1093"/>
      <c r="E2314" s="1082" t="str">
        <f>VLOOKUP($B2314,DG!A:D,DG!$B$2,)</f>
        <v>03.4006</v>
      </c>
      <c r="F2314" s="1083" t="str">
        <f>VLOOKUP($B2314,DG!A:D,DG!$C$2,)&amp;": "</f>
        <v xml:space="preserve">Đầu cosse ép Cu 150mm2: </v>
      </c>
      <c r="G2314" s="1082" t="str">
        <f>VLOOKUP($B2314,DG!A:D,DG!$D$2,)</f>
        <v>cái</v>
      </c>
      <c r="H2314" s="1873">
        <f>H2309*2</f>
        <v>0</v>
      </c>
      <c r="I2314" s="1262">
        <f t="shared" si="166"/>
        <v>0</v>
      </c>
      <c r="J2314" s="1084"/>
      <c r="K2314" s="1084"/>
      <c r="L2314" s="1113"/>
      <c r="M2314" s="977">
        <v>630</v>
      </c>
    </row>
    <row r="2315" spans="1:13" s="1086" customFormat="1" ht="25.15" hidden="1" customHeight="1">
      <c r="A2315" s="1156">
        <f t="shared" si="165"/>
        <v>0</v>
      </c>
      <c r="B2315" s="1327" t="s">
        <v>610</v>
      </c>
      <c r="C2315" s="1327"/>
      <c r="D2315" s="1093"/>
      <c r="E2315" s="1082">
        <f>VLOOKUP($B2315,DG!A:D,DG!$B$2,)</f>
        <v>0</v>
      </c>
      <c r="F2315" s="1083" t="str">
        <f>VLOOKUP($B2315,DG!A:D,DG!$C$2,)&amp;": "</f>
        <v xml:space="preserve">Chụp đầu cosse  200mm2: </v>
      </c>
      <c r="G2315" s="1082" t="str">
        <f>VLOOKUP($B2315,DG!A:D,DG!$D$2,)</f>
        <v>cái</v>
      </c>
      <c r="H2315" s="1873">
        <f>H2313</f>
        <v>0</v>
      </c>
      <c r="I2315" s="1262">
        <f t="shared" si="166"/>
        <v>0</v>
      </c>
      <c r="J2315" s="1084"/>
      <c r="K2315" s="1084"/>
      <c r="L2315" s="1113"/>
      <c r="M2315" s="977">
        <v>630</v>
      </c>
    </row>
    <row r="2316" spans="1:13" s="1086" customFormat="1" ht="25.15" hidden="1" customHeight="1">
      <c r="A2316" s="1156">
        <f t="shared" si="165"/>
        <v>0</v>
      </c>
      <c r="B2316" s="1327" t="s">
        <v>91</v>
      </c>
      <c r="C2316" s="1327"/>
      <c r="D2316" s="1093"/>
      <c r="E2316" s="1082">
        <f>VLOOKUP($B2316,DG!A:D,DG!$B$2,)</f>
        <v>0</v>
      </c>
      <c r="F2316" s="1083" t="str">
        <f>VLOOKUP($B2316,DG!A:D,DG!$C$2,)&amp;": "</f>
        <v xml:space="preserve">Chụp đầu cosse  150mm2: </v>
      </c>
      <c r="G2316" s="1082" t="str">
        <f>VLOOKUP($B2316,DG!A:D,DG!$D$2,)</f>
        <v>cái</v>
      </c>
      <c r="H2316" s="1873">
        <f>H2314</f>
        <v>0</v>
      </c>
      <c r="I2316" s="1262">
        <f t="shared" si="166"/>
        <v>0</v>
      </c>
      <c r="J2316" s="1084"/>
      <c r="K2316" s="1084"/>
      <c r="L2316" s="1113"/>
      <c r="M2316" s="977">
        <v>630</v>
      </c>
    </row>
    <row r="2317" spans="1:13" s="1086" customFormat="1" ht="25.15" hidden="1" customHeight="1">
      <c r="A2317" s="1156">
        <f t="shared" si="165"/>
        <v>0</v>
      </c>
      <c r="B2317" s="1327" t="s">
        <v>1044</v>
      </c>
      <c r="C2317" s="1327"/>
      <c r="D2317" s="1093"/>
      <c r="E2317" s="1082">
        <f>VLOOKUP($B2317,DG!A:D,DG!$B$2,)</f>
        <v>0</v>
      </c>
      <c r="F2317" s="1083" t="str">
        <f>VLOOKUP($B2317,DG!A:D,DG!$C$2,)</f>
        <v xml:space="preserve">Ống PVC D114x4,9mm </v>
      </c>
      <c r="G2317" s="1082" t="str">
        <f>VLOOKUP($B2317,DG!A:D,DG!$D$2,)</f>
        <v>m</v>
      </c>
      <c r="H2317" s="1916"/>
      <c r="I2317" s="1262">
        <f t="shared" si="166"/>
        <v>0</v>
      </c>
      <c r="J2317" s="1084"/>
      <c r="K2317" s="1084"/>
      <c r="L2317" s="1113"/>
      <c r="M2317" s="977">
        <v>630</v>
      </c>
    </row>
    <row r="2318" spans="1:13" s="1086" customFormat="1" ht="25.15" hidden="1" customHeight="1">
      <c r="A2318" s="1156">
        <f t="shared" si="165"/>
        <v>0</v>
      </c>
      <c r="B2318" s="1157" t="s">
        <v>733</v>
      </c>
      <c r="C2318" s="1157"/>
      <c r="D2318" s="1093"/>
      <c r="E2318" s="1082" t="str">
        <f>VLOOKUP($B2318,DG!A:D,DG!$B$2,)</f>
        <v>06.3231</v>
      </c>
      <c r="F2318" s="1083" t="str">
        <f>VLOOKUP($B2318,DG!A:D,DG!$C$2,)&amp;": CD-250"</f>
        <v>Cổ dê kẹp ống PVC Ø 114: CD-250</v>
      </c>
      <c r="G2318" s="1082" t="str">
        <f>VLOOKUP($B2318,DG!A:D,DG!$D$2,)</f>
        <v>bộ</v>
      </c>
      <c r="H2318" s="1873">
        <f>H2309*1.031</f>
        <v>0</v>
      </c>
      <c r="I2318" s="1262">
        <f t="shared" si="166"/>
        <v>0</v>
      </c>
      <c r="J2318" s="1084"/>
      <c r="K2318" s="1084"/>
      <c r="L2318" s="1113"/>
      <c r="M2318" s="977">
        <v>630</v>
      </c>
    </row>
    <row r="2319" spans="1:13" s="1086" customFormat="1" ht="25.15" hidden="1" customHeight="1">
      <c r="A2319" s="1156">
        <f t="shared" si="165"/>
        <v>0</v>
      </c>
      <c r="B2319" s="1157" t="s">
        <v>733</v>
      </c>
      <c r="C2319" s="1157"/>
      <c r="D2319" s="1093"/>
      <c r="E2319" s="1082" t="str">
        <f>VLOOKUP($B2319,DG!A:D,DG!$B$2,)</f>
        <v>06.3231</v>
      </c>
      <c r="F2319" s="1083" t="str">
        <f>VLOOKUP($B2319,DG!A:D,DG!$C$2,)&amp;": CD-250"</f>
        <v>Cổ dê kẹp ống PVC Ø 114: CD-250</v>
      </c>
      <c r="G2319" s="1082" t="str">
        <f>VLOOKUP($B2319,DG!A:D,DG!$D$2,)</f>
        <v>bộ</v>
      </c>
      <c r="H2319" s="1873">
        <f>H2309*1.031</f>
        <v>0</v>
      </c>
      <c r="I2319" s="1262">
        <f t="shared" si="166"/>
        <v>0</v>
      </c>
      <c r="J2319" s="1084"/>
      <c r="K2319" s="1084"/>
      <c r="L2319" s="1113"/>
      <c r="M2319" s="977">
        <v>630</v>
      </c>
    </row>
    <row r="2320" spans="1:13" s="1086" customFormat="1" ht="25.15" hidden="1" customHeight="1">
      <c r="A2320" s="1156">
        <f t="shared" si="165"/>
        <v>0</v>
      </c>
      <c r="B2320" s="1157" t="s">
        <v>733</v>
      </c>
      <c r="C2320" s="1157"/>
      <c r="D2320" s="1093"/>
      <c r="E2320" s="1082" t="str">
        <f>VLOOKUP($B2320,DG!A:D,DG!$B$2,)</f>
        <v>06.3231</v>
      </c>
      <c r="F2320" s="1083" t="str">
        <f>VLOOKUP($B2320,DG!A:D,DG!$C$2,)&amp;": CD-280"</f>
        <v>Cổ dê kẹp ống PVC Ø 114: CD-280</v>
      </c>
      <c r="G2320" s="1082" t="str">
        <f>VLOOKUP($B2320,DG!A:D,DG!$D$2,)</f>
        <v>bộ</v>
      </c>
      <c r="H2320" s="1873">
        <f>H2309*1.031</f>
        <v>0</v>
      </c>
      <c r="I2320" s="1262">
        <f t="shared" si="166"/>
        <v>0</v>
      </c>
      <c r="J2320" s="1084"/>
      <c r="K2320" s="1084"/>
      <c r="L2320" s="1113"/>
      <c r="M2320" s="977">
        <v>630</v>
      </c>
    </row>
    <row r="2321" spans="1:13" s="1086" customFormat="1" ht="25.15" hidden="1" customHeight="1">
      <c r="A2321" s="1156">
        <f t="shared" si="165"/>
        <v>0</v>
      </c>
      <c r="B2321" s="1157" t="s">
        <v>1133</v>
      </c>
      <c r="C2321" s="1157"/>
      <c r="D2321" s="1093"/>
      <c r="E2321" s="1082" t="str">
        <f>VLOOKUP($B2321,DG!A:D,DG!$B$2,)</f>
        <v>06.2110</v>
      </c>
      <c r="F2321" s="1083" t="str">
        <f>VLOOKUP($B2321,DG!A:D,DG!$C$2,)&amp;": CD-280"</f>
        <v>Lắp cổ dề: CD-280</v>
      </c>
      <c r="G2321" s="1082" t="str">
        <f>VLOOKUP($B2321,DG!A:D,DG!$D$2,)</f>
        <v>bộ</v>
      </c>
      <c r="H2321" s="1873">
        <f>H2310*1.031</f>
        <v>0</v>
      </c>
      <c r="I2321" s="1262">
        <f t="shared" si="166"/>
        <v>0</v>
      </c>
      <c r="J2321" s="1084"/>
      <c r="K2321" s="1084"/>
      <c r="L2321" s="1113"/>
      <c r="M2321" s="977">
        <v>630</v>
      </c>
    </row>
    <row r="2322" spans="1:13" s="1086" customFormat="1" ht="25.15" hidden="1" customHeight="1">
      <c r="A2322" s="1156">
        <f t="shared" si="165"/>
        <v>0</v>
      </c>
      <c r="B2322" s="1349" t="s">
        <v>138</v>
      </c>
      <c r="C2322" s="1349"/>
      <c r="D2322" s="1093"/>
      <c r="E2322" s="1082">
        <f>VLOOKUP($B2322,DG!A:D,DG!$B$2,)</f>
        <v>0</v>
      </c>
      <c r="F2322" s="1083" t="str">
        <f>VLOOKUP($B2322,DG!A:D,DG!$C$2,)</f>
        <v>Boulon 12x40+ 2 long đền vuông D14-50x50x3/Zn</v>
      </c>
      <c r="G2322" s="1082" t="str">
        <f>VLOOKUP($B2322,DG!A:D,DG!$D$2,)</f>
        <v>bộ</v>
      </c>
      <c r="H2322" s="1873">
        <f>H2309*6</f>
        <v>0</v>
      </c>
      <c r="I2322" s="1262">
        <f t="shared" si="166"/>
        <v>0</v>
      </c>
      <c r="J2322" s="1084"/>
      <c r="K2322" s="1084"/>
      <c r="L2322" s="1113"/>
      <c r="M2322" s="977">
        <v>630</v>
      </c>
    </row>
    <row r="2323" spans="1:13" s="1086" customFormat="1" ht="25.15" hidden="1" customHeight="1">
      <c r="A2323" s="1156">
        <f t="shared" si="165"/>
        <v>0</v>
      </c>
      <c r="B2323" s="1327" t="s">
        <v>2175</v>
      </c>
      <c r="C2323" s="1327"/>
      <c r="D2323" s="1093"/>
      <c r="E2323" s="1082">
        <f>VLOOKUP($B2323,DG!A:D,DG!$B$2,)</f>
        <v>0</v>
      </c>
      <c r="F2323" s="1083" t="str">
        <f>VLOOKUP($B2323,DG!A:D,DG!$C$2,)</f>
        <v>Khâu ven răng trong D114</v>
      </c>
      <c r="G2323" s="1082" t="str">
        <f>VLOOKUP($B2323,DG!A:D,DG!$D$2,)</f>
        <v>cái</v>
      </c>
      <c r="H2323" s="1873">
        <f>IF(H2317&gt;0,H2309*#REF!,)</f>
        <v>0</v>
      </c>
      <c r="I2323" s="1262">
        <f t="shared" si="166"/>
        <v>0</v>
      </c>
      <c r="J2323" s="1084"/>
      <c r="K2323" s="1084"/>
      <c r="L2323" s="1113"/>
      <c r="M2323" s="977">
        <v>630</v>
      </c>
    </row>
    <row r="2324" spans="1:13" s="1086" customFormat="1" ht="25.15" hidden="1" customHeight="1">
      <c r="A2324" s="1156">
        <f t="shared" si="165"/>
        <v>0</v>
      </c>
      <c r="B2324" s="1327" t="s">
        <v>2176</v>
      </c>
      <c r="C2324" s="1327"/>
      <c r="D2324" s="1093"/>
      <c r="E2324" s="1082">
        <f>VLOOKUP($B2324,DG!A:D,DG!$B$2,)</f>
        <v>0</v>
      </c>
      <c r="F2324" s="1083" t="str">
        <f>VLOOKUP($B2324,DG!A:D,DG!$C$2,)&amp;": "</f>
        <v xml:space="preserve">Khâu ven răng ngoài D114: </v>
      </c>
      <c r="G2324" s="1082" t="str">
        <f>VLOOKUP($B2324,DG!A:D,DG!$D$2,)</f>
        <v>cái</v>
      </c>
      <c r="H2324" s="1873">
        <f>H2323</f>
        <v>0</v>
      </c>
      <c r="I2324" s="1262">
        <f t="shared" si="166"/>
        <v>0</v>
      </c>
      <c r="J2324" s="1084"/>
      <c r="K2324" s="1084"/>
      <c r="L2324" s="1113"/>
      <c r="M2324" s="977">
        <v>630</v>
      </c>
    </row>
    <row r="2325" spans="1:13" s="1086" customFormat="1" ht="25.15" hidden="1" customHeight="1">
      <c r="A2325" s="1156">
        <f t="shared" ref="A2325:A2386" si="167">IF(I2325&gt;0,1,0)</f>
        <v>0</v>
      </c>
      <c r="B2325" s="1327" t="s">
        <v>2082</v>
      </c>
      <c r="C2325" s="1327"/>
      <c r="D2325" s="1093"/>
      <c r="E2325" s="1082">
        <f>VLOOKUP($B2325,DG!A:D,DG!$B$2,)</f>
        <v>0</v>
      </c>
      <c r="F2325" s="1083" t="str">
        <f>VLOOKUP($B2325,DG!A:D,DG!$C$2,)&amp;": "</f>
        <v xml:space="preserve">Keo dán ống PVC (100gr): </v>
      </c>
      <c r="G2325" s="1082" t="str">
        <f>VLOOKUP($B2325,DG!A:D,DG!$D$2,)</f>
        <v>tuýp</v>
      </c>
      <c r="H2325" s="1873">
        <f>IF(H2317&gt;0,H2309*#REF!,)</f>
        <v>0</v>
      </c>
      <c r="I2325" s="1262">
        <f t="shared" si="166"/>
        <v>0</v>
      </c>
      <c r="J2325" s="1084"/>
      <c r="K2325" s="1084"/>
      <c r="L2325" s="1113"/>
      <c r="M2325" s="977">
        <v>630</v>
      </c>
    </row>
    <row r="2326" spans="1:13" s="1086" customFormat="1" ht="25.15" hidden="1" customHeight="1">
      <c r="A2326" s="1156">
        <f t="shared" si="167"/>
        <v>0</v>
      </c>
      <c r="B2326" s="1157" t="s">
        <v>6</v>
      </c>
      <c r="C2326" s="1157"/>
      <c r="D2326" s="1093"/>
      <c r="E2326" s="1082"/>
      <c r="F2326" s="1083" t="str">
        <f>VLOOKUP($B2326,DG!A:D,DG!$C$2,)&amp;":"</f>
        <v>Keo silicon bít miệng ống:</v>
      </c>
      <c r="G2326" s="1082" t="str">
        <f>VLOOKUP($B2326,DG!A:D,DG!$D$2,)</f>
        <v>ống</v>
      </c>
      <c r="H2326" s="1916"/>
      <c r="I2326" s="1262">
        <f t="shared" si="166"/>
        <v>0</v>
      </c>
      <c r="J2326" s="1084"/>
      <c r="K2326" s="1084"/>
      <c r="L2326" s="1085"/>
      <c r="M2326" s="977">
        <v>630</v>
      </c>
    </row>
    <row r="2327" spans="1:13" s="1086" customFormat="1" ht="25.15" hidden="1" customHeight="1">
      <c r="A2327" s="1156">
        <f t="shared" si="167"/>
        <v>0</v>
      </c>
      <c r="B2327" s="1327" t="s">
        <v>1828</v>
      </c>
      <c r="C2327" s="1327"/>
      <c r="D2327" s="1093"/>
      <c r="E2327" s="1082" t="str">
        <f>VLOOKUP($B2327,DG!A:D,DG!$B$2,)</f>
        <v>03.1401</v>
      </c>
      <c r="F2327" s="1083" t="str">
        <f>VLOOKUP($B2327,DG!A:D,DG!$C$2,)</f>
        <v xml:space="preserve">Cáp CVV 4x2,5mm2  </v>
      </c>
      <c r="G2327" s="1082" t="str">
        <f>VLOOKUP($B2327,DG!A:D,DG!$D$2,)</f>
        <v>mét</v>
      </c>
      <c r="H2327" s="1916"/>
      <c r="I2327" s="1262">
        <f t="shared" si="166"/>
        <v>0</v>
      </c>
      <c r="J2327" s="1084"/>
      <c r="K2327" s="1084"/>
      <c r="L2327" s="1085"/>
      <c r="M2327" s="977">
        <v>630</v>
      </c>
    </row>
    <row r="2328" spans="1:13" s="1086" customFormat="1" ht="25.15" hidden="1" customHeight="1">
      <c r="A2328" s="1156">
        <f t="shared" si="167"/>
        <v>0</v>
      </c>
      <c r="B2328" s="1327" t="s">
        <v>1353</v>
      </c>
      <c r="C2328" s="1327"/>
      <c r="D2328" s="1093"/>
      <c r="E2328" s="1082">
        <f>VLOOKUP($B2328,DG!A:D,DG!$B$2,)</f>
        <v>0</v>
      </c>
      <c r="F2328" s="1083" t="str">
        <f>VLOOKUP($B2328,DG!A:D,DG!$C$2,)</f>
        <v>Dây rút cáp</v>
      </c>
      <c r="G2328" s="1082" t="str">
        <f>VLOOKUP($B2328,DG!A:D,DG!$D$2,)</f>
        <v>bọc</v>
      </c>
      <c r="H2328" s="1916"/>
      <c r="I2328" s="1262">
        <f t="shared" si="166"/>
        <v>0</v>
      </c>
      <c r="J2328" s="1084"/>
      <c r="K2328" s="1084"/>
      <c r="L2328" s="1085"/>
      <c r="M2328" s="977">
        <v>630</v>
      </c>
    </row>
    <row r="2329" spans="1:13" s="1086" customFormat="1" ht="25.15" hidden="1" customHeight="1">
      <c r="A2329" s="1156">
        <f t="shared" si="167"/>
        <v>0</v>
      </c>
      <c r="B2329" s="1157" t="s">
        <v>672</v>
      </c>
      <c r="C2329" s="1157"/>
      <c r="D2329" s="1093"/>
      <c r="E2329" s="1082">
        <f>VLOOKUP($B2329,DG!A:D,DG!$B$2,)</f>
        <v>0</v>
      </c>
      <c r="F2329" s="1083" t="str">
        <f>VLOOKUP($B2329,DG!A:D,DG!$C$2,)&amp;":"</f>
        <v>Băng keo cách điện:</v>
      </c>
      <c r="G2329" s="1082" t="str">
        <f>VLOOKUP($B2329,DG!A:D,DG!$D$2,)</f>
        <v>cuộn</v>
      </c>
      <c r="H2329" s="1916"/>
      <c r="I2329" s="1262">
        <f t="shared" si="166"/>
        <v>0</v>
      </c>
      <c r="J2329" s="1084"/>
      <c r="K2329" s="1084"/>
      <c r="L2329" s="1113"/>
      <c r="M2329" s="977">
        <v>630</v>
      </c>
    </row>
    <row r="2330" spans="1:13" s="1086" customFormat="1" ht="25.15" hidden="1" customHeight="1">
      <c r="A2330" s="1156">
        <f t="shared" si="167"/>
        <v>0</v>
      </c>
      <c r="B2330" s="1157" t="s">
        <v>1415</v>
      </c>
      <c r="C2330" s="1157"/>
      <c r="D2330" s="1093"/>
      <c r="E2330" s="1082" t="str">
        <f>VLOOKUP($B2330,DG!A:D,DG!$B$2,)</f>
        <v>05.6101</v>
      </c>
      <c r="F2330" s="1083" t="str">
        <f>VLOOKUP($B2330,DG!A:D,DG!$C$2,)&amp;":"</f>
        <v>Lắp Giá đỡ cáp:</v>
      </c>
      <c r="G2330" s="1082" t="str">
        <f>VLOOKUP($B2330,DG!A:D,DG!$D$2,)</f>
        <v>bộ</v>
      </c>
      <c r="H2330" s="1873"/>
      <c r="I2330" s="1262">
        <f t="shared" si="166"/>
        <v>0</v>
      </c>
      <c r="J2330" s="1084"/>
      <c r="K2330" s="1084"/>
      <c r="L2330" s="1113"/>
      <c r="M2330" s="977">
        <v>630</v>
      </c>
    </row>
    <row r="2331" spans="1:13" s="1086" customFormat="1" ht="25.15" hidden="1" customHeight="1">
      <c r="A2331" s="1156">
        <f t="shared" si="167"/>
        <v>0</v>
      </c>
      <c r="B2331" s="1157" t="s">
        <v>247</v>
      </c>
      <c r="C2331" s="1157"/>
      <c r="D2331" s="1093"/>
      <c r="E2331" s="1082" t="str">
        <f>VLOOKUP($B2331,DG!A:D,DG!$B$2,)</f>
        <v>04.4203</v>
      </c>
      <c r="F2331" s="1083" t="str">
        <f>VLOOKUP($B2331,DG!A:D,DG!$C$2,)&amp;":"</f>
        <v>Lắp cáp đồng xuống thiết bị D &gt; 150mm2:</v>
      </c>
      <c r="G2331" s="1082" t="str">
        <f>VLOOKUP($B2331,DG!A:D,DG!$D$2,)</f>
        <v>m</v>
      </c>
      <c r="H2331" s="1873">
        <f>H2311+H2312</f>
        <v>0</v>
      </c>
      <c r="I2331" s="1262">
        <f t="shared" si="166"/>
        <v>0</v>
      </c>
      <c r="J2331" s="1084"/>
      <c r="K2331" s="1084"/>
      <c r="L2331" s="1113"/>
      <c r="M2331" s="977">
        <v>630</v>
      </c>
    </row>
    <row r="2332" spans="1:13" s="1086" customFormat="1" ht="25.15" hidden="1" customHeight="1">
      <c r="A2332" s="1156">
        <f t="shared" si="167"/>
        <v>0</v>
      </c>
      <c r="B2332" s="1157" t="s">
        <v>2012</v>
      </c>
      <c r="C2332" s="1157"/>
      <c r="D2332" s="1093"/>
      <c r="E2332" s="1082" t="str">
        <f>VLOOKUP($B2332,DG!A:D,DG!$B$2,)</f>
        <v>04.4202</v>
      </c>
      <c r="F2332" s="1083" t="str">
        <f>VLOOKUP($B2332,DG!A:D,DG!$C$2,)&amp;":"</f>
        <v>Lắp cáp đồng xuống thiết bị D ≤ 150mm2:</v>
      </c>
      <c r="G2332" s="1082" t="str">
        <f>VLOOKUP($B2332,DG!A:D,DG!$D$2,)</f>
        <v>m</v>
      </c>
      <c r="H2332" s="1873"/>
      <c r="I2332" s="1262">
        <f t="shared" si="166"/>
        <v>0</v>
      </c>
      <c r="J2332" s="1084"/>
      <c r="K2332" s="1084"/>
      <c r="L2332" s="1085"/>
      <c r="M2332" s="977">
        <v>630</v>
      </c>
    </row>
    <row r="2333" spans="1:13" s="1086" customFormat="1" ht="25.15" hidden="1" customHeight="1">
      <c r="A2333" s="1156">
        <f t="shared" si="167"/>
        <v>0</v>
      </c>
      <c r="B2333" s="1157" t="s">
        <v>242</v>
      </c>
      <c r="C2333" s="1157"/>
      <c r="D2333" s="1093"/>
      <c r="E2333" s="1082">
        <f>VLOOKUP($B2333,DG!A:D,DG!$B$2,)</f>
        <v>0</v>
      </c>
      <c r="F2333" s="1083" t="str">
        <f>VLOOKUP($B2333,DG!A:D,DG!$C$2,)&amp;":"</f>
        <v>Bộ móng tủ bù 0,2x0,2x0,4x4móng:</v>
      </c>
      <c r="G2333" s="1082" t="str">
        <f>VLOOKUP($B2333,DG!A:D,DG!$D$2,)</f>
        <v>trọn bộ</v>
      </c>
      <c r="H2333" s="1873">
        <f>H2309*1*0</f>
        <v>0</v>
      </c>
      <c r="I2333" s="1262">
        <f t="shared" si="166"/>
        <v>0</v>
      </c>
      <c r="J2333" s="1084"/>
      <c r="K2333" s="1084"/>
      <c r="L2333" s="1085"/>
      <c r="M2333" s="977">
        <v>630</v>
      </c>
    </row>
    <row r="2334" spans="1:13" s="1086" customFormat="1" ht="25.15" hidden="1" customHeight="1">
      <c r="A2334" s="1156">
        <f t="shared" si="167"/>
        <v>0</v>
      </c>
      <c r="B2334" s="1157"/>
      <c r="C2334" s="1157"/>
      <c r="D2334" s="1087">
        <f>IF(H2334&gt;0,D2309+1,D2309)</f>
        <v>0</v>
      </c>
      <c r="E2334" s="1088"/>
      <c r="F2334" s="1097" t="s">
        <v>3750</v>
      </c>
      <c r="G2334" s="1087" t="s">
        <v>2394</v>
      </c>
      <c r="H2334" s="1916"/>
      <c r="I2334" s="1262">
        <f t="shared" si="166"/>
        <v>0</v>
      </c>
      <c r="J2334" s="1084"/>
      <c r="K2334" s="1084"/>
      <c r="L2334" s="1113"/>
      <c r="M2334" s="977">
        <v>630</v>
      </c>
    </row>
    <row r="2335" spans="1:13" s="1137" customFormat="1" ht="25.15" hidden="1" customHeight="1">
      <c r="A2335" s="1156">
        <f>IF(A2334&gt;0,1,0)</f>
        <v>0</v>
      </c>
      <c r="B2335" s="1360"/>
      <c r="C2335" s="1360"/>
      <c r="D2335" s="1081"/>
      <c r="E2335" s="1091"/>
      <c r="F2335" s="1371" t="s">
        <v>2287</v>
      </c>
      <c r="G2335" s="1081"/>
      <c r="H2335" s="1890"/>
      <c r="I2335" s="1262">
        <f t="shared" si="166"/>
        <v>0</v>
      </c>
      <c r="J2335" s="1084"/>
      <c r="K2335" s="1084"/>
      <c r="L2335" s="1113"/>
      <c r="M2335" s="977">
        <v>630</v>
      </c>
    </row>
    <row r="2336" spans="1:13" s="1086" customFormat="1" ht="25.15" hidden="1" customHeight="1">
      <c r="A2336" s="1156">
        <f t="shared" si="167"/>
        <v>0</v>
      </c>
      <c r="B2336" s="1327" t="s">
        <v>1828</v>
      </c>
      <c r="C2336" s="1327"/>
      <c r="D2336" s="1113"/>
      <c r="E2336" s="1082" t="str">
        <f>VLOOKUP($B2336,DG!A:D,DG!$B$2,)</f>
        <v>03.1401</v>
      </c>
      <c r="F2336" s="1111" t="str">
        <f>VLOOKUP($B2336,DG!A:D,DG!$C$2,)</f>
        <v xml:space="preserve">Cáp CVV 4x2,5mm2  </v>
      </c>
      <c r="G2336" s="1138" t="str">
        <f>VLOOKUP($B2336,DG!A:D,DG!$D$2,)</f>
        <v>mét</v>
      </c>
      <c r="H2336" s="1873">
        <f>H2334*26</f>
        <v>0</v>
      </c>
      <c r="I2336" s="1262">
        <f t="shared" si="166"/>
        <v>0</v>
      </c>
      <c r="J2336" s="1134"/>
      <c r="K2336" s="1134"/>
      <c r="L2336" s="1113"/>
      <c r="M2336" s="977">
        <v>630</v>
      </c>
    </row>
    <row r="2337" spans="1:13" s="1086" customFormat="1" ht="25.15" hidden="1" customHeight="1">
      <c r="A2337" s="1156">
        <f t="shared" si="167"/>
        <v>0</v>
      </c>
      <c r="B2337" s="1327" t="s">
        <v>246</v>
      </c>
      <c r="C2337" s="1327"/>
      <c r="D2337" s="1113"/>
      <c r="E2337" s="1082" t="str">
        <f>VLOOKUP($B2337,DG!A:D,DG!$B$2,)</f>
        <v>05.6101</v>
      </c>
      <c r="F2337" s="1111" t="str">
        <f>VLOOKUP($B2337,DG!A:D,DG!$C$2,)</f>
        <v>Xà kẹp TU, TI U50x32x4 350</v>
      </c>
      <c r="G2337" s="1138" t="str">
        <f>VLOOKUP($B2337,DG!A:D,DG!$D$2,)</f>
        <v>Bộ</v>
      </c>
      <c r="H2337" s="1873">
        <f>H2334*24</f>
        <v>0</v>
      </c>
      <c r="I2337" s="1262">
        <f t="shared" si="166"/>
        <v>0</v>
      </c>
      <c r="J2337" s="1134"/>
      <c r="K2337" s="1134"/>
      <c r="L2337" s="1113"/>
      <c r="M2337" s="977">
        <v>630</v>
      </c>
    </row>
    <row r="2338" spans="1:13" s="1086" customFormat="1" ht="25.15" hidden="1" customHeight="1">
      <c r="A2338" s="1156">
        <f t="shared" si="167"/>
        <v>0</v>
      </c>
      <c r="B2338" s="1327" t="s">
        <v>1871</v>
      </c>
      <c r="C2338" s="1327"/>
      <c r="D2338" s="1093"/>
      <c r="E2338" s="1082" t="str">
        <f>VLOOKUP($B2338,DG!A:D,DG!$B$2,)</f>
        <v>03.4001</v>
      </c>
      <c r="F2338" s="1111" t="str">
        <f>VLOOKUP($B2338,DG!A:D,DG!$C$2,)</f>
        <v xml:space="preserve">Đầu cosse ép Cu 2,5mm2 + bao PVC </v>
      </c>
      <c r="G2338" s="1138" t="str">
        <f>VLOOKUP($B2338,DG!A:D,DG!$D$2,)</f>
        <v>cái</v>
      </c>
      <c r="H2338" s="1873">
        <f>H2334*16</f>
        <v>0</v>
      </c>
      <c r="I2338" s="1262">
        <f t="shared" si="166"/>
        <v>0</v>
      </c>
      <c r="J2338" s="1134"/>
      <c r="K2338" s="1134"/>
      <c r="L2338" s="1113"/>
      <c r="M2338" s="977">
        <v>630</v>
      </c>
    </row>
    <row r="2339" spans="1:13" s="1086" customFormat="1" ht="25.15" hidden="1" customHeight="1">
      <c r="A2339" s="1156">
        <f t="shared" si="167"/>
        <v>0</v>
      </c>
      <c r="B2339" s="1327" t="s">
        <v>1515</v>
      </c>
      <c r="C2339" s="1327"/>
      <c r="D2339" s="1093"/>
      <c r="E2339" s="1082">
        <f>VLOOKUP($B2339,DG!A:D,DG!$B$2,)</f>
        <v>0</v>
      </c>
      <c r="F2339" s="1111" t="str">
        <f>VLOOKUP($B2339,DG!A:D,DG!$C$2,)</f>
        <v>Dây điện đôi 16/10</v>
      </c>
      <c r="G2339" s="1138" t="str">
        <f>VLOOKUP($B2339,DG!A:D,DG!$D$2,)</f>
        <v>mét</v>
      </c>
      <c r="H2339" s="1873">
        <f>2*H2334</f>
        <v>0</v>
      </c>
      <c r="I2339" s="1262">
        <f t="shared" si="166"/>
        <v>0</v>
      </c>
      <c r="J2339" s="1134"/>
      <c r="K2339" s="1134"/>
      <c r="L2339" s="1113"/>
      <c r="M2339" s="977">
        <v>630</v>
      </c>
    </row>
    <row r="2340" spans="1:13" s="1086" customFormat="1" ht="25.15" hidden="1" customHeight="1">
      <c r="A2340" s="1156">
        <f t="shared" si="167"/>
        <v>0</v>
      </c>
      <c r="B2340" s="1327" t="s">
        <v>1116</v>
      </c>
      <c r="C2340" s="1327"/>
      <c r="D2340" s="1093"/>
      <c r="E2340" s="1082">
        <f>VLOOKUP($B2340,DG!A:D,DG!$B$2,)</f>
        <v>0</v>
      </c>
      <c r="F2340" s="1111" t="str">
        <f>VLOOKUP($B2340,DG!A:D,DG!$C$2,)&amp;" (ñaáu TU )"</f>
        <v>Kẹp ép cỡ dây 25mm2 (ñaáu TU )</v>
      </c>
      <c r="G2340" s="1138" t="str">
        <f>VLOOKUP($B2340,DG!A:D,DG!$D$2,)</f>
        <v>cái</v>
      </c>
      <c r="H2340" s="1873">
        <f>+H2334*3</f>
        <v>0</v>
      </c>
      <c r="I2340" s="1262">
        <f t="shared" si="166"/>
        <v>0</v>
      </c>
      <c r="J2340" s="1134"/>
      <c r="K2340" s="1134"/>
      <c r="L2340" s="1113"/>
      <c r="M2340" s="977">
        <v>630</v>
      </c>
    </row>
    <row r="2341" spans="1:13" s="1086" customFormat="1" ht="25.15" hidden="1" customHeight="1">
      <c r="A2341" s="1156">
        <f t="shared" si="167"/>
        <v>0</v>
      </c>
      <c r="B2341" s="1327" t="s">
        <v>2149</v>
      </c>
      <c r="C2341" s="1327"/>
      <c r="D2341" s="1093"/>
      <c r="E2341" s="1082" t="str">
        <f>VLOOKUP($B2341,DG!A:D,DG!$B$2,)</f>
        <v>07.2403</v>
      </c>
      <c r="F2341" s="1111" t="str">
        <f>VLOOKUP($B2341,DG!A:D,DG!$C$2,)</f>
        <v>Ống PVC D42x2,1mm</v>
      </c>
      <c r="G2341" s="1138" t="str">
        <f>VLOOKUP($B2341,DG!A:D,DG!$D$2,)</f>
        <v>m</v>
      </c>
      <c r="H2341" s="1873">
        <f>H2334*16</f>
        <v>0</v>
      </c>
      <c r="I2341" s="1262">
        <f t="shared" si="166"/>
        <v>0</v>
      </c>
      <c r="J2341" s="1134"/>
      <c r="K2341" s="1134"/>
      <c r="L2341" s="1113"/>
      <c r="M2341" s="977">
        <v>630</v>
      </c>
    </row>
    <row r="2342" spans="1:13" s="1086" customFormat="1" ht="25.15" hidden="1" customHeight="1">
      <c r="A2342" s="1156">
        <f t="shared" si="167"/>
        <v>0</v>
      </c>
      <c r="B2342" s="1157" t="s">
        <v>204</v>
      </c>
      <c r="C2342" s="1157"/>
      <c r="D2342" s="1093"/>
      <c r="E2342" s="1082" t="str">
        <f>VLOOKUP($B2342,DG!A:D,DG!$B$2,)</f>
        <v>06.3231</v>
      </c>
      <c r="F2342" s="1111" t="str">
        <f>VLOOKUP($B2342,DG!A:D,DG!$C$2,)</f>
        <v>Cổ dê giữ ống PVC D42</v>
      </c>
      <c r="G2342" s="1138" t="str">
        <f>VLOOKUP($B2342,DG!A:D,DG!$D$2,)</f>
        <v>bộ</v>
      </c>
      <c r="H2342" s="1873">
        <f>H2334*4</f>
        <v>0</v>
      </c>
      <c r="I2342" s="1262">
        <f t="shared" si="166"/>
        <v>0</v>
      </c>
      <c r="J2342" s="1134"/>
      <c r="K2342" s="1134"/>
      <c r="L2342" s="1113"/>
      <c r="M2342" s="977">
        <v>630</v>
      </c>
    </row>
    <row r="2343" spans="1:13" s="1086" customFormat="1" ht="25.15" hidden="1" customHeight="1">
      <c r="A2343" s="1156">
        <f t="shared" si="167"/>
        <v>0</v>
      </c>
      <c r="B2343" s="1327" t="s">
        <v>1621</v>
      </c>
      <c r="C2343" s="1327"/>
      <c r="D2343" s="1093"/>
      <c r="E2343" s="1082">
        <f>VLOOKUP($B2343,DG!A:D,DG!$B$2,)</f>
        <v>0</v>
      </c>
      <c r="F2343" s="1111" t="str">
        <f>VLOOKUP($B2343,DG!A:D,DG!$C$2,)</f>
        <v>Co 90 độ PVC 42</v>
      </c>
      <c r="G2343" s="1138" t="str">
        <f>VLOOKUP($B2343,DG!A:D,DG!$D$2,)</f>
        <v>cái</v>
      </c>
      <c r="H2343" s="1873">
        <f>H2334*5</f>
        <v>0</v>
      </c>
      <c r="I2343" s="1262">
        <f t="shared" si="166"/>
        <v>0</v>
      </c>
      <c r="J2343" s="1134"/>
      <c r="K2343" s="1134"/>
      <c r="L2343" s="1113"/>
      <c r="M2343" s="977">
        <v>630</v>
      </c>
    </row>
    <row r="2344" spans="1:13" s="1086" customFormat="1" ht="25.15" hidden="1" customHeight="1">
      <c r="A2344" s="1156">
        <f t="shared" si="167"/>
        <v>0</v>
      </c>
      <c r="B2344" s="1327" t="s">
        <v>1052</v>
      </c>
      <c r="C2344" s="1327"/>
      <c r="D2344" s="1093"/>
      <c r="E2344" s="1082">
        <f>VLOOKUP($B2344,DG!A:D,DG!$B$2,)</f>
        <v>0</v>
      </c>
      <c r="F2344" s="1111" t="str">
        <f>VLOOKUP($B2344,DG!A:D,DG!$C$2,)</f>
        <v>Co chữ T ống PVC 42</v>
      </c>
      <c r="G2344" s="1138" t="str">
        <f>VLOOKUP($B2344,DG!A:D,DG!$D$2,)</f>
        <v>cái</v>
      </c>
      <c r="H2344" s="1873">
        <f>H2334*5</f>
        <v>0</v>
      </c>
      <c r="I2344" s="1262">
        <f t="shared" si="166"/>
        <v>0</v>
      </c>
      <c r="J2344" s="1134"/>
      <c r="K2344" s="1134"/>
      <c r="L2344" s="1113"/>
      <c r="M2344" s="977">
        <v>630</v>
      </c>
    </row>
    <row r="2345" spans="1:13" s="1086" customFormat="1" ht="25.15" hidden="1" customHeight="1">
      <c r="A2345" s="1156">
        <f t="shared" si="167"/>
        <v>0</v>
      </c>
      <c r="B2345" s="1327" t="s">
        <v>1919</v>
      </c>
      <c r="C2345" s="1327"/>
      <c r="D2345" s="1093"/>
      <c r="E2345" s="1082">
        <f>VLOOKUP($B2345,DG!A:D,DG!$B$2,)</f>
        <v>0</v>
      </c>
      <c r="F2345" s="1111" t="str">
        <f>VLOOKUP($B2345,DG!A:D,DG!$C$2,)</f>
        <v>Nối thẳng ống PVC 42</v>
      </c>
      <c r="G2345" s="1138" t="str">
        <f>VLOOKUP($B2345,DG!A:D,DG!$D$2,)</f>
        <v>cái</v>
      </c>
      <c r="H2345" s="1873">
        <f>H2334</f>
        <v>0</v>
      </c>
      <c r="I2345" s="1262">
        <f t="shared" si="166"/>
        <v>0</v>
      </c>
      <c r="J2345" s="1134"/>
      <c r="K2345" s="1134"/>
      <c r="L2345" s="1113"/>
      <c r="M2345" s="977">
        <v>630</v>
      </c>
    </row>
    <row r="2346" spans="1:13" s="1086" customFormat="1" ht="25.15" hidden="1" customHeight="1">
      <c r="A2346" s="1156">
        <f t="shared" si="167"/>
        <v>0</v>
      </c>
      <c r="B2346" s="1327" t="s">
        <v>699</v>
      </c>
      <c r="C2346" s="1327"/>
      <c r="D2346" s="1093"/>
      <c r="E2346" s="1082">
        <f>VLOOKUP($B2346,DG!A:D,DG!$B$2,)</f>
        <v>0</v>
      </c>
      <c r="F2346" s="1111" t="str">
        <f>VLOOKUP($B2346,DG!A:D,DG!$C$2,)&amp;" ñaáu TU"</f>
        <v>Cáp 24KV CX-25mm2 ñaáu TU</v>
      </c>
      <c r="G2346" s="1138" t="str">
        <f>VLOOKUP($B2346,DG!A:D,DG!$D$2,)</f>
        <v>mét</v>
      </c>
      <c r="H2346" s="1873">
        <f>H2334*2.5*3*0</f>
        <v>0</v>
      </c>
      <c r="I2346" s="1262">
        <f t="shared" si="166"/>
        <v>0</v>
      </c>
      <c r="J2346" s="1134"/>
      <c r="K2346" s="1134"/>
      <c r="L2346" s="1113"/>
      <c r="M2346" s="977">
        <v>630</v>
      </c>
    </row>
    <row r="2347" spans="1:13" s="1086" customFormat="1" ht="25.15" hidden="1" customHeight="1">
      <c r="A2347" s="1156">
        <f t="shared" si="167"/>
        <v>0</v>
      </c>
      <c r="B2347" s="1327" t="s">
        <v>728</v>
      </c>
      <c r="C2347" s="1327"/>
      <c r="D2347" s="1093"/>
      <c r="E2347" s="1082">
        <f>VLOOKUP($B2347,DG!A:D,DG!$B$2,)</f>
        <v>0</v>
      </c>
      <c r="F2347" s="1111" t="str">
        <f>VLOOKUP($B2347,DG!A:D,DG!$C$2,)</f>
        <v>Keo dán ống PVC (500gr)</v>
      </c>
      <c r="G2347" s="1138" t="str">
        <f>VLOOKUP($B2347,DG!A:D,DG!$D$2,)</f>
        <v>lon</v>
      </c>
      <c r="H2347" s="1873">
        <f>H2334</f>
        <v>0</v>
      </c>
      <c r="I2347" s="1262">
        <f t="shared" si="166"/>
        <v>0</v>
      </c>
      <c r="J2347" s="1134"/>
      <c r="K2347" s="1134"/>
      <c r="L2347" s="1113"/>
      <c r="M2347" s="977">
        <v>630</v>
      </c>
    </row>
    <row r="2348" spans="1:13" s="1086" customFormat="1" ht="25.15" hidden="1" customHeight="1">
      <c r="A2348" s="1156">
        <f t="shared" si="167"/>
        <v>0</v>
      </c>
      <c r="B2348" s="1157" t="s">
        <v>672</v>
      </c>
      <c r="C2348" s="1157"/>
      <c r="D2348" s="1093"/>
      <c r="E2348" s="1082">
        <f>VLOOKUP($B2348,DG!A:D,DG!$B$2,)</f>
        <v>0</v>
      </c>
      <c r="F2348" s="1111" t="str">
        <f>VLOOKUP($B2348,DG!A:D,DG!$C$2,)</f>
        <v>Băng keo cách điện</v>
      </c>
      <c r="G2348" s="1138" t="str">
        <f>VLOOKUP($B2348,DG!A:D,DG!$D$2,)</f>
        <v>cuộn</v>
      </c>
      <c r="H2348" s="1873">
        <f>H2334</f>
        <v>0</v>
      </c>
      <c r="I2348" s="1262">
        <f t="shared" si="166"/>
        <v>0</v>
      </c>
      <c r="J2348" s="1084"/>
      <c r="K2348" s="1084"/>
      <c r="L2348" s="1113"/>
      <c r="M2348" s="977">
        <v>630</v>
      </c>
    </row>
    <row r="2349" spans="1:13" s="1086" customFormat="1" ht="25.15" hidden="1" customHeight="1">
      <c r="A2349" s="1156">
        <f t="shared" si="167"/>
        <v>0</v>
      </c>
      <c r="B2349" s="1327" t="s">
        <v>2128</v>
      </c>
      <c r="C2349" s="1327"/>
      <c r="D2349" s="1093"/>
      <c r="E2349" s="1082">
        <f>VLOOKUP($B2349,DG!A:D,DG!$B$2,)</f>
        <v>0</v>
      </c>
      <c r="F2349" s="1111" t="str">
        <f>VLOOKUP($B2349,DG!A:D,DG!$C$2,)</f>
        <v>Khâu ven răng trong D42</v>
      </c>
      <c r="G2349" s="1138" t="str">
        <f>VLOOKUP($B2349,DG!A:D,DG!$D$2,)</f>
        <v>cái</v>
      </c>
      <c r="H2349" s="1873">
        <f>H2334</f>
        <v>0</v>
      </c>
      <c r="I2349" s="1262">
        <f t="shared" si="166"/>
        <v>0</v>
      </c>
      <c r="J2349" s="1084"/>
      <c r="K2349" s="1084"/>
      <c r="L2349" s="1113"/>
      <c r="M2349" s="977">
        <v>630</v>
      </c>
    </row>
    <row r="2350" spans="1:13" s="1086" customFormat="1" ht="25.15" hidden="1" customHeight="1">
      <c r="A2350" s="1156">
        <f t="shared" si="167"/>
        <v>0</v>
      </c>
      <c r="B2350" s="1157" t="s">
        <v>961</v>
      </c>
      <c r="C2350" s="1157"/>
      <c r="D2350" s="1093"/>
      <c r="E2350" s="1082">
        <f>VLOOKUP($B2350,DG!A:D,DG!$B$2,)</f>
        <v>0</v>
      </c>
      <c r="F2350" s="1111" t="str">
        <f>VLOOKUP($B2350,DG!A:D,DG!$C$2,)</f>
        <v>Khâu ven răng ngoài D42</v>
      </c>
      <c r="G2350" s="1138" t="str">
        <f>VLOOKUP($B2350,DG!A:D,DG!$D$2,)</f>
        <v>cái</v>
      </c>
      <c r="H2350" s="1873">
        <f>H2334</f>
        <v>0</v>
      </c>
      <c r="I2350" s="1262">
        <f t="shared" si="166"/>
        <v>0</v>
      </c>
      <c r="J2350" s="1084"/>
      <c r="K2350" s="1084"/>
      <c r="L2350" s="1113"/>
      <c r="M2350" s="977">
        <v>630</v>
      </c>
    </row>
    <row r="2351" spans="1:13" s="1086" customFormat="1" ht="25.15" hidden="1" customHeight="1">
      <c r="A2351" s="1156">
        <f t="shared" si="167"/>
        <v>0</v>
      </c>
      <c r="B2351" s="1157" t="s">
        <v>319</v>
      </c>
      <c r="C2351" s="1157"/>
      <c r="D2351" s="1093"/>
      <c r="E2351" s="1082" t="str">
        <f>VLOOKUP($B2351,DG!A:D,DG!$B$2,)</f>
        <v>06.3231</v>
      </c>
      <c r="F2351" s="1111" t="str">
        <f>VLOOKUP($B2351,DG!A:D,DG!$C$2,)</f>
        <v>Cổ dê CDĐKĐT( bắt thùng điện kế)</v>
      </c>
      <c r="G2351" s="1138" t="str">
        <f>VLOOKUP($B2351,DG!A:D,DG!$D$2,)</f>
        <v>bộ</v>
      </c>
      <c r="H2351" s="1911">
        <f>H2334*2*0</f>
        <v>0</v>
      </c>
      <c r="I2351" s="1262">
        <f t="shared" si="166"/>
        <v>0</v>
      </c>
      <c r="J2351" s="1084"/>
      <c r="K2351" s="1084"/>
      <c r="L2351" s="1085"/>
      <c r="M2351" s="977">
        <v>630</v>
      </c>
    </row>
    <row r="2352" spans="1:13" s="1086" customFormat="1" ht="25.15" hidden="1" customHeight="1">
      <c r="A2352" s="1156">
        <f t="shared" si="167"/>
        <v>0</v>
      </c>
      <c r="B2352" s="1157" t="s">
        <v>1921</v>
      </c>
      <c r="C2352" s="1157"/>
      <c r="D2352" s="1093"/>
      <c r="E2352" s="1082" t="str">
        <f>VLOOKUP($B2352,DG!A:D,DG!$B$2,)</f>
        <v>05.1101</v>
      </c>
      <c r="F2352" s="1111" t="str">
        <f>VLOOKUP($B2352,DG!A:D,DG!$C$2,)</f>
        <v>Thùng điện kế 450x300x200mm đo đếm trung thế</v>
      </c>
      <c r="G2352" s="1138" t="str">
        <f>VLOOKUP($B2352,DG!A:D,DG!$D$2,)</f>
        <v>cái</v>
      </c>
      <c r="H2352" s="1873">
        <f>H2334*0</f>
        <v>0</v>
      </c>
      <c r="I2352" s="1262">
        <f t="shared" si="166"/>
        <v>0</v>
      </c>
      <c r="J2352" s="1084"/>
      <c r="K2352" s="1084"/>
      <c r="L2352" s="1113"/>
      <c r="M2352" s="977">
        <v>630</v>
      </c>
    </row>
    <row r="2353" spans="1:13" s="1086" customFormat="1" ht="25.15" hidden="1" customHeight="1">
      <c r="A2353" s="1156">
        <f t="shared" si="167"/>
        <v>0</v>
      </c>
      <c r="B2353" s="1157" t="s">
        <v>6</v>
      </c>
      <c r="C2353" s="1157"/>
      <c r="D2353" s="1093"/>
      <c r="E2353" s="1082">
        <f>VLOOKUP($B2353,DG!A:D,DG!$B$2,)</f>
        <v>0</v>
      </c>
      <c r="F2353" s="1111" t="str">
        <f>VLOOKUP($B2353,DG!A:D,DG!$C$2,)</f>
        <v>Keo silicon bít miệng ống</v>
      </c>
      <c r="G2353" s="1138" t="str">
        <f>VLOOKUP($B2353,DG!A:D,DG!$D$2,)</f>
        <v>ống</v>
      </c>
      <c r="H2353" s="1873">
        <f>H2334</f>
        <v>0</v>
      </c>
      <c r="I2353" s="1262">
        <f t="shared" si="166"/>
        <v>0</v>
      </c>
      <c r="J2353" s="1084"/>
      <c r="K2353" s="1084"/>
      <c r="L2353" s="1113"/>
      <c r="M2353" s="977">
        <v>630</v>
      </c>
    </row>
    <row r="2354" spans="1:13" s="1086" customFormat="1" ht="25.15" hidden="1" customHeight="1">
      <c r="A2354" s="1156">
        <f t="shared" si="167"/>
        <v>0</v>
      </c>
      <c r="B2354" s="1157" t="s">
        <v>2147</v>
      </c>
      <c r="C2354" s="1157"/>
      <c r="D2354" s="1093"/>
      <c r="E2354" s="1082">
        <f>VLOOKUP($B2354,DG!A:D,DG!$B$2,)</f>
        <v>0</v>
      </c>
      <c r="F2354" s="1111" t="str">
        <f>VLOOKUP($B2354,DG!A:D,DG!$C$2,)</f>
        <v>Dây đồng trần mềm dẹt</v>
      </c>
      <c r="G2354" s="1138" t="str">
        <f>VLOOKUP($B2354,DG!A:D,DG!$D$2,)</f>
        <v>mét</v>
      </c>
      <c r="H2354" s="1873">
        <f>H2334*4</f>
        <v>0</v>
      </c>
      <c r="I2354" s="1262">
        <f t="shared" si="166"/>
        <v>0</v>
      </c>
      <c r="J2354" s="1084"/>
      <c r="K2354" s="1084"/>
      <c r="L2354" s="1113"/>
      <c r="M2354" s="977">
        <v>630</v>
      </c>
    </row>
    <row r="2355" spans="1:13" s="1086" customFormat="1" ht="25.15" hidden="1" customHeight="1">
      <c r="A2355" s="1156">
        <f t="shared" si="167"/>
        <v>0</v>
      </c>
      <c r="B2355" s="1157" t="s">
        <v>1221</v>
      </c>
      <c r="C2355" s="1157"/>
      <c r="D2355" s="1093"/>
      <c r="E2355" s="1082" t="str">
        <f>VLOOKUP($B2355,DG!A:D,DG!$B$2,)</f>
        <v>06.3191</v>
      </c>
      <c r="F2355" s="1111" t="str">
        <f>VLOOKUP($B2355,DG!A:D,DG!$C$2,)</f>
        <v>Bảng tên trạm, bảng báo nguy hiểm + đinh vít</v>
      </c>
      <c r="G2355" s="1138" t="str">
        <f>VLOOKUP($B2355,DG!A:D,DG!$D$2,)</f>
        <v>bộ</v>
      </c>
      <c r="H2355" s="1873">
        <f>H2334</f>
        <v>0</v>
      </c>
      <c r="I2355" s="1262">
        <f t="shared" ref="I2355:I2418" si="168">IF(M2355=$M$23,H2355+J2355-K2355,0)</f>
        <v>0</v>
      </c>
      <c r="J2355" s="1084"/>
      <c r="K2355" s="1084"/>
      <c r="L2355" s="1113"/>
      <c r="M2355" s="977">
        <v>630</v>
      </c>
    </row>
    <row r="2356" spans="1:13" s="1086" customFormat="1" ht="25.15" hidden="1" customHeight="1">
      <c r="A2356" s="1156">
        <f t="shared" si="167"/>
        <v>0</v>
      </c>
      <c r="B2356" s="1157" t="s">
        <v>1355</v>
      </c>
      <c r="C2356" s="1157"/>
      <c r="D2356" s="1093"/>
      <c r="E2356" s="1082">
        <f>VLOOKUP($B2356,DG!A:D,DG!$B$2,)</f>
        <v>0</v>
      </c>
      <c r="F2356" s="1111" t="str">
        <f>VLOOKUP($B2356,DG!A:D,DG!$C$2,)&amp;" baét thuøng ÑKÑT"</f>
        <v>Boulon 12x60+ 2 long đền vuông D14-50x50x3/Zn baét thuøng ÑKÑT</v>
      </c>
      <c r="G2356" s="1138" t="str">
        <f>VLOOKUP($B2356,DG!A:D,DG!$D$2,)</f>
        <v>bộ</v>
      </c>
      <c r="H2356" s="1873">
        <f>4*H2334*0</f>
        <v>0</v>
      </c>
      <c r="I2356" s="1262">
        <f t="shared" si="168"/>
        <v>0</v>
      </c>
      <c r="J2356" s="1084"/>
      <c r="K2356" s="1084"/>
      <c r="L2356" s="1113"/>
      <c r="M2356" s="977">
        <v>630</v>
      </c>
    </row>
    <row r="2357" spans="1:13" s="1086" customFormat="1" ht="25.15" hidden="1" customHeight="1">
      <c r="A2357" s="1156">
        <f t="shared" si="167"/>
        <v>0</v>
      </c>
      <c r="B2357" s="1157"/>
      <c r="C2357" s="1157"/>
      <c r="D2357" s="1118"/>
      <c r="E2357" s="1119"/>
      <c r="F2357" s="1108" t="s">
        <v>3751</v>
      </c>
      <c r="G2357" s="1108"/>
      <c r="H2357" s="1897"/>
      <c r="I2357" s="1262">
        <f t="shared" si="168"/>
        <v>0</v>
      </c>
      <c r="J2357" s="1108"/>
      <c r="K2357" s="1108"/>
      <c r="L2357" s="1139"/>
      <c r="M2357" s="977">
        <v>630</v>
      </c>
    </row>
    <row r="2358" spans="1:13" s="1086" customFormat="1" ht="25.15" hidden="1" customHeight="1">
      <c r="A2358" s="1156">
        <f t="shared" si="167"/>
        <v>0</v>
      </c>
      <c r="B2358" s="1157" t="s">
        <v>968</v>
      </c>
      <c r="C2358" s="1157"/>
      <c r="D2358" s="1093"/>
      <c r="E2358" s="1082" t="str">
        <f>VLOOKUP($B2358,DG!A:D,DG!$B$2,)</f>
        <v>02.5114</v>
      </c>
      <c r="F2358" s="1111" t="s">
        <v>3752</v>
      </c>
      <c r="G2358" s="1138" t="str">
        <f>VLOOKUP($B2358,DG!A:D,DG!$D$2,)</f>
        <v>cái</v>
      </c>
      <c r="H2358" s="1873"/>
      <c r="I2358" s="1262">
        <f t="shared" si="168"/>
        <v>0</v>
      </c>
      <c r="J2358" s="1084"/>
      <c r="K2358" s="1084"/>
      <c r="L2358" s="1113" t="s">
        <v>3753</v>
      </c>
      <c r="M2358" s="977">
        <v>630</v>
      </c>
    </row>
    <row r="2359" spans="1:13" s="1086" customFormat="1" ht="25.15" hidden="1" customHeight="1">
      <c r="A2359" s="1156">
        <f t="shared" si="167"/>
        <v>0</v>
      </c>
      <c r="B2359" s="1157" t="s">
        <v>1912</v>
      </c>
      <c r="C2359" s="1157"/>
      <c r="D2359" s="1093"/>
      <c r="E2359" s="1082" t="str">
        <f>VLOOKUP($B2359,DG!A:D,DG!$B$2,)</f>
        <v>05.6011</v>
      </c>
      <c r="F2359" s="1111" t="s">
        <v>2470</v>
      </c>
      <c r="G2359" s="1138" t="str">
        <f>VLOOKUP($B2359,DG!A:D,DG!$D$2,)</f>
        <v>bộ</v>
      </c>
      <c r="H2359" s="1873"/>
      <c r="I2359" s="1262">
        <f t="shared" si="168"/>
        <v>0</v>
      </c>
      <c r="J2359" s="1084"/>
      <c r="K2359" s="1084"/>
      <c r="L2359" s="1085"/>
      <c r="M2359" s="977">
        <v>630</v>
      </c>
    </row>
    <row r="2360" spans="1:13" s="1086" customFormat="1" ht="25.15" hidden="1" customHeight="1">
      <c r="A2360" s="1156">
        <f t="shared" si="167"/>
        <v>0</v>
      </c>
      <c r="B2360" s="1157"/>
      <c r="C2360" s="1157"/>
      <c r="D2360" s="1140"/>
      <c r="E2360" s="1141"/>
      <c r="F2360" s="1108"/>
      <c r="G2360" s="1142"/>
      <c r="H2360" s="1900"/>
      <c r="I2360" s="1262">
        <f t="shared" si="168"/>
        <v>0</v>
      </c>
      <c r="J2360" s="1143"/>
      <c r="K2360" s="1144"/>
      <c r="L2360" s="1110"/>
      <c r="M2360" s="977"/>
    </row>
    <row r="2361" spans="1:13" s="1086" customFormat="1" ht="25.15" hidden="1" customHeight="1">
      <c r="A2361" s="1156">
        <f t="shared" si="167"/>
        <v>0</v>
      </c>
      <c r="B2361" s="1157"/>
      <c r="C2361" s="1157"/>
      <c r="D2361" s="1145"/>
      <c r="F2361" s="1146"/>
      <c r="H2361" s="1902"/>
      <c r="I2361" s="1262">
        <f t="shared" si="168"/>
        <v>0</v>
      </c>
      <c r="M2361" s="977"/>
    </row>
    <row r="2362" spans="1:13" s="1086" customFormat="1" ht="25.15" hidden="1" customHeight="1">
      <c r="A2362" s="1156">
        <f t="shared" si="167"/>
        <v>0</v>
      </c>
      <c r="B2362" s="1353"/>
      <c r="C2362" s="1353"/>
      <c r="D2362" s="983" t="e">
        <f>"BAÛNG TOÅNG HÔÏP VAÄT LIEÄU, NHAÂN COÂNG, MAÙY THI COÂNG : "&amp;#REF!&amp;" TRAÏM 3P_1000KVA"</f>
        <v>#REF!</v>
      </c>
      <c r="E2362" s="983"/>
      <c r="F2362" s="983"/>
      <c r="G2362" s="983"/>
      <c r="H2362" s="1894"/>
      <c r="I2362" s="1262">
        <f t="shared" si="168"/>
        <v>0</v>
      </c>
      <c r="J2362" s="1147"/>
      <c r="K2362" s="1147"/>
      <c r="L2362" s="1148"/>
      <c r="M2362" s="977"/>
    </row>
    <row r="2363" spans="1:13" s="1086" customFormat="1" ht="25.15" hidden="1" customHeight="1">
      <c r="A2363" s="1156">
        <f t="shared" si="167"/>
        <v>0</v>
      </c>
      <c r="B2363" s="1327"/>
      <c r="C2363" s="1327"/>
      <c r="D2363" s="1106"/>
      <c r="E2363" s="1107"/>
      <c r="F2363" s="1108" t="s">
        <v>3693</v>
      </c>
      <c r="G2363" s="1109"/>
      <c r="H2363" s="1930"/>
      <c r="I2363" s="1262">
        <f t="shared" si="168"/>
        <v>0</v>
      </c>
      <c r="J2363" s="1109"/>
      <c r="K2363" s="1109"/>
      <c r="L2363" s="1139"/>
      <c r="M2363" s="977">
        <v>1000</v>
      </c>
    </row>
    <row r="2364" spans="1:13" s="1086" customFormat="1" ht="25.15" hidden="1" customHeight="1">
      <c r="A2364" s="1156">
        <f t="shared" si="167"/>
        <v>0</v>
      </c>
      <c r="B2364" s="1328" t="s">
        <v>4541</v>
      </c>
      <c r="C2364" s="1328"/>
      <c r="D2364" s="1093">
        <f>IF(H2364&gt;0,1,0)</f>
        <v>0</v>
      </c>
      <c r="E2364" s="1082" t="str">
        <f>VLOOKUP($B2364,DG!A:D,DG!$B$2,)</f>
        <v>01.1147</v>
      </c>
      <c r="F2364" s="1083" t="str">
        <f>VLOOKUP($B2364,DG!A:D,DG!$C$2,)</f>
        <v>Máy biến áp 22/0,4kV- 1000kVA</v>
      </c>
      <c r="G2364" s="1082" t="str">
        <f>VLOOKUP($B2364,DG!A:D,DG!$D$2,)</f>
        <v>máy</v>
      </c>
      <c r="H2364" s="1904">
        <f>L16</f>
        <v>0</v>
      </c>
      <c r="I2364" s="1262">
        <f t="shared" si="168"/>
        <v>0</v>
      </c>
      <c r="J2364" s="1111"/>
      <c r="K2364" s="1111"/>
      <c r="L2364" s="1150"/>
      <c r="M2364" s="977">
        <v>1000</v>
      </c>
    </row>
    <row r="2365" spans="1:13" s="1086" customFormat="1" ht="25.15" hidden="1" customHeight="1">
      <c r="A2365" s="1156">
        <f t="shared" si="167"/>
        <v>0</v>
      </c>
      <c r="B2365" s="1328" t="s">
        <v>393</v>
      </c>
      <c r="C2365" s="1328"/>
      <c r="D2365" s="1093">
        <f t="shared" ref="D2365:D2371" si="169">IF(H2365&gt;0,D2364+1,D2364)</f>
        <v>0</v>
      </c>
      <c r="E2365" s="1082" t="str">
        <f>VLOOKUP($B2365,DG!A:D,DG!$B$2,)</f>
        <v>02.3302</v>
      </c>
      <c r="F2365" s="1083" t="str">
        <f>VLOOKUP($B2365,DG!A:D,DG!$C$2,)</f>
        <v xml:space="preserve">DS 3P - 24KV - 630A </v>
      </c>
      <c r="G2365" s="1082" t="str">
        <f>VLOOKUP($B2365,DG!A:D,DG!$D$2,)</f>
        <v>bộ</v>
      </c>
      <c r="H2365" s="1873">
        <f>H2364</f>
        <v>0</v>
      </c>
      <c r="I2365" s="1262">
        <f t="shared" si="168"/>
        <v>0</v>
      </c>
      <c r="J2365" s="1111"/>
      <c r="K2365" s="1111"/>
      <c r="L2365" s="1085"/>
      <c r="M2365" s="977">
        <v>1000</v>
      </c>
    </row>
    <row r="2366" spans="1:13" s="1086" customFormat="1" ht="25.15" hidden="1" customHeight="1">
      <c r="A2366" s="1156">
        <f t="shared" si="167"/>
        <v>0</v>
      </c>
      <c r="B2366" s="1327" t="s">
        <v>1</v>
      </c>
      <c r="C2366" s="1327"/>
      <c r="D2366" s="1093">
        <f t="shared" si="169"/>
        <v>0</v>
      </c>
      <c r="E2366" s="1082" t="str">
        <f>VLOOKUP($B2366,DG!A:D,DG!$B$2,)</f>
        <v>05.2102</v>
      </c>
      <c r="F2366" s="1083" t="str">
        <f>VLOOKUP($B2366,DG!A:D,DG!$C$2,)</f>
        <v>Tủ LBS 3 pha 630-800A</v>
      </c>
      <c r="G2366" s="1082" t="str">
        <f>VLOOKUP($B2366,DG!A:D,DG!$D$2,)</f>
        <v>tủ</v>
      </c>
      <c r="H2366" s="1873">
        <f>H2364</f>
        <v>0</v>
      </c>
      <c r="I2366" s="1262">
        <f t="shared" si="168"/>
        <v>0</v>
      </c>
      <c r="J2366" s="1111"/>
      <c r="K2366" s="1111"/>
      <c r="L2366" s="1113" t="s">
        <v>3772</v>
      </c>
      <c r="M2366" s="977">
        <v>1000</v>
      </c>
    </row>
    <row r="2367" spans="1:13" s="1086" customFormat="1" ht="25.15" hidden="1" customHeight="1">
      <c r="A2367" s="1156">
        <f t="shared" si="167"/>
        <v>0</v>
      </c>
      <c r="B2367" s="1328" t="s">
        <v>1657</v>
      </c>
      <c r="C2367" s="1328"/>
      <c r="D2367" s="1093">
        <f t="shared" si="169"/>
        <v>0</v>
      </c>
      <c r="E2367" s="1082" t="str">
        <f>VLOOKUP($B2367,DG!A:D,DG!$B$2,)</f>
        <v>02.3155</v>
      </c>
      <c r="F2367" s="1083" t="str">
        <f>VLOOKUP($B2367,DG!A:D,DG!$C$2,)</f>
        <v>FCO 27kV - 100A</v>
      </c>
      <c r="G2367" s="1082" t="str">
        <f>VLOOKUP($B2367,DG!A:D,DG!$D$2,)</f>
        <v>cái</v>
      </c>
      <c r="H2367" s="1873">
        <f>+H2364*3</f>
        <v>0</v>
      </c>
      <c r="I2367" s="1262">
        <f t="shared" si="168"/>
        <v>0</v>
      </c>
      <c r="J2367" s="1084"/>
      <c r="K2367" s="1084"/>
      <c r="L2367" s="1085"/>
      <c r="M2367" s="977">
        <v>1000</v>
      </c>
    </row>
    <row r="2368" spans="1:13" s="1086" customFormat="1" ht="25.15" hidden="1" customHeight="1">
      <c r="A2368" s="1156">
        <f t="shared" si="167"/>
        <v>0</v>
      </c>
      <c r="B2368" s="1328" t="s">
        <v>2076</v>
      </c>
      <c r="C2368" s="1328"/>
      <c r="D2368" s="1093">
        <f t="shared" si="169"/>
        <v>0</v>
      </c>
      <c r="E2368" s="1082">
        <f>VLOOKUP($B2368,DG!A:D,DG!$B$2,)</f>
        <v>0</v>
      </c>
      <c r="F2368" s="1083" t="str">
        <f>VLOOKUP($B2368,DG!A:D,DG!$C$2,)</f>
        <v>Dây chảy 40K</v>
      </c>
      <c r="G2368" s="1082" t="str">
        <f>VLOOKUP($B2368,DG!A:D,DG!$D$2,)</f>
        <v>Sợi</v>
      </c>
      <c r="H2368" s="1873">
        <f>H2367</f>
        <v>0</v>
      </c>
      <c r="I2368" s="1262">
        <f t="shared" si="168"/>
        <v>0</v>
      </c>
      <c r="J2368" s="1084"/>
      <c r="K2368" s="1084"/>
      <c r="L2368" s="1085"/>
      <c r="M2368" s="977">
        <v>1000</v>
      </c>
    </row>
    <row r="2369" spans="1:13" s="1086" customFormat="1" ht="25.15" hidden="1" customHeight="1">
      <c r="A2369" s="1156">
        <f t="shared" si="167"/>
        <v>0</v>
      </c>
      <c r="B2369" s="1327" t="s">
        <v>1378</v>
      </c>
      <c r="C2369" s="1327"/>
      <c r="D2369" s="1093">
        <f t="shared" si="169"/>
        <v>0</v>
      </c>
      <c r="E2369" s="1082" t="str">
        <f>VLOOKUP($B2369,DG!A:D,DG!$B$2,)</f>
        <v>02.5114</v>
      </c>
      <c r="F2369" s="1083" t="str">
        <f>VLOOKUP($B2369,DG!A:D,DG!$C$2,)</f>
        <v>Chống sét van LA-18KV-10KA</v>
      </c>
      <c r="G2369" s="1082" t="str">
        <f>VLOOKUP($B2369,DG!A:D,DG!$D$2,)</f>
        <v>cái</v>
      </c>
      <c r="H2369" s="1873">
        <f>H2364*3</f>
        <v>0</v>
      </c>
      <c r="I2369" s="1262">
        <f t="shared" si="168"/>
        <v>0</v>
      </c>
      <c r="J2369" s="1084"/>
      <c r="K2369" s="1084"/>
      <c r="L2369" s="1085"/>
      <c r="M2369" s="977">
        <v>1000</v>
      </c>
    </row>
    <row r="2370" spans="1:13" s="1086" customFormat="1" ht="25.15" hidden="1" customHeight="1">
      <c r="A2370" s="1156">
        <f t="shared" si="167"/>
        <v>0</v>
      </c>
      <c r="B2370" s="1328" t="s">
        <v>884</v>
      </c>
      <c r="C2370" s="1328"/>
      <c r="D2370" s="1093">
        <f t="shared" si="169"/>
        <v>0</v>
      </c>
      <c r="E2370" s="1082" t="str">
        <f>VLOOKUP($B2370,DG!A:D,DG!$B$2,)</f>
        <v>02.8404</v>
      </c>
      <c r="F2370" s="1083" t="str">
        <f>VLOOKUP($B2370,DG!A:D,DG!$C$2,)</f>
        <v>MCCB 3 cực 400V -1000A - 50KA</v>
      </c>
      <c r="G2370" s="1082" t="str">
        <f>VLOOKUP($B2370,DG!A:D,DG!$D$2,)</f>
        <v>cái</v>
      </c>
      <c r="H2370" s="1873">
        <f>H2364</f>
        <v>0</v>
      </c>
      <c r="I2370" s="1262">
        <f t="shared" si="168"/>
        <v>0</v>
      </c>
      <c r="J2370" s="1084"/>
      <c r="K2370" s="1084"/>
      <c r="L2370" s="1085"/>
      <c r="M2370" s="977">
        <v>1000</v>
      </c>
    </row>
    <row r="2371" spans="1:13" s="1086" customFormat="1" ht="25.15" hidden="1" customHeight="1">
      <c r="A2371" s="1156">
        <f t="shared" si="167"/>
        <v>0</v>
      </c>
      <c r="B2371" s="1328" t="s">
        <v>1469</v>
      </c>
      <c r="C2371" s="1328"/>
      <c r="D2371" s="1093">
        <f t="shared" si="169"/>
        <v>0</v>
      </c>
      <c r="E2371" s="1082" t="str">
        <f>VLOOKUP($B2371,DG!A:D,DG!$B$2,)</f>
        <v>02.8534</v>
      </c>
      <c r="F2371" s="1083" t="str">
        <f>VLOOKUP($B2371,DG!A:D,DG!$C$2,)</f>
        <v>Tủ tụ bù hạ thế 400kVAr</v>
      </c>
      <c r="G2371" s="1082" t="str">
        <f>VLOOKUP($B2371,DG!A:D,DG!$D$2,)</f>
        <v>tủ</v>
      </c>
      <c r="H2371" s="1873">
        <f>H2370</f>
        <v>0</v>
      </c>
      <c r="I2371" s="1262">
        <f t="shared" si="168"/>
        <v>0</v>
      </c>
      <c r="J2371" s="1084"/>
      <c r="K2371" s="1084"/>
      <c r="L2371" s="1085"/>
      <c r="M2371" s="977">
        <v>1000</v>
      </c>
    </row>
    <row r="2372" spans="1:13" s="1086" customFormat="1" ht="25.15" hidden="1" customHeight="1">
      <c r="A2372" s="1156">
        <f t="shared" si="167"/>
        <v>0</v>
      </c>
      <c r="B2372" s="1328" t="s">
        <v>1733</v>
      </c>
      <c r="C2372" s="1328"/>
      <c r="D2372" s="1093">
        <f>IF(H2372&gt;0,D2370+1,D2370)</f>
        <v>0</v>
      </c>
      <c r="E2372" s="1082" t="str">
        <f>VLOOKUP($B2372,DG!A:D,DG!$B$2,)</f>
        <v>02.1124</v>
      </c>
      <c r="F2372" s="1083" t="str">
        <f>VLOOKUP($B2372,DG!A:D,DG!$C$2,)</f>
        <v>Biến dòng 24kV  25/5A</v>
      </c>
      <c r="G2372" s="1082" t="str">
        <f>VLOOKUP($B2372,DG!A:D,DG!$D$2,)</f>
        <v>cái</v>
      </c>
      <c r="H2372" s="1905">
        <f>H2364*3</f>
        <v>0</v>
      </c>
      <c r="I2372" s="1262">
        <f t="shared" si="168"/>
        <v>0</v>
      </c>
      <c r="J2372" s="1084"/>
      <c r="K2372" s="1084"/>
      <c r="L2372" s="1114" t="s">
        <v>2612</v>
      </c>
      <c r="M2372" s="977">
        <v>1000</v>
      </c>
    </row>
    <row r="2373" spans="1:13" s="1086" customFormat="1" ht="25.15" hidden="1" customHeight="1">
      <c r="A2373" s="1156">
        <f t="shared" si="167"/>
        <v>0</v>
      </c>
      <c r="B2373" s="1157" t="s">
        <v>1674</v>
      </c>
      <c r="C2373" s="1157"/>
      <c r="D2373" s="1093">
        <f>IF(H2373&gt;0,D2371+1,D2371)</f>
        <v>0</v>
      </c>
      <c r="E2373" s="1082">
        <f>VLOOKUP($B2373,DG!A:D,DG!$B$2,)</f>
        <v>0</v>
      </c>
      <c r="F2373" s="1083" t="str">
        <f>VLOOKUP($B2373,DG!A:D,DG!$C$2,)</f>
        <v>Biến dòng 600V - 250/5A</v>
      </c>
      <c r="G2373" s="1082" t="str">
        <f>VLOOKUP($B2373,DG!A:D,DG!$D$2,)</f>
        <v>cái</v>
      </c>
      <c r="H2373" s="1905">
        <f>H2364*3</f>
        <v>0</v>
      </c>
      <c r="I2373" s="1262">
        <f t="shared" si="168"/>
        <v>0</v>
      </c>
      <c r="J2373" s="1084"/>
      <c r="K2373" s="1084"/>
      <c r="L2373" s="1114" t="s">
        <v>2612</v>
      </c>
      <c r="M2373" s="977">
        <v>1000</v>
      </c>
    </row>
    <row r="2374" spans="1:13" s="1086" customFormat="1" ht="25.15" hidden="1" customHeight="1">
      <c r="A2374" s="1156">
        <f t="shared" si="167"/>
        <v>0</v>
      </c>
      <c r="B2374" s="1328" t="s">
        <v>4537</v>
      </c>
      <c r="C2374" s="1328"/>
      <c r="D2374" s="1093">
        <f>IF(H2374&gt;0,D2373+1,D2373)</f>
        <v>0</v>
      </c>
      <c r="E2374" s="1082" t="str">
        <f>VLOOKUP($B2374,DG!A:D,DG!$B$2,)</f>
        <v>02.1114</v>
      </c>
      <c r="F2374" s="1083" t="str">
        <f>VLOOKUP($B2374,DG!A:D,DG!$C$2,)</f>
        <v>Biến điện áp 12000/120(60)V</v>
      </c>
      <c r="G2374" s="1082" t="str">
        <f>VLOOKUP($B2374,DG!A:D,DG!$D$2,)</f>
        <v>cái</v>
      </c>
      <c r="H2374" s="1917">
        <f>+H2373</f>
        <v>0</v>
      </c>
      <c r="I2374" s="1262">
        <f t="shared" si="168"/>
        <v>0</v>
      </c>
      <c r="J2374" s="1084"/>
      <c r="K2374" s="1084"/>
      <c r="L2374" s="1114" t="s">
        <v>2612</v>
      </c>
      <c r="M2374" s="977">
        <v>1000</v>
      </c>
    </row>
    <row r="2375" spans="1:13" s="1086" customFormat="1" ht="25.15" hidden="1" customHeight="1">
      <c r="A2375" s="1156">
        <f t="shared" si="167"/>
        <v>0</v>
      </c>
      <c r="B2375" s="1364" t="s">
        <v>1843</v>
      </c>
      <c r="C2375" s="1364"/>
      <c r="D2375" s="1093">
        <f>IF(H2375&gt;0,D2374+1,D2374)</f>
        <v>0</v>
      </c>
      <c r="E2375" s="1082">
        <f>VLOOKUP($B2375,DG!A:D,DG!$B$2,)</f>
        <v>0</v>
      </c>
      <c r="F2375" s="1083" t="str">
        <f>VLOOKUP($B2375,DG!A:D,DG!$C$2,)</f>
        <v>Điện kế 3 pha điện tử 600V-5A</v>
      </c>
      <c r="G2375" s="1082" t="str">
        <f>VLOOKUP($B2375,DG!A:D,DG!$D$2,)</f>
        <v>cái</v>
      </c>
      <c r="H2375" s="1905">
        <f>H2364</f>
        <v>0</v>
      </c>
      <c r="I2375" s="1262">
        <f t="shared" si="168"/>
        <v>0</v>
      </c>
      <c r="J2375" s="1111"/>
      <c r="K2375" s="1111"/>
      <c r="L2375" s="1115" t="s">
        <v>2612</v>
      </c>
      <c r="M2375" s="977">
        <v>1000</v>
      </c>
    </row>
    <row r="2376" spans="1:13" s="1086" customFormat="1" ht="25.15" hidden="1" customHeight="1">
      <c r="A2376" s="1156">
        <f t="shared" si="167"/>
        <v>0</v>
      </c>
      <c r="B2376" s="1327"/>
      <c r="C2376" s="1327"/>
      <c r="D2376" s="1116"/>
      <c r="E2376" s="1117"/>
      <c r="F2376" s="1079"/>
      <c r="G2376" s="1116"/>
      <c r="H2376" s="1883"/>
      <c r="I2376" s="1262">
        <f t="shared" si="168"/>
        <v>0</v>
      </c>
      <c r="J2376" s="1079"/>
      <c r="K2376" s="1116"/>
      <c r="L2376" s="1139"/>
      <c r="M2376" s="977">
        <v>1000</v>
      </c>
    </row>
    <row r="2377" spans="1:13" s="1086" customFormat="1" ht="25.15" hidden="1" customHeight="1">
      <c r="A2377" s="1156">
        <f t="shared" si="167"/>
        <v>0</v>
      </c>
      <c r="B2377" s="1327"/>
      <c r="C2377" s="1327"/>
      <c r="D2377" s="1118"/>
      <c r="E2377" s="1119"/>
      <c r="F2377" s="1108" t="s">
        <v>3694</v>
      </c>
      <c r="G2377" s="1108"/>
      <c r="H2377" s="1897"/>
      <c r="I2377" s="1262">
        <f t="shared" si="168"/>
        <v>0</v>
      </c>
      <c r="J2377" s="1108"/>
      <c r="K2377" s="1108"/>
      <c r="L2377" s="1139"/>
      <c r="M2377" s="977">
        <v>1000</v>
      </c>
    </row>
    <row r="2378" spans="1:13" s="1086" customFormat="1" ht="25.15" hidden="1" customHeight="1">
      <c r="A2378" s="1156">
        <f t="shared" si="167"/>
        <v>0</v>
      </c>
      <c r="B2378" s="1356"/>
      <c r="C2378" s="1356"/>
      <c r="D2378" s="1120">
        <f>IF(H2378&gt;0,1,0)</f>
        <v>0</v>
      </c>
      <c r="E2378" s="1121"/>
      <c r="F2378" s="1122" t="s">
        <v>3733</v>
      </c>
      <c r="G2378" s="1123" t="s">
        <v>2285</v>
      </c>
      <c r="H2378" s="1906">
        <f>H2364</f>
        <v>0</v>
      </c>
      <c r="I2378" s="1262">
        <f t="shared" si="168"/>
        <v>0</v>
      </c>
      <c r="J2378" s="1124"/>
      <c r="K2378" s="1124"/>
      <c r="L2378" s="1085"/>
      <c r="M2378" s="977">
        <v>1000</v>
      </c>
    </row>
    <row r="2379" spans="1:13" s="1086" customFormat="1" ht="25.15" hidden="1" customHeight="1">
      <c r="A2379" s="1156">
        <f t="shared" si="167"/>
        <v>0</v>
      </c>
      <c r="B2379" s="1157" t="s">
        <v>2241</v>
      </c>
      <c r="C2379" s="1157"/>
      <c r="D2379" s="1125"/>
      <c r="E2379" s="1082"/>
      <c r="F2379" s="1126" t="str">
        <f>VLOOKUP($B2379,DG!A:D,DG!$C$2,)</f>
        <v>Trụ BTLT 10,5m F350 dự ứng lực</v>
      </c>
      <c r="G2379" s="1082" t="str">
        <f>VLOOKUP($B2379,DG!A:D,DG!$D$2,)</f>
        <v>trụ</v>
      </c>
      <c r="H2379" s="1907">
        <f>H2378</f>
        <v>0</v>
      </c>
      <c r="I2379" s="1262">
        <f t="shared" si="168"/>
        <v>0</v>
      </c>
      <c r="J2379" s="1111"/>
      <c r="K2379" s="1081"/>
      <c r="L2379" s="1085"/>
      <c r="M2379" s="977">
        <v>1000</v>
      </c>
    </row>
    <row r="2380" spans="1:13" s="1086" customFormat="1" ht="25.15" hidden="1" customHeight="1">
      <c r="A2380" s="1156">
        <f t="shared" si="167"/>
        <v>0</v>
      </c>
      <c r="B2380" s="1157" t="s">
        <v>1820</v>
      </c>
      <c r="C2380" s="1157"/>
      <c r="D2380" s="1125"/>
      <c r="E2380" s="1082"/>
      <c r="F2380" s="1126" t="str">
        <f>VLOOKUP($B2380,DG!A:D,DG!$C$2,)</f>
        <v>Vật liệu dựng trụ</v>
      </c>
      <c r="G2380" s="1082" t="str">
        <f>VLOOKUP($B2380,DG!A:D,DG!$D$2,)</f>
        <v>trụ</v>
      </c>
      <c r="H2380" s="1907">
        <f>H2379</f>
        <v>0</v>
      </c>
      <c r="I2380" s="1262">
        <f t="shared" si="168"/>
        <v>0</v>
      </c>
      <c r="J2380" s="1081"/>
      <c r="K2380" s="1081"/>
      <c r="L2380" s="1085"/>
      <c r="M2380" s="977">
        <v>1000</v>
      </c>
    </row>
    <row r="2381" spans="1:13" s="1086" customFormat="1" ht="25.15" hidden="1" customHeight="1">
      <c r="A2381" s="1156">
        <f t="shared" si="167"/>
        <v>0</v>
      </c>
      <c r="B2381" s="1157" t="s">
        <v>1617</v>
      </c>
      <c r="C2381" s="1157"/>
      <c r="D2381" s="1125"/>
      <c r="E2381" s="1082" t="str">
        <f>VLOOKUP($B2381,DG!A:D,DG!$B$2,)</f>
        <v>05.5402</v>
      </c>
      <c r="F2381" s="1126" t="str">
        <f>VLOOKUP($B2381,DG!A:D,DG!$C$2,)</f>
        <v>Dựng trụ BTLT 10,5m thủ công + cơ giới</v>
      </c>
      <c r="G2381" s="1082" t="str">
        <f>VLOOKUP($B2381,DG!A:D,DG!$D$2,)</f>
        <v>trụ</v>
      </c>
      <c r="H2381" s="1907">
        <f>H2379</f>
        <v>0</v>
      </c>
      <c r="I2381" s="1262">
        <f t="shared" si="168"/>
        <v>0</v>
      </c>
      <c r="J2381" s="1111"/>
      <c r="K2381" s="1111"/>
      <c r="L2381" s="1085"/>
      <c r="M2381" s="977">
        <v>1000</v>
      </c>
    </row>
    <row r="2382" spans="1:13" s="1086" customFormat="1" ht="25.15" hidden="1" customHeight="1">
      <c r="A2382" s="1156">
        <f t="shared" si="167"/>
        <v>0</v>
      </c>
      <c r="B2382" s="1157" t="s">
        <v>2242</v>
      </c>
      <c r="C2382" s="1157"/>
      <c r="D2382" s="1125"/>
      <c r="E2382" s="1082"/>
      <c r="F2382" s="1126" t="str">
        <f>VLOOKUP($B2382,DG!A:D,DG!$C$2,)</f>
        <v>Đào hố móng đất cấp 3 sâu &gt;1m</v>
      </c>
      <c r="G2382" s="1082" t="str">
        <f>VLOOKUP($B2382,DG!A:D,DG!$D$2,)</f>
        <v>m3</v>
      </c>
      <c r="H2382" s="1907">
        <f>H2378*0.201</f>
        <v>0</v>
      </c>
      <c r="I2382" s="1262">
        <f t="shared" si="168"/>
        <v>0</v>
      </c>
      <c r="J2382" s="1111"/>
      <c r="K2382" s="1111"/>
      <c r="L2382" s="1085"/>
      <c r="M2382" s="977">
        <v>1000</v>
      </c>
    </row>
    <row r="2383" spans="1:13" s="1086" customFormat="1" ht="25.15" hidden="1" customHeight="1">
      <c r="A2383" s="1156">
        <f t="shared" si="167"/>
        <v>0</v>
      </c>
      <c r="B2383" s="1157" t="s">
        <v>21</v>
      </c>
      <c r="C2383" s="1157"/>
      <c r="D2383" s="1125"/>
      <c r="E2383" s="1082" t="str">
        <f>VLOOKUP($B2383,DG!A:D,DG!$B$2,)</f>
        <v>03.4113</v>
      </c>
      <c r="F2383" s="1126" t="str">
        <f>VLOOKUP($B2383,DG!A:D,DG!$C$2,)</f>
        <v>Đắp đất hố móng, độ chặt k=0,95</v>
      </c>
      <c r="G2383" s="1082" t="str">
        <f>VLOOKUP($B2383,DG!A:D,DG!$D$2,)</f>
        <v>m3</v>
      </c>
      <c r="H2383" s="1907">
        <f>H2378*0.182</f>
        <v>0</v>
      </c>
      <c r="I2383" s="1262">
        <f t="shared" si="168"/>
        <v>0</v>
      </c>
      <c r="J2383" s="1111"/>
      <c r="K2383" s="1111"/>
      <c r="L2383" s="1085"/>
      <c r="M2383" s="977">
        <v>1000</v>
      </c>
    </row>
    <row r="2384" spans="1:13" s="1086" customFormat="1" ht="25.15" hidden="1" customHeight="1">
      <c r="A2384" s="1156">
        <f t="shared" si="167"/>
        <v>0</v>
      </c>
      <c r="B2384" s="1357"/>
      <c r="C2384" s="1357"/>
      <c r="D2384" s="1087">
        <f>IF(H2384&gt;0,D2378+1,D2378)</f>
        <v>0</v>
      </c>
      <c r="E2384" s="1121"/>
      <c r="F2384" s="1122" t="s">
        <v>2343</v>
      </c>
      <c r="G2384" s="1123" t="s">
        <v>2336</v>
      </c>
      <c r="H2384" s="1906">
        <f>H2378*0</f>
        <v>0</v>
      </c>
      <c r="I2384" s="1262">
        <f t="shared" si="168"/>
        <v>0</v>
      </c>
      <c r="J2384" s="1081"/>
      <c r="K2384" s="1081"/>
      <c r="L2384" s="1085"/>
      <c r="M2384" s="977">
        <v>1000</v>
      </c>
    </row>
    <row r="2385" spans="1:13" s="1086" customFormat="1" ht="25.15" hidden="1" customHeight="1">
      <c r="A2385" s="1156">
        <f t="shared" si="167"/>
        <v>0</v>
      </c>
      <c r="B2385" s="1334" t="s">
        <v>636</v>
      </c>
      <c r="C2385" s="1334"/>
      <c r="D2385" s="1125"/>
      <c r="E2385" s="1082" t="str">
        <f>VLOOKUP($B2385,DG!A:D,DG!$B$2,)</f>
        <v>04.4001</v>
      </c>
      <c r="F2385" s="1127" t="str">
        <f>VLOOKUP($B2385,DG!A:D,DG!$C$2,)</f>
        <v>Đà cản BTCT 1,2m</v>
      </c>
      <c r="G2385" s="1094" t="str">
        <f>VLOOKUP($B2385,DG!A:D,DG!$D$2,)</f>
        <v>cái</v>
      </c>
      <c r="H2385" s="1907">
        <f>H2384</f>
        <v>0</v>
      </c>
      <c r="I2385" s="1262">
        <f t="shared" si="168"/>
        <v>0</v>
      </c>
      <c r="J2385" s="1111"/>
      <c r="K2385" s="1081"/>
      <c r="L2385" s="1085"/>
      <c r="M2385" s="977">
        <v>1000</v>
      </c>
    </row>
    <row r="2386" spans="1:13" s="1086" customFormat="1" ht="25.15" hidden="1" customHeight="1">
      <c r="A2386" s="1156">
        <f t="shared" si="167"/>
        <v>0</v>
      </c>
      <c r="B2386" s="1334" t="s">
        <v>566</v>
      </c>
      <c r="C2386" s="1334"/>
      <c r="D2386" s="1125"/>
      <c r="E2386" s="1094"/>
      <c r="F2386" s="1127" t="str">
        <f>VLOOKUP($B2386,DG!A:D,DG!$C$2,)</f>
        <v>Boulon 22x650+ 2 long đền vuông D24-50x50x3/Zn</v>
      </c>
      <c r="G2386" s="1094" t="str">
        <f>VLOOKUP($B2386,DG!A:D,DG!$D$2,)</f>
        <v>bộ</v>
      </c>
      <c r="H2386" s="1907">
        <f>H2385</f>
        <v>0</v>
      </c>
      <c r="I2386" s="1262">
        <f t="shared" si="168"/>
        <v>0</v>
      </c>
      <c r="J2386" s="1127"/>
      <c r="K2386" s="1081"/>
      <c r="L2386" s="1085"/>
      <c r="M2386" s="977">
        <v>1000</v>
      </c>
    </row>
    <row r="2387" spans="1:13" s="1086" customFormat="1" ht="25.15" hidden="1" customHeight="1">
      <c r="A2387" s="1156">
        <f t="shared" ref="A2387:A2450" si="170">IF(I2387&gt;0,1,0)</f>
        <v>0</v>
      </c>
      <c r="B2387" s="1334" t="str">
        <f>IF(chitiet!G5=1,"MDD1",IF(chitiet!G5=2,"MDD2",IF(chitiet!G5=3,"MDD3",IF(chitiet!G5=4,"MDD4"))))</f>
        <v>MDD3</v>
      </c>
      <c r="C2387" s="1334"/>
      <c r="D2387" s="1125"/>
      <c r="E2387" s="1094" t="str">
        <f>VLOOKUP($B2387,DG!A:D,DG!$B$2,)</f>
        <v>03.1013</v>
      </c>
      <c r="F2387" s="1127" t="str">
        <f>VLOOKUP($B2387,DG!A:D,DG!$C$2,)</f>
        <v>Đào hố móng đất cấp 3 sâu &gt;1m</v>
      </c>
      <c r="G2387" s="1094" t="str">
        <f>VLOOKUP($B2387,DG!A:D,DG!$D$2,)</f>
        <v>m3</v>
      </c>
      <c r="H2387" s="1908">
        <f>1.48*H2385</f>
        <v>0</v>
      </c>
      <c r="I2387" s="1262">
        <f t="shared" si="168"/>
        <v>0</v>
      </c>
      <c r="J2387" s="1128"/>
      <c r="K2387" s="1081"/>
      <c r="L2387" s="1085"/>
      <c r="M2387" s="977">
        <v>1000</v>
      </c>
    </row>
    <row r="2388" spans="1:13" s="1086" customFormat="1" ht="25.15" hidden="1" customHeight="1">
      <c r="A2388" s="1156">
        <f t="shared" si="170"/>
        <v>0</v>
      </c>
      <c r="B2388" s="1334" t="str">
        <f>IF(chitiet!G5=1,"MDAP1",IF(chitiet!G5=2,"MDAP2",IF(chitiet!G5=3,"MDAP3",IF(chitiet!G5=4,"MDAP4"))))</f>
        <v>MDAP3</v>
      </c>
      <c r="C2388" s="1334"/>
      <c r="D2388" s="1125"/>
      <c r="E2388" s="1094" t="str">
        <f>VLOOKUP($B2388,DG!A:D,DG!$B$2,)</f>
        <v>03.4113</v>
      </c>
      <c r="F2388" s="1127" t="str">
        <f>VLOOKUP($B2388,DG!A:D,DG!$C$2,)</f>
        <v>Đắp đất hố móng, độ chặt k=0,95</v>
      </c>
      <c r="G2388" s="1094" t="str">
        <f>VLOOKUP($B2388,DG!A:D,DG!$D$2,)</f>
        <v>m3</v>
      </c>
      <c r="H2388" s="1908">
        <f>1.39*H2384</f>
        <v>0</v>
      </c>
      <c r="I2388" s="1262">
        <f t="shared" si="168"/>
        <v>0</v>
      </c>
      <c r="J2388" s="1128"/>
      <c r="K2388" s="1081"/>
      <c r="L2388" s="1085"/>
      <c r="M2388" s="977">
        <v>1000</v>
      </c>
    </row>
    <row r="2389" spans="1:13" s="1086" customFormat="1" ht="25.15" hidden="1" customHeight="1">
      <c r="A2389" s="1156">
        <f t="shared" si="170"/>
        <v>0</v>
      </c>
      <c r="B2389" s="1327"/>
      <c r="C2389" s="1327"/>
      <c r="D2389" s="1087">
        <f>IF(H2389&gt;0,D2384+1,D2384)</f>
        <v>0</v>
      </c>
      <c r="E2389" s="1129"/>
      <c r="F2389" s="1122" t="s">
        <v>3735</v>
      </c>
      <c r="G2389" s="1120" t="s">
        <v>2394</v>
      </c>
      <c r="H2389" s="1909">
        <f>H2364</f>
        <v>0</v>
      </c>
      <c r="I2389" s="1262">
        <f t="shared" si="168"/>
        <v>0</v>
      </c>
      <c r="J2389" s="1130"/>
      <c r="K2389" s="1130"/>
      <c r="L2389" s="1085"/>
      <c r="M2389" s="977">
        <v>1000</v>
      </c>
    </row>
    <row r="2390" spans="1:13" s="1086" customFormat="1" ht="25.15" hidden="1" customHeight="1">
      <c r="A2390" s="1156">
        <f>IF(A2389&gt;0,1,0)</f>
        <v>0</v>
      </c>
      <c r="B2390" s="1327"/>
      <c r="C2390" s="1327"/>
      <c r="D2390" s="1081"/>
      <c r="E2390" s="1131"/>
      <c r="F2390" s="1370" t="s">
        <v>2287</v>
      </c>
      <c r="G2390" s="1093"/>
      <c r="H2390" s="1873"/>
      <c r="I2390" s="1262">
        <f t="shared" si="168"/>
        <v>0</v>
      </c>
      <c r="J2390" s="1132"/>
      <c r="K2390" s="1132"/>
      <c r="L2390" s="1085"/>
      <c r="M2390" s="977">
        <v>1000</v>
      </c>
    </row>
    <row r="2391" spans="1:13" s="1086" customFormat="1" ht="25.15" hidden="1" customHeight="1">
      <c r="A2391" s="1156">
        <f t="shared" si="170"/>
        <v>0</v>
      </c>
      <c r="B2391" s="1157" t="s">
        <v>1138</v>
      </c>
      <c r="C2391" s="1157"/>
      <c r="D2391" s="1081"/>
      <c r="E2391" s="1082" t="str">
        <f>VLOOKUP($B2391,DG!A:D,DG!$B$2,)</f>
        <v>05.6105</v>
      </c>
      <c r="F2391" s="1083" t="str">
        <f>VLOOKUP($B2391,DG!A:D,DG!$C$2,)</f>
        <v>Đà U160x68x5x2800 đỡ MBA</v>
      </c>
      <c r="G2391" s="1082" t="str">
        <f>VLOOKUP($B2391,DG!A:D,DG!$D$2,)</f>
        <v>cái</v>
      </c>
      <c r="H2391" s="1896">
        <f>2*H2389</f>
        <v>0</v>
      </c>
      <c r="I2391" s="1262">
        <f t="shared" si="168"/>
        <v>0</v>
      </c>
      <c r="J2391" s="1111"/>
      <c r="K2391" s="1111"/>
      <c r="L2391" s="1085"/>
      <c r="M2391" s="977">
        <v>1000</v>
      </c>
    </row>
    <row r="2392" spans="1:13" s="1086" customFormat="1" ht="25.15" hidden="1" customHeight="1">
      <c r="A2392" s="1156">
        <f t="shared" si="170"/>
        <v>0</v>
      </c>
      <c r="B2392" s="1157" t="s">
        <v>1139</v>
      </c>
      <c r="C2392" s="1157"/>
      <c r="D2392" s="1081"/>
      <c r="E2392" s="1082" t="str">
        <f>VLOOKUP($B2392,DG!A:D,DG!$B$2,)</f>
        <v>05.6101</v>
      </c>
      <c r="F2392" s="1083" t="str">
        <f>VLOOKUP($B2392,DG!A:D,DG!$C$2,)</f>
        <v xml:space="preserve">Đà U100x46x4.5x400 </v>
      </c>
      <c r="G2392" s="1082" t="str">
        <f>VLOOKUP($B2392,DG!A:D,DG!$D$2,)</f>
        <v>cái</v>
      </c>
      <c r="H2392" s="1896">
        <f>H2389*4</f>
        <v>0</v>
      </c>
      <c r="I2392" s="1262">
        <f t="shared" si="168"/>
        <v>0</v>
      </c>
      <c r="J2392" s="1111"/>
      <c r="K2392" s="1111"/>
      <c r="L2392" s="1085"/>
      <c r="M2392" s="977">
        <v>1000</v>
      </c>
    </row>
    <row r="2393" spans="1:13" s="1086" customFormat="1" ht="25.15" hidden="1" customHeight="1">
      <c r="A2393" s="1156">
        <f t="shared" si="170"/>
        <v>0</v>
      </c>
      <c r="B2393" s="1157" t="s">
        <v>1140</v>
      </c>
      <c r="C2393" s="1157"/>
      <c r="D2393" s="1081"/>
      <c r="E2393" s="1082" t="str">
        <f>VLOOKUP($B2393,DG!A:D,DG!$B$2,)</f>
        <v>05.6101</v>
      </c>
      <c r="F2393" s="1083" t="str">
        <f>VLOOKUP($B2393,DG!A:D,DG!$C$2,)</f>
        <v xml:space="preserve">Đà U100x46x5x800 </v>
      </c>
      <c r="G2393" s="1082" t="str">
        <f>VLOOKUP($B2393,DG!A:D,DG!$D$2,)</f>
        <v>cái</v>
      </c>
      <c r="H2393" s="1896">
        <f>H2389*2</f>
        <v>0</v>
      </c>
      <c r="I2393" s="1262">
        <f t="shared" si="168"/>
        <v>0</v>
      </c>
      <c r="J2393" s="1111"/>
      <c r="K2393" s="1111"/>
      <c r="L2393" s="1085"/>
      <c r="M2393" s="977">
        <v>1000</v>
      </c>
    </row>
    <row r="2394" spans="1:13" s="1086" customFormat="1" ht="25.15" hidden="1" customHeight="1">
      <c r="A2394" s="1156">
        <f t="shared" si="170"/>
        <v>0</v>
      </c>
      <c r="B2394" s="1327" t="s">
        <v>1787</v>
      </c>
      <c r="C2394" s="1327"/>
      <c r="D2394" s="1081"/>
      <c r="E2394" s="1082">
        <f>VLOOKUP($B2394,DG!A:D,DG!$B$2,)</f>
        <v>0</v>
      </c>
      <c r="F2394" s="1083" t="str">
        <f>VLOOKUP($B2394,DG!A:D,DG!$C$2,)</f>
        <v>Boulon 16x400VRS+ 4 long đền vuông D18-50x50x3/Zn</v>
      </c>
      <c r="G2394" s="1082" t="str">
        <f>VLOOKUP($B2394,DG!A:D,DG!$D$2,)</f>
        <v>bộ</v>
      </c>
      <c r="H2394" s="1873">
        <f>H2389*12</f>
        <v>0</v>
      </c>
      <c r="I2394" s="1262">
        <f t="shared" si="168"/>
        <v>0</v>
      </c>
      <c r="J2394" s="1111"/>
      <c r="K2394" s="1111"/>
      <c r="L2394" s="1085"/>
      <c r="M2394" s="977">
        <v>1000</v>
      </c>
    </row>
    <row r="2395" spans="1:13" s="1086" customFormat="1" ht="25.15" hidden="1" customHeight="1">
      <c r="A2395" s="1156">
        <f t="shared" si="170"/>
        <v>0</v>
      </c>
      <c r="B2395" s="1327" t="s">
        <v>1085</v>
      </c>
      <c r="C2395" s="1327"/>
      <c r="D2395" s="1081"/>
      <c r="E2395" s="1082">
        <f>VLOOKUP($B2395,DG!A:D,DG!$B$2,)</f>
        <v>0</v>
      </c>
      <c r="F2395" s="1083" t="str">
        <f>VLOOKUP($B2395,DG!A:D,DG!$C$2,)</f>
        <v>Boulon 16x400+ 2 long đền vuông D18-50x50x3/Zn</v>
      </c>
      <c r="G2395" s="1082" t="str">
        <f>VLOOKUP($B2395,DG!A:D,DG!$D$2,)</f>
        <v>bộ</v>
      </c>
      <c r="H2395" s="1873">
        <f>H2389*2</f>
        <v>0</v>
      </c>
      <c r="I2395" s="1262">
        <f t="shared" si="168"/>
        <v>0</v>
      </c>
      <c r="J2395" s="1111"/>
      <c r="K2395" s="1111"/>
      <c r="L2395" s="1085"/>
      <c r="M2395" s="977">
        <v>1000</v>
      </c>
    </row>
    <row r="2396" spans="1:13" s="1086" customFormat="1" ht="25.15" hidden="1" customHeight="1">
      <c r="A2396" s="1156">
        <f t="shared" si="170"/>
        <v>0</v>
      </c>
      <c r="B2396" s="1327" t="s">
        <v>1081</v>
      </c>
      <c r="C2396" s="1327"/>
      <c r="D2396" s="1081"/>
      <c r="E2396" s="1082">
        <f>VLOOKUP($B2396,DG!A:D,DG!$B$2,)</f>
        <v>0</v>
      </c>
      <c r="F2396" s="1083" t="str">
        <f>VLOOKUP($B2396,DG!A:D,DG!$C$2,)</f>
        <v>Boulon 16x350+ 2 long đền vuông D18-50x50x3/Zn</v>
      </c>
      <c r="G2396" s="1082" t="str">
        <f>VLOOKUP($B2396,DG!A:D,DG!$D$2,)</f>
        <v>bộ</v>
      </c>
      <c r="H2396" s="1873">
        <f>+H2389*4</f>
        <v>0</v>
      </c>
      <c r="I2396" s="1262">
        <f t="shared" si="168"/>
        <v>0</v>
      </c>
      <c r="J2396" s="1111"/>
      <c r="K2396" s="1111"/>
      <c r="L2396" s="1085"/>
      <c r="M2396" s="977">
        <v>1000</v>
      </c>
    </row>
    <row r="2397" spans="1:13" s="1086" customFormat="1" ht="25.15" hidden="1" customHeight="1">
      <c r="A2397" s="1156">
        <f t="shared" si="170"/>
        <v>0</v>
      </c>
      <c r="B2397" s="1327"/>
      <c r="C2397" s="1327"/>
      <c r="D2397" s="1087">
        <f>IF(H2397&gt;0,D2389+1,D2389)</f>
        <v>0</v>
      </c>
      <c r="E2397" s="1088"/>
      <c r="F2397" s="1133" t="s">
        <v>3736</v>
      </c>
      <c r="G2397" s="1087" t="s">
        <v>2394</v>
      </c>
      <c r="H2397" s="1889">
        <f>H2389*2</f>
        <v>0</v>
      </c>
      <c r="I2397" s="1262">
        <f t="shared" si="168"/>
        <v>0</v>
      </c>
      <c r="J2397" s="1134"/>
      <c r="K2397" s="1134"/>
      <c r="L2397" s="1085"/>
      <c r="M2397" s="977">
        <v>1000</v>
      </c>
    </row>
    <row r="2398" spans="1:13" s="1086" customFormat="1" ht="25.15" hidden="1" customHeight="1">
      <c r="A2398" s="1156">
        <f>IF(A2397&gt;0,1,0)</f>
        <v>0</v>
      </c>
      <c r="B2398" s="1327"/>
      <c r="C2398" s="1327"/>
      <c r="D2398" s="1081"/>
      <c r="E2398" s="1091"/>
      <c r="F2398" s="1370" t="s">
        <v>2287</v>
      </c>
      <c r="G2398" s="1093"/>
      <c r="H2398" s="1873"/>
      <c r="I2398" s="1262">
        <f t="shared" si="168"/>
        <v>0</v>
      </c>
      <c r="J2398" s="1134"/>
      <c r="K2398" s="1134"/>
      <c r="L2398" s="1085"/>
      <c r="M2398" s="977">
        <v>1000</v>
      </c>
    </row>
    <row r="2399" spans="1:13" s="1086" customFormat="1" ht="25.15" hidden="1" customHeight="1">
      <c r="A2399" s="1156">
        <f t="shared" si="170"/>
        <v>0</v>
      </c>
      <c r="B2399" s="1334" t="s">
        <v>2028</v>
      </c>
      <c r="C2399" s="1334"/>
      <c r="D2399" s="1081"/>
      <c r="E2399" s="1082">
        <v>0</v>
      </c>
      <c r="F2399" s="1083" t="str">
        <f>VLOOKUP($B2399,DG!A:D,DG!$C$2,)</f>
        <v>Sắt góc L75 x75 x8</v>
      </c>
      <c r="G2399" s="1082" t="s">
        <v>2256</v>
      </c>
      <c r="H2399" s="1873">
        <f>H2397*9.02*(2.6+3*0.07)*2</f>
        <v>0</v>
      </c>
      <c r="I2399" s="1262">
        <f t="shared" si="168"/>
        <v>0</v>
      </c>
      <c r="J2399" s="1111"/>
      <c r="K2399" s="1111"/>
      <c r="L2399" s="1085"/>
      <c r="M2399" s="977">
        <v>1000</v>
      </c>
    </row>
    <row r="2400" spans="1:13" s="1086" customFormat="1" ht="25.15" hidden="1" customHeight="1">
      <c r="A2400" s="1156">
        <f t="shared" si="170"/>
        <v>0</v>
      </c>
      <c r="B2400" s="1327" t="s">
        <v>1790</v>
      </c>
      <c r="C2400" s="1327"/>
      <c r="D2400" s="1081"/>
      <c r="E2400" s="1082">
        <v>0</v>
      </c>
      <c r="F2400" s="1083" t="str">
        <f>VLOOKUP($B2400,DG!A:D,DG!$C$2,)</f>
        <v>Boulon 16x300VRS+ 4 long đền vuông D18-50x50x3/Zn</v>
      </c>
      <c r="G2400" s="1082" t="s">
        <v>2448</v>
      </c>
      <c r="H2400" s="1873">
        <f>H2397*2</f>
        <v>0</v>
      </c>
      <c r="I2400" s="1262">
        <f t="shared" si="168"/>
        <v>0</v>
      </c>
      <c r="J2400" s="1111"/>
      <c r="K2400" s="1111"/>
      <c r="L2400" s="1085"/>
      <c r="M2400" s="977">
        <v>1000</v>
      </c>
    </row>
    <row r="2401" spans="1:13" s="1086" customFormat="1" ht="25.15" hidden="1" customHeight="1">
      <c r="A2401" s="1156">
        <f t="shared" si="170"/>
        <v>0</v>
      </c>
      <c r="B2401" s="1327" t="s">
        <v>1615</v>
      </c>
      <c r="C2401" s="1327"/>
      <c r="D2401" s="1081"/>
      <c r="E2401" s="1082">
        <v>0</v>
      </c>
      <c r="F2401" s="1083" t="str">
        <f>VLOOKUP($B2401,DG!A:D,DG!$C$2,)</f>
        <v>Boulon 16x300+ 2 long đền vuông D18-50x50x3/Zn</v>
      </c>
      <c r="G2401" s="1082" t="s">
        <v>2448</v>
      </c>
      <c r="H2401" s="1873">
        <f>H2397*2</f>
        <v>0</v>
      </c>
      <c r="I2401" s="1262">
        <f t="shared" si="168"/>
        <v>0</v>
      </c>
      <c r="J2401" s="1111"/>
      <c r="K2401" s="1111"/>
      <c r="L2401" s="1085"/>
      <c r="M2401" s="977">
        <v>1000</v>
      </c>
    </row>
    <row r="2402" spans="1:13" s="1086" customFormat="1" ht="25.15" hidden="1" customHeight="1">
      <c r="A2402" s="1156">
        <f t="shared" si="170"/>
        <v>0</v>
      </c>
      <c r="B2402" s="1327" t="s">
        <v>1614</v>
      </c>
      <c r="C2402" s="1327"/>
      <c r="D2402" s="1081"/>
      <c r="E2402" s="1082">
        <v>0</v>
      </c>
      <c r="F2402" s="1083" t="str">
        <f>VLOOKUP($B2402,DG!A:D,DG!$C$2,)</f>
        <v>Boulon 16x250+ 2 long đền vuông D18-50x50x3/Zn</v>
      </c>
      <c r="G2402" s="1082" t="s">
        <v>2448</v>
      </c>
      <c r="H2402" s="1873">
        <f>H2401</f>
        <v>0</v>
      </c>
      <c r="I2402" s="1262">
        <f t="shared" si="168"/>
        <v>0</v>
      </c>
      <c r="J2402" s="1111"/>
      <c r="K2402" s="1111"/>
      <c r="L2402" s="1085"/>
      <c r="M2402" s="977">
        <v>1000</v>
      </c>
    </row>
    <row r="2403" spans="1:13" s="1086" customFormat="1" ht="25.15" hidden="1" customHeight="1">
      <c r="A2403" s="1156">
        <f t="shared" si="170"/>
        <v>0</v>
      </c>
      <c r="B2403" s="1327" t="s">
        <v>2250</v>
      </c>
      <c r="C2403" s="1327"/>
      <c r="D2403" s="1081"/>
      <c r="E2403" s="1082" t="s">
        <v>732</v>
      </c>
      <c r="F2403" s="1083" t="str">
        <f>VLOOKUP($B2403,DG!A:D,DG!$C$2,)</f>
        <v>Lắp xà cột Pi loại ≤140kg/xà</v>
      </c>
      <c r="G2403" s="1082" t="s">
        <v>2448</v>
      </c>
      <c r="H2403" s="1873">
        <f>H2397</f>
        <v>0</v>
      </c>
      <c r="I2403" s="1262">
        <f t="shared" si="168"/>
        <v>0</v>
      </c>
      <c r="J2403" s="1111"/>
      <c r="K2403" s="1111"/>
      <c r="L2403" s="1085"/>
      <c r="M2403" s="977">
        <v>1000</v>
      </c>
    </row>
    <row r="2404" spans="1:13" s="1086" customFormat="1" ht="25.15" hidden="1" customHeight="1">
      <c r="A2404" s="1156">
        <f t="shared" si="170"/>
        <v>0</v>
      </c>
      <c r="B2404" s="1327"/>
      <c r="C2404" s="1327"/>
      <c r="D2404" s="1087">
        <f>IF(H2404&gt;0,D2397+1,D2397)</f>
        <v>0</v>
      </c>
      <c r="E2404" s="1088"/>
      <c r="F2404" s="1133" t="s">
        <v>3773</v>
      </c>
      <c r="G2404" s="1087" t="s">
        <v>2394</v>
      </c>
      <c r="H2404" s="1889">
        <f>H2389*3</f>
        <v>0</v>
      </c>
      <c r="I2404" s="1262">
        <f t="shared" si="168"/>
        <v>0</v>
      </c>
      <c r="J2404" s="1134"/>
      <c r="K2404" s="1134"/>
      <c r="L2404" s="1085"/>
      <c r="M2404" s="977">
        <v>1000</v>
      </c>
    </row>
    <row r="2405" spans="1:13" s="1086" customFormat="1" ht="25.15" hidden="1" customHeight="1">
      <c r="A2405" s="1156">
        <f>IF(A2404&gt;0,1,0)</f>
        <v>0</v>
      </c>
      <c r="B2405" s="1327"/>
      <c r="C2405" s="1327"/>
      <c r="D2405" s="1081"/>
      <c r="E2405" s="1091"/>
      <c r="F2405" s="1370" t="s">
        <v>2287</v>
      </c>
      <c r="G2405" s="1093"/>
      <c r="H2405" s="1873"/>
      <c r="I2405" s="1262">
        <f t="shared" si="168"/>
        <v>0</v>
      </c>
      <c r="J2405" s="1134"/>
      <c r="K2405" s="1134"/>
      <c r="L2405" s="1085"/>
      <c r="M2405" s="977">
        <v>1000</v>
      </c>
    </row>
    <row r="2406" spans="1:13" s="1086" customFormat="1" ht="25.15" hidden="1" customHeight="1">
      <c r="A2406" s="1156">
        <f t="shared" si="170"/>
        <v>0</v>
      </c>
      <c r="B2406" s="1334" t="s">
        <v>2028</v>
      </c>
      <c r="C2406" s="1334"/>
      <c r="D2406" s="1081"/>
      <c r="E2406" s="1082">
        <v>0</v>
      </c>
      <c r="F2406" s="1083" t="str">
        <f>VLOOKUP($B2406,DG!A:D,DG!$C$2,)</f>
        <v>Sắt góc L75 x75 x8</v>
      </c>
      <c r="G2406" s="1082" t="s">
        <v>2256</v>
      </c>
      <c r="H2406" s="1873">
        <f>H2404*9.42*(2.6+3*0.07)</f>
        <v>0</v>
      </c>
      <c r="I2406" s="1262">
        <f t="shared" si="168"/>
        <v>0</v>
      </c>
      <c r="J2406" s="1111"/>
      <c r="K2406" s="1111"/>
      <c r="L2406" s="1085"/>
      <c r="M2406" s="977">
        <v>1000</v>
      </c>
    </row>
    <row r="2407" spans="1:13" s="1086" customFormat="1" ht="25.15" hidden="1" customHeight="1">
      <c r="A2407" s="1156">
        <f t="shared" si="170"/>
        <v>0</v>
      </c>
      <c r="B2407" s="1327" t="s">
        <v>1614</v>
      </c>
      <c r="C2407" s="1327"/>
      <c r="D2407" s="1081"/>
      <c r="E2407" s="1082">
        <v>0</v>
      </c>
      <c r="F2407" s="1083" t="str">
        <f>VLOOKUP($B2407,DG!A:D,DG!$C$2,)</f>
        <v>Boulon 16x250+ 2 long đền vuông D18-50x50x3/Zn</v>
      </c>
      <c r="G2407" s="1082" t="s">
        <v>2448</v>
      </c>
      <c r="H2407" s="1873">
        <f>IF(H2404&gt;2,(H2404-1)*2,0)</f>
        <v>0</v>
      </c>
      <c r="I2407" s="1262">
        <f t="shared" si="168"/>
        <v>0</v>
      </c>
      <c r="J2407" s="1111"/>
      <c r="K2407" s="1111"/>
      <c r="L2407" s="1085"/>
      <c r="M2407" s="977">
        <v>1000</v>
      </c>
    </row>
    <row r="2408" spans="1:13" s="1086" customFormat="1" ht="25.15" hidden="1" customHeight="1">
      <c r="A2408" s="1156">
        <f t="shared" si="170"/>
        <v>0</v>
      </c>
      <c r="B2408" s="1327" t="s">
        <v>1615</v>
      </c>
      <c r="C2408" s="1327"/>
      <c r="D2408" s="1081"/>
      <c r="E2408" s="1082">
        <v>0</v>
      </c>
      <c r="F2408" s="1083" t="str">
        <f>VLOOKUP($B2408,DG!A:D,DG!$C$2,)</f>
        <v>Boulon 16x300+ 2 long đền vuông D18-50x50x3/Zn</v>
      </c>
      <c r="G2408" s="1082" t="s">
        <v>2448</v>
      </c>
      <c r="H2408" s="1873">
        <f>IF(H2404=0,0,2)</f>
        <v>0</v>
      </c>
      <c r="I2408" s="1262">
        <f t="shared" si="168"/>
        <v>0</v>
      </c>
      <c r="J2408" s="1111"/>
      <c r="K2408" s="1111"/>
      <c r="L2408" s="1085"/>
      <c r="M2408" s="977">
        <v>1000</v>
      </c>
    </row>
    <row r="2409" spans="1:13" s="1086" customFormat="1" ht="25.15" hidden="1" customHeight="1">
      <c r="A2409" s="1156">
        <f t="shared" si="170"/>
        <v>0</v>
      </c>
      <c r="B2409" s="1334" t="s">
        <v>2279</v>
      </c>
      <c r="C2409" s="1334"/>
      <c r="D2409" s="1081"/>
      <c r="E2409" s="1082">
        <v>0</v>
      </c>
      <c r="F2409" s="1083" t="str">
        <f>VLOOKUP($B2409,DG!A:D,DG!$C$2,)</f>
        <v>Bass LL bắt FCO, LA</v>
      </c>
      <c r="G2409" s="1082" t="s">
        <v>2394</v>
      </c>
      <c r="H2409" s="1873">
        <f>H2404*1</f>
        <v>0</v>
      </c>
      <c r="I2409" s="1262">
        <f t="shared" si="168"/>
        <v>0</v>
      </c>
      <c r="J2409" s="1111"/>
      <c r="K2409" s="1111"/>
      <c r="L2409" s="1085"/>
      <c r="M2409" s="977">
        <v>1000</v>
      </c>
    </row>
    <row r="2410" spans="1:13" s="1086" customFormat="1" ht="25.15" hidden="1" customHeight="1">
      <c r="A2410" s="1156">
        <f t="shared" si="170"/>
        <v>0</v>
      </c>
      <c r="B2410" s="1327" t="s">
        <v>2250</v>
      </c>
      <c r="C2410" s="1327"/>
      <c r="D2410" s="1081"/>
      <c r="E2410" s="1082" t="s">
        <v>732</v>
      </c>
      <c r="F2410" s="1083" t="str">
        <f>VLOOKUP($B2410,DG!A:D,DG!$C$2,)</f>
        <v>Lắp xà cột Pi loại ≤140kg/xà</v>
      </c>
      <c r="G2410" s="1082" t="s">
        <v>2448</v>
      </c>
      <c r="H2410" s="1873">
        <f>H2404</f>
        <v>0</v>
      </c>
      <c r="I2410" s="1262">
        <f t="shared" si="168"/>
        <v>0</v>
      </c>
      <c r="J2410" s="1111"/>
      <c r="K2410" s="1111"/>
      <c r="L2410" s="1085"/>
      <c r="M2410" s="977">
        <v>1000</v>
      </c>
    </row>
    <row r="2411" spans="1:13" s="1086" customFormat="1" ht="25.15" hidden="1" customHeight="1">
      <c r="A2411" s="1156">
        <f t="shared" si="170"/>
        <v>0</v>
      </c>
      <c r="B2411" s="1327"/>
      <c r="C2411" s="1327"/>
      <c r="D2411" s="1087">
        <f>IF(H2411&gt;0,D2404+1,D2404)</f>
        <v>0</v>
      </c>
      <c r="E2411" s="1088"/>
      <c r="F2411" s="1133" t="s">
        <v>3738</v>
      </c>
      <c r="G2411" s="1087" t="s">
        <v>2394</v>
      </c>
      <c r="H2411" s="1889">
        <f>H2389*2</f>
        <v>0</v>
      </c>
      <c r="I2411" s="1262">
        <f t="shared" si="168"/>
        <v>0</v>
      </c>
      <c r="J2411" s="1134"/>
      <c r="K2411" s="1134"/>
      <c r="L2411" s="1085"/>
      <c r="M2411" s="977">
        <v>1000</v>
      </c>
    </row>
    <row r="2412" spans="1:13" s="1086" customFormat="1" ht="25.15" hidden="1" customHeight="1">
      <c r="A2412" s="1156">
        <f>IF(A2411&gt;0,1,0)</f>
        <v>0</v>
      </c>
      <c r="B2412" s="1327"/>
      <c r="C2412" s="1327"/>
      <c r="D2412" s="1081"/>
      <c r="E2412" s="1091"/>
      <c r="F2412" s="1370" t="s">
        <v>2287</v>
      </c>
      <c r="G2412" s="1093"/>
      <c r="H2412" s="1873"/>
      <c r="I2412" s="1262">
        <f t="shared" si="168"/>
        <v>0</v>
      </c>
      <c r="J2412" s="1134"/>
      <c r="K2412" s="1134"/>
      <c r="L2412" s="1085"/>
      <c r="M2412" s="977">
        <v>1000</v>
      </c>
    </row>
    <row r="2413" spans="1:13" s="1086" customFormat="1" ht="25.15" hidden="1" customHeight="1">
      <c r="A2413" s="1156">
        <f t="shared" si="170"/>
        <v>0</v>
      </c>
      <c r="B2413" s="1327" t="s">
        <v>2028</v>
      </c>
      <c r="C2413" s="1327"/>
      <c r="D2413" s="1081"/>
      <c r="E2413" s="1082">
        <v>0</v>
      </c>
      <c r="F2413" s="1083" t="str">
        <f>VLOOKUP($B2413,DG!A:D,DG!$C$2,)</f>
        <v>Sắt góc L75 x75 x8</v>
      </c>
      <c r="G2413" s="1082" t="s">
        <v>2256</v>
      </c>
      <c r="H2413" s="1873">
        <f>H2411*9.42*2.6</f>
        <v>0</v>
      </c>
      <c r="I2413" s="1262">
        <f t="shared" si="168"/>
        <v>0</v>
      </c>
      <c r="J2413" s="1111"/>
      <c r="K2413" s="1111"/>
      <c r="L2413" s="1085"/>
      <c r="M2413" s="977">
        <v>1000</v>
      </c>
    </row>
    <row r="2414" spans="1:13" s="1086" customFormat="1" ht="25.15" hidden="1" customHeight="1">
      <c r="A2414" s="1156">
        <f t="shared" si="170"/>
        <v>0</v>
      </c>
      <c r="B2414" s="1327" t="s">
        <v>1085</v>
      </c>
      <c r="C2414" s="1327"/>
      <c r="D2414" s="1081"/>
      <c r="E2414" s="1082">
        <v>0</v>
      </c>
      <c r="F2414" s="1083" t="str">
        <f>VLOOKUP($B2414,DG!A:D,DG!$C$2,)</f>
        <v>Boulon 16x400+ 2 long đền vuông D18-50x50x3/Zn</v>
      </c>
      <c r="G2414" s="1082" t="s">
        <v>2448</v>
      </c>
      <c r="H2414" s="1873">
        <f>H2411*2</f>
        <v>0</v>
      </c>
      <c r="I2414" s="1262">
        <f t="shared" si="168"/>
        <v>0</v>
      </c>
      <c r="J2414" s="1111"/>
      <c r="K2414" s="1111"/>
      <c r="L2414" s="1085"/>
      <c r="M2414" s="977">
        <v>1000</v>
      </c>
    </row>
    <row r="2415" spans="1:13" s="1086" customFormat="1" ht="25.15" hidden="1" customHeight="1">
      <c r="A2415" s="1156">
        <f t="shared" si="170"/>
        <v>0</v>
      </c>
      <c r="B2415" s="1327" t="s">
        <v>2250</v>
      </c>
      <c r="C2415" s="1327"/>
      <c r="D2415" s="1081"/>
      <c r="E2415" s="1082" t="s">
        <v>732</v>
      </c>
      <c r="F2415" s="1083" t="str">
        <f>VLOOKUP($B2415,DG!A:D,DG!$C$2,)</f>
        <v>Lắp xà cột Pi loại ≤140kg/xà</v>
      </c>
      <c r="G2415" s="1082" t="s">
        <v>2448</v>
      </c>
      <c r="H2415" s="1873">
        <f>H2411</f>
        <v>0</v>
      </c>
      <c r="I2415" s="1262">
        <f t="shared" si="168"/>
        <v>0</v>
      </c>
      <c r="J2415" s="1111"/>
      <c r="K2415" s="1111"/>
      <c r="L2415" s="1085"/>
      <c r="M2415" s="977">
        <v>1000</v>
      </c>
    </row>
    <row r="2416" spans="1:13" s="1086" customFormat="1" ht="25.15" hidden="1" customHeight="1">
      <c r="A2416" s="1156">
        <f t="shared" si="170"/>
        <v>0</v>
      </c>
      <c r="B2416" s="1327" t="s">
        <v>1615</v>
      </c>
      <c r="C2416" s="1327"/>
      <c r="D2416" s="1081"/>
      <c r="E2416" s="1082">
        <v>0</v>
      </c>
      <c r="F2416" s="1083" t="str">
        <f>VLOOKUP($B2416,DG!A:D,DG!$C$2,)</f>
        <v>Boulon 16x300+ 2 long đền vuông D18-50x50x3/Zn</v>
      </c>
      <c r="G2416" s="1082" t="s">
        <v>2448</v>
      </c>
      <c r="H2416" s="1873">
        <f>H2411*2*0</f>
        <v>0</v>
      </c>
      <c r="I2416" s="1262">
        <f t="shared" si="168"/>
        <v>0</v>
      </c>
      <c r="J2416" s="1111"/>
      <c r="K2416" s="1111"/>
      <c r="L2416" s="1085"/>
      <c r="M2416" s="977">
        <v>1000</v>
      </c>
    </row>
    <row r="2417" spans="1:13" s="1086" customFormat="1" ht="25.15" hidden="1" customHeight="1">
      <c r="A2417" s="1156">
        <f t="shared" si="170"/>
        <v>0</v>
      </c>
      <c r="B2417" s="1327" t="s">
        <v>1614</v>
      </c>
      <c r="C2417" s="1327"/>
      <c r="D2417" s="1081"/>
      <c r="E2417" s="1082">
        <v>0</v>
      </c>
      <c r="F2417" s="1083" t="str">
        <f>VLOOKUP($B2417,DG!A:D,DG!$C$2,)</f>
        <v>Boulon 16x250+ 2 long đền vuông D18-50x50x3/Zn</v>
      </c>
      <c r="G2417" s="1082" t="s">
        <v>2448</v>
      </c>
      <c r="H2417" s="1873">
        <f>2*H2411*2*0</f>
        <v>0</v>
      </c>
      <c r="I2417" s="1262">
        <f t="shared" si="168"/>
        <v>0</v>
      </c>
      <c r="J2417" s="1111"/>
      <c r="K2417" s="1111"/>
      <c r="L2417" s="1085"/>
      <c r="M2417" s="977">
        <v>1000</v>
      </c>
    </row>
    <row r="2418" spans="1:13" s="1086" customFormat="1" ht="25.15" hidden="1" customHeight="1" collapsed="1">
      <c r="A2418" s="1156">
        <f t="shared" si="170"/>
        <v>0</v>
      </c>
      <c r="B2418" s="1327"/>
      <c r="C2418" s="1327"/>
      <c r="D2418" s="1087">
        <f>IF(H2418&gt;0,D2411+1,D2411)</f>
        <v>0</v>
      </c>
      <c r="E2418" s="1088"/>
      <c r="F2418" s="1133" t="s">
        <v>3774</v>
      </c>
      <c r="G2418" s="1087" t="s">
        <v>2394</v>
      </c>
      <c r="H2418" s="1889">
        <f>H2364</f>
        <v>0</v>
      </c>
      <c r="I2418" s="1262">
        <f t="shared" si="168"/>
        <v>0</v>
      </c>
      <c r="J2418" s="1084"/>
      <c r="K2418" s="1084"/>
      <c r="L2418" s="1085"/>
      <c r="M2418" s="977">
        <v>1000</v>
      </c>
    </row>
    <row r="2419" spans="1:13" s="1086" customFormat="1" ht="25.15" hidden="1" customHeight="1">
      <c r="A2419" s="1156">
        <f>IF(A2418&gt;0,1,0)</f>
        <v>0</v>
      </c>
      <c r="B2419" s="1327"/>
      <c r="C2419" s="1327"/>
      <c r="D2419" s="1081"/>
      <c r="E2419" s="1091"/>
      <c r="F2419" s="1370" t="s">
        <v>2287</v>
      </c>
      <c r="G2419" s="1093"/>
      <c r="H2419" s="1873"/>
      <c r="I2419" s="1262">
        <f t="shared" ref="I2419:I2482" si="171">IF(M2419=$M$23,H2419+J2419-K2419,0)</f>
        <v>0</v>
      </c>
      <c r="J2419" s="1084"/>
      <c r="K2419" s="1084"/>
      <c r="L2419" s="1085"/>
      <c r="M2419" s="977">
        <v>1000</v>
      </c>
    </row>
    <row r="2420" spans="1:13" s="1086" customFormat="1" ht="25.15" hidden="1" customHeight="1">
      <c r="A2420" s="1156">
        <f t="shared" si="170"/>
        <v>0</v>
      </c>
      <c r="B2420" s="1327" t="s">
        <v>2028</v>
      </c>
      <c r="C2420" s="1327"/>
      <c r="D2420" s="1081"/>
      <c r="E2420" s="1082">
        <v>0</v>
      </c>
      <c r="F2420" s="1083" t="str">
        <f>VLOOKUP($B2420,DG!A:D,DG!$C$2,)</f>
        <v>Sắt góc L75 x75 x8</v>
      </c>
      <c r="G2420" s="1082" t="s">
        <v>2256</v>
      </c>
      <c r="H2420" s="1873">
        <f>H2418*9.42*(2.4+4*0.07)*2</f>
        <v>0</v>
      </c>
      <c r="I2420" s="1262">
        <f t="shared" si="171"/>
        <v>0</v>
      </c>
      <c r="J2420" s="1084"/>
      <c r="K2420" s="1084"/>
      <c r="L2420" s="1085"/>
      <c r="M2420" s="977">
        <v>1000</v>
      </c>
    </row>
    <row r="2421" spans="1:13" s="1086" customFormat="1" ht="25.15" hidden="1" customHeight="1">
      <c r="A2421" s="1156">
        <f t="shared" si="170"/>
        <v>0</v>
      </c>
      <c r="B2421" s="1327" t="s">
        <v>1037</v>
      </c>
      <c r="C2421" s="1327"/>
      <c r="D2421" s="1081"/>
      <c r="E2421" s="1082" t="s">
        <v>554</v>
      </c>
      <c r="F2421" s="1083" t="str">
        <f>VLOOKUP($B2421,DG!A:D,DG!$C$2,)&amp;" (Thanh choáng 920)"</f>
        <v>Sắt góc L50 x50 x5 (Thanh choáng 920)</v>
      </c>
      <c r="G2421" s="1082" t="s">
        <v>2256</v>
      </c>
      <c r="H2421" s="1873">
        <f>H2418*3.77*0.92*4</f>
        <v>0</v>
      </c>
      <c r="I2421" s="1262">
        <f t="shared" si="171"/>
        <v>0</v>
      </c>
      <c r="J2421" s="1084"/>
      <c r="K2421" s="1084"/>
      <c r="L2421" s="1085"/>
      <c r="M2421" s="977">
        <v>1000</v>
      </c>
    </row>
    <row r="2422" spans="1:13" s="1086" customFormat="1" ht="25.15" hidden="1" customHeight="1">
      <c r="A2422" s="1156">
        <f t="shared" si="170"/>
        <v>0</v>
      </c>
      <c r="B2422" s="1327" t="s">
        <v>1615</v>
      </c>
      <c r="C2422" s="1327"/>
      <c r="D2422" s="1081"/>
      <c r="E2422" s="1082">
        <v>0</v>
      </c>
      <c r="F2422" s="1083" t="str">
        <f>VLOOKUP($B2422,DG!A:D,DG!$C$2,)</f>
        <v>Boulon 16x300+ 2 long đền vuông D18-50x50x3/Zn</v>
      </c>
      <c r="G2422" s="1082" t="s">
        <v>2448</v>
      </c>
      <c r="H2422" s="1873">
        <f>H2418*2</f>
        <v>0</v>
      </c>
      <c r="I2422" s="1262">
        <f t="shared" si="171"/>
        <v>0</v>
      </c>
      <c r="J2422" s="1084"/>
      <c r="K2422" s="1084"/>
      <c r="L2422" s="1085"/>
      <c r="M2422" s="977">
        <v>1000</v>
      </c>
    </row>
    <row r="2423" spans="1:13" s="1086" customFormat="1" ht="25.15" hidden="1" customHeight="1">
      <c r="A2423" s="1156">
        <f t="shared" si="170"/>
        <v>0</v>
      </c>
      <c r="B2423" s="1327" t="s">
        <v>1792</v>
      </c>
      <c r="C2423" s="1327"/>
      <c r="D2423" s="1081"/>
      <c r="E2423" s="1082">
        <v>0</v>
      </c>
      <c r="F2423" s="1083" t="str">
        <f>VLOOKUP($B2423,DG!A:D,DG!$C$2,)</f>
        <v>Boulon 16x50+ 2 long đền vuông D18-50x50x3/Zn</v>
      </c>
      <c r="G2423" s="1082" t="s">
        <v>2448</v>
      </c>
      <c r="H2423" s="1873">
        <f>H2418*4</f>
        <v>0</v>
      </c>
      <c r="I2423" s="1262">
        <f t="shared" si="171"/>
        <v>0</v>
      </c>
      <c r="J2423" s="1084"/>
      <c r="K2423" s="1084"/>
      <c r="L2423" s="1085"/>
      <c r="M2423" s="977">
        <v>1000</v>
      </c>
    </row>
    <row r="2424" spans="1:13" s="1086" customFormat="1" ht="25.15" hidden="1" customHeight="1">
      <c r="A2424" s="1156">
        <f t="shared" si="170"/>
        <v>0</v>
      </c>
      <c r="B2424" s="1327" t="s">
        <v>1790</v>
      </c>
      <c r="C2424" s="1327"/>
      <c r="D2424" s="1081"/>
      <c r="E2424" s="1082">
        <v>0</v>
      </c>
      <c r="F2424" s="1083" t="str">
        <f>VLOOKUP($B2424,DG!A:D,DG!$C$2,)</f>
        <v>Boulon 16x300VRS+ 4 long đền vuông D18-50x50x3/Zn</v>
      </c>
      <c r="G2424" s="1082" t="s">
        <v>2448</v>
      </c>
      <c r="H2424" s="1873">
        <f>H2418*4</f>
        <v>0</v>
      </c>
      <c r="I2424" s="1262">
        <f t="shared" si="171"/>
        <v>0</v>
      </c>
      <c r="J2424" s="1084"/>
      <c r="K2424" s="1084"/>
      <c r="L2424" s="1085"/>
      <c r="M2424" s="977">
        <v>1000</v>
      </c>
    </row>
    <row r="2425" spans="1:13" s="1086" customFormat="1" ht="25.15" hidden="1" customHeight="1">
      <c r="A2425" s="1156">
        <f t="shared" si="170"/>
        <v>0</v>
      </c>
      <c r="B2425" s="1327" t="s">
        <v>550</v>
      </c>
      <c r="C2425" s="1327"/>
      <c r="D2425" s="1081"/>
      <c r="E2425" s="1082">
        <v>0</v>
      </c>
      <c r="F2425" s="1083" t="str">
        <f>VLOOKUP($B2425,DG!A:D,DG!$C$2,)</f>
        <v>Bass LI bắt FCO</v>
      </c>
      <c r="G2425" s="1082" t="s">
        <v>2448</v>
      </c>
      <c r="H2425" s="1873">
        <f>H2418*3/2*0</f>
        <v>0</v>
      </c>
      <c r="I2425" s="1262">
        <f t="shared" si="171"/>
        <v>0</v>
      </c>
      <c r="J2425" s="1084"/>
      <c r="K2425" s="1084"/>
      <c r="L2425" s="1085"/>
      <c r="M2425" s="977">
        <v>1000</v>
      </c>
    </row>
    <row r="2426" spans="1:13" s="1086" customFormat="1" ht="25.15" hidden="1" customHeight="1">
      <c r="A2426" s="1156">
        <f t="shared" si="170"/>
        <v>0</v>
      </c>
      <c r="B2426" s="1327" t="s">
        <v>517</v>
      </c>
      <c r="C2426" s="1327"/>
      <c r="D2426" s="1081"/>
      <c r="E2426" s="1082" t="s">
        <v>1462</v>
      </c>
      <c r="F2426" s="1083" t="str">
        <f>VLOOKUP($B2426,DG!A:D,DG!$C$2,)</f>
        <v>Lắp xà néo ≤ 100kg</v>
      </c>
      <c r="G2426" s="1082" t="s">
        <v>2448</v>
      </c>
      <c r="H2426" s="1873">
        <f>H2418</f>
        <v>0</v>
      </c>
      <c r="I2426" s="1262">
        <f t="shared" si="171"/>
        <v>0</v>
      </c>
      <c r="J2426" s="1084"/>
      <c r="K2426" s="1084"/>
      <c r="L2426" s="1085"/>
      <c r="M2426" s="977">
        <v>1000</v>
      </c>
    </row>
    <row r="2427" spans="1:13" s="1086" customFormat="1" ht="25.15" hidden="1" customHeight="1">
      <c r="A2427" s="1156">
        <f t="shared" si="170"/>
        <v>0</v>
      </c>
      <c r="B2427" s="1327"/>
      <c r="C2427" s="1327"/>
      <c r="D2427" s="1087">
        <f>IF(H2427&gt;0,D2418+1,D2418)</f>
        <v>0</v>
      </c>
      <c r="E2427" s="1088"/>
      <c r="F2427" s="1133" t="s">
        <v>3775</v>
      </c>
      <c r="G2427" s="1087" t="s">
        <v>2394</v>
      </c>
      <c r="H2427" s="1889">
        <f>H2364*3</f>
        <v>0</v>
      </c>
      <c r="I2427" s="1262">
        <f t="shared" si="171"/>
        <v>0</v>
      </c>
      <c r="J2427" s="1084"/>
      <c r="K2427" s="1084"/>
      <c r="L2427" s="1085"/>
      <c r="M2427" s="977">
        <v>1000</v>
      </c>
    </row>
    <row r="2428" spans="1:13" s="1086" customFormat="1" ht="25.15" hidden="1" customHeight="1">
      <c r="A2428" s="1156">
        <f>IF(A2427&gt;0,1,0)</f>
        <v>0</v>
      </c>
      <c r="B2428" s="1327"/>
      <c r="C2428" s="1327"/>
      <c r="D2428" s="1081"/>
      <c r="E2428" s="1091"/>
      <c r="F2428" s="1370" t="s">
        <v>2287</v>
      </c>
      <c r="G2428" s="1093"/>
      <c r="H2428" s="1873"/>
      <c r="I2428" s="1262">
        <f t="shared" si="171"/>
        <v>0</v>
      </c>
      <c r="J2428" s="1084"/>
      <c r="K2428" s="1084"/>
      <c r="L2428" s="1085"/>
      <c r="M2428" s="977">
        <v>1000</v>
      </c>
    </row>
    <row r="2429" spans="1:13" s="1086" customFormat="1" ht="25.15" hidden="1" customHeight="1">
      <c r="A2429" s="1156">
        <f t="shared" si="170"/>
        <v>0</v>
      </c>
      <c r="B2429" s="1327" t="s">
        <v>2028</v>
      </c>
      <c r="C2429" s="1327"/>
      <c r="D2429" s="1081"/>
      <c r="E2429" s="1082">
        <v>0</v>
      </c>
      <c r="F2429" s="1083" t="str">
        <f>VLOOKUP($B2429,DG!A:D,DG!$C$2,)</f>
        <v>Sắt góc L75 x75 x8</v>
      </c>
      <c r="G2429" s="1082" t="s">
        <v>2256</v>
      </c>
      <c r="H2429" s="1873">
        <f>H2427*9.02*(2.2+4*0.07)</f>
        <v>0</v>
      </c>
      <c r="I2429" s="1262">
        <f t="shared" si="171"/>
        <v>0</v>
      </c>
      <c r="J2429" s="1084"/>
      <c r="K2429" s="1084"/>
      <c r="L2429" s="1085"/>
      <c r="M2429" s="977">
        <v>1000</v>
      </c>
    </row>
    <row r="2430" spans="1:13" s="1086" customFormat="1" ht="25.15" hidden="1" customHeight="1">
      <c r="A2430" s="1156">
        <f t="shared" si="170"/>
        <v>0</v>
      </c>
      <c r="B2430" s="1327" t="s">
        <v>1037</v>
      </c>
      <c r="C2430" s="1327"/>
      <c r="D2430" s="1081"/>
      <c r="E2430" s="1082">
        <v>0</v>
      </c>
      <c r="F2430" s="1083" t="str">
        <f>VLOOKUP($B2430,DG!A:D,DG!$C$2,)&amp;" (Thanh choáng 920)"</f>
        <v>Sắt góc L50 x50 x5 (Thanh choáng 920)</v>
      </c>
      <c r="G2430" s="1082" t="s">
        <v>2256</v>
      </c>
      <c r="H2430" s="1911">
        <f>H2427*3.77*0.92*2</f>
        <v>0</v>
      </c>
      <c r="I2430" s="1262">
        <f t="shared" si="171"/>
        <v>0</v>
      </c>
      <c r="J2430" s="1084"/>
      <c r="K2430" s="1084"/>
      <c r="L2430" s="1085"/>
      <c r="M2430" s="977">
        <v>1000</v>
      </c>
    </row>
    <row r="2431" spans="1:13" s="1086" customFormat="1" ht="25.15" hidden="1" customHeight="1">
      <c r="A2431" s="1156">
        <f t="shared" si="170"/>
        <v>0</v>
      </c>
      <c r="B2431" s="1327" t="s">
        <v>1081</v>
      </c>
      <c r="C2431" s="1327"/>
      <c r="D2431" s="1081"/>
      <c r="E2431" s="1082">
        <v>0</v>
      </c>
      <c r="F2431" s="1083" t="str">
        <f>VLOOKUP($B2431,DG!A:D,DG!$C$2,)</f>
        <v>Boulon 16x350+ 2 long đền vuông D18-50x50x3/Zn</v>
      </c>
      <c r="G2431" s="1082" t="s">
        <v>2448</v>
      </c>
      <c r="H2431" s="1873">
        <f>H2427*2</f>
        <v>0</v>
      </c>
      <c r="I2431" s="1262">
        <f t="shared" si="171"/>
        <v>0</v>
      </c>
      <c r="J2431" s="1084"/>
      <c r="K2431" s="1084"/>
      <c r="L2431" s="1085"/>
      <c r="M2431" s="977">
        <v>1000</v>
      </c>
    </row>
    <row r="2432" spans="1:13" s="1086" customFormat="1" ht="25.15" hidden="1" customHeight="1">
      <c r="A2432" s="1156">
        <f t="shared" si="170"/>
        <v>0</v>
      </c>
      <c r="B2432" s="1327" t="s">
        <v>1792</v>
      </c>
      <c r="C2432" s="1327"/>
      <c r="D2432" s="1081"/>
      <c r="E2432" s="1082">
        <v>0</v>
      </c>
      <c r="F2432" s="1083" t="str">
        <f>VLOOKUP($B2432,DG!A:D,DG!$C$2,)</f>
        <v>Boulon 16x50+ 2 long đền vuông D18-50x50x3/Zn</v>
      </c>
      <c r="G2432" s="1082" t="s">
        <v>2448</v>
      </c>
      <c r="H2432" s="1873">
        <f>H2427*2</f>
        <v>0</v>
      </c>
      <c r="I2432" s="1262">
        <f t="shared" si="171"/>
        <v>0</v>
      </c>
      <c r="J2432" s="1084"/>
      <c r="K2432" s="1084"/>
      <c r="L2432" s="1085"/>
      <c r="M2432" s="977">
        <v>1000</v>
      </c>
    </row>
    <row r="2433" spans="1:13" s="1086" customFormat="1" ht="25.15" hidden="1" customHeight="1">
      <c r="A2433" s="1156">
        <f t="shared" si="170"/>
        <v>0</v>
      </c>
      <c r="B2433" s="1327" t="s">
        <v>1741</v>
      </c>
      <c r="C2433" s="1327"/>
      <c r="D2433" s="1081"/>
      <c r="E2433" s="1082">
        <v>0</v>
      </c>
      <c r="F2433" s="1083" t="str">
        <f>VLOOKUP($B2433,DG!A:D,DG!$C$2,)</f>
        <v>Bass LI bắt FCO</v>
      </c>
      <c r="G2433" s="1082" t="s">
        <v>2448</v>
      </c>
      <c r="H2433" s="1911">
        <f>H2427</f>
        <v>0</v>
      </c>
      <c r="I2433" s="1262">
        <f t="shared" si="171"/>
        <v>0</v>
      </c>
      <c r="J2433" s="1084"/>
      <c r="K2433" s="1084"/>
      <c r="L2433" s="1085"/>
      <c r="M2433" s="977">
        <v>1000</v>
      </c>
    </row>
    <row r="2434" spans="1:13" s="1086" customFormat="1" ht="25.15" hidden="1" customHeight="1">
      <c r="A2434" s="1156">
        <f t="shared" si="170"/>
        <v>0</v>
      </c>
      <c r="B2434" s="1327" t="s">
        <v>990</v>
      </c>
      <c r="C2434" s="1327"/>
      <c r="D2434" s="1081"/>
      <c r="E2434" s="1082">
        <v>0</v>
      </c>
      <c r="F2434" s="1083" t="str">
        <f>VLOOKUP($B2434,DG!A:D,DG!$C$2,)</f>
        <v xml:space="preserve">Cổ dê chống lắc 8x80x800 </v>
      </c>
      <c r="G2434" s="1082" t="s">
        <v>2448</v>
      </c>
      <c r="H2434" s="1873">
        <f>H2427/3</f>
        <v>0</v>
      </c>
      <c r="I2434" s="1262">
        <f t="shared" si="171"/>
        <v>0</v>
      </c>
      <c r="J2434" s="1084"/>
      <c r="K2434" s="1084"/>
      <c r="L2434" s="1085"/>
      <c r="M2434" s="977">
        <v>1000</v>
      </c>
    </row>
    <row r="2435" spans="1:13" s="1086" customFormat="1" ht="25.15" hidden="1" customHeight="1">
      <c r="A2435" s="1156">
        <f t="shared" si="170"/>
        <v>0</v>
      </c>
      <c r="B2435" s="1327" t="s">
        <v>2004</v>
      </c>
      <c r="C2435" s="1327"/>
      <c r="D2435" s="1081"/>
      <c r="E2435" s="1082" t="s">
        <v>2273</v>
      </c>
      <c r="F2435" s="1083" t="str">
        <f>VLOOKUP($B2435,DG!A:D,DG!$C$2,)</f>
        <v>Lắp xà néo ≤ 50kg</v>
      </c>
      <c r="G2435" s="1082" t="s">
        <v>2448</v>
      </c>
      <c r="H2435" s="1873">
        <f>H2427</f>
        <v>0</v>
      </c>
      <c r="I2435" s="1262">
        <f t="shared" si="171"/>
        <v>0</v>
      </c>
      <c r="J2435" s="1084"/>
      <c r="K2435" s="1084"/>
      <c r="L2435" s="1085"/>
      <c r="M2435" s="977">
        <v>1000</v>
      </c>
    </row>
    <row r="2436" spans="1:13" s="1086" customFormat="1" ht="25.15" hidden="1" customHeight="1">
      <c r="A2436" s="1156">
        <f t="shared" si="170"/>
        <v>0</v>
      </c>
      <c r="B2436" s="1327"/>
      <c r="C2436" s="1327"/>
      <c r="D2436" s="1087">
        <f>IF(H2436&gt;0,D2427+1,D2427)</f>
        <v>0</v>
      </c>
      <c r="E2436" s="1088"/>
      <c r="F2436" s="1133" t="s">
        <v>3776</v>
      </c>
      <c r="G2436" s="1087" t="s">
        <v>2394</v>
      </c>
      <c r="H2436" s="1889">
        <f>H2364</f>
        <v>0</v>
      </c>
      <c r="I2436" s="1262">
        <f t="shared" si="171"/>
        <v>0</v>
      </c>
      <c r="J2436" s="1084"/>
      <c r="K2436" s="1084"/>
      <c r="L2436" s="1085"/>
      <c r="M2436" s="977">
        <v>1000</v>
      </c>
    </row>
    <row r="2437" spans="1:13" s="1086" customFormat="1" ht="25.15" hidden="1" customHeight="1">
      <c r="A2437" s="1156">
        <f t="shared" si="170"/>
        <v>0</v>
      </c>
      <c r="B2437" s="1358"/>
      <c r="C2437" s="1358"/>
      <c r="D2437" s="1081"/>
      <c r="E2437" s="1091"/>
      <c r="F2437" s="1092" t="s">
        <v>3777</v>
      </c>
      <c r="G2437" s="1093"/>
      <c r="H2437" s="1873"/>
      <c r="I2437" s="1262">
        <f t="shared" si="171"/>
        <v>0</v>
      </c>
      <c r="J2437" s="1084"/>
      <c r="K2437" s="1084"/>
      <c r="L2437" s="1085"/>
      <c r="M2437" s="977">
        <v>1000</v>
      </c>
    </row>
    <row r="2438" spans="1:13" s="1086" customFormat="1" ht="25.15" hidden="1" customHeight="1">
      <c r="A2438" s="1156">
        <f t="shared" si="170"/>
        <v>0</v>
      </c>
      <c r="B2438" s="1327" t="s">
        <v>1035</v>
      </c>
      <c r="C2438" s="1327"/>
      <c r="D2438" s="1081"/>
      <c r="E2438" s="1082">
        <f>VLOOKUP($B2438,DG!A:D,DG!$B$2,)</f>
        <v>0</v>
      </c>
      <c r="F2438" s="1083" t="e">
        <f>VLOOKUP($B2438,DG!A:D,DG!$C$2,)&amp; ": "&amp;#REF!&amp;"m"</f>
        <v>#REF!</v>
      </c>
      <c r="G2438" s="1082" t="str">
        <f>VLOOKUP($B2438,DG!A:D,DG!$D$2,)</f>
        <v>kg</v>
      </c>
      <c r="H2438" s="1873">
        <f>I3*0.224*H2436*0</f>
        <v>0</v>
      </c>
      <c r="I2438" s="1262">
        <f t="shared" si="171"/>
        <v>0</v>
      </c>
      <c r="J2438" s="1084"/>
      <c r="K2438" s="1084"/>
      <c r="L2438" s="1085"/>
      <c r="M2438" s="977">
        <v>1000</v>
      </c>
    </row>
    <row r="2439" spans="1:13" s="1086" customFormat="1" ht="25.15" hidden="1" customHeight="1">
      <c r="A2439" s="1156">
        <f t="shared" si="170"/>
        <v>0</v>
      </c>
      <c r="B2439" s="1327" t="s">
        <v>1035</v>
      </c>
      <c r="C2439" s="1327"/>
      <c r="D2439" s="1081"/>
      <c r="E2439" s="1082">
        <f>VLOOKUP($B2439,DG!A:D,DG!$B$2,)</f>
        <v>0</v>
      </c>
      <c r="F2439" s="1083" t="str">
        <f>VLOOKUP($B2439,DG!A:D,DG!$C$2,)&amp;": 10m noái leân voû caùc thieát bò"</f>
        <v>Cáp đồng trần M25mm2: 10m noái leân voû caùc thieát bò</v>
      </c>
      <c r="G2439" s="1082" t="str">
        <f>VLOOKUP($B2439,DG!A:D,DG!$D$2,)</f>
        <v>kg</v>
      </c>
      <c r="H2439" s="1873">
        <f>10*0.224*H2436*0</f>
        <v>0</v>
      </c>
      <c r="I2439" s="1262">
        <f t="shared" si="171"/>
        <v>0</v>
      </c>
      <c r="J2439" s="1084"/>
      <c r="K2439" s="1084"/>
      <c r="L2439" s="1085"/>
      <c r="M2439" s="977">
        <v>1000</v>
      </c>
    </row>
    <row r="2440" spans="1:13" s="1086" customFormat="1" ht="25.15" hidden="1" customHeight="1">
      <c r="A2440" s="1156">
        <f t="shared" si="170"/>
        <v>0</v>
      </c>
      <c r="B2440" s="1157" t="s">
        <v>1513</v>
      </c>
      <c r="C2440" s="1157"/>
      <c r="D2440" s="1081"/>
      <c r="E2440" s="1082">
        <f>VLOOKUP($B2440,DG!A:D,DG!$B$2,)</f>
        <v>0</v>
      </c>
      <c r="F2440" s="1083" t="str">
        <f>VLOOKUP($B2440,DG!A:D,DG!$C$2,)</f>
        <v>Cọc tiếp đất Þ 16- 2,4m + kẹp cọc mạ đồng</v>
      </c>
      <c r="G2440" s="1082" t="str">
        <f>VLOOKUP($B2440,DG!A:D,DG!$D$2,)</f>
        <v>bộ</v>
      </c>
      <c r="H2440" s="1873">
        <f>I2*H2436</f>
        <v>0</v>
      </c>
      <c r="I2440" s="1262">
        <f t="shared" si="171"/>
        <v>0</v>
      </c>
      <c r="J2440" s="1084"/>
      <c r="K2440" s="1084"/>
      <c r="L2440" s="1085"/>
      <c r="M2440" s="977">
        <v>1000</v>
      </c>
    </row>
    <row r="2441" spans="1:13" s="1086" customFormat="1" ht="25.15" hidden="1" customHeight="1">
      <c r="A2441" s="1156">
        <f t="shared" si="170"/>
        <v>0</v>
      </c>
      <c r="B2441" s="1157" t="s">
        <v>1495</v>
      </c>
      <c r="C2441" s="1157"/>
      <c r="D2441" s="1081"/>
      <c r="E2441" s="1082" t="str">
        <f>VLOOKUP($B2441,DG!A:D,DG!$B$2,)</f>
        <v>07.2403</v>
      </c>
      <c r="F2441" s="1083" t="str">
        <f>VLOOKUP($B2441,DG!A:D,DG!$C$2,)</f>
        <v xml:space="preserve">Ống PVC D21x1,6mm </v>
      </c>
      <c r="G2441" s="1082" t="str">
        <f>VLOOKUP($B2441,DG!A:D,DG!$D$2,)</f>
        <v>m</v>
      </c>
      <c r="H2441" s="1873">
        <f>H2436*6*0</f>
        <v>0</v>
      </c>
      <c r="I2441" s="1262">
        <f t="shared" si="171"/>
        <v>0</v>
      </c>
      <c r="J2441" s="1084"/>
      <c r="K2441" s="1084"/>
      <c r="L2441" s="1085"/>
      <c r="M2441" s="977">
        <v>1000</v>
      </c>
    </row>
    <row r="2442" spans="1:13" s="1086" customFormat="1" ht="25.15" hidden="1" customHeight="1">
      <c r="A2442" s="1156">
        <f t="shared" si="170"/>
        <v>0</v>
      </c>
      <c r="B2442" s="1332" t="s">
        <v>1584</v>
      </c>
      <c r="C2442" s="1332"/>
      <c r="D2442" s="1081"/>
      <c r="E2442" s="1082">
        <f>VLOOKUP($B2442,DG!A:D,DG!$B$2,)</f>
        <v>0</v>
      </c>
      <c r="F2442" s="1083" t="str">
        <f>VLOOKUP($B2442,DG!A:D,DG!$C$2,)&amp; " baét trung tính löôùi"</f>
        <v>Kẹp ép WR cỡ dây 50mm2 baét trung tính löôùi</v>
      </c>
      <c r="G2442" s="1082" t="str">
        <f>VLOOKUP($B2442,DG!A:D,DG!$D$2,)</f>
        <v>cái</v>
      </c>
      <c r="H2442" s="1873">
        <f>2*H2436*0</f>
        <v>0</v>
      </c>
      <c r="I2442" s="1262">
        <f t="shared" si="171"/>
        <v>0</v>
      </c>
      <c r="J2442" s="1084"/>
      <c r="K2442" s="1084"/>
      <c r="L2442" s="1085"/>
      <c r="M2442" s="977">
        <v>1000</v>
      </c>
    </row>
    <row r="2443" spans="1:13" s="1086" customFormat="1" ht="25.15" hidden="1" customHeight="1">
      <c r="A2443" s="1156">
        <f t="shared" si="170"/>
        <v>0</v>
      </c>
      <c r="B2443" s="1332" t="s">
        <v>1116</v>
      </c>
      <c r="C2443" s="1332"/>
      <c r="D2443" s="1081"/>
      <c r="E2443" s="1082">
        <f>VLOOKUP($B2443,DG!A:D,DG!$B$2,)</f>
        <v>0</v>
      </c>
      <c r="F2443" s="1083" t="str">
        <f>VLOOKUP($B2443,DG!A:D,DG!$C$2,)</f>
        <v>Kẹp ép cỡ dây 25mm2</v>
      </c>
      <c r="G2443" s="1082" t="str">
        <f>VLOOKUP($B2443,DG!A:D,DG!$D$2,)</f>
        <v>cái</v>
      </c>
      <c r="H2443" s="1911">
        <f>H2436*11*0</f>
        <v>0</v>
      </c>
      <c r="I2443" s="1262">
        <f t="shared" si="171"/>
        <v>0</v>
      </c>
      <c r="J2443" s="1084"/>
      <c r="K2443" s="1084"/>
      <c r="L2443" s="1085"/>
      <c r="M2443" s="977">
        <v>1000</v>
      </c>
    </row>
    <row r="2444" spans="1:13" s="1086" customFormat="1" ht="25.15" hidden="1" customHeight="1">
      <c r="A2444" s="1156">
        <f t="shared" si="170"/>
        <v>0</v>
      </c>
      <c r="B2444" s="1157" t="s">
        <v>138</v>
      </c>
      <c r="C2444" s="1157"/>
      <c r="D2444" s="1081"/>
      <c r="E2444" s="1082">
        <f>VLOOKUP($B2444,DG!A:D,DG!$B$2,)</f>
        <v>0</v>
      </c>
      <c r="F2444" s="1083" t="str">
        <f>VLOOKUP($B2444,DG!A:D,DG!$C$2,)</f>
        <v>Boulon 12x40+ 2 long đền vuông D14-50x50x3/Zn</v>
      </c>
      <c r="G2444" s="1082" t="str">
        <f>VLOOKUP($B2444,DG!A:D,DG!$D$2,)</f>
        <v>bộ</v>
      </c>
      <c r="H2444" s="1873">
        <f>H2445/2</f>
        <v>0</v>
      </c>
      <c r="I2444" s="1262">
        <f t="shared" si="171"/>
        <v>0</v>
      </c>
      <c r="J2444" s="1084"/>
      <c r="K2444" s="1084"/>
      <c r="L2444" s="1085"/>
      <c r="M2444" s="977">
        <v>1000</v>
      </c>
    </row>
    <row r="2445" spans="1:13" s="1086" customFormat="1" ht="25.15" hidden="1" customHeight="1">
      <c r="A2445" s="1156">
        <f t="shared" si="170"/>
        <v>0</v>
      </c>
      <c r="B2445" s="1157" t="s">
        <v>104</v>
      </c>
      <c r="C2445" s="1157"/>
      <c r="D2445" s="1081"/>
      <c r="E2445" s="1082" t="str">
        <f>VLOOKUP($B2445,DG!A:D,DG!$B$2,)</f>
        <v>03.4001</v>
      </c>
      <c r="F2445" s="1083" t="str">
        <f>VLOOKUP($B2445,DG!A:D,DG!$C$2,)</f>
        <v>Đầu cosse ép Cu 25mm2</v>
      </c>
      <c r="G2445" s="1082" t="str">
        <f>VLOOKUP($B2445,DG!A:D,DG!$D$2,)</f>
        <v>cái</v>
      </c>
      <c r="H2445" s="1873">
        <f>+H2436*2*0</f>
        <v>0</v>
      </c>
      <c r="I2445" s="1262">
        <f t="shared" si="171"/>
        <v>0</v>
      </c>
      <c r="J2445" s="1084"/>
      <c r="K2445" s="1084"/>
      <c r="L2445" s="1085"/>
      <c r="M2445" s="977">
        <v>1000</v>
      </c>
    </row>
    <row r="2446" spans="1:13" s="1086" customFormat="1" ht="25.15" hidden="1" customHeight="1">
      <c r="A2446" s="1156">
        <f t="shared" si="170"/>
        <v>0</v>
      </c>
      <c r="B2446" s="1157" t="s">
        <v>525</v>
      </c>
      <c r="C2446" s="1157"/>
      <c r="D2446" s="1081"/>
      <c r="E2446" s="1082" t="str">
        <f>VLOOKUP($B2446,DG!A:D,DG!$B$2,)</f>
        <v>06.3231</v>
      </c>
      <c r="F2446" s="1083" t="str">
        <f>VLOOKUP($B2446,DG!A:D,DG!$C$2,)</f>
        <v>Cổ dê kẹp ống PVC  21</v>
      </c>
      <c r="G2446" s="1082" t="str">
        <f>VLOOKUP($B2446,DG!A:D,DG!$D$2,)</f>
        <v>bộ</v>
      </c>
      <c r="H2446" s="1873">
        <f>H2436*2*0</f>
        <v>0</v>
      </c>
      <c r="I2446" s="1262">
        <f t="shared" si="171"/>
        <v>0</v>
      </c>
      <c r="J2446" s="1084"/>
      <c r="K2446" s="1084"/>
      <c r="L2446" s="1085"/>
      <c r="M2446" s="977">
        <v>1000</v>
      </c>
    </row>
    <row r="2447" spans="1:13" s="1086" customFormat="1" ht="25.15" hidden="1" customHeight="1">
      <c r="A2447" s="1156">
        <f t="shared" si="170"/>
        <v>0</v>
      </c>
      <c r="B2447" s="1157" t="s">
        <v>1590</v>
      </c>
      <c r="C2447" s="1157"/>
      <c r="D2447" s="1081"/>
      <c r="E2447" s="1082">
        <f>VLOOKUP($B2447,DG!A:D,DG!$B$2,)</f>
        <v>0</v>
      </c>
      <c r="F2447" s="1083" t="str">
        <f>VLOOKUP($B2447,DG!A:D,DG!$C$2,)</f>
        <v>Giếng tiếp địa khoan đất</v>
      </c>
      <c r="G2447" s="1082" t="str">
        <f>VLOOKUP($B2447,DG!A:D,DG!$D$2,)</f>
        <v>Cái</v>
      </c>
      <c r="H2447" s="1873"/>
      <c r="I2447" s="1262">
        <f t="shared" si="171"/>
        <v>0</v>
      </c>
      <c r="J2447" s="1084"/>
      <c r="K2447" s="1084"/>
      <c r="L2447" s="1085"/>
      <c r="M2447" s="977">
        <v>1000</v>
      </c>
    </row>
    <row r="2448" spans="1:13" s="1086" customFormat="1" ht="25.15" hidden="1" customHeight="1">
      <c r="A2448" s="1156">
        <f t="shared" si="170"/>
        <v>0</v>
      </c>
      <c r="B2448" s="1157" t="s">
        <v>453</v>
      </c>
      <c r="C2448" s="1157"/>
      <c r="D2448" s="1093"/>
      <c r="E2448" s="1082" t="str">
        <f>VLOOKUP($B2448,DG!A:D,DG!$B$2,)</f>
        <v>03.8133</v>
      </c>
      <c r="F2448" s="1111" t="str">
        <f>VLOOKUP($B2448,DG!A:D,DG!$C$2,)&amp;": (2m3/coïc)x"&amp;H2440&amp;" coïc"</f>
        <v>Phá đá chân hố móng, đá cấp II: (2m3/coïc)x0 coïc</v>
      </c>
      <c r="G2448" s="1138" t="s">
        <v>858</v>
      </c>
      <c r="H2448" s="1170"/>
      <c r="I2448" s="1262">
        <f t="shared" si="171"/>
        <v>0</v>
      </c>
      <c r="J2448" s="1084"/>
      <c r="K2448" s="1084"/>
      <c r="L2448" s="1085"/>
      <c r="M2448" s="977">
        <v>1000</v>
      </c>
    </row>
    <row r="2449" spans="1:13" s="1086" customFormat="1" ht="25.15" hidden="1" customHeight="1">
      <c r="A2449" s="1156">
        <f t="shared" si="170"/>
        <v>0</v>
      </c>
      <c r="B2449" s="1157" t="s">
        <v>796</v>
      </c>
      <c r="C2449" s="1157"/>
      <c r="D2449" s="1093"/>
      <c r="E2449" s="1082" t="str">
        <f>VLOOKUP($B2449,DG!A:D,DG!$B$2,)</f>
        <v>03.3123</v>
      </c>
      <c r="F2449" s="1083" t="str">
        <f>VLOOKUP($B2449,DG!A:D,DG!$C$2,)</f>
        <v>Đào rãnh tiếp địa đất cấp 3</v>
      </c>
      <c r="G2449" s="1138" t="s">
        <v>858</v>
      </c>
      <c r="H2449" s="1170">
        <f>I3*H2436*0</f>
        <v>0</v>
      </c>
      <c r="I2449" s="1262">
        <f t="shared" si="171"/>
        <v>0</v>
      </c>
      <c r="J2449" s="1084"/>
      <c r="K2449" s="1084"/>
      <c r="L2449" s="1085"/>
      <c r="M2449" s="977">
        <v>1000</v>
      </c>
    </row>
    <row r="2450" spans="1:13" s="1086" customFormat="1" ht="25.15" hidden="1" customHeight="1">
      <c r="A2450" s="1156">
        <f t="shared" si="170"/>
        <v>0</v>
      </c>
      <c r="B2450" s="1157" t="s">
        <v>800</v>
      </c>
      <c r="C2450" s="1157"/>
      <c r="D2450" s="1093"/>
      <c r="E2450" s="1082" t="str">
        <f>VLOOKUP($B2450,DG!A:D,DG!$B$2,)</f>
        <v>03.4123</v>
      </c>
      <c r="F2450" s="1083" t="str">
        <f>VLOOKUP($B2450,DG!A:D,DG!$C$2,)</f>
        <v>Đắp đất rãnh tiếp độ chặt k=0,85</v>
      </c>
      <c r="G2450" s="1138" t="s">
        <v>858</v>
      </c>
      <c r="H2450" s="1170">
        <f>($H2449+H2448)*H2436</f>
        <v>0</v>
      </c>
      <c r="I2450" s="1262">
        <f t="shared" si="171"/>
        <v>0</v>
      </c>
      <c r="J2450" s="1084"/>
      <c r="K2450" s="1084"/>
      <c r="L2450" s="1085"/>
      <c r="M2450" s="977">
        <v>1000</v>
      </c>
    </row>
    <row r="2451" spans="1:13" s="1086" customFormat="1" ht="25.15" hidden="1" customHeight="1">
      <c r="A2451" s="1156">
        <f t="shared" ref="A2451:A2514" si="172">IF(I2451&gt;0,1,0)</f>
        <v>0</v>
      </c>
      <c r="B2451" s="1157" t="s">
        <v>904</v>
      </c>
      <c r="C2451" s="1157"/>
      <c r="D2451" s="1093"/>
      <c r="E2451" s="1082" t="str">
        <f>VLOOKUP($B2451,DG!A:D,DG!$B$2,)</f>
        <v>04.7001</v>
      </c>
      <c r="F2451" s="1083" t="str">
        <f>VLOOKUP($B2451,DG!A:D,DG!$C$2,)</f>
        <v>Đóng cọc tiếp địa trong TBA</v>
      </c>
      <c r="G2451" s="1138" t="s">
        <v>858</v>
      </c>
      <c r="H2451" s="1170">
        <f>H2440</f>
        <v>0</v>
      </c>
      <c r="I2451" s="1262">
        <f t="shared" si="171"/>
        <v>0</v>
      </c>
      <c r="J2451" s="1084"/>
      <c r="K2451" s="1084"/>
      <c r="L2451" s="1085"/>
      <c r="M2451" s="977">
        <v>1000</v>
      </c>
    </row>
    <row r="2452" spans="1:13" s="1086" customFormat="1" ht="25.15" hidden="1" customHeight="1">
      <c r="A2452" s="1156">
        <f t="shared" si="172"/>
        <v>0</v>
      </c>
      <c r="B2452" s="1157" t="s">
        <v>1442</v>
      </c>
      <c r="C2452" s="1157"/>
      <c r="D2452" s="1081"/>
      <c r="E2452" s="1082" t="str">
        <f>VLOOKUP($B2452,DG!A:D,DG!$B$2,)</f>
        <v>04.7002</v>
      </c>
      <c r="F2452" s="1083" t="str">
        <f>VLOOKUP($B2452,DG!A:D,DG!$C$2,)</f>
        <v>Kéo dây tiếp địa trong TBA</v>
      </c>
      <c r="G2452" s="1082" t="str">
        <f>VLOOKUP($B2452,DG!A:D,DG!$D$2,)</f>
        <v>mét</v>
      </c>
      <c r="H2452" s="1873">
        <f>H2436*I3</f>
        <v>0</v>
      </c>
      <c r="I2452" s="1262">
        <f t="shared" si="171"/>
        <v>0</v>
      </c>
      <c r="J2452" s="1084"/>
      <c r="K2452" s="1084"/>
      <c r="L2452" s="1085"/>
      <c r="M2452" s="977">
        <v>1000</v>
      </c>
    </row>
    <row r="2453" spans="1:13" s="1086" customFormat="1" ht="25.15" hidden="1" customHeight="1">
      <c r="A2453" s="1156">
        <f t="shared" si="172"/>
        <v>0</v>
      </c>
      <c r="B2453" s="1327"/>
      <c r="C2453" s="1327"/>
      <c r="D2453" s="1087">
        <f>IF(H2453&gt;0,D2436+1,D2436)</f>
        <v>0</v>
      </c>
      <c r="E2453" s="1088"/>
      <c r="F2453" s="1089" t="s">
        <v>3778</v>
      </c>
      <c r="G2453" s="1087" t="s">
        <v>2394</v>
      </c>
      <c r="H2453" s="1889">
        <f>H2364</f>
        <v>0</v>
      </c>
      <c r="I2453" s="1262">
        <f t="shared" si="171"/>
        <v>0</v>
      </c>
      <c r="J2453" s="1084"/>
      <c r="K2453" s="1084"/>
      <c r="L2453" s="1085"/>
      <c r="M2453" s="977">
        <v>1000</v>
      </c>
    </row>
    <row r="2454" spans="1:13" s="1086" customFormat="1" ht="25.15" hidden="1" customHeight="1">
      <c r="A2454" s="1156">
        <f>IF(A2453&gt;0,1,0)</f>
        <v>0</v>
      </c>
      <c r="B2454" s="1327"/>
      <c r="C2454" s="1327"/>
      <c r="D2454" s="1081"/>
      <c r="E2454" s="1091"/>
      <c r="F2454" s="1370" t="s">
        <v>2287</v>
      </c>
      <c r="G2454" s="1093"/>
      <c r="H2454" s="1873"/>
      <c r="I2454" s="1262">
        <f t="shared" si="171"/>
        <v>0</v>
      </c>
      <c r="J2454" s="1084"/>
      <c r="K2454" s="1084"/>
      <c r="L2454" s="1085"/>
      <c r="M2454" s="977">
        <v>1000</v>
      </c>
    </row>
    <row r="2455" spans="1:13" s="1086" customFormat="1" ht="25.15" hidden="1" customHeight="1">
      <c r="A2455" s="1156">
        <f t="shared" si="172"/>
        <v>0</v>
      </c>
      <c r="B2455" s="1365" t="s">
        <v>1194</v>
      </c>
      <c r="C2455" s="1365"/>
      <c r="D2455" s="1093"/>
      <c r="E2455" s="1094" t="str">
        <f>VLOOKUP($B2455,DG!A:D,DG!$B$2,)</f>
        <v>05.1002</v>
      </c>
      <c r="F2455" s="1095" t="str">
        <f>VLOOKUP($B2455,DG!A:D,DG!$C$2,)</f>
        <v>Tủ CB trạm 3 pha + khoá + bulon</v>
      </c>
      <c r="G2455" s="1094" t="str">
        <f>VLOOKUP($B2455,DG!A:D,DG!$D$2,)</f>
        <v>cái</v>
      </c>
      <c r="H2455" s="1873">
        <f>H2453</f>
        <v>0</v>
      </c>
      <c r="I2455" s="1262">
        <f t="shared" si="171"/>
        <v>0</v>
      </c>
      <c r="J2455" s="1084"/>
      <c r="K2455" s="1084"/>
      <c r="L2455" s="1085"/>
      <c r="M2455" s="977">
        <v>1000</v>
      </c>
    </row>
    <row r="2456" spans="1:13" s="1086" customFormat="1" ht="25.15" hidden="1" customHeight="1">
      <c r="A2456" s="1156">
        <f t="shared" si="172"/>
        <v>0</v>
      </c>
      <c r="B2456" s="1327" t="s">
        <v>1540</v>
      </c>
      <c r="C2456" s="1327"/>
      <c r="D2456" s="1081"/>
      <c r="E2456" s="1094">
        <f>VLOOKUP($B2456,DG!A:D,DG!$B$2,)</f>
        <v>0</v>
      </c>
      <c r="F2456" s="1095" t="str">
        <f>VLOOKUP($B2456,DG!A:D,DG!$C$2,)</f>
        <v>Giá nới + Thanh cái tủ CB</v>
      </c>
      <c r="G2456" s="1094" t="str">
        <f>VLOOKUP($B2456,DG!A:D,DG!$D$2,)</f>
        <v>bộ</v>
      </c>
      <c r="H2456" s="1890">
        <f>H2453</f>
        <v>0</v>
      </c>
      <c r="I2456" s="1262">
        <f t="shared" si="171"/>
        <v>0</v>
      </c>
      <c r="J2456" s="1084"/>
      <c r="K2456" s="1084"/>
      <c r="L2456" s="1085"/>
      <c r="M2456" s="977">
        <v>1000</v>
      </c>
    </row>
    <row r="2457" spans="1:13" s="1086" customFormat="1" ht="25.15" hidden="1" customHeight="1">
      <c r="A2457" s="1156">
        <f t="shared" si="172"/>
        <v>0</v>
      </c>
      <c r="B2457" s="1327" t="s">
        <v>882</v>
      </c>
      <c r="C2457" s="1327"/>
      <c r="D2457" s="1081"/>
      <c r="E2457" s="1094">
        <f>VLOOKUP($B2457,DG!A:D,DG!$B$2,)</f>
        <v>0</v>
      </c>
      <c r="F2457" s="1095" t="str">
        <f>VLOOKUP($B2457,DG!A:D,DG!$C$2,)</f>
        <v xml:space="preserve">Bakelit 550x450 dầy 10mm </v>
      </c>
      <c r="G2457" s="1094" t="str">
        <f>VLOOKUP($B2457,DG!A:D,DG!$D$2,)</f>
        <v>cái</v>
      </c>
      <c r="H2457" s="1890">
        <f>H2453*1</f>
        <v>0</v>
      </c>
      <c r="I2457" s="1262">
        <f t="shared" si="171"/>
        <v>0</v>
      </c>
      <c r="J2457" s="1084"/>
      <c r="K2457" s="1084"/>
      <c r="L2457" s="1085"/>
      <c r="M2457" s="977">
        <v>1000</v>
      </c>
    </row>
    <row r="2458" spans="1:13" s="1086" customFormat="1" ht="25.15" hidden="1" customHeight="1">
      <c r="A2458" s="1156">
        <f t="shared" si="172"/>
        <v>0</v>
      </c>
      <c r="B2458" s="1327" t="s">
        <v>289</v>
      </c>
      <c r="C2458" s="1327"/>
      <c r="D2458" s="1093"/>
      <c r="E2458" s="1094" t="str">
        <f>VLOOKUP($B2458,DG!A:D,DG!$B$2,)</f>
        <v>06.3191</v>
      </c>
      <c r="F2458" s="1095" t="str">
        <f>VLOOKUP($B2458,DG!A:D,DG!$C$2,)</f>
        <v>Bảng tên trạm, bảng báo nguy hiểm + đinh vít</v>
      </c>
      <c r="G2458" s="1094" t="str">
        <f>VLOOKUP($B2458,DG!A:D,DG!$D$2,)</f>
        <v>bộ</v>
      </c>
      <c r="H2458" s="1873">
        <f>H2453</f>
        <v>0</v>
      </c>
      <c r="I2458" s="1262">
        <f t="shared" si="171"/>
        <v>0</v>
      </c>
      <c r="J2458" s="1084"/>
      <c r="K2458" s="1084"/>
      <c r="L2458" s="1085"/>
      <c r="M2458" s="977">
        <v>1000</v>
      </c>
    </row>
    <row r="2459" spans="1:13" s="1086" customFormat="1" ht="25.15" hidden="1" customHeight="1">
      <c r="A2459" s="1156">
        <f t="shared" si="172"/>
        <v>0</v>
      </c>
      <c r="B2459" s="1327"/>
      <c r="C2459" s="1327"/>
      <c r="D2459" s="1087">
        <f>IF(H2459&gt;0,D2453+1,D2453)</f>
        <v>0</v>
      </c>
      <c r="E2459" s="1088"/>
      <c r="F2459" s="1089" t="s">
        <v>3779</v>
      </c>
      <c r="G2459" s="1087" t="s">
        <v>2541</v>
      </c>
      <c r="H2459" s="1889"/>
      <c r="I2459" s="1262">
        <f t="shared" si="171"/>
        <v>0</v>
      </c>
      <c r="J2459" s="1084"/>
      <c r="K2459" s="1084"/>
      <c r="L2459" s="1085"/>
      <c r="M2459" s="977">
        <v>1000</v>
      </c>
    </row>
    <row r="2460" spans="1:13" s="1086" customFormat="1" ht="25.15" hidden="1" customHeight="1">
      <c r="A2460" s="1156">
        <f>IF(A2459&gt;0,1,0)</f>
        <v>0</v>
      </c>
      <c r="B2460" s="1327"/>
      <c r="C2460" s="1327"/>
      <c r="D2460" s="1081"/>
      <c r="E2460" s="1091"/>
      <c r="F2460" s="1370" t="s">
        <v>2287</v>
      </c>
      <c r="G2460" s="1093"/>
      <c r="H2460" s="1873"/>
      <c r="I2460" s="1262">
        <f t="shared" si="171"/>
        <v>0</v>
      </c>
      <c r="J2460" s="1084"/>
      <c r="K2460" s="1084"/>
      <c r="L2460" s="1085"/>
      <c r="M2460" s="977">
        <v>1000</v>
      </c>
    </row>
    <row r="2461" spans="1:13" s="1086" customFormat="1" ht="25.15" hidden="1" customHeight="1">
      <c r="A2461" s="1156">
        <f t="shared" si="172"/>
        <v>0</v>
      </c>
      <c r="B2461" s="1329" t="s">
        <v>4447</v>
      </c>
      <c r="C2461" s="1329"/>
      <c r="D2461" s="1093"/>
      <c r="E2461" s="1094">
        <f>VLOOKUP($B2461,DG!A:D,DG!$B$2,)</f>
        <v>0</v>
      </c>
      <c r="F2461" s="1111" t="str">
        <f>VLOOKUP($B2461,DG!A:D,DG!$C$2,)&amp;": 0,38m3/m"</f>
        <v>Cát vàng: 0,38m3/m</v>
      </c>
      <c r="G2461" s="1094" t="str">
        <f>VLOOKUP($B2461,DG!A:D,DG!$D$2,)</f>
        <v>m3</v>
      </c>
      <c r="H2461" s="1873">
        <f>H2459*0.38</f>
        <v>0</v>
      </c>
      <c r="I2461" s="1262">
        <f t="shared" si="171"/>
        <v>0</v>
      </c>
      <c r="J2461" s="1084"/>
      <c r="K2461" s="1084"/>
      <c r="L2461" s="1085"/>
      <c r="M2461" s="977">
        <v>1000</v>
      </c>
    </row>
    <row r="2462" spans="1:13" s="1086" customFormat="1" ht="25.15" hidden="1" customHeight="1">
      <c r="A2462" s="1156">
        <f t="shared" si="172"/>
        <v>0</v>
      </c>
      <c r="B2462" s="1329" t="s">
        <v>869</v>
      </c>
      <c r="C2462" s="1329"/>
      <c r="D2462" s="1093"/>
      <c r="E2462" s="1094">
        <f>VLOOKUP($B2462,DG!A:D,DG!$B$2,)</f>
        <v>0</v>
      </c>
      <c r="F2462" s="1111" t="str">
        <f>VLOOKUP($B2462,DG!A:D,DG!$C$2,)&amp;": 0,12m3/m"</f>
        <v>Đá 1x2: 0,12m3/m</v>
      </c>
      <c r="G2462" s="1094" t="str">
        <f>VLOOKUP($B2462,DG!A:D,DG!$D$2,)</f>
        <v>m3</v>
      </c>
      <c r="H2462" s="1873">
        <f>0.12*H2459*0</f>
        <v>0</v>
      </c>
      <c r="I2462" s="1262">
        <f t="shared" si="171"/>
        <v>0</v>
      </c>
      <c r="J2462" s="1084"/>
      <c r="K2462" s="1084"/>
      <c r="L2462" s="1085"/>
      <c r="M2462" s="977">
        <v>1000</v>
      </c>
    </row>
    <row r="2463" spans="1:13" s="1086" customFormat="1" ht="25.15" hidden="1" customHeight="1">
      <c r="A2463" s="1156">
        <f t="shared" si="172"/>
        <v>0</v>
      </c>
      <c r="B2463" s="1329" t="s">
        <v>1681</v>
      </c>
      <c r="C2463" s="1329"/>
      <c r="D2463" s="1093"/>
      <c r="E2463" s="1094">
        <f>VLOOKUP($B2463,DG!A:D,DG!$B$2,)</f>
        <v>0</v>
      </c>
      <c r="F2463" s="1111" t="str">
        <f>VLOOKUP($B2463,DG!A:D,DG!$C$2,)&amp;": 3,3vieân/m"</f>
        <v>Gạch tàu: 3,3vieân/m</v>
      </c>
      <c r="G2463" s="1094" t="str">
        <f>VLOOKUP($B2463,DG!A:D,DG!$D$2,)</f>
        <v>viên</v>
      </c>
      <c r="H2463" s="1873">
        <f>3.3*H2459</f>
        <v>0</v>
      </c>
      <c r="I2463" s="1262">
        <f t="shared" si="171"/>
        <v>0</v>
      </c>
      <c r="J2463" s="1084"/>
      <c r="K2463" s="1084"/>
      <c r="L2463" s="1085"/>
      <c r="M2463" s="977">
        <v>1000</v>
      </c>
    </row>
    <row r="2464" spans="1:13" s="1086" customFormat="1" ht="25.15" hidden="1" customHeight="1">
      <c r="A2464" s="1156">
        <f t="shared" si="172"/>
        <v>0</v>
      </c>
      <c r="B2464" s="1329" t="s">
        <v>1682</v>
      </c>
      <c r="C2464" s="1329"/>
      <c r="D2464" s="1093"/>
      <c r="E2464" s="1094">
        <f>VLOOKUP($B2464,DG!A:D,DG!$B$2,)</f>
        <v>0</v>
      </c>
      <c r="F2464" s="1111" t="str">
        <f>VLOOKUP($B2464,DG!A:D,DG!$C$2,)&amp;": 0,4m2/m"</f>
        <v>Tấm nilông màu cảnh báo: 0,4m2/m</v>
      </c>
      <c r="G2464" s="1094" t="str">
        <f>VLOOKUP($B2464,DG!A:D,DG!$D$2,)</f>
        <v>m2</v>
      </c>
      <c r="H2464" s="1873">
        <f>0.4*H2459</f>
        <v>0</v>
      </c>
      <c r="I2464" s="1262">
        <f t="shared" si="171"/>
        <v>0</v>
      </c>
      <c r="J2464" s="1084"/>
      <c r="K2464" s="1084"/>
      <c r="L2464" s="1085"/>
      <c r="M2464" s="977">
        <v>1000</v>
      </c>
    </row>
    <row r="2465" spans="1:14" s="1086" customFormat="1" ht="25.15" hidden="1" customHeight="1">
      <c r="A2465" s="1156">
        <f t="shared" si="172"/>
        <v>0</v>
      </c>
      <c r="B2465" s="1329" t="s">
        <v>1523</v>
      </c>
      <c r="C2465" s="1329"/>
      <c r="D2465" s="1081"/>
      <c r="E2465" s="1094">
        <f>VLOOKUP($B2465,DG!A:D,DG!$B$2,)</f>
        <v>0</v>
      </c>
      <c r="F2465" s="1111" t="str">
        <f>VLOOKUP($B2465,DG!A:D,DG!$C$2,)</f>
        <v>Ống PVC D140x6,7mm</v>
      </c>
      <c r="G2465" s="1094" t="str">
        <f>VLOOKUP($B2465,DG!A:D,DG!$D$2,)</f>
        <v>m</v>
      </c>
      <c r="H2465" s="1873">
        <f>1*H2459</f>
        <v>0</v>
      </c>
      <c r="I2465" s="1262">
        <f t="shared" si="171"/>
        <v>0</v>
      </c>
      <c r="J2465" s="1084"/>
      <c r="K2465" s="1084"/>
      <c r="L2465" s="1085"/>
      <c r="M2465" s="977">
        <v>1000</v>
      </c>
    </row>
    <row r="2466" spans="1:14" s="1086" customFormat="1" ht="25.15" hidden="1" customHeight="1">
      <c r="A2466" s="1156">
        <f t="shared" si="172"/>
        <v>0</v>
      </c>
      <c r="B2466" s="1329" t="s">
        <v>1684</v>
      </c>
      <c r="C2466" s="1329"/>
      <c r="D2466" s="1093"/>
      <c r="E2466" s="1094" t="str">
        <f>VLOOKUP($B2466,DG!A:D,DG!$B$2,)</f>
        <v>03.7000</v>
      </c>
      <c r="F2466" s="1111" t="str">
        <f>VLOOKUP($B2466,DG!A:D,DG!$C$2,)&amp;" + ñaép ñaù"</f>
        <v>Đắp cát  + ñaép ñaù</v>
      </c>
      <c r="G2466" s="1094" t="str">
        <f>VLOOKUP($B2466,DG!A:D,DG!$D$2,)</f>
        <v>m3</v>
      </c>
      <c r="H2466" s="1873">
        <f>H2461+H2462</f>
        <v>0</v>
      </c>
      <c r="I2466" s="1262">
        <f t="shared" si="171"/>
        <v>0</v>
      </c>
      <c r="J2466" s="1084"/>
      <c r="K2466" s="1084"/>
      <c r="L2466" s="1085"/>
      <c r="M2466" s="977">
        <v>1000</v>
      </c>
    </row>
    <row r="2467" spans="1:14" s="1086" customFormat="1" ht="25.15" hidden="1" customHeight="1">
      <c r="A2467" s="1156">
        <f t="shared" si="172"/>
        <v>0</v>
      </c>
      <c r="B2467" s="1329" t="s">
        <v>144</v>
      </c>
      <c r="C2467" s="1329"/>
      <c r="D2467" s="1093"/>
      <c r="E2467" s="1094" t="str">
        <f>VLOOKUP($B2467,DG!A:D,DG!$B$2,)</f>
        <v>03.3103</v>
      </c>
      <c r="F2467" s="1111" t="str">
        <f>VLOOKUP($B2467,DG!A:D,DG!$C$2,)&amp;" : 0,48m3/m"</f>
        <v>Đào mương cáp ngầm đất cấp 3 : 0,48m3/m</v>
      </c>
      <c r="G2467" s="1094" t="str">
        <f>VLOOKUP($B2467,DG!A:D,DG!$D$2,)</f>
        <v>m3</v>
      </c>
      <c r="H2467" s="1873">
        <f>H2459*0.48</f>
        <v>0</v>
      </c>
      <c r="I2467" s="1262">
        <f t="shared" si="171"/>
        <v>0</v>
      </c>
      <c r="J2467" s="1084"/>
      <c r="K2467" s="1084"/>
      <c r="L2467" s="1085"/>
      <c r="M2467" s="977">
        <v>1000</v>
      </c>
    </row>
    <row r="2468" spans="1:14" s="1086" customFormat="1" ht="25.15" hidden="1" customHeight="1">
      <c r="A2468" s="1156">
        <f t="shared" si="172"/>
        <v>0</v>
      </c>
      <c r="B2468" s="1329" t="s">
        <v>529</v>
      </c>
      <c r="C2468" s="1329"/>
      <c r="D2468" s="1093"/>
      <c r="E2468" s="1094" t="str">
        <f>VLOOKUP($B2468,DG!A:D,DG!$B$2,)</f>
        <v>03.3203</v>
      </c>
      <c r="F2468" s="1111" t="str">
        <f>VLOOKUP($B2468,DG!A:D,DG!$C$2,)&amp;" : 0,16m3/m"</f>
        <v>Đắp đất mương cáp ngầm, đất cấp 3 : 0,16m3/m</v>
      </c>
      <c r="G2468" s="1094" t="str">
        <f>VLOOKUP($B2468,DG!A:D,DG!$D$2,)</f>
        <v>m3</v>
      </c>
      <c r="H2468" s="1873">
        <f>0.16*H2459</f>
        <v>0</v>
      </c>
      <c r="I2468" s="1262">
        <f t="shared" si="171"/>
        <v>0</v>
      </c>
      <c r="J2468" s="1084"/>
      <c r="K2468" s="1084"/>
      <c r="L2468" s="1085"/>
      <c r="M2468" s="977">
        <v>1000</v>
      </c>
      <c r="N2468" s="1136">
        <v>0.47499999999999998</v>
      </c>
    </row>
    <row r="2469" spans="1:14" s="1086" customFormat="1" ht="25.15" hidden="1" customHeight="1">
      <c r="A2469" s="1156">
        <f t="shared" si="172"/>
        <v>0</v>
      </c>
      <c r="B2469" s="1327"/>
      <c r="C2469" s="1327"/>
      <c r="D2469" s="1087">
        <f>IF(H2469&gt;0,D2459+1,D2459)</f>
        <v>0</v>
      </c>
      <c r="E2469" s="1088"/>
      <c r="F2469" s="1089" t="s">
        <v>3780</v>
      </c>
      <c r="G2469" s="1087" t="s">
        <v>2394</v>
      </c>
      <c r="H2469" s="1889">
        <f>H2478</f>
        <v>0</v>
      </c>
      <c r="I2469" s="1262">
        <f t="shared" si="171"/>
        <v>0</v>
      </c>
      <c r="J2469" s="1084"/>
      <c r="K2469" s="1084"/>
      <c r="L2469" s="1085"/>
      <c r="M2469" s="977">
        <v>1000</v>
      </c>
      <c r="N2469" s="1136">
        <v>0.88100000000000001</v>
      </c>
    </row>
    <row r="2470" spans="1:14" s="1086" customFormat="1" ht="25.15" hidden="1" customHeight="1">
      <c r="A2470" s="1156">
        <f>IF(A2469&gt;0,1,0)</f>
        <v>0</v>
      </c>
      <c r="B2470" s="1327"/>
      <c r="C2470" s="1327"/>
      <c r="D2470" s="1081"/>
      <c r="E2470" s="1091"/>
      <c r="F2470" s="1370" t="s">
        <v>2287</v>
      </c>
      <c r="G2470" s="1093"/>
      <c r="H2470" s="1873"/>
      <c r="I2470" s="1262">
        <f t="shared" si="171"/>
        <v>0</v>
      </c>
      <c r="J2470" s="1084"/>
      <c r="K2470" s="1084"/>
      <c r="L2470" s="1085"/>
      <c r="M2470" s="977">
        <v>1000</v>
      </c>
    </row>
    <row r="2471" spans="1:14" s="1086" customFormat="1" ht="25.15" hidden="1" customHeight="1">
      <c r="A2471" s="1156">
        <f t="shared" si="172"/>
        <v>0</v>
      </c>
      <c r="B2471" s="1327" t="s">
        <v>623</v>
      </c>
      <c r="C2471" s="1327"/>
      <c r="D2471" s="1093"/>
      <c r="E2471" s="1094" t="str">
        <f>VLOOKUP($B2471,DG!A:D,DG!$B$2,)</f>
        <v>07.2204</v>
      </c>
      <c r="F2471" s="1095" t="str">
        <f>VLOOKUP($B2471,DG!A:D,DG!$C$2,)</f>
        <v>ÔÁng sắt tráng kẽm D140</v>
      </c>
      <c r="G2471" s="1094" t="str">
        <f>VLOOKUP($B2471,DG!A:D,DG!$D$2,)</f>
        <v>mét</v>
      </c>
      <c r="H2471" s="1873">
        <f>H2469*4</f>
        <v>0</v>
      </c>
      <c r="I2471" s="1262">
        <f t="shared" si="171"/>
        <v>0</v>
      </c>
      <c r="J2471" s="1084"/>
      <c r="K2471" s="1084"/>
      <c r="L2471" s="1085"/>
      <c r="M2471" s="977">
        <v>1000</v>
      </c>
    </row>
    <row r="2472" spans="1:14" s="1086" customFormat="1" ht="25.15" hidden="1" customHeight="1">
      <c r="A2472" s="1156">
        <f t="shared" si="172"/>
        <v>0</v>
      </c>
      <c r="B2472" s="1329" t="s">
        <v>473</v>
      </c>
      <c r="C2472" s="1329"/>
      <c r="D2472" s="1081"/>
      <c r="E2472" s="1094">
        <f>VLOOKUP($B2472,DG!A:D,DG!$B$2,)</f>
        <v>0</v>
      </c>
      <c r="F2472" s="1095" t="str">
        <f>VLOOKUP($B2472,DG!A:D,DG!$C$2,)</f>
        <v>Co sừng 90 độ PVC 140</v>
      </c>
      <c r="G2472" s="1094" t="str">
        <f>VLOOKUP($B2472,DG!A:D,DG!$D$2,)</f>
        <v>cái</v>
      </c>
      <c r="H2472" s="1873">
        <f>H2469*1</f>
        <v>0</v>
      </c>
      <c r="I2472" s="1262">
        <f t="shared" si="171"/>
        <v>0</v>
      </c>
      <c r="J2472" s="1084"/>
      <c r="K2472" s="1084"/>
      <c r="L2472" s="1085"/>
      <c r="M2472" s="977">
        <v>1000</v>
      </c>
    </row>
    <row r="2473" spans="1:14" s="1086" customFormat="1" ht="25.15" hidden="1" customHeight="1">
      <c r="A2473" s="1156">
        <f t="shared" si="172"/>
        <v>0</v>
      </c>
      <c r="B2473" s="1327" t="s">
        <v>120</v>
      </c>
      <c r="C2473" s="1327"/>
      <c r="D2473" s="1093"/>
      <c r="E2473" s="1094" t="str">
        <f>VLOOKUP($B2473,DG!A:D,DG!$B$2,)</f>
        <v>06.3231</v>
      </c>
      <c r="F2473" s="1095" t="str">
        <f>VLOOKUP($B2473,DG!A:D,DG!$C$2,)</f>
        <v>Cổ dê giữ ống STK D140 vào tường+Boulon+long đền+tắc ke sắt</v>
      </c>
      <c r="G2473" s="1094" t="str">
        <f>VLOOKUP($B2473,DG!A:D,DG!$D$2,)</f>
        <v>bộ</v>
      </c>
      <c r="H2473" s="1873">
        <f>H2469*2</f>
        <v>0</v>
      </c>
      <c r="I2473" s="1262">
        <f t="shared" si="171"/>
        <v>0</v>
      </c>
      <c r="J2473" s="1084"/>
      <c r="K2473" s="1084"/>
      <c r="L2473" s="1085"/>
      <c r="M2473" s="977">
        <v>1000</v>
      </c>
    </row>
    <row r="2474" spans="1:14" s="1086" customFormat="1" ht="25.15" hidden="1" customHeight="1">
      <c r="A2474" s="1156">
        <f t="shared" si="172"/>
        <v>0</v>
      </c>
      <c r="B2474" s="1157" t="s">
        <v>1414</v>
      </c>
      <c r="C2474" s="1157"/>
      <c r="D2474" s="1093"/>
      <c r="E2474" s="1094">
        <f>VLOOKUP($B2474,DG!A:D,DG!$B$2,)</f>
        <v>0</v>
      </c>
      <c r="F2474" s="1095" t="str">
        <f>VLOOKUP($B2474,DG!A:D,DG!$C$2,)</f>
        <v>Giá đỡ cáp ngầm (V63x6)</v>
      </c>
      <c r="G2474" s="1094" t="str">
        <f>VLOOKUP($B2474,DG!A:D,DG!$D$2,)</f>
        <v>bộ</v>
      </c>
      <c r="H2474" s="1873">
        <f>H2469</f>
        <v>0</v>
      </c>
      <c r="I2474" s="1262">
        <f t="shared" si="171"/>
        <v>0</v>
      </c>
      <c r="J2474" s="1084"/>
      <c r="K2474" s="1084"/>
      <c r="L2474" s="1085"/>
      <c r="M2474" s="977">
        <v>1000</v>
      </c>
    </row>
    <row r="2475" spans="1:14" s="1086" customFormat="1" ht="25.15" hidden="1" customHeight="1">
      <c r="A2475" s="1156">
        <f t="shared" si="172"/>
        <v>0</v>
      </c>
      <c r="B2475" s="1157" t="s">
        <v>986</v>
      </c>
      <c r="C2475" s="1157"/>
      <c r="D2475" s="1093"/>
      <c r="E2475" s="1094">
        <f>VLOOKUP($B2475,DG!A:D,DG!$B$2,)</f>
        <v>0</v>
      </c>
      <c r="F2475" s="1095" t="str">
        <f>VLOOKUP($B2475,DG!A:D,DG!$C$2,)</f>
        <v>Giá đỡ cáp trung thế</v>
      </c>
      <c r="G2475" s="1094" t="str">
        <f>VLOOKUP($B2475,DG!A:D,DG!$D$2,)</f>
        <v>bộ</v>
      </c>
      <c r="H2475" s="1873">
        <f>H2469*0</f>
        <v>0</v>
      </c>
      <c r="I2475" s="1262">
        <f t="shared" si="171"/>
        <v>0</v>
      </c>
      <c r="J2475" s="1084"/>
      <c r="K2475" s="1084"/>
      <c r="L2475" s="1085"/>
      <c r="M2475" s="977">
        <v>1000</v>
      </c>
    </row>
    <row r="2476" spans="1:14" s="1086" customFormat="1" ht="25.15" hidden="1" customHeight="1">
      <c r="A2476" s="1156">
        <f t="shared" si="172"/>
        <v>0</v>
      </c>
      <c r="B2476" s="1327" t="s">
        <v>1415</v>
      </c>
      <c r="C2476" s="1327"/>
      <c r="D2476" s="1081"/>
      <c r="E2476" s="1094" t="str">
        <f>VLOOKUP($B2476,DG!A:D,DG!$B$2,)</f>
        <v>05.6101</v>
      </c>
      <c r="F2476" s="1095" t="str">
        <f>VLOOKUP($B2476,DG!A:D,DG!$C$2,)</f>
        <v>Lắp Giá đỡ cáp</v>
      </c>
      <c r="G2476" s="1094" t="str">
        <f>VLOOKUP($B2476,DG!A:D,DG!$D$2,)</f>
        <v>bộ</v>
      </c>
      <c r="H2476" s="1873">
        <f>H2474</f>
        <v>0</v>
      </c>
      <c r="I2476" s="1262">
        <f t="shared" si="171"/>
        <v>0</v>
      </c>
      <c r="J2476" s="1084"/>
      <c r="K2476" s="1084"/>
      <c r="L2476" s="1085"/>
      <c r="M2476" s="977">
        <v>1000</v>
      </c>
    </row>
    <row r="2477" spans="1:14" s="1086" customFormat="1" ht="25.15" hidden="1" customHeight="1">
      <c r="A2477" s="1156">
        <f t="shared" si="172"/>
        <v>0</v>
      </c>
      <c r="B2477" s="1327" t="s">
        <v>289</v>
      </c>
      <c r="C2477" s="1327"/>
      <c r="D2477" s="1093"/>
      <c r="E2477" s="1094" t="str">
        <f>VLOOKUP($B2477,DG!A:D,DG!$B$2,)</f>
        <v>06.3191</v>
      </c>
      <c r="F2477" s="1095" t="str">
        <f>VLOOKUP($B2477,DG!A:D,DG!$C$2,)</f>
        <v>Bảng tên trạm, bảng báo nguy hiểm + đinh vít</v>
      </c>
      <c r="G2477" s="1094" t="str">
        <f>VLOOKUP($B2477,DG!A:D,DG!$D$2,)</f>
        <v>bộ</v>
      </c>
      <c r="H2477" s="1873">
        <f>H2469</f>
        <v>0</v>
      </c>
      <c r="I2477" s="1262">
        <f t="shared" si="171"/>
        <v>0</v>
      </c>
      <c r="J2477" s="1084"/>
      <c r="K2477" s="1084"/>
      <c r="L2477" s="1085"/>
      <c r="M2477" s="977">
        <v>1000</v>
      </c>
    </row>
    <row r="2478" spans="1:14" s="1086" customFormat="1" ht="25.15" hidden="1" customHeight="1">
      <c r="A2478" s="1156">
        <f t="shared" si="172"/>
        <v>0</v>
      </c>
      <c r="B2478" s="1327"/>
      <c r="C2478" s="1327"/>
      <c r="D2478" s="1087">
        <f>IF(H2478&gt;0,D2469+1,D2469)</f>
        <v>0</v>
      </c>
      <c r="E2478" s="1088"/>
      <c r="F2478" s="1097" t="s">
        <v>3761</v>
      </c>
      <c r="G2478" s="1087" t="s">
        <v>2394</v>
      </c>
      <c r="H2478" s="1889">
        <f>H2364</f>
        <v>0</v>
      </c>
      <c r="I2478" s="1262">
        <f t="shared" si="171"/>
        <v>0</v>
      </c>
      <c r="J2478" s="1084"/>
      <c r="K2478" s="1084"/>
      <c r="L2478" s="1085"/>
      <c r="M2478" s="977">
        <v>1000</v>
      </c>
    </row>
    <row r="2479" spans="1:14" s="1086" customFormat="1" ht="25.15" hidden="1" customHeight="1">
      <c r="A2479" s="1156">
        <f>IF(A2478&gt;0,1,0)</f>
        <v>0</v>
      </c>
      <c r="B2479" s="1327"/>
      <c r="C2479" s="1327"/>
      <c r="D2479" s="1081"/>
      <c r="E2479" s="1091"/>
      <c r="F2479" s="1371" t="s">
        <v>2287</v>
      </c>
      <c r="G2479" s="1081"/>
      <c r="H2479" s="1890"/>
      <c r="I2479" s="1262">
        <f t="shared" si="171"/>
        <v>0</v>
      </c>
      <c r="J2479" s="1084"/>
      <c r="K2479" s="1084"/>
      <c r="L2479" s="1085"/>
      <c r="M2479" s="977">
        <v>1000</v>
      </c>
    </row>
    <row r="2480" spans="1:14" s="1086" customFormat="1" ht="25.15" hidden="1" customHeight="1">
      <c r="A2480" s="1156">
        <f t="shared" si="172"/>
        <v>0</v>
      </c>
      <c r="B2480" s="1157" t="s">
        <v>470</v>
      </c>
      <c r="C2480" s="1157"/>
      <c r="D2480" s="1093"/>
      <c r="E2480" s="1082">
        <f>VLOOKUP($B2480,DG!A:D,DG!$B$2,)</f>
        <v>0</v>
      </c>
      <c r="F2480" s="1083" t="str">
        <f>VLOOKUP($B2480,DG!A:D,DG!$C$2,)&amp;": töø trụ ño ñeám ñeán tuû LBSA"</f>
        <v>Cáp 24kV C/XLPE/DSTA/PVC3x50: töø trụ ño ñeám ñeán tuû LBSA</v>
      </c>
      <c r="G2480" s="1082" t="str">
        <f>VLOOKUP($B2480,DG!A:D,DG!$D$2,)</f>
        <v>mét</v>
      </c>
      <c r="H2480" s="1873">
        <f>(3+10)*1.02*H2478*0</f>
        <v>0</v>
      </c>
      <c r="I2480" s="1262">
        <f t="shared" si="171"/>
        <v>0</v>
      </c>
      <c r="J2480" s="1084"/>
      <c r="K2480" s="1084"/>
      <c r="L2480" s="1085"/>
      <c r="M2480" s="977">
        <v>1000</v>
      </c>
    </row>
    <row r="2481" spans="1:13" s="1086" customFormat="1" ht="25.15" hidden="1" customHeight="1">
      <c r="A2481" s="1156">
        <f t="shared" si="172"/>
        <v>0</v>
      </c>
      <c r="B2481" s="1157" t="s">
        <v>271</v>
      </c>
      <c r="C2481" s="1157"/>
      <c r="D2481" s="1093"/>
      <c r="E2481" s="1082">
        <f>VLOOKUP($B2481,DG!A:D,DG!$B$2,)</f>
        <v>0</v>
      </c>
      <c r="F2481" s="1083" t="str">
        <f>VLOOKUP($B2481,DG!A:D,DG!$C$2,)&amp;": 0,5m/pha"</f>
        <v>Cáp 24KV C/XLPE/PVC 50mm2: 0,5m/pha</v>
      </c>
      <c r="G2481" s="1082" t="str">
        <f>VLOOKUP($B2481,DG!A:D,DG!$D$2,)</f>
        <v>mét</v>
      </c>
      <c r="H2481" s="1873">
        <f>H2478*0.5*3</f>
        <v>0</v>
      </c>
      <c r="I2481" s="1262">
        <f t="shared" si="171"/>
        <v>0</v>
      </c>
      <c r="J2481" s="1084"/>
      <c r="K2481" s="1084"/>
      <c r="L2481" s="1085"/>
      <c r="M2481" s="977">
        <v>1000</v>
      </c>
    </row>
    <row r="2482" spans="1:13" s="1086" customFormat="1" ht="25.15" hidden="1" customHeight="1">
      <c r="A2482" s="1156">
        <f t="shared" si="172"/>
        <v>0</v>
      </c>
      <c r="B2482" s="1157" t="s">
        <v>1357</v>
      </c>
      <c r="C2482" s="1157"/>
      <c r="D2482" s="1093"/>
      <c r="E2482" s="1082">
        <f>VLOOKUP($B2482,DG!A:D,DG!$B$2,)</f>
        <v>0</v>
      </c>
      <c r="F2482" s="1083" t="str">
        <f>VLOOKUP($B2482,DG!A:D,DG!$C$2,)</f>
        <v>Đầu cáp ngầm 24KV 3x50mm2 outdoor</v>
      </c>
      <c r="G2482" s="1082" t="str">
        <f>VLOOKUP($B2482,DG!A:D,DG!$D$2,)</f>
        <v>cái</v>
      </c>
      <c r="H2482" s="1873">
        <f>H2478*2*0</f>
        <v>0</v>
      </c>
      <c r="I2482" s="1262">
        <f t="shared" si="171"/>
        <v>0</v>
      </c>
      <c r="J2482" s="1084"/>
      <c r="K2482" s="1084"/>
      <c r="L2482" s="1085"/>
      <c r="M2482" s="977">
        <v>1000</v>
      </c>
    </row>
    <row r="2483" spans="1:13" s="1086" customFormat="1" ht="25.15" hidden="1" customHeight="1">
      <c r="A2483" s="1156">
        <f t="shared" si="172"/>
        <v>0</v>
      </c>
      <c r="B2483" s="1157" t="s">
        <v>470</v>
      </c>
      <c r="C2483" s="1157"/>
      <c r="D2483" s="1093"/>
      <c r="E2483" s="1082">
        <f>VLOOKUP($B2483,DG!A:D,DG!$B$2,)</f>
        <v>0</v>
      </c>
      <c r="F2483" s="1083" t="str">
        <f>VLOOKUP($B2483,DG!A:D,DG!$C$2,)&amp;": töø tuû LBS ñeán MBA"</f>
        <v>Cáp 24kV C/XLPE/DSTA/PVC3x50: töø tuû LBS ñeán MBA</v>
      </c>
      <c r="G2483" s="1082" t="str">
        <f>VLOOKUP($B2483,DG!A:D,DG!$D$2,)</f>
        <v>mét</v>
      </c>
      <c r="H2483" s="1873">
        <f>(1.2+2.4)*H2478*0</f>
        <v>0</v>
      </c>
      <c r="I2483" s="1262">
        <f t="shared" ref="I2483:I2546" si="173">IF(M2483=$M$23,H2483+J2483-K2483,0)</f>
        <v>0</v>
      </c>
      <c r="J2483" s="1084"/>
      <c r="K2483" s="1084"/>
      <c r="L2483" s="1085"/>
      <c r="M2483" s="977">
        <v>1000</v>
      </c>
    </row>
    <row r="2484" spans="1:13" s="1086" customFormat="1" ht="25.15" hidden="1" customHeight="1">
      <c r="A2484" s="1156">
        <f t="shared" si="172"/>
        <v>0</v>
      </c>
      <c r="B2484" s="1157" t="s">
        <v>271</v>
      </c>
      <c r="C2484" s="1157"/>
      <c r="D2484" s="1093"/>
      <c r="E2484" s="1082">
        <f>VLOOKUP($B2484,DG!A:D,DG!$B$2,)</f>
        <v>0</v>
      </c>
      <c r="F2484" s="1083" t="str">
        <f>VLOOKUP($B2484,DG!A:D,DG!$C$2,)&amp;": töø tuû LBS ñeán MBA"</f>
        <v>Cáp 24KV C/XLPE/PVC 50mm2: töø tuû LBS ñeán MBA</v>
      </c>
      <c r="G2484" s="1082" t="str">
        <f>VLOOKUP($B2484,DG!A:D,DG!$D$2,)</f>
        <v>mét</v>
      </c>
      <c r="H2484" s="1873">
        <f>H2483*0</f>
        <v>0</v>
      </c>
      <c r="I2484" s="1262">
        <f t="shared" si="173"/>
        <v>0</v>
      </c>
      <c r="J2484" s="1084"/>
      <c r="K2484" s="1084"/>
      <c r="L2484" s="1085"/>
      <c r="M2484" s="977">
        <v>1000</v>
      </c>
    </row>
    <row r="2485" spans="1:13" s="1086" customFormat="1" ht="25.15" hidden="1" customHeight="1">
      <c r="A2485" s="1156">
        <f t="shared" si="172"/>
        <v>0</v>
      </c>
      <c r="B2485" s="1157" t="s">
        <v>1358</v>
      </c>
      <c r="C2485" s="1157"/>
      <c r="D2485" s="1093"/>
      <c r="E2485" s="1082">
        <f>VLOOKUP($B2485,DG!A:D,DG!$B$2,)</f>
        <v>0</v>
      </c>
      <c r="F2485" s="1083" t="str">
        <f>VLOOKUP($B2485,DG!A:D,DG!$C$2,)</f>
        <v>Đầu cáp ngầm 24KV 3x50mm2 indoor</v>
      </c>
      <c r="G2485" s="1082" t="str">
        <f>VLOOKUP($B2485,DG!A:D,DG!$D$2,)</f>
        <v>cái</v>
      </c>
      <c r="H2485" s="1873">
        <f>H2478*3*0</f>
        <v>0</v>
      </c>
      <c r="I2485" s="1262">
        <f t="shared" si="173"/>
        <v>0</v>
      </c>
      <c r="J2485" s="1084"/>
      <c r="K2485" s="1084"/>
      <c r="L2485" s="1085"/>
      <c r="M2485" s="977">
        <v>1000</v>
      </c>
    </row>
    <row r="2486" spans="1:13" s="1086" customFormat="1" ht="25.15" hidden="1" customHeight="1">
      <c r="A2486" s="1156">
        <f t="shared" si="172"/>
        <v>0</v>
      </c>
      <c r="B2486" s="1157" t="s">
        <v>1680</v>
      </c>
      <c r="C2486" s="1157"/>
      <c r="D2486" s="1093"/>
      <c r="E2486" s="1082" t="str">
        <f>VLOOKUP($B2486,DG!A:D,DG!$B$2,)</f>
        <v>07.4312</v>
      </c>
      <c r="F2486" s="1083" t="str">
        <f>VLOOKUP($B2486,DG!A:D,DG!$C$2,)</f>
        <v>Lắp đầu cáp trung thế 3x50mm2, 70mm2</v>
      </c>
      <c r="G2486" s="1082" t="str">
        <f>VLOOKUP($B2486,DG!A:D,DG!$D$2,)</f>
        <v>cái</v>
      </c>
      <c r="H2486" s="1873">
        <f>H2482+H2485</f>
        <v>0</v>
      </c>
      <c r="I2486" s="1262">
        <f t="shared" si="173"/>
        <v>0</v>
      </c>
      <c r="J2486" s="1084"/>
      <c r="K2486" s="1084"/>
      <c r="L2486" s="1085"/>
      <c r="M2486" s="977">
        <v>1000</v>
      </c>
    </row>
    <row r="2487" spans="1:13" s="1086" customFormat="1" ht="25.15" hidden="1" customHeight="1">
      <c r="A2487" s="1156">
        <f t="shared" si="172"/>
        <v>0</v>
      </c>
      <c r="B2487" s="1157" t="s">
        <v>1184</v>
      </c>
      <c r="C2487" s="1157"/>
      <c r="D2487" s="1093"/>
      <c r="E2487" s="1082" t="str">
        <f>VLOOKUP($B2487,DG!A:D,DG!$B$2,)</f>
        <v>07.3405</v>
      </c>
      <c r="F2487" s="1083" t="str">
        <f>VLOOKUP($B2487,DG!A:D,DG!$C$2,)</f>
        <v>Lắp cáp trong ống bảo vệ loại &lt;=6kg</v>
      </c>
      <c r="G2487" s="1082" t="str">
        <f>VLOOKUP($B2487,DG!A:D,DG!$D$2,)</f>
        <v>mét</v>
      </c>
      <c r="H2487" s="1873">
        <f>H2480+H2483</f>
        <v>0</v>
      </c>
      <c r="I2487" s="1262">
        <f t="shared" si="173"/>
        <v>0</v>
      </c>
      <c r="J2487" s="1084"/>
      <c r="K2487" s="1084"/>
      <c r="L2487" s="1085"/>
      <c r="M2487" s="977">
        <v>1000</v>
      </c>
    </row>
    <row r="2488" spans="1:13" s="1086" customFormat="1" ht="25.15" hidden="1" customHeight="1">
      <c r="A2488" s="1156">
        <f t="shared" si="172"/>
        <v>0</v>
      </c>
      <c r="B2488" s="1157" t="s">
        <v>1530</v>
      </c>
      <c r="C2488" s="1157"/>
      <c r="D2488" s="1093"/>
      <c r="E2488" s="1082" t="str">
        <f>VLOOKUP($B2488,DG!A:D,DG!$B$2,)</f>
        <v>04.4201</v>
      </c>
      <c r="F2488" s="1083" t="str">
        <f>VLOOKUP($B2488,DG!A:D,DG!$C$2,)</f>
        <v>Lắp cáp đồng xuống thiết bị D ≤ 95mm2</v>
      </c>
      <c r="G2488" s="1082" t="str">
        <f>VLOOKUP($B2488,DG!A:D,DG!$D$2,)</f>
        <v>m</v>
      </c>
      <c r="H2488" s="1873">
        <f>H2481</f>
        <v>0</v>
      </c>
      <c r="I2488" s="1262">
        <f t="shared" si="173"/>
        <v>0</v>
      </c>
      <c r="J2488" s="1084"/>
      <c r="K2488" s="1084"/>
      <c r="L2488" s="1085"/>
      <c r="M2488" s="977">
        <v>1000</v>
      </c>
    </row>
    <row r="2489" spans="1:13" s="1086" customFormat="1" ht="25.15" hidden="1" customHeight="1">
      <c r="A2489" s="1156">
        <f t="shared" si="172"/>
        <v>0</v>
      </c>
      <c r="B2489" s="1157" t="s">
        <v>1354</v>
      </c>
      <c r="C2489" s="1157"/>
      <c r="D2489" s="1093"/>
      <c r="E2489" s="1082">
        <f>VLOOKUP($B2489,DG!A:D,DG!$B$2,)</f>
        <v>0</v>
      </c>
      <c r="F2489" s="1083" t="str">
        <f>VLOOKUP($B2489,DG!A:D,DG!$C$2,)</f>
        <v>Dây rút cáp</v>
      </c>
      <c r="G2489" s="1082" t="str">
        <f>VLOOKUP($B2489,DG!A:D,DG!$D$2,)</f>
        <v>bọc</v>
      </c>
      <c r="H2489" s="1873">
        <f>H2478*2*0</f>
        <v>0</v>
      </c>
      <c r="I2489" s="1262">
        <f t="shared" si="173"/>
        <v>0</v>
      </c>
      <c r="J2489" s="1084"/>
      <c r="K2489" s="1084"/>
      <c r="L2489" s="1085"/>
      <c r="M2489" s="977">
        <v>1000</v>
      </c>
    </row>
    <row r="2490" spans="1:13" s="1086" customFormat="1" ht="25.15" hidden="1" customHeight="1">
      <c r="A2490" s="1156">
        <f t="shared" si="172"/>
        <v>0</v>
      </c>
      <c r="B2490" s="1327"/>
      <c r="C2490" s="1327"/>
      <c r="D2490" s="1087">
        <f>IF(H2490&gt;0,D2478+1,D2478)</f>
        <v>0</v>
      </c>
      <c r="E2490" s="1088"/>
      <c r="F2490" s="1097" t="s">
        <v>3748</v>
      </c>
      <c r="G2490" s="1087" t="s">
        <v>2394</v>
      </c>
      <c r="H2490" s="1889">
        <f>H2364</f>
        <v>0</v>
      </c>
      <c r="I2490" s="1262">
        <f t="shared" si="173"/>
        <v>0</v>
      </c>
      <c r="J2490" s="1084"/>
      <c r="K2490" s="1084"/>
      <c r="L2490" s="1085"/>
      <c r="M2490" s="977">
        <v>1000</v>
      </c>
    </row>
    <row r="2491" spans="1:13" s="1086" customFormat="1" ht="25.15" hidden="1" customHeight="1">
      <c r="A2491" s="1156">
        <f>IF(A2490&gt;0,1,0)</f>
        <v>0</v>
      </c>
      <c r="B2491" s="1327"/>
      <c r="C2491" s="1327"/>
      <c r="D2491" s="1081"/>
      <c r="E2491" s="1091"/>
      <c r="F2491" s="1371" t="s">
        <v>2287</v>
      </c>
      <c r="G2491" s="1081"/>
      <c r="H2491" s="1890"/>
      <c r="I2491" s="1262">
        <f t="shared" si="173"/>
        <v>0</v>
      </c>
      <c r="J2491" s="1084"/>
      <c r="K2491" s="1084"/>
      <c r="L2491" s="1085"/>
      <c r="M2491" s="977">
        <v>1000</v>
      </c>
    </row>
    <row r="2492" spans="1:13" s="1086" customFormat="1" ht="25.15" hidden="1" customHeight="1">
      <c r="A2492" s="1156">
        <f t="shared" si="172"/>
        <v>0</v>
      </c>
      <c r="B2492" s="1157" t="s">
        <v>699</v>
      </c>
      <c r="C2492" s="1157"/>
      <c r="D2492" s="1093"/>
      <c r="E2492" s="1082">
        <f>VLOOKUP($B2492,DG!A:D,DG!$B$2,)</f>
        <v>0</v>
      </c>
      <c r="F2492" s="1083" t="str">
        <f>VLOOKUP($B2492,DG!A:D,DG!$C$2,)&amp;": 7m/1pha"</f>
        <v>Cáp 24KV CX-25mm2: 7m/1pha</v>
      </c>
      <c r="G2492" s="1082" t="str">
        <f>VLOOKUP($B2492,DG!A:D,DG!$D$2,)</f>
        <v>mét</v>
      </c>
      <c r="H2492" s="1873">
        <f>H2490*7*3</f>
        <v>0</v>
      </c>
      <c r="I2492" s="1262">
        <f t="shared" si="173"/>
        <v>0</v>
      </c>
      <c r="J2492" s="1084"/>
      <c r="K2492" s="1084"/>
      <c r="L2492" s="1085"/>
      <c r="M2492" s="977">
        <v>1000</v>
      </c>
    </row>
    <row r="2493" spans="1:13" s="1086" customFormat="1" ht="25.15" hidden="1" customHeight="1">
      <c r="A2493" s="1156">
        <f t="shared" si="172"/>
        <v>0</v>
      </c>
      <c r="B2493" s="1157" t="s">
        <v>1117</v>
      </c>
      <c r="C2493" s="1157"/>
      <c r="D2493" s="1093"/>
      <c r="E2493" s="1082">
        <f>VLOOKUP($B2493,DG!A:D,DG!$B$2,)</f>
        <v>0</v>
      </c>
      <c r="F2493" s="1083" t="str">
        <f>VLOOKUP($B2493,DG!A:D,DG!$C$2,)</f>
        <v>Kẹp ép cỡ dây 25mm2</v>
      </c>
      <c r="G2493" s="1082" t="str">
        <f>VLOOKUP($B2493,DG!A:D,DG!$D$2,)</f>
        <v>cái</v>
      </c>
      <c r="H2493" s="1873">
        <f>H2490*3*2</f>
        <v>0</v>
      </c>
      <c r="I2493" s="1262">
        <f t="shared" si="173"/>
        <v>0</v>
      </c>
      <c r="J2493" s="1084"/>
      <c r="K2493" s="1084"/>
      <c r="L2493" s="1085"/>
      <c r="M2493" s="977">
        <v>1000</v>
      </c>
    </row>
    <row r="2494" spans="1:13" s="1086" customFormat="1" ht="25.15" hidden="1" customHeight="1">
      <c r="A2494" s="1156">
        <f t="shared" si="172"/>
        <v>0</v>
      </c>
      <c r="B2494" s="1157" t="s">
        <v>1484</v>
      </c>
      <c r="C2494" s="1157"/>
      <c r="D2494" s="1093"/>
      <c r="E2494" s="1082" t="str">
        <f>VLOOKUP($B2494,DG!A:D,DG!$B$2,)</f>
        <v>04.3007</v>
      </c>
      <c r="F2494" s="1083" t="str">
        <f>VLOOKUP($B2494,DG!A:D,DG!$C$2,)</f>
        <v>Kẹp quai 2/0</v>
      </c>
      <c r="G2494" s="1082" t="str">
        <f>VLOOKUP($B2494,DG!A:D,DG!$D$2,)</f>
        <v>cái</v>
      </c>
      <c r="H2494" s="1873">
        <f>H2490*3*0</f>
        <v>0</v>
      </c>
      <c r="I2494" s="1262">
        <f t="shared" si="173"/>
        <v>0</v>
      </c>
      <c r="J2494" s="1084"/>
      <c r="K2494" s="1084"/>
      <c r="L2494" s="1085"/>
      <c r="M2494" s="977">
        <v>1000</v>
      </c>
    </row>
    <row r="2495" spans="1:13" s="1086" customFormat="1" ht="25.15" hidden="1" customHeight="1">
      <c r="A2495" s="1156">
        <f t="shared" si="172"/>
        <v>0</v>
      </c>
      <c r="B2495" s="1157" t="s">
        <v>1482</v>
      </c>
      <c r="C2495" s="1157"/>
      <c r="D2495" s="1093"/>
      <c r="E2495" s="1082" t="str">
        <f>VLOOKUP($B2495,DG!A:D,DG!$B$2,)</f>
        <v>04.3007</v>
      </c>
      <c r="F2495" s="1083" t="str">
        <f>VLOOKUP($B2495,DG!A:D,DG!$C$2,)&amp;": "</f>
        <v xml:space="preserve">Kẹp hotline 2/0: </v>
      </c>
      <c r="G2495" s="1082" t="str">
        <f>VLOOKUP($B2495,DG!A:D,DG!$D$2,)</f>
        <v>cái</v>
      </c>
      <c r="H2495" s="1873">
        <f>H2494</f>
        <v>0</v>
      </c>
      <c r="I2495" s="1262">
        <f t="shared" si="173"/>
        <v>0</v>
      </c>
      <c r="J2495" s="1084"/>
      <c r="K2495" s="1084"/>
      <c r="L2495" s="1085"/>
      <c r="M2495" s="977">
        <v>1000</v>
      </c>
    </row>
    <row r="2496" spans="1:13" s="1086" customFormat="1" ht="25.15" hidden="1" customHeight="1">
      <c r="A2496" s="1156">
        <f t="shared" si="172"/>
        <v>0</v>
      </c>
      <c r="B2496" s="1157" t="s">
        <v>698</v>
      </c>
      <c r="C2496" s="1157"/>
      <c r="D2496" s="1113"/>
      <c r="E2496" s="1082">
        <f>VLOOKUP($B2496,DG!A:D,DG!$B$2,)</f>
        <v>0</v>
      </c>
      <c r="F2496" s="1083" t="str">
        <f>VLOOKUP($B2496,DG!A:D,DG!$C$2,)</f>
        <v xml:space="preserve">Sứ đứng 24KV </v>
      </c>
      <c r="G2496" s="1082" t="str">
        <f>VLOOKUP($B2496,DG!A:D,DG!$D$2,)</f>
        <v>cái</v>
      </c>
      <c r="H2496" s="1873">
        <f>+H2490*3*4</f>
        <v>0</v>
      </c>
      <c r="I2496" s="1262">
        <f t="shared" si="173"/>
        <v>0</v>
      </c>
      <c r="J2496" s="1084"/>
      <c r="K2496" s="1084"/>
      <c r="L2496" s="1085"/>
      <c r="M2496" s="977">
        <v>1000</v>
      </c>
    </row>
    <row r="2497" spans="1:14" s="1086" customFormat="1" ht="25.15" hidden="1" customHeight="1">
      <c r="A2497" s="1156">
        <f t="shared" si="172"/>
        <v>0</v>
      </c>
      <c r="B2497" s="1157" t="s">
        <v>1270</v>
      </c>
      <c r="C2497" s="1157"/>
      <c r="D2497" s="1093"/>
      <c r="E2497" s="1082">
        <f>VLOOKUP($B2497,DG!A:D,DG!$B$2,)</f>
        <v>0</v>
      </c>
      <c r="F2497" s="1083" t="str">
        <f>VLOOKUP($B2497,DG!A:D,DG!$C$2,)</f>
        <v>Chân sứ đứng D20</v>
      </c>
      <c r="G2497" s="1082" t="str">
        <f>VLOOKUP($B2497,DG!A:D,DG!$D$2,)</f>
        <v>cái</v>
      </c>
      <c r="H2497" s="1873">
        <f>+H2496</f>
        <v>0</v>
      </c>
      <c r="I2497" s="1262">
        <f t="shared" si="173"/>
        <v>0</v>
      </c>
      <c r="J2497" s="1084"/>
      <c r="K2497" s="1084"/>
      <c r="L2497" s="1085"/>
      <c r="M2497" s="977">
        <v>1000</v>
      </c>
    </row>
    <row r="2498" spans="1:14" s="1086" customFormat="1" ht="25.15" hidden="1" customHeight="1">
      <c r="A2498" s="1156">
        <f t="shared" si="172"/>
        <v>0</v>
      </c>
      <c r="B2498" s="1157" t="s">
        <v>347</v>
      </c>
      <c r="C2498" s="1157"/>
      <c r="D2498" s="1093"/>
      <c r="E2498" s="1082" t="str">
        <f>VLOOKUP($B2498,DG!A:D,DG!$B$2,)</f>
        <v>06.1115</v>
      </c>
      <c r="F2498" s="1083" t="str">
        <f>VLOOKUP($B2498,DG!A:D,DG!$C$2,)</f>
        <v>Lắp sứ đứng 24KV</v>
      </c>
      <c r="G2498" s="1082" t="str">
        <f>VLOOKUP($B2498,DG!A:D,DG!$D$2,)</f>
        <v>bộ</v>
      </c>
      <c r="H2498" s="1873">
        <f>H2496</f>
        <v>0</v>
      </c>
      <c r="I2498" s="1262">
        <f t="shared" si="173"/>
        <v>0</v>
      </c>
      <c r="J2498" s="1084"/>
      <c r="K2498" s="1084"/>
      <c r="L2498" s="1085"/>
      <c r="M2498" s="977">
        <v>1000</v>
      </c>
    </row>
    <row r="2499" spans="1:14" s="1086" customFormat="1" ht="25.15" hidden="1" customHeight="1">
      <c r="A2499" s="1156">
        <f t="shared" si="172"/>
        <v>0</v>
      </c>
      <c r="B2499" s="1327"/>
      <c r="C2499" s="1327"/>
      <c r="D2499" s="1087">
        <f>IF(H2499&gt;0,D2490+1,D2490)</f>
        <v>0</v>
      </c>
      <c r="E2499" s="1088"/>
      <c r="F2499" s="1089" t="s">
        <v>3781</v>
      </c>
      <c r="G2499" s="1087" t="s">
        <v>2394</v>
      </c>
      <c r="H2499" s="1889">
        <f>H2364*1</f>
        <v>0</v>
      </c>
      <c r="I2499" s="1262">
        <f t="shared" si="173"/>
        <v>0</v>
      </c>
      <c r="J2499" s="1084"/>
      <c r="K2499" s="1084"/>
      <c r="L2499" s="1085"/>
      <c r="M2499" s="977">
        <v>1000</v>
      </c>
    </row>
    <row r="2500" spans="1:14" s="1086" customFormat="1" ht="25.15" hidden="1" customHeight="1">
      <c r="A2500" s="1156">
        <f>IF(A2499&gt;0,1,0)</f>
        <v>0</v>
      </c>
      <c r="B2500" s="1327"/>
      <c r="C2500" s="1327"/>
      <c r="D2500" s="1081"/>
      <c r="E2500" s="1091"/>
      <c r="F2500" s="1371" t="s">
        <v>2287</v>
      </c>
      <c r="G2500" s="1081"/>
      <c r="H2500" s="1890"/>
      <c r="I2500" s="1262">
        <f t="shared" si="173"/>
        <v>0</v>
      </c>
      <c r="J2500" s="1084"/>
      <c r="K2500" s="1084"/>
      <c r="L2500" s="1085"/>
      <c r="M2500" s="977">
        <v>1000</v>
      </c>
    </row>
    <row r="2501" spans="1:14" s="1086" customFormat="1" ht="25.15" hidden="1" customHeight="1">
      <c r="A2501" s="1156">
        <f t="shared" si="172"/>
        <v>0</v>
      </c>
      <c r="B2501" s="1327" t="s">
        <v>1126</v>
      </c>
      <c r="C2501" s="1327"/>
      <c r="D2501" s="1093"/>
      <c r="E2501" s="1082">
        <f>VLOOKUP($B2501,DG!A:D,DG!$B$2,)</f>
        <v>0</v>
      </c>
      <c r="F2501" s="1083" t="str">
        <f>VLOOKUP($B2501,DG!A:D,DG!$C$2,)</f>
        <v xml:space="preserve">Giá đỡ cáp hạ thế </v>
      </c>
      <c r="G2501" s="1082" t="str">
        <f>VLOOKUP($B2501,DG!A:D,DG!$D$2,)</f>
        <v>bộ</v>
      </c>
      <c r="H2501" s="1873">
        <f>H2499</f>
        <v>0</v>
      </c>
      <c r="I2501" s="1262">
        <f t="shared" si="173"/>
        <v>0</v>
      </c>
      <c r="J2501" s="1084"/>
      <c r="K2501" s="1084"/>
      <c r="L2501" s="1085"/>
      <c r="M2501" s="977">
        <v>1000</v>
      </c>
    </row>
    <row r="2502" spans="1:14" s="1086" customFormat="1" ht="25.15" hidden="1" customHeight="1">
      <c r="A2502" s="1156">
        <f t="shared" si="172"/>
        <v>0</v>
      </c>
      <c r="B2502" s="1327" t="s">
        <v>1415</v>
      </c>
      <c r="C2502" s="1327"/>
      <c r="D2502" s="1093"/>
      <c r="E2502" s="1082" t="str">
        <f>VLOOKUP($B2502,DG!A:D,DG!$B$2,)</f>
        <v>05.6101</v>
      </c>
      <c r="F2502" s="1083" t="str">
        <f>VLOOKUP($B2502,DG!A:D,DG!$C$2,)</f>
        <v>Lắp Giá đỡ cáp</v>
      </c>
      <c r="G2502" s="1082" t="str">
        <f>VLOOKUP($B2502,DG!A:D,DG!$D$2,)</f>
        <v>bộ</v>
      </c>
      <c r="H2502" s="1873">
        <f>H2501</f>
        <v>0</v>
      </c>
      <c r="I2502" s="1262">
        <f t="shared" si="173"/>
        <v>0</v>
      </c>
      <c r="J2502" s="1084"/>
      <c r="K2502" s="1084"/>
      <c r="L2502" s="1085"/>
      <c r="M2502" s="977">
        <v>1000</v>
      </c>
    </row>
    <row r="2503" spans="1:14" s="1086" customFormat="1" ht="25.15" hidden="1" customHeight="1">
      <c r="A2503" s="1156">
        <f t="shared" si="172"/>
        <v>0</v>
      </c>
      <c r="B2503" s="1157"/>
      <c r="C2503" s="1157"/>
      <c r="D2503" s="1087">
        <f>IF(H2503&gt;0,D2499+1,D2499)</f>
        <v>0</v>
      </c>
      <c r="E2503" s="1088"/>
      <c r="F2503" s="1097" t="s">
        <v>3782</v>
      </c>
      <c r="G2503" s="1087" t="s">
        <v>2394</v>
      </c>
      <c r="H2503" s="1910">
        <f>H2478+H2490</f>
        <v>0</v>
      </c>
      <c r="I2503" s="1262">
        <f t="shared" si="173"/>
        <v>0</v>
      </c>
      <c r="J2503" s="1084"/>
      <c r="K2503" s="1084"/>
      <c r="L2503" s="1085"/>
      <c r="M2503" s="977">
        <v>1000</v>
      </c>
    </row>
    <row r="2504" spans="1:14" s="1086" customFormat="1" ht="25.15" hidden="1" customHeight="1">
      <c r="A2504" s="1156">
        <f>IF(A2503&gt;0,1,0)</f>
        <v>0</v>
      </c>
      <c r="B2504" s="1157"/>
      <c r="C2504" s="1157"/>
      <c r="D2504" s="1081"/>
      <c r="E2504" s="1091"/>
      <c r="F2504" s="1371" t="s">
        <v>2287</v>
      </c>
      <c r="G2504" s="1081"/>
      <c r="H2504" s="1873"/>
      <c r="I2504" s="1262">
        <f t="shared" si="173"/>
        <v>0</v>
      </c>
      <c r="J2504" s="1084"/>
      <c r="K2504" s="1084"/>
      <c r="L2504" s="1085"/>
      <c r="M2504" s="977">
        <v>1000</v>
      </c>
    </row>
    <row r="2505" spans="1:14" s="1086" customFormat="1" ht="25.15" hidden="1" customHeight="1">
      <c r="A2505" s="1156">
        <f t="shared" ref="A2505:A2509" si="174">IF(A2504&gt;0,1,0)</f>
        <v>0</v>
      </c>
      <c r="B2505" s="1327"/>
      <c r="C2505" s="1327"/>
      <c r="D2505" s="1093"/>
      <c r="E2505" s="1082" t="e">
        <f>VLOOKUP($B2505,DG!A:D,DG!$B$2,)</f>
        <v>#N/A</v>
      </c>
      <c r="F2505" s="1083" t="e">
        <f>VLOOKUP($B2505,DG!A:D,DG!$C$2,)&amp;": "&amp;#REF!&amp;"x 8m/pha "</f>
        <v>#N/A</v>
      </c>
      <c r="G2505" s="1082" t="e">
        <f>VLOOKUP($B2505,DG!A:D,DG!$D$2,)</f>
        <v>#N/A</v>
      </c>
      <c r="H2505" s="1873">
        <f>8*3*H2503*L16</f>
        <v>0</v>
      </c>
      <c r="I2505" s="1262">
        <f t="shared" si="173"/>
        <v>0</v>
      </c>
      <c r="J2505" s="1084"/>
      <c r="K2505" s="1084"/>
      <c r="L2505" s="1085"/>
      <c r="M2505" s="977">
        <v>1000</v>
      </c>
      <c r="N2505" s="1086">
        <f>48*(30+6)</f>
        <v>1728</v>
      </c>
    </row>
    <row r="2506" spans="1:14" s="1086" customFormat="1" ht="25.15" hidden="1" customHeight="1">
      <c r="A2506" s="1156">
        <f t="shared" si="174"/>
        <v>0</v>
      </c>
      <c r="B2506" s="1327"/>
      <c r="C2506" s="1327"/>
      <c r="D2506" s="1093"/>
      <c r="E2506" s="1082" t="e">
        <f>VLOOKUP($B2506,DG!A:D,DG!$B$2,)</f>
        <v>#N/A</v>
      </c>
      <c r="F2506" s="1083" t="e">
        <f>VLOOKUP($B2506,DG!A:D,DG!$C$2,)&amp;": "&amp;#REF!/2&amp;"x 8m/trung tính "</f>
        <v>#N/A</v>
      </c>
      <c r="G2506" s="1082" t="e">
        <f>VLOOKUP($B2506,DG!A:D,DG!$D$2,)</f>
        <v>#N/A</v>
      </c>
      <c r="H2506" s="1916"/>
      <c r="I2506" s="1262">
        <f t="shared" si="173"/>
        <v>0</v>
      </c>
      <c r="J2506" s="1084"/>
      <c r="K2506" s="1084"/>
      <c r="L2506" s="1085"/>
      <c r="M2506" s="977">
        <v>1000</v>
      </c>
      <c r="N2506" s="1086">
        <f>8*(30+6)</f>
        <v>288</v>
      </c>
    </row>
    <row r="2507" spans="1:14" s="1086" customFormat="1" ht="25.15" hidden="1" customHeight="1">
      <c r="A2507" s="1156">
        <f t="shared" si="174"/>
        <v>0</v>
      </c>
      <c r="B2507" s="1327" t="s">
        <v>448</v>
      </c>
      <c r="C2507" s="1327"/>
      <c r="D2507" s="1093"/>
      <c r="E2507" s="1082" t="str">
        <f>VLOOKUP($B2507,DG!A:D,DG!$B$2,)</f>
        <v>03.4009</v>
      </c>
      <c r="F2507" s="1083" t="str">
        <f>VLOOKUP($B2507,DG!A:D,DG!$C$2,)&amp;": "</f>
        <v xml:space="preserve">Đầu cosse ép Cu 250mm2: </v>
      </c>
      <c r="G2507" s="1082" t="str">
        <f>VLOOKUP($B2507,DG!A:D,DG!$D$2,)</f>
        <v>cái</v>
      </c>
      <c r="H2507" s="1916"/>
      <c r="I2507" s="1262">
        <f t="shared" si="173"/>
        <v>0</v>
      </c>
      <c r="J2507" s="1084"/>
      <c r="K2507" s="1084"/>
      <c r="L2507" s="1085"/>
      <c r="M2507" s="977">
        <v>1000</v>
      </c>
    </row>
    <row r="2508" spans="1:14" s="1086" customFormat="1" ht="25.15" hidden="1" customHeight="1">
      <c r="A2508" s="1156">
        <f t="shared" si="174"/>
        <v>0</v>
      </c>
      <c r="B2508" s="1327" t="s">
        <v>448</v>
      </c>
      <c r="C2508" s="1327"/>
      <c r="D2508" s="1093"/>
      <c r="E2508" s="1082" t="str">
        <f>VLOOKUP($B2508,DG!A:D,DG!$B$2,)</f>
        <v>03.4009</v>
      </c>
      <c r="F2508" s="1083" t="str">
        <f>VLOOKUP($B2508,DG!A:D,DG!$C$2,)&amp;": "</f>
        <v xml:space="preserve">Đầu cosse ép Cu 250mm2: </v>
      </c>
      <c r="G2508" s="1082" t="str">
        <f>VLOOKUP($B2508,DG!A:D,DG!$D$2,)</f>
        <v>cái</v>
      </c>
      <c r="H2508" s="1916"/>
      <c r="I2508" s="1262">
        <f t="shared" si="173"/>
        <v>0</v>
      </c>
      <c r="J2508" s="1084"/>
      <c r="K2508" s="1084"/>
      <c r="L2508" s="1085"/>
      <c r="M2508" s="977">
        <v>1000</v>
      </c>
    </row>
    <row r="2509" spans="1:14" s="1086" customFormat="1" ht="25.15" hidden="1" customHeight="1">
      <c r="A2509" s="1156">
        <f t="shared" si="174"/>
        <v>0</v>
      </c>
      <c r="B2509" s="1327" t="s">
        <v>1074</v>
      </c>
      <c r="C2509" s="1327"/>
      <c r="D2509" s="1093"/>
      <c r="E2509" s="1082">
        <f>VLOOKUP($B2509,DG!A:D,DG!$B$2,)</f>
        <v>0</v>
      </c>
      <c r="F2509" s="1083" t="str">
        <f>VLOOKUP($B2509,DG!A:D,DG!$C$2,)&amp;": "</f>
        <v xml:space="preserve">Chụp đầu cosse  250mm2: </v>
      </c>
      <c r="G2509" s="1082" t="str">
        <f>VLOOKUP($B2509,DG!A:D,DG!$D$2,)</f>
        <v>cái</v>
      </c>
      <c r="H2509" s="1916"/>
      <c r="I2509" s="1262">
        <f t="shared" si="173"/>
        <v>0</v>
      </c>
      <c r="J2509" s="1084"/>
      <c r="K2509" s="1084"/>
      <c r="L2509" s="1085"/>
      <c r="M2509" s="977">
        <v>1000</v>
      </c>
    </row>
    <row r="2510" spans="1:14" s="1086" customFormat="1" ht="25.15" hidden="1" customHeight="1">
      <c r="A2510" s="1156">
        <f t="shared" si="172"/>
        <v>0</v>
      </c>
      <c r="B2510" s="1327" t="s">
        <v>1074</v>
      </c>
      <c r="C2510" s="1327"/>
      <c r="D2510" s="1093"/>
      <c r="E2510" s="1082">
        <f>VLOOKUP($B2510,DG!A:D,DG!$B$2,)</f>
        <v>0</v>
      </c>
      <c r="F2510" s="1083" t="str">
        <f>VLOOKUP($B2510,DG!A:D,DG!$C$2,)&amp;": "</f>
        <v xml:space="preserve">Chụp đầu cosse  250mm2: </v>
      </c>
      <c r="G2510" s="1082" t="str">
        <f>VLOOKUP($B2510,DG!A:D,DG!$D$2,)</f>
        <v>cái</v>
      </c>
      <c r="H2510" s="1916"/>
      <c r="I2510" s="1262">
        <f t="shared" si="173"/>
        <v>0</v>
      </c>
      <c r="J2510" s="1084"/>
      <c r="K2510" s="1084"/>
      <c r="L2510" s="1085"/>
      <c r="M2510" s="977">
        <v>1000</v>
      </c>
    </row>
    <row r="2511" spans="1:14" s="1086" customFormat="1" ht="25.15" hidden="1" customHeight="1">
      <c r="A2511" s="1156">
        <f t="shared" si="172"/>
        <v>0</v>
      </c>
      <c r="B2511" s="1327" t="s">
        <v>1044</v>
      </c>
      <c r="C2511" s="1327"/>
      <c r="D2511" s="1093"/>
      <c r="E2511" s="1082">
        <f>VLOOKUP($B2511,DG!A:D,DG!$B$2,)</f>
        <v>0</v>
      </c>
      <c r="F2511" s="1083" t="str">
        <f>VLOOKUP($B2511,DG!A:D,DG!$C$2,)</f>
        <v xml:space="preserve">Ống PVC D114x4,9mm </v>
      </c>
      <c r="G2511" s="1082" t="str">
        <f>VLOOKUP($B2511,DG!A:D,DG!$D$2,)</f>
        <v>m</v>
      </c>
      <c r="H2511" s="1916"/>
      <c r="I2511" s="1262">
        <f t="shared" si="173"/>
        <v>0</v>
      </c>
      <c r="J2511" s="1084"/>
      <c r="K2511" s="1084"/>
      <c r="L2511" s="1085"/>
      <c r="M2511" s="977">
        <v>1000</v>
      </c>
    </row>
    <row r="2512" spans="1:14" s="1086" customFormat="1" ht="25.15" hidden="1" customHeight="1">
      <c r="A2512" s="1156">
        <f t="shared" si="172"/>
        <v>0</v>
      </c>
      <c r="B2512" s="1157" t="s">
        <v>733</v>
      </c>
      <c r="C2512" s="1157"/>
      <c r="D2512" s="1093"/>
      <c r="E2512" s="1082" t="str">
        <f>VLOOKUP($B2512,DG!A:D,DG!$B$2,)</f>
        <v>06.3231</v>
      </c>
      <c r="F2512" s="1083" t="str">
        <f>VLOOKUP($B2512,DG!A:D,DG!$C$2,)</f>
        <v>Cổ dê kẹp ống PVC Ø 114</v>
      </c>
      <c r="G2512" s="1082" t="str">
        <f>VLOOKUP($B2512,DG!A:D,DG!$D$2,)</f>
        <v>bộ</v>
      </c>
      <c r="H2512" s="1916"/>
      <c r="I2512" s="1262">
        <f t="shared" si="173"/>
        <v>0</v>
      </c>
      <c r="J2512" s="1084"/>
      <c r="K2512" s="1084"/>
      <c r="L2512" s="1085"/>
      <c r="M2512" s="977">
        <v>1000</v>
      </c>
    </row>
    <row r="2513" spans="1:13" s="1086" customFormat="1" ht="25.15" hidden="1" customHeight="1">
      <c r="A2513" s="1156">
        <f t="shared" si="172"/>
        <v>0</v>
      </c>
      <c r="B2513" s="1327" t="s">
        <v>1045</v>
      </c>
      <c r="C2513" s="1327"/>
      <c r="D2513" s="1093"/>
      <c r="E2513" s="1082">
        <f>VLOOKUP($B2513,DG!A:D,DG!$B$2,)</f>
        <v>0</v>
      </c>
      <c r="F2513" s="1083" t="str">
        <f>VLOOKUP($B2513,DG!A:D,DG!$C$2,)</f>
        <v>Co sừng 90 độ PVC 114</v>
      </c>
      <c r="G2513" s="1082" t="str">
        <f>VLOOKUP($B2513,DG!A:D,DG!$D$2,)</f>
        <v>cái</v>
      </c>
      <c r="H2513" s="1916"/>
      <c r="I2513" s="1262">
        <f t="shared" si="173"/>
        <v>0</v>
      </c>
      <c r="J2513" s="1084"/>
      <c r="K2513" s="1084"/>
      <c r="L2513" s="1085"/>
      <c r="M2513" s="977">
        <v>1000</v>
      </c>
    </row>
    <row r="2514" spans="1:13" s="1086" customFormat="1" ht="25.15" hidden="1" customHeight="1">
      <c r="A2514" s="1156">
        <f t="shared" si="172"/>
        <v>0</v>
      </c>
      <c r="B2514" s="1327" t="s">
        <v>2175</v>
      </c>
      <c r="C2514" s="1327"/>
      <c r="D2514" s="1093"/>
      <c r="E2514" s="1082">
        <f>VLOOKUP($B2514,DG!A:D,DG!$B$2,)</f>
        <v>0</v>
      </c>
      <c r="F2514" s="1083" t="str">
        <f>VLOOKUP($B2514,DG!A:D,DG!$C$2,)</f>
        <v>Khâu ven răng trong D114</v>
      </c>
      <c r="G2514" s="1082" t="str">
        <f>VLOOKUP($B2514,DG!A:D,DG!$D$2,)</f>
        <v>cái</v>
      </c>
      <c r="H2514" s="1916"/>
      <c r="I2514" s="1262">
        <f t="shared" si="173"/>
        <v>0</v>
      </c>
      <c r="J2514" s="1084"/>
      <c r="K2514" s="1084"/>
      <c r="L2514" s="1085"/>
      <c r="M2514" s="977">
        <v>1000</v>
      </c>
    </row>
    <row r="2515" spans="1:13" s="1086" customFormat="1" ht="25.15" hidden="1" customHeight="1">
      <c r="A2515" s="1156">
        <f t="shared" ref="A2515:A2576" si="175">IF(I2515&gt;0,1,0)</f>
        <v>0</v>
      </c>
      <c r="B2515" s="1327" t="s">
        <v>2176</v>
      </c>
      <c r="C2515" s="1327"/>
      <c r="D2515" s="1093"/>
      <c r="E2515" s="1082">
        <f>VLOOKUP($B2515,DG!A:D,DG!$B$2,)</f>
        <v>0</v>
      </c>
      <c r="F2515" s="1083" t="str">
        <f>VLOOKUP($B2515,DG!A:D,DG!$C$2,)&amp;": "</f>
        <v xml:space="preserve">Khâu ven răng ngoài D114: </v>
      </c>
      <c r="G2515" s="1082" t="str">
        <f>VLOOKUP($B2515,DG!A:D,DG!$D$2,)</f>
        <v>cái</v>
      </c>
      <c r="H2515" s="1916"/>
      <c r="I2515" s="1262">
        <f t="shared" si="173"/>
        <v>0</v>
      </c>
      <c r="J2515" s="1084"/>
      <c r="K2515" s="1084"/>
      <c r="L2515" s="1085"/>
      <c r="M2515" s="977">
        <v>1000</v>
      </c>
    </row>
    <row r="2516" spans="1:13" s="1086" customFormat="1" ht="25.15" hidden="1" customHeight="1">
      <c r="A2516" s="1156">
        <f t="shared" si="175"/>
        <v>0</v>
      </c>
      <c r="B2516" s="1327" t="s">
        <v>728</v>
      </c>
      <c r="C2516" s="1327"/>
      <c r="D2516" s="1093"/>
      <c r="E2516" s="1082">
        <f>VLOOKUP($B2516,DG!A:D,DG!$B$2,)</f>
        <v>0</v>
      </c>
      <c r="F2516" s="1083" t="str">
        <f>VLOOKUP($B2516,DG!A:D,DG!$C$2,)&amp;": "</f>
        <v xml:space="preserve">Keo dán ống PVC (500gr): </v>
      </c>
      <c r="G2516" s="1082" t="str">
        <f>VLOOKUP($B2516,DG!A:D,DG!$D$2,)</f>
        <v>lon</v>
      </c>
      <c r="H2516" s="1916"/>
      <c r="I2516" s="1262">
        <f t="shared" si="173"/>
        <v>0</v>
      </c>
      <c r="J2516" s="1084"/>
      <c r="K2516" s="1084"/>
      <c r="L2516" s="1085"/>
      <c r="M2516" s="977">
        <v>1000</v>
      </c>
    </row>
    <row r="2517" spans="1:13" s="1086" customFormat="1" ht="25.15" hidden="1" customHeight="1">
      <c r="A2517" s="1156">
        <f t="shared" si="175"/>
        <v>0</v>
      </c>
      <c r="B2517" s="1157" t="s">
        <v>6</v>
      </c>
      <c r="C2517" s="1157"/>
      <c r="D2517" s="1093"/>
      <c r="E2517" s="1082"/>
      <c r="F2517" s="1083" t="str">
        <f>VLOOKUP($B2517,DG!A:D,DG!$C$2,)&amp;":"</f>
        <v>Keo silicon bít miệng ống:</v>
      </c>
      <c r="G2517" s="1082" t="str">
        <f>VLOOKUP($B2517,DG!A:D,DG!$D$2,)</f>
        <v>ống</v>
      </c>
      <c r="H2517" s="1916"/>
      <c r="I2517" s="1262">
        <f t="shared" si="173"/>
        <v>0</v>
      </c>
      <c r="J2517" s="1084"/>
      <c r="K2517" s="1084"/>
      <c r="L2517" s="1085"/>
      <c r="M2517" s="977">
        <v>1000</v>
      </c>
    </row>
    <row r="2518" spans="1:13" s="1086" customFormat="1" ht="25.15" hidden="1" customHeight="1">
      <c r="A2518" s="1156">
        <f t="shared" si="175"/>
        <v>0</v>
      </c>
      <c r="B2518" s="1327" t="s">
        <v>1353</v>
      </c>
      <c r="C2518" s="1327"/>
      <c r="D2518" s="1093"/>
      <c r="E2518" s="1082">
        <f>VLOOKUP($B2518,DG!A:D,DG!$B$2,)</f>
        <v>0</v>
      </c>
      <c r="F2518" s="1083" t="str">
        <f>VLOOKUP($B2518,DG!A:D,DG!$C$2,)</f>
        <v>Dây rút cáp</v>
      </c>
      <c r="G2518" s="1082" t="str">
        <f>VLOOKUP($B2518,DG!A:D,DG!$D$2,)</f>
        <v>bọc</v>
      </c>
      <c r="H2518" s="1916"/>
      <c r="I2518" s="1262">
        <f t="shared" si="173"/>
        <v>0</v>
      </c>
      <c r="J2518" s="1084"/>
      <c r="K2518" s="1084"/>
      <c r="L2518" s="1085"/>
      <c r="M2518" s="977">
        <v>1000</v>
      </c>
    </row>
    <row r="2519" spans="1:13" s="1086" customFormat="1" ht="25.15" hidden="1" customHeight="1">
      <c r="A2519" s="1156">
        <f t="shared" si="175"/>
        <v>0</v>
      </c>
      <c r="B2519" s="1157" t="s">
        <v>672</v>
      </c>
      <c r="C2519" s="1157"/>
      <c r="D2519" s="1093"/>
      <c r="E2519" s="1082">
        <f>VLOOKUP($B2519,DG!A:D,DG!$B$2,)</f>
        <v>0</v>
      </c>
      <c r="F2519" s="1083" t="str">
        <f>VLOOKUP($B2519,DG!A:D,DG!$C$2,)</f>
        <v>Băng keo cách điện</v>
      </c>
      <c r="G2519" s="1082" t="str">
        <f>VLOOKUP($B2519,DG!A:D,DG!$D$2,)</f>
        <v>cuộn</v>
      </c>
      <c r="H2519" s="1916"/>
      <c r="I2519" s="1262">
        <f t="shared" si="173"/>
        <v>0</v>
      </c>
      <c r="J2519" s="1084"/>
      <c r="K2519" s="1084"/>
      <c r="L2519" s="1085"/>
      <c r="M2519" s="977">
        <v>1000</v>
      </c>
    </row>
    <row r="2520" spans="1:13" s="1086" customFormat="1" ht="25.15" hidden="1" customHeight="1">
      <c r="A2520" s="1156">
        <f t="shared" si="175"/>
        <v>0</v>
      </c>
      <c r="B2520" s="1157" t="s">
        <v>247</v>
      </c>
      <c r="C2520" s="1157"/>
      <c r="D2520" s="1098"/>
      <c r="E2520" s="1082"/>
      <c r="F2520" s="1083" t="str">
        <f>VLOOKUP($B2520,DG!A:D,DG!$C$2,)&amp;":"</f>
        <v>Lắp cáp đồng xuống thiết bị D &gt; 150mm2:</v>
      </c>
      <c r="G2520" s="1082" t="str">
        <f>VLOOKUP($B2520,DG!A:D,DG!$D$2,)</f>
        <v>m</v>
      </c>
      <c r="H2520" s="1916"/>
      <c r="I2520" s="1262">
        <f t="shared" si="173"/>
        <v>0</v>
      </c>
      <c r="J2520" s="1084"/>
      <c r="K2520" s="1084"/>
      <c r="L2520" s="1085"/>
      <c r="M2520" s="977">
        <v>1000</v>
      </c>
    </row>
    <row r="2521" spans="1:13" s="1086" customFormat="1" ht="25.15" hidden="1" customHeight="1">
      <c r="A2521" s="1156">
        <f t="shared" si="175"/>
        <v>0</v>
      </c>
      <c r="B2521" s="1157"/>
      <c r="C2521" s="1157"/>
      <c r="D2521" s="1087">
        <f>IF(H2521&gt;0,D2503+1,D2503)</f>
        <v>0</v>
      </c>
      <c r="E2521" s="1088"/>
      <c r="F2521" s="1097" t="s">
        <v>3750</v>
      </c>
      <c r="G2521" s="1087" t="s">
        <v>2394</v>
      </c>
      <c r="H2521" s="1916"/>
      <c r="I2521" s="1262">
        <f t="shared" si="173"/>
        <v>0</v>
      </c>
      <c r="J2521" s="1084"/>
      <c r="K2521" s="1084"/>
      <c r="L2521" s="1085"/>
      <c r="M2521" s="977">
        <v>1000</v>
      </c>
    </row>
    <row r="2522" spans="1:13" s="1137" customFormat="1" ht="25.15" hidden="1" customHeight="1">
      <c r="A2522" s="1156">
        <f>IF(A2521&gt;0,1,0)</f>
        <v>0</v>
      </c>
      <c r="B2522" s="1360"/>
      <c r="C2522" s="1360"/>
      <c r="D2522" s="1081"/>
      <c r="E2522" s="1091"/>
      <c r="F2522" s="1371" t="s">
        <v>2287</v>
      </c>
      <c r="G2522" s="1081" t="s">
        <v>2448</v>
      </c>
      <c r="H2522" s="1918"/>
      <c r="I2522" s="1262">
        <f t="shared" si="173"/>
        <v>0</v>
      </c>
      <c r="J2522" s="1084"/>
      <c r="K2522" s="1084"/>
      <c r="L2522" s="1085"/>
      <c r="M2522" s="977">
        <v>1000</v>
      </c>
    </row>
    <row r="2523" spans="1:13" s="1086" customFormat="1" ht="25.15" hidden="1" customHeight="1">
      <c r="A2523" s="1156">
        <f t="shared" si="175"/>
        <v>0</v>
      </c>
      <c r="B2523" s="1327" t="s">
        <v>1828</v>
      </c>
      <c r="C2523" s="1327"/>
      <c r="D2523" s="1113"/>
      <c r="E2523" s="1082" t="str">
        <f>VLOOKUP($B2523,DG!A:D,DG!$B$2,)</f>
        <v>03.1401</v>
      </c>
      <c r="F2523" s="1111" t="str">
        <f>VLOOKUP($B2523,DG!A:D,DG!$C$2,)</f>
        <v xml:space="preserve">Cáp CVV 4x2,5mm2  </v>
      </c>
      <c r="G2523" s="1138" t="str">
        <f>VLOOKUP($B2523,DG!A:D,DG!$D$2,)</f>
        <v>mét</v>
      </c>
      <c r="H2523" s="1916"/>
      <c r="I2523" s="1262">
        <f t="shared" si="173"/>
        <v>0</v>
      </c>
      <c r="J2523" s="1084"/>
      <c r="K2523" s="1084"/>
      <c r="L2523" s="1085"/>
      <c r="M2523" s="977">
        <v>1000</v>
      </c>
    </row>
    <row r="2524" spans="1:13" s="1086" customFormat="1" ht="25.15" hidden="1" customHeight="1">
      <c r="A2524" s="1156">
        <f t="shared" si="175"/>
        <v>0</v>
      </c>
      <c r="B2524" s="1327" t="s">
        <v>246</v>
      </c>
      <c r="C2524" s="1327"/>
      <c r="D2524" s="1113"/>
      <c r="E2524" s="1082" t="str">
        <f>VLOOKUP($B2524,DG!A:D,DG!$B$2,)</f>
        <v>05.6101</v>
      </c>
      <c r="F2524" s="1111" t="str">
        <f>VLOOKUP($B2524,DG!A:D,DG!$C$2,)</f>
        <v>Xà kẹp TU, TI U50x32x4 350</v>
      </c>
      <c r="G2524" s="1138" t="str">
        <f>VLOOKUP($B2524,DG!A:D,DG!$D$2,)</f>
        <v>Bộ</v>
      </c>
      <c r="H2524" s="1916"/>
      <c r="I2524" s="1262">
        <f t="shared" si="173"/>
        <v>0</v>
      </c>
      <c r="J2524" s="1084"/>
      <c r="K2524" s="1084"/>
      <c r="L2524" s="1085"/>
      <c r="M2524" s="977">
        <v>1000</v>
      </c>
    </row>
    <row r="2525" spans="1:13" s="1086" customFormat="1" ht="25.15" hidden="1" customHeight="1">
      <c r="A2525" s="1156">
        <f t="shared" si="175"/>
        <v>0</v>
      </c>
      <c r="B2525" s="1327" t="s">
        <v>1871</v>
      </c>
      <c r="C2525" s="1327"/>
      <c r="D2525" s="1093"/>
      <c r="E2525" s="1082" t="str">
        <f>VLOOKUP($B2525,DG!A:D,DG!$B$2,)</f>
        <v>03.4001</v>
      </c>
      <c r="F2525" s="1111" t="str">
        <f>VLOOKUP($B2525,DG!A:D,DG!$C$2,)</f>
        <v xml:space="preserve">Đầu cosse ép Cu 2,5mm2 + bao PVC </v>
      </c>
      <c r="G2525" s="1138" t="str">
        <f>VLOOKUP($B2525,DG!A:D,DG!$D$2,)</f>
        <v>cái</v>
      </c>
      <c r="H2525" s="1916"/>
      <c r="I2525" s="1262">
        <f t="shared" si="173"/>
        <v>0</v>
      </c>
      <c r="J2525" s="1084"/>
      <c r="K2525" s="1084"/>
      <c r="L2525" s="1085"/>
      <c r="M2525" s="977">
        <v>1000</v>
      </c>
    </row>
    <row r="2526" spans="1:13" s="1086" customFormat="1" ht="25.15" hidden="1" customHeight="1">
      <c r="A2526" s="1156">
        <f t="shared" si="175"/>
        <v>0</v>
      </c>
      <c r="B2526" s="1327" t="s">
        <v>1515</v>
      </c>
      <c r="C2526" s="1327"/>
      <c r="D2526" s="1093"/>
      <c r="E2526" s="1082">
        <f>VLOOKUP($B2526,DG!A:D,DG!$B$2,)</f>
        <v>0</v>
      </c>
      <c r="F2526" s="1111" t="str">
        <f>VLOOKUP($B2526,DG!A:D,DG!$C$2,)</f>
        <v>Dây điện đôi 16/10</v>
      </c>
      <c r="G2526" s="1138" t="str">
        <f>VLOOKUP($B2526,DG!A:D,DG!$D$2,)</f>
        <v>mét</v>
      </c>
      <c r="H2526" s="1916"/>
      <c r="I2526" s="1262">
        <f t="shared" si="173"/>
        <v>0</v>
      </c>
      <c r="J2526" s="1084"/>
      <c r="K2526" s="1084"/>
      <c r="L2526" s="1085"/>
      <c r="M2526" s="977">
        <v>1000</v>
      </c>
    </row>
    <row r="2527" spans="1:13" s="1086" customFormat="1" ht="25.15" hidden="1" customHeight="1">
      <c r="A2527" s="1156">
        <f t="shared" si="175"/>
        <v>0</v>
      </c>
      <c r="B2527" s="1327" t="s">
        <v>1116</v>
      </c>
      <c r="C2527" s="1327"/>
      <c r="D2527" s="1093"/>
      <c r="E2527" s="1082">
        <f>VLOOKUP($B2527,DG!A:D,DG!$B$2,)</f>
        <v>0</v>
      </c>
      <c r="F2527" s="1111" t="str">
        <f>VLOOKUP($B2527,DG!A:D,DG!$C$2,)&amp;" (ñaáu TU)"</f>
        <v>Kẹp ép cỡ dây 25mm2 (ñaáu TU)</v>
      </c>
      <c r="G2527" s="1138" t="str">
        <f>VLOOKUP($B2527,DG!A:D,DG!$D$2,)</f>
        <v>cái</v>
      </c>
      <c r="H2527" s="1916"/>
      <c r="I2527" s="1262">
        <f t="shared" si="173"/>
        <v>0</v>
      </c>
      <c r="J2527" s="1084"/>
      <c r="K2527" s="1084"/>
      <c r="L2527" s="1085"/>
      <c r="M2527" s="977">
        <v>1000</v>
      </c>
    </row>
    <row r="2528" spans="1:13" s="1086" customFormat="1" ht="25.15" hidden="1" customHeight="1">
      <c r="A2528" s="1156">
        <f t="shared" si="175"/>
        <v>0</v>
      </c>
      <c r="B2528" s="1327" t="s">
        <v>2149</v>
      </c>
      <c r="C2528" s="1327"/>
      <c r="D2528" s="1093"/>
      <c r="E2528" s="1082" t="str">
        <f>VLOOKUP($B2528,DG!A:D,DG!$B$2,)</f>
        <v>07.2403</v>
      </c>
      <c r="F2528" s="1111" t="str">
        <f>VLOOKUP($B2528,DG!A:D,DG!$C$2,)</f>
        <v>Ống PVC D42x2,1mm</v>
      </c>
      <c r="G2528" s="1138" t="str">
        <f>VLOOKUP($B2528,DG!A:D,DG!$D$2,)</f>
        <v>m</v>
      </c>
      <c r="H2528" s="1916"/>
      <c r="I2528" s="1262">
        <f t="shared" si="173"/>
        <v>0</v>
      </c>
      <c r="J2528" s="1084"/>
      <c r="K2528" s="1084"/>
      <c r="L2528" s="1085"/>
      <c r="M2528" s="977">
        <v>1000</v>
      </c>
    </row>
    <row r="2529" spans="1:13" s="1086" customFormat="1" ht="25.15" hidden="1" customHeight="1">
      <c r="A2529" s="1156">
        <f t="shared" si="175"/>
        <v>0</v>
      </c>
      <c r="B2529" s="1157" t="s">
        <v>204</v>
      </c>
      <c r="C2529" s="1157"/>
      <c r="D2529" s="1093"/>
      <c r="E2529" s="1082" t="str">
        <f>VLOOKUP($B2529,DG!A:D,DG!$B$2,)</f>
        <v>06.3231</v>
      </c>
      <c r="F2529" s="1111" t="str">
        <f>VLOOKUP($B2529,DG!A:D,DG!$C$2,)</f>
        <v>Cổ dê giữ ống PVC D42</v>
      </c>
      <c r="G2529" s="1138" t="str">
        <f>VLOOKUP($B2529,DG!A:D,DG!$D$2,)</f>
        <v>bộ</v>
      </c>
      <c r="H2529" s="1916"/>
      <c r="I2529" s="1262">
        <f t="shared" si="173"/>
        <v>0</v>
      </c>
      <c r="J2529" s="1084"/>
      <c r="K2529" s="1084"/>
      <c r="L2529" s="1085"/>
      <c r="M2529" s="977">
        <v>1000</v>
      </c>
    </row>
    <row r="2530" spans="1:13" s="1086" customFormat="1" ht="25.15" hidden="1" customHeight="1">
      <c r="A2530" s="1156">
        <f t="shared" si="175"/>
        <v>0</v>
      </c>
      <c r="B2530" s="1327" t="s">
        <v>1621</v>
      </c>
      <c r="C2530" s="1327"/>
      <c r="D2530" s="1093"/>
      <c r="E2530" s="1082">
        <f>VLOOKUP($B2530,DG!A:D,DG!$B$2,)</f>
        <v>0</v>
      </c>
      <c r="F2530" s="1111" t="str">
        <f>VLOOKUP($B2530,DG!A:D,DG!$C$2,)</f>
        <v>Co 90 độ PVC 42</v>
      </c>
      <c r="G2530" s="1138" t="str">
        <f>VLOOKUP($B2530,DG!A:D,DG!$D$2,)</f>
        <v>cái</v>
      </c>
      <c r="H2530" s="1916"/>
      <c r="I2530" s="1262">
        <f t="shared" si="173"/>
        <v>0</v>
      </c>
      <c r="J2530" s="1084"/>
      <c r="K2530" s="1084"/>
      <c r="L2530" s="1085"/>
      <c r="M2530" s="977">
        <v>1000</v>
      </c>
    </row>
    <row r="2531" spans="1:13" s="1086" customFormat="1" ht="25.15" hidden="1" customHeight="1">
      <c r="A2531" s="1156">
        <f t="shared" si="175"/>
        <v>0</v>
      </c>
      <c r="B2531" s="1327" t="s">
        <v>1052</v>
      </c>
      <c r="C2531" s="1327"/>
      <c r="D2531" s="1093"/>
      <c r="E2531" s="1082">
        <f>VLOOKUP($B2531,DG!A:D,DG!$B$2,)</f>
        <v>0</v>
      </c>
      <c r="F2531" s="1111" t="str">
        <f>VLOOKUP($B2531,DG!A:D,DG!$C$2,)</f>
        <v>Co chữ T ống PVC 42</v>
      </c>
      <c r="G2531" s="1138" t="str">
        <f>VLOOKUP($B2531,DG!A:D,DG!$D$2,)</f>
        <v>cái</v>
      </c>
      <c r="H2531" s="1916"/>
      <c r="I2531" s="1262">
        <f t="shared" si="173"/>
        <v>0</v>
      </c>
      <c r="J2531" s="1084"/>
      <c r="K2531" s="1084"/>
      <c r="L2531" s="1085"/>
      <c r="M2531" s="977">
        <v>1000</v>
      </c>
    </row>
    <row r="2532" spans="1:13" s="1086" customFormat="1" ht="25.15" hidden="1" customHeight="1">
      <c r="A2532" s="1156">
        <f t="shared" si="175"/>
        <v>0</v>
      </c>
      <c r="B2532" s="1327" t="s">
        <v>1919</v>
      </c>
      <c r="C2532" s="1327"/>
      <c r="D2532" s="1093"/>
      <c r="E2532" s="1082">
        <f>VLOOKUP($B2532,DG!A:D,DG!$B$2,)</f>
        <v>0</v>
      </c>
      <c r="F2532" s="1111" t="str">
        <f>VLOOKUP($B2532,DG!A:D,DG!$C$2,)</f>
        <v>Nối thẳng ống PVC 42</v>
      </c>
      <c r="G2532" s="1138" t="str">
        <f>VLOOKUP($B2532,DG!A:D,DG!$D$2,)</f>
        <v>cái</v>
      </c>
      <c r="H2532" s="1916"/>
      <c r="I2532" s="1262">
        <f t="shared" si="173"/>
        <v>0</v>
      </c>
      <c r="J2532" s="1084"/>
      <c r="K2532" s="1084"/>
      <c r="L2532" s="1085"/>
      <c r="M2532" s="977">
        <v>1000</v>
      </c>
    </row>
    <row r="2533" spans="1:13" s="1086" customFormat="1" ht="25.15" hidden="1" customHeight="1">
      <c r="A2533" s="1156">
        <f t="shared" si="175"/>
        <v>0</v>
      </c>
      <c r="B2533" s="1327" t="s">
        <v>699</v>
      </c>
      <c r="C2533" s="1327"/>
      <c r="D2533" s="1093"/>
      <c r="E2533" s="1082">
        <f>VLOOKUP($B2533,DG!A:D,DG!$B$2,)</f>
        <v>0</v>
      </c>
      <c r="F2533" s="1111" t="str">
        <f>VLOOKUP($B2533,DG!A:D,DG!$C$2,)&amp;" ñaáu TU"</f>
        <v>Cáp 24KV CX-25mm2 ñaáu TU</v>
      </c>
      <c r="G2533" s="1138" t="str">
        <f>VLOOKUP($B2533,DG!A:D,DG!$D$2,)</f>
        <v>mét</v>
      </c>
      <c r="H2533" s="1916"/>
      <c r="I2533" s="1262">
        <f t="shared" si="173"/>
        <v>0</v>
      </c>
      <c r="J2533" s="1084"/>
      <c r="K2533" s="1084"/>
      <c r="L2533" s="1085"/>
      <c r="M2533" s="977">
        <v>1000</v>
      </c>
    </row>
    <row r="2534" spans="1:13" s="1086" customFormat="1" ht="25.15" hidden="1" customHeight="1">
      <c r="A2534" s="1156">
        <f t="shared" si="175"/>
        <v>0</v>
      </c>
      <c r="B2534" s="1327" t="s">
        <v>728</v>
      </c>
      <c r="C2534" s="1327"/>
      <c r="D2534" s="1093"/>
      <c r="E2534" s="1082">
        <f>VLOOKUP($B2534,DG!A:D,DG!$B$2,)</f>
        <v>0</v>
      </c>
      <c r="F2534" s="1111" t="str">
        <f>VLOOKUP($B2534,DG!A:D,DG!$C$2,)</f>
        <v>Keo dán ống PVC (500gr)</v>
      </c>
      <c r="G2534" s="1138" t="str">
        <f>VLOOKUP($B2534,DG!A:D,DG!$D$2,)</f>
        <v>lon</v>
      </c>
      <c r="H2534" s="1916"/>
      <c r="I2534" s="1262">
        <f t="shared" si="173"/>
        <v>0</v>
      </c>
      <c r="J2534" s="1084"/>
      <c r="K2534" s="1084"/>
      <c r="L2534" s="1085"/>
      <c r="M2534" s="977">
        <v>1000</v>
      </c>
    </row>
    <row r="2535" spans="1:13" s="1086" customFormat="1" ht="25.15" hidden="1" customHeight="1">
      <c r="A2535" s="1156">
        <f t="shared" si="175"/>
        <v>0</v>
      </c>
      <c r="B2535" s="1157" t="s">
        <v>672</v>
      </c>
      <c r="C2535" s="1157"/>
      <c r="D2535" s="1093"/>
      <c r="E2535" s="1082">
        <f>VLOOKUP($B2535,DG!A:D,DG!$B$2,)</f>
        <v>0</v>
      </c>
      <c r="F2535" s="1111" t="str">
        <f>VLOOKUP($B2535,DG!A:D,DG!$C$2,)</f>
        <v>Băng keo cách điện</v>
      </c>
      <c r="G2535" s="1138" t="str">
        <f>VLOOKUP($B2535,DG!A:D,DG!$D$2,)</f>
        <v>cuộn</v>
      </c>
      <c r="H2535" s="1916"/>
      <c r="I2535" s="1262">
        <f t="shared" si="173"/>
        <v>0</v>
      </c>
      <c r="J2535" s="1084"/>
      <c r="K2535" s="1084"/>
      <c r="L2535" s="1085"/>
      <c r="M2535" s="977">
        <v>1000</v>
      </c>
    </row>
    <row r="2536" spans="1:13" s="1086" customFormat="1" ht="25.15" hidden="1" customHeight="1">
      <c r="A2536" s="1156">
        <f t="shared" si="175"/>
        <v>0</v>
      </c>
      <c r="B2536" s="1327" t="s">
        <v>2128</v>
      </c>
      <c r="C2536" s="1327"/>
      <c r="D2536" s="1093"/>
      <c r="E2536" s="1082">
        <f>VLOOKUP($B2536,DG!A:D,DG!$B$2,)</f>
        <v>0</v>
      </c>
      <c r="F2536" s="1111" t="str">
        <f>VLOOKUP($B2536,DG!A:D,DG!$C$2,)</f>
        <v>Khâu ven răng trong D42</v>
      </c>
      <c r="G2536" s="1138" t="str">
        <f>VLOOKUP($B2536,DG!A:D,DG!$D$2,)</f>
        <v>cái</v>
      </c>
      <c r="H2536" s="1916"/>
      <c r="I2536" s="1262">
        <f t="shared" si="173"/>
        <v>0</v>
      </c>
      <c r="J2536" s="1084"/>
      <c r="K2536" s="1084"/>
      <c r="L2536" s="1085"/>
      <c r="M2536" s="977">
        <v>1000</v>
      </c>
    </row>
    <row r="2537" spans="1:13" s="1086" customFormat="1" ht="25.15" hidden="1" customHeight="1">
      <c r="A2537" s="1156">
        <f t="shared" si="175"/>
        <v>0</v>
      </c>
      <c r="B2537" s="1157" t="s">
        <v>961</v>
      </c>
      <c r="C2537" s="1157"/>
      <c r="D2537" s="1093"/>
      <c r="E2537" s="1082">
        <f>VLOOKUP($B2537,DG!A:D,DG!$B$2,)</f>
        <v>0</v>
      </c>
      <c r="F2537" s="1111" t="str">
        <f>VLOOKUP($B2537,DG!A:D,DG!$C$2,)</f>
        <v>Khâu ven răng ngoài D42</v>
      </c>
      <c r="G2537" s="1138" t="str">
        <f>VLOOKUP($B2537,DG!A:D,DG!$D$2,)</f>
        <v>cái</v>
      </c>
      <c r="H2537" s="1916"/>
      <c r="I2537" s="1262">
        <f t="shared" si="173"/>
        <v>0</v>
      </c>
      <c r="J2537" s="1084"/>
      <c r="K2537" s="1084"/>
      <c r="L2537" s="1085"/>
      <c r="M2537" s="977">
        <v>1000</v>
      </c>
    </row>
    <row r="2538" spans="1:13" s="1086" customFormat="1" ht="25.15" hidden="1" customHeight="1">
      <c r="A2538" s="1156">
        <f t="shared" si="175"/>
        <v>0</v>
      </c>
      <c r="B2538" s="1157" t="s">
        <v>319</v>
      </c>
      <c r="C2538" s="1157"/>
      <c r="D2538" s="1093"/>
      <c r="E2538" s="1082" t="str">
        <f>VLOOKUP($B2538,DG!A:D,DG!$B$2,)</f>
        <v>06.3231</v>
      </c>
      <c r="F2538" s="1111" t="str">
        <f>VLOOKUP($B2538,DG!A:D,DG!$C$2,)</f>
        <v>Cổ dê CDĐKĐT( bắt thùng điện kế)</v>
      </c>
      <c r="G2538" s="1138" t="str">
        <f>VLOOKUP($B2538,DG!A:D,DG!$D$2,)</f>
        <v>bộ</v>
      </c>
      <c r="H2538" s="1916"/>
      <c r="I2538" s="1262">
        <f t="shared" si="173"/>
        <v>0</v>
      </c>
      <c r="J2538" s="1084"/>
      <c r="K2538" s="1084"/>
      <c r="L2538" s="1085"/>
      <c r="M2538" s="977">
        <v>1000</v>
      </c>
    </row>
    <row r="2539" spans="1:13" s="1086" customFormat="1" ht="25.15" hidden="1" customHeight="1">
      <c r="A2539" s="1156">
        <f t="shared" si="175"/>
        <v>0</v>
      </c>
      <c r="B2539" s="1157" t="s">
        <v>1921</v>
      </c>
      <c r="C2539" s="1157"/>
      <c r="D2539" s="1093"/>
      <c r="E2539" s="1082" t="str">
        <f>VLOOKUP($B2539,DG!A:D,DG!$B$2,)</f>
        <v>05.1101</v>
      </c>
      <c r="F2539" s="1111" t="str">
        <f>VLOOKUP($B2539,DG!A:D,DG!$C$2,)</f>
        <v>Thùng điện kế 450x300x200mm đo đếm trung thế</v>
      </c>
      <c r="G2539" s="1138" t="str">
        <f>VLOOKUP($B2539,DG!A:D,DG!$D$2,)</f>
        <v>cái</v>
      </c>
      <c r="H2539" s="1916"/>
      <c r="I2539" s="1262">
        <f t="shared" si="173"/>
        <v>0</v>
      </c>
      <c r="J2539" s="1084"/>
      <c r="K2539" s="1084"/>
      <c r="L2539" s="1085"/>
      <c r="M2539" s="977">
        <v>1000</v>
      </c>
    </row>
    <row r="2540" spans="1:13" s="1086" customFormat="1" ht="25.15" hidden="1" customHeight="1">
      <c r="A2540" s="1156">
        <f t="shared" si="175"/>
        <v>0</v>
      </c>
      <c r="B2540" s="1157" t="s">
        <v>6</v>
      </c>
      <c r="C2540" s="1157"/>
      <c r="D2540" s="1093"/>
      <c r="E2540" s="1082">
        <f>VLOOKUP($B2540,DG!A:D,DG!$B$2,)</f>
        <v>0</v>
      </c>
      <c r="F2540" s="1111" t="str">
        <f>VLOOKUP($B2540,DG!A:D,DG!$C$2,)</f>
        <v>Keo silicon bít miệng ống</v>
      </c>
      <c r="G2540" s="1138" t="str">
        <f>VLOOKUP($B2540,DG!A:D,DG!$D$2,)</f>
        <v>ống</v>
      </c>
      <c r="H2540" s="1916"/>
      <c r="I2540" s="1262">
        <f t="shared" si="173"/>
        <v>0</v>
      </c>
      <c r="J2540" s="1084"/>
      <c r="K2540" s="1084"/>
      <c r="L2540" s="1085"/>
      <c r="M2540" s="977">
        <v>1000</v>
      </c>
    </row>
    <row r="2541" spans="1:13" s="1086" customFormat="1" ht="25.15" hidden="1" customHeight="1">
      <c r="A2541" s="1156">
        <f t="shared" si="175"/>
        <v>0</v>
      </c>
      <c r="B2541" s="1157" t="s">
        <v>2147</v>
      </c>
      <c r="C2541" s="1157"/>
      <c r="D2541" s="1093"/>
      <c r="E2541" s="1082">
        <f>VLOOKUP($B2541,DG!A:D,DG!$B$2,)</f>
        <v>0</v>
      </c>
      <c r="F2541" s="1111" t="str">
        <f>VLOOKUP($B2541,DG!A:D,DG!$C$2,)</f>
        <v>Dây đồng trần mềm dẹt</v>
      </c>
      <c r="G2541" s="1138" t="str">
        <f>VLOOKUP($B2541,DG!A:D,DG!$D$2,)</f>
        <v>mét</v>
      </c>
      <c r="H2541" s="1916"/>
      <c r="I2541" s="1262">
        <f t="shared" si="173"/>
        <v>0</v>
      </c>
      <c r="J2541" s="1084"/>
      <c r="K2541" s="1084"/>
      <c r="L2541" s="1085"/>
      <c r="M2541" s="977">
        <v>1000</v>
      </c>
    </row>
    <row r="2542" spans="1:13" s="1086" customFormat="1" ht="25.15" hidden="1" customHeight="1">
      <c r="A2542" s="1156">
        <f t="shared" si="175"/>
        <v>0</v>
      </c>
      <c r="B2542" s="1157" t="s">
        <v>1037</v>
      </c>
      <c r="C2542" s="1157"/>
      <c r="D2542" s="1093"/>
      <c r="E2542" s="1082">
        <v>0</v>
      </c>
      <c r="F2542" s="1111" t="str">
        <f>VLOOKUP($B2542,DG!A:D,DG!$C$2,)&amp;" : 2 thanh daøi 0,5m"</f>
        <v>Sắt góc L50 x50 x5 : 2 thanh daøi 0,5m</v>
      </c>
      <c r="G2542" s="1138" t="str">
        <f>VLOOKUP($B2542,DG!A:D,DG!$D$2,)</f>
        <v>kg</v>
      </c>
      <c r="H2542" s="1916"/>
      <c r="I2542" s="1262">
        <f t="shared" si="173"/>
        <v>0</v>
      </c>
      <c r="J2542" s="1084"/>
      <c r="K2542" s="1084"/>
      <c r="L2542" s="1085"/>
      <c r="M2542" s="977">
        <v>1000</v>
      </c>
    </row>
    <row r="2543" spans="1:13" s="1086" customFormat="1" ht="25.15" hidden="1" customHeight="1">
      <c r="A2543" s="1156">
        <f t="shared" si="175"/>
        <v>0</v>
      </c>
      <c r="B2543" s="1157" t="s">
        <v>1355</v>
      </c>
      <c r="C2543" s="1157"/>
      <c r="D2543" s="1093"/>
      <c r="E2543" s="1082">
        <v>0</v>
      </c>
      <c r="F2543" s="1151" t="str">
        <f>VLOOKUP($B2543,DG!A:D,DG!$C$2,)&amp;" baét thuøng ÑKÑT"</f>
        <v>Boulon 12x60+ 2 long đền vuông D14-50x50x3/Zn baét thuøng ÑKÑT</v>
      </c>
      <c r="G2543" s="1138" t="str">
        <f>VLOOKUP($B2543,DG!A:D,DG!$D$2,)</f>
        <v>bộ</v>
      </c>
      <c r="H2543" s="1916"/>
      <c r="I2543" s="1262">
        <f t="shared" si="173"/>
        <v>0</v>
      </c>
      <c r="J2543" s="1084"/>
      <c r="K2543" s="1084"/>
      <c r="L2543" s="1085"/>
      <c r="M2543" s="977">
        <v>1000</v>
      </c>
    </row>
    <row r="2544" spans="1:13" s="1086" customFormat="1" ht="25.15" hidden="1" customHeight="1">
      <c r="A2544" s="1156">
        <f t="shared" si="175"/>
        <v>0</v>
      </c>
      <c r="B2544" s="1157" t="s">
        <v>6</v>
      </c>
      <c r="C2544" s="1157"/>
      <c r="D2544" s="1118"/>
      <c r="E2544" s="1119"/>
      <c r="F2544" s="1108" t="s">
        <v>3783</v>
      </c>
      <c r="G2544" s="1108"/>
      <c r="H2544" s="1919"/>
      <c r="I2544" s="1262">
        <f t="shared" si="173"/>
        <v>0</v>
      </c>
      <c r="J2544" s="1108"/>
      <c r="K2544" s="1108"/>
      <c r="L2544" s="1139"/>
      <c r="M2544" s="977">
        <v>1000</v>
      </c>
    </row>
    <row r="2545" spans="1:13" s="1086" customFormat="1" ht="25.15" hidden="1" customHeight="1">
      <c r="A2545" s="1156">
        <f t="shared" si="175"/>
        <v>0</v>
      </c>
      <c r="B2545" s="1157" t="s">
        <v>1924</v>
      </c>
      <c r="C2545" s="1157"/>
      <c r="D2545" s="1093"/>
      <c r="E2545" s="1082" t="str">
        <f>VLOOKUP($B2545,DG!A:D,DG!$B$2,)</f>
        <v>06.3241</v>
      </c>
      <c r="F2545" s="1111" t="s">
        <v>2469</v>
      </c>
      <c r="G2545" s="1138" t="str">
        <f>VLOOKUP($B2545,DG!A:D,DG!$D$2,)</f>
        <v>bộ</v>
      </c>
      <c r="H2545" s="1916"/>
      <c r="I2545" s="1262">
        <f t="shared" si="173"/>
        <v>0</v>
      </c>
      <c r="J2545" s="1084"/>
      <c r="K2545" s="1084"/>
      <c r="L2545" s="1085"/>
      <c r="M2545" s="977">
        <v>1000</v>
      </c>
    </row>
    <row r="2546" spans="1:13" s="1086" customFormat="1" ht="25.15" hidden="1" customHeight="1">
      <c r="A2546" s="1156">
        <f t="shared" si="175"/>
        <v>0</v>
      </c>
      <c r="B2546" s="1157" t="s">
        <v>811</v>
      </c>
      <c r="C2546" s="1157"/>
      <c r="D2546" s="1093"/>
      <c r="E2546" s="1082" t="str">
        <f>VLOOKUP($B2546,DG!A:D,DG!$B$2,)</f>
        <v>05.6011</v>
      </c>
      <c r="F2546" s="1111" t="s">
        <v>2470</v>
      </c>
      <c r="G2546" s="1138" t="str">
        <f>VLOOKUP($B2546,DG!A:D,DG!$D$2,)</f>
        <v>bộ</v>
      </c>
      <c r="H2546" s="1916"/>
      <c r="I2546" s="1262">
        <f t="shared" si="173"/>
        <v>0</v>
      </c>
      <c r="J2546" s="1084"/>
      <c r="K2546" s="1084"/>
      <c r="L2546" s="1085"/>
      <c r="M2546" s="977">
        <v>1000</v>
      </c>
    </row>
    <row r="2547" spans="1:13" s="1086" customFormat="1" ht="25.15" hidden="1" customHeight="1">
      <c r="A2547" s="1156">
        <f t="shared" si="175"/>
        <v>0</v>
      </c>
      <c r="B2547" s="1157" t="s">
        <v>1355</v>
      </c>
      <c r="C2547" s="1157"/>
      <c r="D2547" s="1093"/>
      <c r="E2547" s="1082">
        <f>VLOOKUP($B2547,DG!A:D,DG!$B$2,)</f>
        <v>0</v>
      </c>
      <c r="F2547" s="1151" t="str">
        <f>VLOOKUP($B2547,DG!A:D,DG!$C$2,)&amp;" baét thuøng ÑKÑT"</f>
        <v>Boulon 12x60+ 2 long đền vuông D14-50x50x3/Zn baét thuøng ÑKÑT</v>
      </c>
      <c r="G2547" s="1138" t="str">
        <f>VLOOKUP($B2547,DG!A:D,DG!$D$2,)</f>
        <v>bộ</v>
      </c>
      <c r="H2547" s="1916"/>
      <c r="I2547" s="1262">
        <f t="shared" ref="I2547:I2610" si="176">IF(M2547=$M$23,H2547+J2547-K2547,0)</f>
        <v>0</v>
      </c>
      <c r="J2547" s="1084"/>
      <c r="K2547" s="1084"/>
      <c r="L2547" s="1085"/>
      <c r="M2547" s="977">
        <v>1000</v>
      </c>
    </row>
    <row r="2548" spans="1:13" s="1086" customFormat="1" ht="25.15" hidden="1" customHeight="1">
      <c r="A2548" s="1156">
        <f t="shared" si="175"/>
        <v>0</v>
      </c>
      <c r="B2548" s="1157"/>
      <c r="C2548" s="1157"/>
      <c r="D2548" s="1152"/>
      <c r="E2548" s="1141"/>
      <c r="F2548" s="1108"/>
      <c r="G2548" s="1142"/>
      <c r="H2548" s="1900"/>
      <c r="I2548" s="1262">
        <f t="shared" si="176"/>
        <v>0</v>
      </c>
      <c r="J2548" s="1143"/>
      <c r="K2548" s="1144"/>
      <c r="L2548" s="1139"/>
      <c r="M2548" s="977"/>
    </row>
    <row r="2549" spans="1:13" s="1086" customFormat="1" ht="25.15" hidden="1" customHeight="1">
      <c r="A2549" s="1156">
        <f t="shared" si="175"/>
        <v>0</v>
      </c>
      <c r="B2549" s="1157"/>
      <c r="C2549" s="1157"/>
      <c r="D2549" s="1145"/>
      <c r="F2549" s="1146"/>
      <c r="H2549" s="1902"/>
      <c r="I2549" s="1262">
        <f t="shared" si="176"/>
        <v>0</v>
      </c>
      <c r="M2549" s="977"/>
    </row>
    <row r="2550" spans="1:13" s="1086" customFormat="1" ht="25.15" hidden="1" customHeight="1">
      <c r="A2550" s="1156">
        <f t="shared" si="175"/>
        <v>0</v>
      </c>
      <c r="B2550" s="1353"/>
      <c r="C2550" s="1353"/>
      <c r="D2550" s="983" t="e">
        <f>"BAÛNG TOÅNG HÔÏP VAÄT LIEÄU, NHAÂN COÂNG, MAÙY THI COÂNG : "&amp;#REF!&amp;" TRAÏM 3P_2,000KVA"</f>
        <v>#REF!</v>
      </c>
      <c r="E2550" s="983"/>
      <c r="F2550" s="983"/>
      <c r="G2550" s="983"/>
      <c r="H2550" s="1894"/>
      <c r="I2550" s="1262">
        <f t="shared" si="176"/>
        <v>0</v>
      </c>
      <c r="J2550" s="1147"/>
      <c r="K2550" s="1147"/>
      <c r="L2550" s="1148"/>
      <c r="M2550" s="977"/>
    </row>
    <row r="2551" spans="1:13" s="1086" customFormat="1" ht="25.15" hidden="1" customHeight="1">
      <c r="A2551" s="1156">
        <f t="shared" si="175"/>
        <v>0</v>
      </c>
      <c r="B2551" s="1327"/>
      <c r="C2551" s="1327"/>
      <c r="D2551" s="1106"/>
      <c r="E2551" s="1107"/>
      <c r="F2551" s="1108" t="s">
        <v>3693</v>
      </c>
      <c r="G2551" s="1109"/>
      <c r="H2551" s="1930"/>
      <c r="I2551" s="1262">
        <f t="shared" si="176"/>
        <v>0</v>
      </c>
      <c r="J2551" s="1109"/>
      <c r="K2551" s="1109"/>
      <c r="L2551" s="1139"/>
      <c r="M2551" s="977">
        <v>2000</v>
      </c>
    </row>
    <row r="2552" spans="1:13" s="1086" customFormat="1" ht="25.15" hidden="1" customHeight="1">
      <c r="A2552" s="1156">
        <f t="shared" si="175"/>
        <v>0</v>
      </c>
      <c r="B2552" s="1328" t="s">
        <v>4542</v>
      </c>
      <c r="C2552" s="1328"/>
      <c r="D2552" s="1093">
        <f>IF(H2552&gt;0,1,0)</f>
        <v>0</v>
      </c>
      <c r="E2552" s="1082" t="str">
        <f>VLOOKUP($B2552,DG!A:D,DG!$B$2,)</f>
        <v>01.1147</v>
      </c>
      <c r="F2552" s="1083" t="str">
        <f>VLOOKUP($B2552,DG!A:D,DG!$C$2,)</f>
        <v>Máy biến áp 22/0,4kV- 2000kVA</v>
      </c>
      <c r="G2552" s="1082" t="str">
        <f>VLOOKUP($B2552,DG!A:D,DG!$D$2,)</f>
        <v>máy</v>
      </c>
      <c r="H2552" s="1904">
        <f>L17</f>
        <v>0</v>
      </c>
      <c r="I2552" s="1262">
        <f t="shared" si="176"/>
        <v>0</v>
      </c>
      <c r="J2552" s="1111"/>
      <c r="K2552" s="1111"/>
      <c r="L2552" s="1150"/>
      <c r="M2552" s="977">
        <v>2000</v>
      </c>
    </row>
    <row r="2553" spans="1:13" s="1086" customFormat="1" ht="25.15" hidden="1" customHeight="1">
      <c r="A2553" s="1156">
        <f t="shared" si="175"/>
        <v>0</v>
      </c>
      <c r="B2553" s="1328" t="s">
        <v>393</v>
      </c>
      <c r="C2553" s="1328"/>
      <c r="D2553" s="1093">
        <f t="shared" ref="D2553:D2559" si="177">IF(H2553&gt;0,D2552+1,D2552)</f>
        <v>0</v>
      </c>
      <c r="E2553" s="1082" t="str">
        <f>VLOOKUP($B2553,DG!A:D,DG!$B$2,)</f>
        <v>02.3302</v>
      </c>
      <c r="F2553" s="1083" t="str">
        <f>VLOOKUP($B2553,DG!A:D,DG!$C$2,)</f>
        <v xml:space="preserve">DS 3P - 24KV - 630A </v>
      </c>
      <c r="G2553" s="1082" t="str">
        <f>VLOOKUP($B2553,DG!A:D,DG!$D$2,)</f>
        <v>bộ</v>
      </c>
      <c r="H2553" s="1873">
        <f>+H2552</f>
        <v>0</v>
      </c>
      <c r="I2553" s="1262">
        <f t="shared" si="176"/>
        <v>0</v>
      </c>
      <c r="J2553" s="1111"/>
      <c r="K2553" s="1111"/>
      <c r="L2553" s="1085"/>
      <c r="M2553" s="977">
        <v>2000</v>
      </c>
    </row>
    <row r="2554" spans="1:13" s="1086" customFormat="1" ht="25.15" hidden="1" customHeight="1">
      <c r="A2554" s="1156">
        <f t="shared" si="175"/>
        <v>0</v>
      </c>
      <c r="B2554" s="1327" t="s">
        <v>1</v>
      </c>
      <c r="C2554" s="1327"/>
      <c r="D2554" s="1093">
        <f t="shared" si="177"/>
        <v>0</v>
      </c>
      <c r="E2554" s="1082" t="str">
        <f>VLOOKUP($B2554,DG!A:D,DG!$B$2,)</f>
        <v>05.2102</v>
      </c>
      <c r="F2554" s="1083" t="str">
        <f>VLOOKUP($B2554,DG!A:D,DG!$C$2,)</f>
        <v>Tủ LBS 3 pha 630-800A</v>
      </c>
      <c r="G2554" s="1082" t="str">
        <f>VLOOKUP($B2554,DG!A:D,DG!$D$2,)</f>
        <v>tủ</v>
      </c>
      <c r="H2554" s="1873">
        <f>H2552</f>
        <v>0</v>
      </c>
      <c r="I2554" s="1262">
        <f t="shared" si="176"/>
        <v>0</v>
      </c>
      <c r="J2554" s="1111"/>
      <c r="K2554" s="1111"/>
      <c r="L2554" s="1113" t="s">
        <v>3772</v>
      </c>
      <c r="M2554" s="977">
        <v>2000</v>
      </c>
    </row>
    <row r="2555" spans="1:13" s="1086" customFormat="1" ht="25.15" hidden="1" customHeight="1">
      <c r="A2555" s="1156">
        <f t="shared" si="175"/>
        <v>0</v>
      </c>
      <c r="B2555" s="1328" t="s">
        <v>1657</v>
      </c>
      <c r="C2555" s="1328"/>
      <c r="D2555" s="1093">
        <f t="shared" si="177"/>
        <v>0</v>
      </c>
      <c r="E2555" s="1082" t="str">
        <f>VLOOKUP($B2555,DG!A:D,DG!$B$2,)</f>
        <v>02.3155</v>
      </c>
      <c r="F2555" s="1083" t="str">
        <f>VLOOKUP($B2555,DG!A:D,DG!$C$2,)</f>
        <v>FCO 27kV - 100A</v>
      </c>
      <c r="G2555" s="1082" t="str">
        <f>VLOOKUP($B2555,DG!A:D,DG!$D$2,)</f>
        <v>cái</v>
      </c>
      <c r="H2555" s="1873">
        <f>+H2552*3</f>
        <v>0</v>
      </c>
      <c r="I2555" s="1262">
        <f t="shared" si="176"/>
        <v>0</v>
      </c>
      <c r="J2555" s="1084"/>
      <c r="K2555" s="1084"/>
      <c r="L2555" s="1085"/>
      <c r="M2555" s="977">
        <v>2000</v>
      </c>
    </row>
    <row r="2556" spans="1:13" s="1086" customFormat="1" ht="25.15" hidden="1" customHeight="1">
      <c r="A2556" s="1156">
        <f t="shared" si="175"/>
        <v>0</v>
      </c>
      <c r="B2556" s="1327" t="s">
        <v>2075</v>
      </c>
      <c r="C2556" s="1327"/>
      <c r="D2556" s="1093">
        <f t="shared" si="177"/>
        <v>0</v>
      </c>
      <c r="E2556" s="1082">
        <f>VLOOKUP($B2556,DG!A:D,DG!$B$2,)</f>
        <v>0</v>
      </c>
      <c r="F2556" s="1083" t="str">
        <f>VLOOKUP($B2556,DG!A:D,DG!$C$2,)</f>
        <v>Dây chảy 30K</v>
      </c>
      <c r="G2556" s="1082" t="str">
        <f>VLOOKUP($B2556,DG!A:D,DG!$D$2,)</f>
        <v>Sợi</v>
      </c>
      <c r="H2556" s="1873">
        <f>H2555</f>
        <v>0</v>
      </c>
      <c r="I2556" s="1262">
        <f t="shared" si="176"/>
        <v>0</v>
      </c>
      <c r="J2556" s="1084"/>
      <c r="K2556" s="1084"/>
      <c r="L2556" s="1085"/>
      <c r="M2556" s="977">
        <v>2000</v>
      </c>
    </row>
    <row r="2557" spans="1:13" s="1086" customFormat="1" ht="25.15" hidden="1" customHeight="1">
      <c r="A2557" s="1156">
        <f t="shared" si="175"/>
        <v>0</v>
      </c>
      <c r="B2557" s="1327" t="s">
        <v>1378</v>
      </c>
      <c r="C2557" s="1327"/>
      <c r="D2557" s="1093">
        <f t="shared" si="177"/>
        <v>0</v>
      </c>
      <c r="E2557" s="1082" t="str">
        <f>VLOOKUP($B2557,DG!A:D,DG!$B$2,)</f>
        <v>02.5114</v>
      </c>
      <c r="F2557" s="1083" t="str">
        <f>VLOOKUP($B2557,DG!A:D,DG!$C$2,)</f>
        <v>Chống sét van LA-18KV-10KA</v>
      </c>
      <c r="G2557" s="1082" t="str">
        <f>VLOOKUP($B2557,DG!A:D,DG!$D$2,)</f>
        <v>cái</v>
      </c>
      <c r="H2557" s="1873">
        <f>H2552*3</f>
        <v>0</v>
      </c>
      <c r="I2557" s="1262">
        <f t="shared" si="176"/>
        <v>0</v>
      </c>
      <c r="J2557" s="1084"/>
      <c r="K2557" s="1084"/>
      <c r="L2557" s="1085"/>
      <c r="M2557" s="977">
        <v>2000</v>
      </c>
    </row>
    <row r="2558" spans="1:13" s="1086" customFormat="1" ht="25.15" hidden="1" customHeight="1">
      <c r="A2558" s="1156">
        <f t="shared" si="175"/>
        <v>0</v>
      </c>
      <c r="B2558" s="1328" t="s">
        <v>884</v>
      </c>
      <c r="C2558" s="1328"/>
      <c r="D2558" s="1093">
        <f t="shared" si="177"/>
        <v>0</v>
      </c>
      <c r="E2558" s="1082" t="str">
        <f>VLOOKUP($B2558,DG!A:D,DG!$B$2,)</f>
        <v>02.8404</v>
      </c>
      <c r="F2558" s="1083" t="str">
        <f>VLOOKUP($B2558,DG!A:D,DG!$C$2,)</f>
        <v>MCCB 3 cực 400V -1000A - 50KA</v>
      </c>
      <c r="G2558" s="1082" t="str">
        <f>VLOOKUP($B2558,DG!A:D,DG!$D$2,)</f>
        <v>cái</v>
      </c>
      <c r="H2558" s="1873">
        <f>H2552</f>
        <v>0</v>
      </c>
      <c r="I2558" s="1262">
        <f t="shared" si="176"/>
        <v>0</v>
      </c>
      <c r="J2558" s="1084"/>
      <c r="K2558" s="1084"/>
      <c r="L2558" s="1085"/>
      <c r="M2558" s="977">
        <v>2000</v>
      </c>
    </row>
    <row r="2559" spans="1:13" s="1086" customFormat="1" ht="25.15" hidden="1" customHeight="1">
      <c r="A2559" s="1156">
        <f t="shared" si="175"/>
        <v>0</v>
      </c>
      <c r="B2559" s="1328" t="s">
        <v>885</v>
      </c>
      <c r="C2559" s="1328"/>
      <c r="D2559" s="1093">
        <f t="shared" si="177"/>
        <v>0</v>
      </c>
      <c r="E2559" s="1082" t="str">
        <f>VLOOKUP($B2559,DG!A:D,DG!$B$2,)</f>
        <v>02.8534</v>
      </c>
      <c r="F2559" s="1083" t="str">
        <f>VLOOKUP($B2559,DG!A:D,DG!$C$2,)</f>
        <v>Tủ tụ bù hạ thế 220kVAr</v>
      </c>
      <c r="G2559" s="1082" t="str">
        <f>VLOOKUP($B2559,DG!A:D,DG!$D$2,)</f>
        <v>tủ</v>
      </c>
      <c r="H2559" s="1873">
        <f>H2558</f>
        <v>0</v>
      </c>
      <c r="I2559" s="1262">
        <f t="shared" si="176"/>
        <v>0</v>
      </c>
      <c r="J2559" s="1084"/>
      <c r="K2559" s="1084"/>
      <c r="L2559" s="1085"/>
      <c r="M2559" s="977">
        <v>2000</v>
      </c>
    </row>
    <row r="2560" spans="1:13" s="1086" customFormat="1" ht="25.15" hidden="1" customHeight="1">
      <c r="A2560" s="1156">
        <f t="shared" si="175"/>
        <v>0</v>
      </c>
      <c r="B2560" s="1157" t="s">
        <v>2049</v>
      </c>
      <c r="C2560" s="1157"/>
      <c r="D2560" s="1093">
        <f>IF(H2560&gt;0,D2558+1,D2558)</f>
        <v>0</v>
      </c>
      <c r="E2560" s="1082">
        <f>VLOOKUP($B2560,DG!A:D,DG!$B$2,)</f>
        <v>0</v>
      </c>
      <c r="F2560" s="1083" t="str">
        <f>VLOOKUP($B2560,DG!A:D,DG!$C$2,)</f>
        <v>Biến dòng 600V - 800/5A</v>
      </c>
      <c r="G2560" s="1082" t="str">
        <f>VLOOKUP($B2560,DG!A:D,DG!$D$2,)</f>
        <v>cái</v>
      </c>
      <c r="H2560" s="1905">
        <f>H2552*3</f>
        <v>0</v>
      </c>
      <c r="I2560" s="1262">
        <f t="shared" si="176"/>
        <v>0</v>
      </c>
      <c r="J2560" s="1084"/>
      <c r="K2560" s="1084"/>
      <c r="L2560" s="1114" t="s">
        <v>2612</v>
      </c>
      <c r="M2560" s="977">
        <v>2000</v>
      </c>
    </row>
    <row r="2561" spans="1:13" s="1086" customFormat="1" ht="25.15" hidden="1" customHeight="1">
      <c r="A2561" s="1156">
        <f t="shared" si="175"/>
        <v>0</v>
      </c>
      <c r="B2561" s="1157" t="s">
        <v>1674</v>
      </c>
      <c r="C2561" s="1157"/>
      <c r="D2561" s="1093">
        <f>IF(H2561&gt;0,D2559+1,D2559)</f>
        <v>0</v>
      </c>
      <c r="E2561" s="1082">
        <f>VLOOKUP($B2561,DG!A:D,DG!$B$2,)</f>
        <v>0</v>
      </c>
      <c r="F2561" s="1083" t="str">
        <f>VLOOKUP($B2561,DG!A:D,DG!$C$2,)</f>
        <v>Biến dòng 600V - 250/5A</v>
      </c>
      <c r="G2561" s="1082" t="str">
        <f>VLOOKUP($B2561,DG!A:D,DG!$D$2,)</f>
        <v>cái</v>
      </c>
      <c r="H2561" s="1905">
        <f>H2552*3</f>
        <v>0</v>
      </c>
      <c r="I2561" s="1262">
        <f t="shared" si="176"/>
        <v>0</v>
      </c>
      <c r="J2561" s="1084"/>
      <c r="K2561" s="1084"/>
      <c r="L2561" s="1114" t="s">
        <v>2612</v>
      </c>
      <c r="M2561" s="977">
        <v>2000</v>
      </c>
    </row>
    <row r="2562" spans="1:13" s="1086" customFormat="1" ht="25.15" hidden="1" customHeight="1">
      <c r="A2562" s="1156">
        <f t="shared" si="175"/>
        <v>0</v>
      </c>
      <c r="B2562" s="1157" t="s">
        <v>2195</v>
      </c>
      <c r="C2562" s="1157"/>
      <c r="D2562" s="1093">
        <f>IF(H2562&gt;0,D2561+1,D2561)</f>
        <v>0</v>
      </c>
      <c r="E2562" s="1082" t="str">
        <f>VLOOKUP($B2562,DG!A:D,DG!$B$2,)</f>
        <v>02.1114</v>
      </c>
      <c r="F2562" s="1083" t="str">
        <f>VLOOKUP($B2562,DG!A:D,DG!$C$2,)</f>
        <v>Biến điện áp 12000/120(60)V</v>
      </c>
      <c r="G2562" s="1082" t="str">
        <f>VLOOKUP($B2562,DG!A:D,DG!$D$2,)</f>
        <v>cái</v>
      </c>
      <c r="H2562" s="1917">
        <f>+H2561</f>
        <v>0</v>
      </c>
      <c r="I2562" s="1262">
        <f t="shared" si="176"/>
        <v>0</v>
      </c>
      <c r="J2562" s="1084"/>
      <c r="K2562" s="1084"/>
      <c r="L2562" s="1114" t="s">
        <v>2612</v>
      </c>
      <c r="M2562" s="977">
        <v>2000</v>
      </c>
    </row>
    <row r="2563" spans="1:13" s="1086" customFormat="1" ht="25.15" hidden="1" customHeight="1">
      <c r="A2563" s="1156">
        <f t="shared" si="175"/>
        <v>0</v>
      </c>
      <c r="B2563" s="1364" t="s">
        <v>288</v>
      </c>
      <c r="C2563" s="1364"/>
      <c r="D2563" s="1093">
        <f>IF(H2563&gt;0,D2562+1,D2562)</f>
        <v>0</v>
      </c>
      <c r="E2563" s="1082" t="str">
        <f>VLOOKUP($B2563,DG!A:D,DG!$B$2,)</f>
        <v>05.5104</v>
      </c>
      <c r="F2563" s="1083" t="str">
        <f>VLOOKUP($B2563,DG!A:D,DG!$C$2,)</f>
        <v>Điện kế 3 pha 4 dây 220/380V-5A</v>
      </c>
      <c r="G2563" s="1082" t="str">
        <f>VLOOKUP($B2563,DG!A:D,DG!$D$2,)</f>
        <v>cái</v>
      </c>
      <c r="H2563" s="1905">
        <f>H2552</f>
        <v>0</v>
      </c>
      <c r="I2563" s="1262">
        <f t="shared" si="176"/>
        <v>0</v>
      </c>
      <c r="J2563" s="1111"/>
      <c r="K2563" s="1111"/>
      <c r="L2563" s="1115" t="s">
        <v>2612</v>
      </c>
      <c r="M2563" s="977">
        <v>2000</v>
      </c>
    </row>
    <row r="2564" spans="1:13" s="1086" customFormat="1" ht="25.15" hidden="1" customHeight="1">
      <c r="A2564" s="1156">
        <f t="shared" si="175"/>
        <v>0</v>
      </c>
      <c r="B2564" s="1327"/>
      <c r="C2564" s="1327"/>
      <c r="D2564" s="1116"/>
      <c r="E2564" s="1117"/>
      <c r="F2564" s="1079"/>
      <c r="G2564" s="1116"/>
      <c r="H2564" s="1883"/>
      <c r="I2564" s="1262">
        <f t="shared" si="176"/>
        <v>0</v>
      </c>
      <c r="J2564" s="1079"/>
      <c r="K2564" s="1116"/>
      <c r="L2564" s="1139"/>
      <c r="M2564" s="977">
        <v>2000</v>
      </c>
    </row>
    <row r="2565" spans="1:13" s="1086" customFormat="1" ht="25.15" hidden="1" customHeight="1">
      <c r="A2565" s="1156">
        <f t="shared" si="175"/>
        <v>0</v>
      </c>
      <c r="B2565" s="1327"/>
      <c r="C2565" s="1327"/>
      <c r="D2565" s="1118"/>
      <c r="E2565" s="1119"/>
      <c r="F2565" s="1108" t="s">
        <v>3694</v>
      </c>
      <c r="G2565" s="1108"/>
      <c r="H2565" s="1897"/>
      <c r="I2565" s="1262">
        <f t="shared" si="176"/>
        <v>0</v>
      </c>
      <c r="J2565" s="1108"/>
      <c r="K2565" s="1108"/>
      <c r="L2565" s="1139"/>
      <c r="M2565" s="977">
        <v>2000</v>
      </c>
    </row>
    <row r="2566" spans="1:13" s="1086" customFormat="1" ht="25.15" hidden="1" customHeight="1">
      <c r="A2566" s="1156">
        <f t="shared" si="175"/>
        <v>0</v>
      </c>
      <c r="B2566" s="1356"/>
      <c r="C2566" s="1356"/>
      <c r="D2566" s="1120">
        <f>IF(H2566&gt;0,1,0)</f>
        <v>0</v>
      </c>
      <c r="E2566" s="1121"/>
      <c r="F2566" s="1122" t="s">
        <v>3733</v>
      </c>
      <c r="G2566" s="1123" t="s">
        <v>2285</v>
      </c>
      <c r="H2566" s="1906">
        <f>H2552</f>
        <v>0</v>
      </c>
      <c r="I2566" s="1262">
        <f t="shared" si="176"/>
        <v>0</v>
      </c>
      <c r="J2566" s="1124"/>
      <c r="K2566" s="1124"/>
      <c r="L2566" s="1085"/>
      <c r="M2566" s="977">
        <v>2000</v>
      </c>
    </row>
    <row r="2567" spans="1:13" s="1086" customFormat="1" ht="25.15" hidden="1" customHeight="1">
      <c r="A2567" s="1156">
        <f t="shared" si="175"/>
        <v>0</v>
      </c>
      <c r="B2567" s="1157" t="s">
        <v>2241</v>
      </c>
      <c r="C2567" s="1157"/>
      <c r="D2567" s="1125"/>
      <c r="E2567" s="1082"/>
      <c r="F2567" s="1126" t="str">
        <f>VLOOKUP($B2567,DG!A:D,DG!$C$2,)</f>
        <v>Trụ BTLT 10,5m F350 dự ứng lực</v>
      </c>
      <c r="G2567" s="1082" t="str">
        <f>VLOOKUP($B2567,DG!A:D,DG!$D$2,)</f>
        <v>trụ</v>
      </c>
      <c r="H2567" s="1907">
        <f>H2566</f>
        <v>0</v>
      </c>
      <c r="I2567" s="1262">
        <f t="shared" si="176"/>
        <v>0</v>
      </c>
      <c r="J2567" s="1111"/>
      <c r="K2567" s="1081"/>
      <c r="L2567" s="1085"/>
      <c r="M2567" s="977">
        <v>2000</v>
      </c>
    </row>
    <row r="2568" spans="1:13" s="1086" customFormat="1" ht="25.15" hidden="1" customHeight="1">
      <c r="A2568" s="1156">
        <f t="shared" si="175"/>
        <v>0</v>
      </c>
      <c r="B2568" s="1157" t="s">
        <v>1820</v>
      </c>
      <c r="C2568" s="1157"/>
      <c r="D2568" s="1125"/>
      <c r="E2568" s="1082"/>
      <c r="F2568" s="1126" t="str">
        <f>VLOOKUP($B2568,DG!A:D,DG!$C$2,)</f>
        <v>Vật liệu dựng trụ</v>
      </c>
      <c r="G2568" s="1082" t="str">
        <f>VLOOKUP($B2568,DG!A:D,DG!$D$2,)</f>
        <v>trụ</v>
      </c>
      <c r="H2568" s="1907">
        <f>H2567</f>
        <v>0</v>
      </c>
      <c r="I2568" s="1262">
        <f t="shared" si="176"/>
        <v>0</v>
      </c>
      <c r="J2568" s="1081"/>
      <c r="K2568" s="1081"/>
      <c r="L2568" s="1085"/>
      <c r="M2568" s="977">
        <v>2000</v>
      </c>
    </row>
    <row r="2569" spans="1:13" s="1086" customFormat="1" ht="25.15" hidden="1" customHeight="1">
      <c r="A2569" s="1156">
        <f t="shared" si="175"/>
        <v>0</v>
      </c>
      <c r="B2569" s="1157" t="s">
        <v>1617</v>
      </c>
      <c r="C2569" s="1157"/>
      <c r="D2569" s="1125"/>
      <c r="E2569" s="1082" t="str">
        <f>VLOOKUP($B2569,DG!A:D,DG!$B$2,)</f>
        <v>05.5402</v>
      </c>
      <c r="F2569" s="1126" t="str">
        <f>VLOOKUP($B2569,DG!A:D,DG!$C$2,)</f>
        <v>Dựng trụ BTLT 10,5m thủ công + cơ giới</v>
      </c>
      <c r="G2569" s="1082" t="str">
        <f>VLOOKUP($B2569,DG!A:D,DG!$D$2,)</f>
        <v>trụ</v>
      </c>
      <c r="H2569" s="1907">
        <f>H2567</f>
        <v>0</v>
      </c>
      <c r="I2569" s="1262">
        <f t="shared" si="176"/>
        <v>0</v>
      </c>
      <c r="J2569" s="1111"/>
      <c r="K2569" s="1111"/>
      <c r="L2569" s="1085"/>
      <c r="M2569" s="977">
        <v>2000</v>
      </c>
    </row>
    <row r="2570" spans="1:13" s="1086" customFormat="1" ht="25.15" hidden="1" customHeight="1">
      <c r="A2570" s="1156">
        <f t="shared" si="175"/>
        <v>0</v>
      </c>
      <c r="B2570" s="1157" t="s">
        <v>2242</v>
      </c>
      <c r="C2570" s="1157"/>
      <c r="D2570" s="1125"/>
      <c r="E2570" s="1082"/>
      <c r="F2570" s="1126" t="str">
        <f>VLOOKUP($B2570,DG!A:D,DG!$C$2,)</f>
        <v>Đào hố móng đất cấp 3 sâu &gt;1m</v>
      </c>
      <c r="G2570" s="1082" t="str">
        <f>VLOOKUP($B2570,DG!A:D,DG!$D$2,)</f>
        <v>m3</v>
      </c>
      <c r="H2570" s="1907">
        <f>H2566*0.201</f>
        <v>0</v>
      </c>
      <c r="I2570" s="1262">
        <f t="shared" si="176"/>
        <v>0</v>
      </c>
      <c r="J2570" s="1111"/>
      <c r="K2570" s="1111"/>
      <c r="L2570" s="1085"/>
      <c r="M2570" s="977">
        <v>2000</v>
      </c>
    </row>
    <row r="2571" spans="1:13" s="1086" customFormat="1" ht="25.15" hidden="1" customHeight="1">
      <c r="A2571" s="1156">
        <f t="shared" si="175"/>
        <v>0</v>
      </c>
      <c r="B2571" s="1157" t="s">
        <v>21</v>
      </c>
      <c r="C2571" s="1157"/>
      <c r="D2571" s="1125"/>
      <c r="E2571" s="1082" t="str">
        <f>VLOOKUP($B2571,DG!A:D,DG!$B$2,)</f>
        <v>03.4113</v>
      </c>
      <c r="F2571" s="1126" t="str">
        <f>VLOOKUP($B2571,DG!A:D,DG!$C$2,)</f>
        <v>Đắp đất hố móng, độ chặt k=0,95</v>
      </c>
      <c r="G2571" s="1082" t="str">
        <f>VLOOKUP($B2571,DG!A:D,DG!$D$2,)</f>
        <v>m3</v>
      </c>
      <c r="H2571" s="1907">
        <f>H2566*0.182</f>
        <v>0</v>
      </c>
      <c r="I2571" s="1262">
        <f t="shared" si="176"/>
        <v>0</v>
      </c>
      <c r="J2571" s="1111"/>
      <c r="K2571" s="1111"/>
      <c r="L2571" s="1085"/>
      <c r="M2571" s="977">
        <v>2000</v>
      </c>
    </row>
    <row r="2572" spans="1:13" s="1086" customFormat="1" ht="25.15" hidden="1" customHeight="1">
      <c r="A2572" s="1156">
        <f t="shared" si="175"/>
        <v>0</v>
      </c>
      <c r="B2572" s="1357"/>
      <c r="C2572" s="1357"/>
      <c r="D2572" s="1087">
        <f>IF(H2572&gt;0,D2566+1,D2566)</f>
        <v>0</v>
      </c>
      <c r="E2572" s="1121"/>
      <c r="F2572" s="1122" t="s">
        <v>2343</v>
      </c>
      <c r="G2572" s="1123" t="s">
        <v>2336</v>
      </c>
      <c r="H2572" s="1906">
        <f>H2566*0</f>
        <v>0</v>
      </c>
      <c r="I2572" s="1262">
        <f t="shared" si="176"/>
        <v>0</v>
      </c>
      <c r="J2572" s="1081"/>
      <c r="K2572" s="1081"/>
      <c r="L2572" s="1085"/>
      <c r="M2572" s="977">
        <v>2000</v>
      </c>
    </row>
    <row r="2573" spans="1:13" s="1086" customFormat="1" ht="25.15" hidden="1" customHeight="1">
      <c r="A2573" s="1156">
        <f t="shared" si="175"/>
        <v>0</v>
      </c>
      <c r="B2573" s="1334" t="s">
        <v>636</v>
      </c>
      <c r="C2573" s="1334"/>
      <c r="D2573" s="1125"/>
      <c r="E2573" s="1082" t="str">
        <f>VLOOKUP($B2573,DG!A:D,DG!$B$2,)</f>
        <v>04.4001</v>
      </c>
      <c r="F2573" s="1127" t="str">
        <f>VLOOKUP($B2573,DG!A:D,DG!$C$2,)</f>
        <v>Đà cản BTCT 1,2m</v>
      </c>
      <c r="G2573" s="1094" t="str">
        <f>VLOOKUP($B2573,DG!A:D,DG!$D$2,)</f>
        <v>cái</v>
      </c>
      <c r="H2573" s="1907">
        <f>H2572</f>
        <v>0</v>
      </c>
      <c r="I2573" s="1262">
        <f t="shared" si="176"/>
        <v>0</v>
      </c>
      <c r="J2573" s="1111"/>
      <c r="K2573" s="1081"/>
      <c r="L2573" s="1085"/>
      <c r="M2573" s="977">
        <v>2000</v>
      </c>
    </row>
    <row r="2574" spans="1:13" s="1086" customFormat="1" ht="25.15" hidden="1" customHeight="1">
      <c r="A2574" s="1156">
        <f t="shared" si="175"/>
        <v>0</v>
      </c>
      <c r="B2574" s="1334" t="s">
        <v>566</v>
      </c>
      <c r="C2574" s="1334"/>
      <c r="D2574" s="1125"/>
      <c r="E2574" s="1094"/>
      <c r="F2574" s="1127" t="str">
        <f>VLOOKUP($B2574,DG!A:D,DG!$C$2,)</f>
        <v>Boulon 22x650+ 2 long đền vuông D24-50x50x3/Zn</v>
      </c>
      <c r="G2574" s="1094" t="str">
        <f>VLOOKUP($B2574,DG!A:D,DG!$D$2,)</f>
        <v>bộ</v>
      </c>
      <c r="H2574" s="1907">
        <f>H2573</f>
        <v>0</v>
      </c>
      <c r="I2574" s="1262">
        <f t="shared" si="176"/>
        <v>0</v>
      </c>
      <c r="J2574" s="1127"/>
      <c r="K2574" s="1081"/>
      <c r="L2574" s="1085"/>
      <c r="M2574" s="977">
        <v>2000</v>
      </c>
    </row>
    <row r="2575" spans="1:13" s="1086" customFormat="1" ht="25.15" hidden="1" customHeight="1">
      <c r="A2575" s="1156">
        <f t="shared" si="175"/>
        <v>0</v>
      </c>
      <c r="B2575" s="1334" t="str">
        <f>IF(chitiet!G5=1,"MDD1",IF(chitiet!G5=2,"MDD2",IF(chitiet!G5=3,"MDD3",IF(chitiet!G5=4,"MDD4"))))</f>
        <v>MDD3</v>
      </c>
      <c r="C2575" s="1334"/>
      <c r="D2575" s="1125"/>
      <c r="E2575" s="1094" t="str">
        <f>VLOOKUP($B2575,DG!A:D,DG!$B$2,)</f>
        <v>03.1013</v>
      </c>
      <c r="F2575" s="1127" t="str">
        <f>VLOOKUP($B2575,DG!A:D,DG!$C$2,)</f>
        <v>Đào hố móng đất cấp 3 sâu &gt;1m</v>
      </c>
      <c r="G2575" s="1094" t="str">
        <f>VLOOKUP($B2575,DG!A:D,DG!$D$2,)</f>
        <v>m3</v>
      </c>
      <c r="H2575" s="1908">
        <f>1.48*H2573</f>
        <v>0</v>
      </c>
      <c r="I2575" s="1262">
        <f t="shared" si="176"/>
        <v>0</v>
      </c>
      <c r="J2575" s="1128"/>
      <c r="K2575" s="1081"/>
      <c r="L2575" s="1085"/>
      <c r="M2575" s="977">
        <v>2000</v>
      </c>
    </row>
    <row r="2576" spans="1:13" s="1086" customFormat="1" ht="25.15" hidden="1" customHeight="1">
      <c r="A2576" s="1156">
        <f t="shared" si="175"/>
        <v>0</v>
      </c>
      <c r="B2576" s="1334" t="str">
        <f>IF(chitiet!G5=1,"MDAP1",IF(chitiet!G5=2,"MDAP2",IF(chitiet!G5=3,"MDAP3",IF(chitiet!G5=4,"MDAP4"))))</f>
        <v>MDAP3</v>
      </c>
      <c r="C2576" s="1334"/>
      <c r="D2576" s="1125"/>
      <c r="E2576" s="1094" t="str">
        <f>VLOOKUP($B2576,DG!A:D,DG!$B$2,)</f>
        <v>03.4113</v>
      </c>
      <c r="F2576" s="1127" t="str">
        <f>VLOOKUP($B2576,DG!A:D,DG!$C$2,)</f>
        <v>Đắp đất hố móng, độ chặt k=0,95</v>
      </c>
      <c r="G2576" s="1094" t="str">
        <f>VLOOKUP($B2576,DG!A:D,DG!$D$2,)</f>
        <v>m3</v>
      </c>
      <c r="H2576" s="1908">
        <f>1.39*H2572</f>
        <v>0</v>
      </c>
      <c r="I2576" s="1262">
        <f t="shared" si="176"/>
        <v>0</v>
      </c>
      <c r="J2576" s="1128"/>
      <c r="K2576" s="1081"/>
      <c r="L2576" s="1085"/>
      <c r="M2576" s="977">
        <v>2000</v>
      </c>
    </row>
    <row r="2577" spans="1:13" s="1086" customFormat="1" ht="25.15" hidden="1" customHeight="1">
      <c r="A2577" s="1156">
        <f t="shared" ref="A2577:A2640" si="178">IF(I2577&gt;0,1,0)</f>
        <v>0</v>
      </c>
      <c r="B2577" s="1327"/>
      <c r="C2577" s="1327"/>
      <c r="D2577" s="1087">
        <f>IF(H2577&gt;0,D2572+1,D2572)</f>
        <v>0</v>
      </c>
      <c r="E2577" s="1129"/>
      <c r="F2577" s="1122" t="s">
        <v>3735</v>
      </c>
      <c r="G2577" s="1120" t="s">
        <v>2394</v>
      </c>
      <c r="H2577" s="1909">
        <f>H2552*0</f>
        <v>0</v>
      </c>
      <c r="I2577" s="1262">
        <f t="shared" si="176"/>
        <v>0</v>
      </c>
      <c r="J2577" s="1130"/>
      <c r="K2577" s="1130"/>
      <c r="L2577" s="1085"/>
      <c r="M2577" s="977">
        <v>2000</v>
      </c>
    </row>
    <row r="2578" spans="1:13" s="1086" customFormat="1" ht="25.15" hidden="1" customHeight="1">
      <c r="A2578" s="1156">
        <f>IF(A2577&gt;0,1,0)</f>
        <v>0</v>
      </c>
      <c r="B2578" s="1327"/>
      <c r="C2578" s="1327"/>
      <c r="D2578" s="1081"/>
      <c r="E2578" s="1131"/>
      <c r="F2578" s="1370" t="s">
        <v>2287</v>
      </c>
      <c r="G2578" s="1093"/>
      <c r="H2578" s="1873"/>
      <c r="I2578" s="1262">
        <f t="shared" si="176"/>
        <v>0</v>
      </c>
      <c r="J2578" s="1132"/>
      <c r="K2578" s="1132"/>
      <c r="L2578" s="1085"/>
      <c r="M2578" s="977">
        <v>2000</v>
      </c>
    </row>
    <row r="2579" spans="1:13" s="1086" customFormat="1" ht="25.15" hidden="1" customHeight="1">
      <c r="A2579" s="1156">
        <f t="shared" si="178"/>
        <v>0</v>
      </c>
      <c r="B2579" s="1157" t="s">
        <v>1138</v>
      </c>
      <c r="C2579" s="1157"/>
      <c r="D2579" s="1081"/>
      <c r="E2579" s="1082" t="str">
        <f>VLOOKUP($B2579,DG!A:D,DG!$B$2,)</f>
        <v>05.6105</v>
      </c>
      <c r="F2579" s="1083" t="str">
        <f>VLOOKUP($B2579,DG!A:D,DG!$C$2,)</f>
        <v>Đà U160x68x5x2800 đỡ MBA</v>
      </c>
      <c r="G2579" s="1082" t="str">
        <f>VLOOKUP($B2579,DG!A:D,DG!$D$2,)</f>
        <v>cái</v>
      </c>
      <c r="H2579" s="1873">
        <f>2*H2577</f>
        <v>0</v>
      </c>
      <c r="I2579" s="1262">
        <f t="shared" si="176"/>
        <v>0</v>
      </c>
      <c r="J2579" s="1111"/>
      <c r="K2579" s="1111"/>
      <c r="L2579" s="1085"/>
      <c r="M2579" s="977">
        <v>2000</v>
      </c>
    </row>
    <row r="2580" spans="1:13" s="1086" customFormat="1" ht="25.15" hidden="1" customHeight="1">
      <c r="A2580" s="1156">
        <f t="shared" si="178"/>
        <v>0</v>
      </c>
      <c r="B2580" s="1157" t="s">
        <v>1139</v>
      </c>
      <c r="C2580" s="1157"/>
      <c r="D2580" s="1081"/>
      <c r="E2580" s="1082" t="str">
        <f>VLOOKUP($B2580,DG!A:D,DG!$B$2,)</f>
        <v>05.6101</v>
      </c>
      <c r="F2580" s="1083" t="str">
        <f>VLOOKUP($B2580,DG!A:D,DG!$C$2,)</f>
        <v xml:space="preserve">Đà U100x46x4.5x400 </v>
      </c>
      <c r="G2580" s="1082" t="str">
        <f>VLOOKUP($B2580,DG!A:D,DG!$D$2,)</f>
        <v>cái</v>
      </c>
      <c r="H2580" s="1873">
        <f>H2577*4</f>
        <v>0</v>
      </c>
      <c r="I2580" s="1262">
        <f t="shared" si="176"/>
        <v>0</v>
      </c>
      <c r="J2580" s="1111"/>
      <c r="K2580" s="1111"/>
      <c r="L2580" s="1085"/>
      <c r="M2580" s="977">
        <v>2000</v>
      </c>
    </row>
    <row r="2581" spans="1:13" s="1086" customFormat="1" ht="25.15" hidden="1" customHeight="1">
      <c r="A2581" s="1156">
        <f t="shared" si="178"/>
        <v>0</v>
      </c>
      <c r="B2581" s="1157" t="s">
        <v>1140</v>
      </c>
      <c r="C2581" s="1157"/>
      <c r="D2581" s="1081"/>
      <c r="E2581" s="1082" t="str">
        <f>VLOOKUP($B2581,DG!A:D,DG!$B$2,)</f>
        <v>05.6101</v>
      </c>
      <c r="F2581" s="1083" t="str">
        <f>VLOOKUP($B2581,DG!A:D,DG!$C$2,)</f>
        <v xml:space="preserve">Đà U100x46x5x800 </v>
      </c>
      <c r="G2581" s="1082" t="str">
        <f>VLOOKUP($B2581,DG!A:D,DG!$D$2,)</f>
        <v>cái</v>
      </c>
      <c r="H2581" s="1873">
        <f>H2577*2</f>
        <v>0</v>
      </c>
      <c r="I2581" s="1262">
        <f t="shared" si="176"/>
        <v>0</v>
      </c>
      <c r="J2581" s="1111"/>
      <c r="K2581" s="1111"/>
      <c r="L2581" s="1085"/>
      <c r="M2581" s="977">
        <v>2000</v>
      </c>
    </row>
    <row r="2582" spans="1:13" s="1086" customFormat="1" ht="25.15" hidden="1" customHeight="1">
      <c r="A2582" s="1156">
        <f t="shared" si="178"/>
        <v>0</v>
      </c>
      <c r="B2582" s="1327" t="s">
        <v>1787</v>
      </c>
      <c r="C2582" s="1327"/>
      <c r="D2582" s="1081"/>
      <c r="E2582" s="1082">
        <f>VLOOKUP($B2582,DG!A:D,DG!$B$2,)</f>
        <v>0</v>
      </c>
      <c r="F2582" s="1083" t="str">
        <f>VLOOKUP($B2582,DG!A:D,DG!$C$2,)</f>
        <v>Boulon 16x400VRS+ 4 long đền vuông D18-50x50x3/Zn</v>
      </c>
      <c r="G2582" s="1082" t="str">
        <f>VLOOKUP($B2582,DG!A:D,DG!$D$2,)</f>
        <v>bộ</v>
      </c>
      <c r="H2582" s="1873">
        <f>H2577*12</f>
        <v>0</v>
      </c>
      <c r="I2582" s="1262">
        <f t="shared" si="176"/>
        <v>0</v>
      </c>
      <c r="J2582" s="1111"/>
      <c r="K2582" s="1111"/>
      <c r="L2582" s="1085"/>
      <c r="M2582" s="977">
        <v>2000</v>
      </c>
    </row>
    <row r="2583" spans="1:13" s="1086" customFormat="1" ht="25.15" hidden="1" customHeight="1">
      <c r="A2583" s="1156">
        <f t="shared" si="178"/>
        <v>0</v>
      </c>
      <c r="B2583" s="1327" t="s">
        <v>1085</v>
      </c>
      <c r="C2583" s="1327"/>
      <c r="D2583" s="1081"/>
      <c r="E2583" s="1082">
        <f>VLOOKUP($B2583,DG!A:D,DG!$B$2,)</f>
        <v>0</v>
      </c>
      <c r="F2583" s="1083" t="str">
        <f>VLOOKUP($B2583,DG!A:D,DG!$C$2,)</f>
        <v>Boulon 16x400+ 2 long đền vuông D18-50x50x3/Zn</v>
      </c>
      <c r="G2583" s="1082" t="str">
        <f>VLOOKUP($B2583,DG!A:D,DG!$D$2,)</f>
        <v>bộ</v>
      </c>
      <c r="H2583" s="1873">
        <f>H2577*2</f>
        <v>0</v>
      </c>
      <c r="I2583" s="1262">
        <f t="shared" si="176"/>
        <v>0</v>
      </c>
      <c r="J2583" s="1111"/>
      <c r="K2583" s="1111"/>
      <c r="L2583" s="1085"/>
      <c r="M2583" s="977">
        <v>2000</v>
      </c>
    </row>
    <row r="2584" spans="1:13" s="1086" customFormat="1" ht="25.15" hidden="1" customHeight="1">
      <c r="A2584" s="1156">
        <f t="shared" si="178"/>
        <v>0</v>
      </c>
      <c r="B2584" s="1327" t="s">
        <v>1081</v>
      </c>
      <c r="C2584" s="1327"/>
      <c r="D2584" s="1081"/>
      <c r="E2584" s="1082">
        <f>VLOOKUP($B2584,DG!A:D,DG!$B$2,)</f>
        <v>0</v>
      </c>
      <c r="F2584" s="1083" t="str">
        <f>VLOOKUP($B2584,DG!A:D,DG!$C$2,)</f>
        <v>Boulon 16x350+ 2 long đền vuông D18-50x50x3/Zn</v>
      </c>
      <c r="G2584" s="1082" t="str">
        <f>VLOOKUP($B2584,DG!A:D,DG!$D$2,)</f>
        <v>bộ</v>
      </c>
      <c r="H2584" s="1873">
        <f>+H2577*4</f>
        <v>0</v>
      </c>
      <c r="I2584" s="1262">
        <f t="shared" si="176"/>
        <v>0</v>
      </c>
      <c r="J2584" s="1111"/>
      <c r="K2584" s="1111"/>
      <c r="L2584" s="1085"/>
      <c r="M2584" s="977">
        <v>2000</v>
      </c>
    </row>
    <row r="2585" spans="1:13" s="1086" customFormat="1" ht="25.15" hidden="1" customHeight="1">
      <c r="A2585" s="1156">
        <f t="shared" si="178"/>
        <v>0</v>
      </c>
      <c r="B2585" s="1327"/>
      <c r="C2585" s="1327"/>
      <c r="D2585" s="1087">
        <f>IF(H2585&gt;0,D2577+1,D2577)</f>
        <v>0</v>
      </c>
      <c r="E2585" s="1088"/>
      <c r="F2585" s="1133" t="s">
        <v>3736</v>
      </c>
      <c r="G2585" s="1087" t="s">
        <v>2394</v>
      </c>
      <c r="H2585" s="1889">
        <f>H2577*2*0</f>
        <v>0</v>
      </c>
      <c r="I2585" s="1262">
        <f t="shared" si="176"/>
        <v>0</v>
      </c>
      <c r="J2585" s="1134"/>
      <c r="K2585" s="1134"/>
      <c r="L2585" s="1085"/>
      <c r="M2585" s="977">
        <v>2000</v>
      </c>
    </row>
    <row r="2586" spans="1:13" s="1086" customFormat="1" ht="25.15" hidden="1" customHeight="1">
      <c r="A2586" s="1156">
        <f>IF(A2585&gt;0,1,0)</f>
        <v>0</v>
      </c>
      <c r="B2586" s="1327"/>
      <c r="C2586" s="1327"/>
      <c r="D2586" s="1081"/>
      <c r="E2586" s="1091"/>
      <c r="F2586" s="1370" t="s">
        <v>2287</v>
      </c>
      <c r="G2586" s="1093"/>
      <c r="H2586" s="1873"/>
      <c r="I2586" s="1262">
        <f t="shared" si="176"/>
        <v>0</v>
      </c>
      <c r="J2586" s="1134"/>
      <c r="K2586" s="1134"/>
      <c r="L2586" s="1085"/>
      <c r="M2586" s="977">
        <v>2000</v>
      </c>
    </row>
    <row r="2587" spans="1:13" s="1086" customFormat="1" ht="25.15" hidden="1" customHeight="1">
      <c r="A2587" s="1156">
        <f t="shared" si="178"/>
        <v>0</v>
      </c>
      <c r="B2587" s="1334" t="s">
        <v>2028</v>
      </c>
      <c r="C2587" s="1334"/>
      <c r="D2587" s="1081"/>
      <c r="E2587" s="1082">
        <v>0</v>
      </c>
      <c r="F2587" s="1083" t="str">
        <f>VLOOKUP($B2587,DG!A:D,DG!$C$2,)</f>
        <v>Sắt góc L75 x75 x8</v>
      </c>
      <c r="G2587" s="1082" t="s">
        <v>2256</v>
      </c>
      <c r="H2587" s="1873">
        <f>H2585*9.02*(2.6+3*0.07)*2</f>
        <v>0</v>
      </c>
      <c r="I2587" s="1262">
        <f t="shared" si="176"/>
        <v>0</v>
      </c>
      <c r="J2587" s="1111"/>
      <c r="K2587" s="1111"/>
      <c r="L2587" s="1085"/>
      <c r="M2587" s="977">
        <v>2000</v>
      </c>
    </row>
    <row r="2588" spans="1:13" s="1086" customFormat="1" ht="25.15" hidden="1" customHeight="1">
      <c r="A2588" s="1156">
        <f t="shared" si="178"/>
        <v>0</v>
      </c>
      <c r="B2588" s="1327" t="s">
        <v>1790</v>
      </c>
      <c r="C2588" s="1327"/>
      <c r="D2588" s="1081"/>
      <c r="E2588" s="1082">
        <v>0</v>
      </c>
      <c r="F2588" s="1083" t="str">
        <f>VLOOKUP($B2588,DG!A:D,DG!$C$2,)</f>
        <v>Boulon 16x300VRS+ 4 long đền vuông D18-50x50x3/Zn</v>
      </c>
      <c r="G2588" s="1082" t="s">
        <v>2448</v>
      </c>
      <c r="H2588" s="1873">
        <f>H2585*2</f>
        <v>0</v>
      </c>
      <c r="I2588" s="1262">
        <f t="shared" si="176"/>
        <v>0</v>
      </c>
      <c r="J2588" s="1111"/>
      <c r="K2588" s="1111"/>
      <c r="L2588" s="1085"/>
      <c r="M2588" s="977">
        <v>2000</v>
      </c>
    </row>
    <row r="2589" spans="1:13" s="1086" customFormat="1" ht="25.15" hidden="1" customHeight="1">
      <c r="A2589" s="1156">
        <f t="shared" si="178"/>
        <v>0</v>
      </c>
      <c r="B2589" s="1327" t="s">
        <v>1615</v>
      </c>
      <c r="C2589" s="1327"/>
      <c r="D2589" s="1081"/>
      <c r="E2589" s="1082">
        <v>0</v>
      </c>
      <c r="F2589" s="1083" t="str">
        <f>VLOOKUP($B2589,DG!A:D,DG!$C$2,)</f>
        <v>Boulon 16x300+ 2 long đền vuông D18-50x50x3/Zn</v>
      </c>
      <c r="G2589" s="1082" t="s">
        <v>2448</v>
      </c>
      <c r="H2589" s="1873">
        <f>H2585*2</f>
        <v>0</v>
      </c>
      <c r="I2589" s="1262">
        <f t="shared" si="176"/>
        <v>0</v>
      </c>
      <c r="J2589" s="1111"/>
      <c r="K2589" s="1111"/>
      <c r="L2589" s="1085"/>
      <c r="M2589" s="977">
        <v>2000</v>
      </c>
    </row>
    <row r="2590" spans="1:13" s="1086" customFormat="1" ht="25.15" hidden="1" customHeight="1">
      <c r="A2590" s="1156">
        <f t="shared" si="178"/>
        <v>0</v>
      </c>
      <c r="B2590" s="1327" t="s">
        <v>1614</v>
      </c>
      <c r="C2590" s="1327"/>
      <c r="D2590" s="1081"/>
      <c r="E2590" s="1082">
        <v>0</v>
      </c>
      <c r="F2590" s="1083" t="str">
        <f>VLOOKUP($B2590,DG!A:D,DG!$C$2,)</f>
        <v>Boulon 16x250+ 2 long đền vuông D18-50x50x3/Zn</v>
      </c>
      <c r="G2590" s="1082" t="s">
        <v>2448</v>
      </c>
      <c r="H2590" s="1873">
        <f>H2589</f>
        <v>0</v>
      </c>
      <c r="I2590" s="1262">
        <f t="shared" si="176"/>
        <v>0</v>
      </c>
      <c r="J2590" s="1111"/>
      <c r="K2590" s="1111"/>
      <c r="L2590" s="1085"/>
      <c r="M2590" s="977">
        <v>2000</v>
      </c>
    </row>
    <row r="2591" spans="1:13" s="1086" customFormat="1" ht="25.15" hidden="1" customHeight="1">
      <c r="A2591" s="1156">
        <f t="shared" si="178"/>
        <v>0</v>
      </c>
      <c r="B2591" s="1327" t="s">
        <v>2250</v>
      </c>
      <c r="C2591" s="1327"/>
      <c r="D2591" s="1081"/>
      <c r="E2591" s="1082" t="s">
        <v>732</v>
      </c>
      <c r="F2591" s="1083" t="str">
        <f>VLOOKUP($B2591,DG!A:D,DG!$C$2,)</f>
        <v>Lắp xà cột Pi loại ≤140kg/xà</v>
      </c>
      <c r="G2591" s="1082" t="s">
        <v>2448</v>
      </c>
      <c r="H2591" s="1873">
        <f>H2585</f>
        <v>0</v>
      </c>
      <c r="I2591" s="1262">
        <f t="shared" si="176"/>
        <v>0</v>
      </c>
      <c r="J2591" s="1111"/>
      <c r="K2591" s="1111"/>
      <c r="L2591" s="1085"/>
      <c r="M2591" s="977">
        <v>2000</v>
      </c>
    </row>
    <row r="2592" spans="1:13" s="1086" customFormat="1" ht="25.15" hidden="1" customHeight="1">
      <c r="A2592" s="1156">
        <f t="shared" si="178"/>
        <v>0</v>
      </c>
      <c r="B2592" s="1327"/>
      <c r="C2592" s="1327"/>
      <c r="D2592" s="1087">
        <f>IF(H2592&gt;0,D2585+1,D2585)</f>
        <v>0</v>
      </c>
      <c r="E2592" s="1088"/>
      <c r="F2592" s="1133" t="s">
        <v>3773</v>
      </c>
      <c r="G2592" s="1087" t="s">
        <v>2394</v>
      </c>
      <c r="H2592" s="1889">
        <f>H2577*3</f>
        <v>0</v>
      </c>
      <c r="I2592" s="1262">
        <f t="shared" si="176"/>
        <v>0</v>
      </c>
      <c r="J2592" s="1134"/>
      <c r="K2592" s="1134"/>
      <c r="L2592" s="1085"/>
      <c r="M2592" s="977">
        <v>2000</v>
      </c>
    </row>
    <row r="2593" spans="1:13" s="1086" customFormat="1" ht="25.15" hidden="1" customHeight="1">
      <c r="A2593" s="1156">
        <f>IF(A2592&gt;0,1,0)</f>
        <v>0</v>
      </c>
      <c r="B2593" s="1327"/>
      <c r="C2593" s="1327"/>
      <c r="D2593" s="1081"/>
      <c r="E2593" s="1091"/>
      <c r="F2593" s="1370" t="s">
        <v>2287</v>
      </c>
      <c r="G2593" s="1093"/>
      <c r="H2593" s="1873"/>
      <c r="I2593" s="1262">
        <f t="shared" si="176"/>
        <v>0</v>
      </c>
      <c r="J2593" s="1134"/>
      <c r="K2593" s="1134"/>
      <c r="L2593" s="1085"/>
      <c r="M2593" s="977">
        <v>2000</v>
      </c>
    </row>
    <row r="2594" spans="1:13" s="1086" customFormat="1" ht="25.15" hidden="1" customHeight="1">
      <c r="A2594" s="1156">
        <f t="shared" si="178"/>
        <v>0</v>
      </c>
      <c r="B2594" s="1334" t="s">
        <v>2028</v>
      </c>
      <c r="C2594" s="1334"/>
      <c r="D2594" s="1081"/>
      <c r="E2594" s="1082">
        <v>0</v>
      </c>
      <c r="F2594" s="1083" t="str">
        <f>VLOOKUP($B2594,DG!A:D,DG!$C$2,)</f>
        <v>Sắt góc L75 x75 x8</v>
      </c>
      <c r="G2594" s="1082" t="s">
        <v>2256</v>
      </c>
      <c r="H2594" s="1873">
        <f>H2592*9.02*(2.6+3*0.07)</f>
        <v>0</v>
      </c>
      <c r="I2594" s="1262">
        <f t="shared" si="176"/>
        <v>0</v>
      </c>
      <c r="J2594" s="1111"/>
      <c r="K2594" s="1111"/>
      <c r="L2594" s="1085"/>
      <c r="M2594" s="977">
        <v>2000</v>
      </c>
    </row>
    <row r="2595" spans="1:13" s="1086" customFormat="1" ht="25.15" hidden="1" customHeight="1">
      <c r="A2595" s="1156">
        <f t="shared" si="178"/>
        <v>0</v>
      </c>
      <c r="B2595" s="1327" t="s">
        <v>1614</v>
      </c>
      <c r="C2595" s="1327"/>
      <c r="D2595" s="1081"/>
      <c r="E2595" s="1082">
        <v>0</v>
      </c>
      <c r="F2595" s="1083" t="str">
        <f>VLOOKUP($B2595,DG!A:D,DG!$C$2,)</f>
        <v>Boulon 16x250+ 2 long đền vuông D18-50x50x3/Zn</v>
      </c>
      <c r="G2595" s="1082" t="s">
        <v>2448</v>
      </c>
      <c r="H2595" s="1873">
        <f>IF(H2592&gt;2,(H2592-1)*2,0)</f>
        <v>0</v>
      </c>
      <c r="I2595" s="1262">
        <f t="shared" si="176"/>
        <v>0</v>
      </c>
      <c r="J2595" s="1111"/>
      <c r="K2595" s="1111"/>
      <c r="L2595" s="1085"/>
      <c r="M2595" s="977">
        <v>2000</v>
      </c>
    </row>
    <row r="2596" spans="1:13" s="1086" customFormat="1" ht="25.15" hidden="1" customHeight="1">
      <c r="A2596" s="1156">
        <f t="shared" si="178"/>
        <v>0</v>
      </c>
      <c r="B2596" s="1327" t="s">
        <v>1615</v>
      </c>
      <c r="C2596" s="1327"/>
      <c r="D2596" s="1081"/>
      <c r="E2596" s="1082">
        <v>0</v>
      </c>
      <c r="F2596" s="1083" t="str">
        <f>VLOOKUP($B2596,DG!A:D,DG!$C$2,)</f>
        <v>Boulon 16x300+ 2 long đền vuông D18-50x50x3/Zn</v>
      </c>
      <c r="G2596" s="1082" t="s">
        <v>2448</v>
      </c>
      <c r="H2596" s="1873">
        <f>IF(H2592=0,0,2)</f>
        <v>0</v>
      </c>
      <c r="I2596" s="1262">
        <f t="shared" si="176"/>
        <v>0</v>
      </c>
      <c r="J2596" s="1111"/>
      <c r="K2596" s="1111"/>
      <c r="L2596" s="1085"/>
      <c r="M2596" s="977">
        <v>2000</v>
      </c>
    </row>
    <row r="2597" spans="1:13" s="1086" customFormat="1" ht="25.15" hidden="1" customHeight="1">
      <c r="A2597" s="1156">
        <f t="shared" si="178"/>
        <v>0</v>
      </c>
      <c r="B2597" s="1334" t="s">
        <v>2279</v>
      </c>
      <c r="C2597" s="1334"/>
      <c r="D2597" s="1081"/>
      <c r="E2597" s="1082">
        <v>0</v>
      </c>
      <c r="F2597" s="1083" t="str">
        <f>VLOOKUP($B2597,DG!A:D,DG!$C$2,)</f>
        <v>Bass LL bắt FCO, LA</v>
      </c>
      <c r="G2597" s="1082" t="s">
        <v>2394</v>
      </c>
      <c r="H2597" s="1873">
        <f>H2592*1</f>
        <v>0</v>
      </c>
      <c r="I2597" s="1262">
        <f t="shared" si="176"/>
        <v>0</v>
      </c>
      <c r="J2597" s="1111"/>
      <c r="K2597" s="1111"/>
      <c r="L2597" s="1085"/>
      <c r="M2597" s="977">
        <v>2000</v>
      </c>
    </row>
    <row r="2598" spans="1:13" s="1086" customFormat="1" ht="25.15" hidden="1" customHeight="1">
      <c r="A2598" s="1156">
        <f t="shared" si="178"/>
        <v>0</v>
      </c>
      <c r="B2598" s="1327" t="s">
        <v>2250</v>
      </c>
      <c r="C2598" s="1327"/>
      <c r="D2598" s="1081"/>
      <c r="E2598" s="1082" t="s">
        <v>732</v>
      </c>
      <c r="F2598" s="1083" t="str">
        <f>VLOOKUP($B2598,DG!A:D,DG!$C$2,)</f>
        <v>Lắp xà cột Pi loại ≤140kg/xà</v>
      </c>
      <c r="G2598" s="1082" t="s">
        <v>2448</v>
      </c>
      <c r="H2598" s="1873">
        <f>H2592</f>
        <v>0</v>
      </c>
      <c r="I2598" s="1262">
        <f t="shared" si="176"/>
        <v>0</v>
      </c>
      <c r="J2598" s="1111"/>
      <c r="K2598" s="1111"/>
      <c r="L2598" s="1085"/>
      <c r="M2598" s="977">
        <v>2000</v>
      </c>
    </row>
    <row r="2599" spans="1:13" s="1086" customFormat="1" ht="25.15" hidden="1" customHeight="1">
      <c r="A2599" s="1156">
        <f t="shared" si="178"/>
        <v>0</v>
      </c>
      <c r="B2599" s="1327"/>
      <c r="C2599" s="1327"/>
      <c r="D2599" s="1087">
        <f>IF(H2599&gt;0,D2592+1,D2592)</f>
        <v>0</v>
      </c>
      <c r="E2599" s="1088"/>
      <c r="F2599" s="1133" t="s">
        <v>3738</v>
      </c>
      <c r="G2599" s="1087" t="s">
        <v>2394</v>
      </c>
      <c r="H2599" s="1889">
        <f>H2577*2</f>
        <v>0</v>
      </c>
      <c r="I2599" s="1262">
        <f t="shared" si="176"/>
        <v>0</v>
      </c>
      <c r="J2599" s="1134"/>
      <c r="K2599" s="1134"/>
      <c r="L2599" s="1085"/>
      <c r="M2599" s="977">
        <v>2000</v>
      </c>
    </row>
    <row r="2600" spans="1:13" s="1086" customFormat="1" ht="25.15" hidden="1" customHeight="1">
      <c r="A2600" s="1156">
        <f>IF(A2599&gt;0,1,0)</f>
        <v>0</v>
      </c>
      <c r="B2600" s="1327"/>
      <c r="C2600" s="1327"/>
      <c r="D2600" s="1081"/>
      <c r="E2600" s="1091"/>
      <c r="F2600" s="1370" t="s">
        <v>2287</v>
      </c>
      <c r="G2600" s="1093"/>
      <c r="H2600" s="1873"/>
      <c r="I2600" s="1262">
        <f t="shared" si="176"/>
        <v>0</v>
      </c>
      <c r="J2600" s="1134"/>
      <c r="K2600" s="1134"/>
      <c r="L2600" s="1085"/>
      <c r="M2600" s="977">
        <v>2000</v>
      </c>
    </row>
    <row r="2601" spans="1:13" s="1086" customFormat="1" ht="25.15" hidden="1" customHeight="1">
      <c r="A2601" s="1156">
        <f t="shared" si="178"/>
        <v>0</v>
      </c>
      <c r="B2601" s="1327" t="s">
        <v>2028</v>
      </c>
      <c r="C2601" s="1327"/>
      <c r="D2601" s="1081"/>
      <c r="E2601" s="1082">
        <v>0</v>
      </c>
      <c r="F2601" s="1083" t="str">
        <f>VLOOKUP($B2601,DG!A:D,DG!$C$2,)</f>
        <v>Sắt góc L75 x75 x8</v>
      </c>
      <c r="G2601" s="1082" t="s">
        <v>2256</v>
      </c>
      <c r="H2601" s="1873">
        <f>H2599*9.02*2.6</f>
        <v>0</v>
      </c>
      <c r="I2601" s="1262">
        <f t="shared" si="176"/>
        <v>0</v>
      </c>
      <c r="J2601" s="1111"/>
      <c r="K2601" s="1111"/>
      <c r="L2601" s="1085"/>
      <c r="M2601" s="977">
        <v>2000</v>
      </c>
    </row>
    <row r="2602" spans="1:13" s="1086" customFormat="1" ht="25.15" hidden="1" customHeight="1">
      <c r="A2602" s="1156">
        <f t="shared" si="178"/>
        <v>0</v>
      </c>
      <c r="B2602" s="1327" t="s">
        <v>1085</v>
      </c>
      <c r="C2602" s="1327"/>
      <c r="D2602" s="1081"/>
      <c r="E2602" s="1082">
        <v>0</v>
      </c>
      <c r="F2602" s="1083" t="str">
        <f>VLOOKUP($B2602,DG!A:D,DG!$C$2,)</f>
        <v>Boulon 16x400+ 2 long đền vuông D18-50x50x3/Zn</v>
      </c>
      <c r="G2602" s="1082" t="s">
        <v>2448</v>
      </c>
      <c r="H2602" s="1873">
        <f>H2599*2</f>
        <v>0</v>
      </c>
      <c r="I2602" s="1262">
        <f t="shared" si="176"/>
        <v>0</v>
      </c>
      <c r="J2602" s="1111"/>
      <c r="K2602" s="1111"/>
      <c r="L2602" s="1085"/>
      <c r="M2602" s="977">
        <v>2000</v>
      </c>
    </row>
    <row r="2603" spans="1:13" s="1086" customFormat="1" ht="25.15" hidden="1" customHeight="1">
      <c r="A2603" s="1156">
        <f t="shared" si="178"/>
        <v>0</v>
      </c>
      <c r="B2603" s="1327" t="s">
        <v>2250</v>
      </c>
      <c r="C2603" s="1327"/>
      <c r="D2603" s="1081"/>
      <c r="E2603" s="1082" t="s">
        <v>732</v>
      </c>
      <c r="F2603" s="1083" t="str">
        <f>VLOOKUP($B2603,DG!A:D,DG!$C$2,)</f>
        <v>Lắp xà cột Pi loại ≤140kg/xà</v>
      </c>
      <c r="G2603" s="1082" t="s">
        <v>2448</v>
      </c>
      <c r="H2603" s="1873">
        <f>H2599</f>
        <v>0</v>
      </c>
      <c r="I2603" s="1262">
        <f t="shared" si="176"/>
        <v>0</v>
      </c>
      <c r="J2603" s="1111"/>
      <c r="K2603" s="1111"/>
      <c r="L2603" s="1085"/>
      <c r="M2603" s="977">
        <v>2000</v>
      </c>
    </row>
    <row r="2604" spans="1:13" s="1086" customFormat="1" ht="25.15" hidden="1" customHeight="1">
      <c r="A2604" s="1156">
        <f t="shared" si="178"/>
        <v>0</v>
      </c>
      <c r="B2604" s="1327" t="s">
        <v>1615</v>
      </c>
      <c r="C2604" s="1327"/>
      <c r="D2604" s="1081"/>
      <c r="E2604" s="1082">
        <v>0</v>
      </c>
      <c r="F2604" s="1083" t="str">
        <f>VLOOKUP($B2604,DG!A:D,DG!$C$2,)</f>
        <v>Boulon 16x300+ 2 long đền vuông D18-50x50x3/Zn</v>
      </c>
      <c r="G2604" s="1082" t="s">
        <v>2448</v>
      </c>
      <c r="H2604" s="1873">
        <f>H2599*2*0</f>
        <v>0</v>
      </c>
      <c r="I2604" s="1262">
        <f t="shared" si="176"/>
        <v>0</v>
      </c>
      <c r="J2604" s="1111"/>
      <c r="K2604" s="1111"/>
      <c r="L2604" s="1085"/>
      <c r="M2604" s="977">
        <v>2000</v>
      </c>
    </row>
    <row r="2605" spans="1:13" s="1086" customFormat="1" ht="25.15" hidden="1" customHeight="1">
      <c r="A2605" s="1156">
        <f t="shared" si="178"/>
        <v>0</v>
      </c>
      <c r="B2605" s="1327" t="s">
        <v>1614</v>
      </c>
      <c r="C2605" s="1327"/>
      <c r="D2605" s="1081"/>
      <c r="E2605" s="1082">
        <v>0</v>
      </c>
      <c r="F2605" s="1083" t="str">
        <f>VLOOKUP($B2605,DG!A:D,DG!$C$2,)</f>
        <v>Boulon 16x250+ 2 long đền vuông D18-50x50x3/Zn</v>
      </c>
      <c r="G2605" s="1082" t="s">
        <v>2448</v>
      </c>
      <c r="H2605" s="1873">
        <f>2*H2599*2*0</f>
        <v>0</v>
      </c>
      <c r="I2605" s="1262">
        <f t="shared" si="176"/>
        <v>0</v>
      </c>
      <c r="J2605" s="1111"/>
      <c r="K2605" s="1111"/>
      <c r="L2605" s="1085"/>
      <c r="M2605" s="977">
        <v>2000</v>
      </c>
    </row>
    <row r="2606" spans="1:13" s="1086" customFormat="1" ht="25.15" hidden="1" customHeight="1" collapsed="1">
      <c r="A2606" s="1156">
        <f t="shared" si="178"/>
        <v>0</v>
      </c>
      <c r="B2606" s="1327"/>
      <c r="C2606" s="1327"/>
      <c r="D2606" s="1087">
        <f>IF(H2606&gt;0,D2599+1,D2599)</f>
        <v>0</v>
      </c>
      <c r="E2606" s="1088"/>
      <c r="F2606" s="1133" t="s">
        <v>3774</v>
      </c>
      <c r="G2606" s="1087" t="s">
        <v>2394</v>
      </c>
      <c r="H2606" s="1889">
        <f>H2552</f>
        <v>0</v>
      </c>
      <c r="I2606" s="1262">
        <f t="shared" si="176"/>
        <v>0</v>
      </c>
      <c r="J2606" s="1084"/>
      <c r="K2606" s="1084"/>
      <c r="L2606" s="1085"/>
      <c r="M2606" s="977">
        <v>2000</v>
      </c>
    </row>
    <row r="2607" spans="1:13" s="1086" customFormat="1" ht="25.15" hidden="1" customHeight="1">
      <c r="A2607" s="1156">
        <f>IF(A2606&gt;0,1,0)</f>
        <v>0</v>
      </c>
      <c r="B2607" s="1327"/>
      <c r="C2607" s="1327"/>
      <c r="D2607" s="1081"/>
      <c r="E2607" s="1091"/>
      <c r="F2607" s="1370" t="s">
        <v>2287</v>
      </c>
      <c r="G2607" s="1093"/>
      <c r="H2607" s="1873"/>
      <c r="I2607" s="1262">
        <f t="shared" si="176"/>
        <v>0</v>
      </c>
      <c r="J2607" s="1084"/>
      <c r="K2607" s="1084"/>
      <c r="L2607" s="1085"/>
      <c r="M2607" s="977">
        <v>2000</v>
      </c>
    </row>
    <row r="2608" spans="1:13" s="1086" customFormat="1" ht="25.15" hidden="1" customHeight="1">
      <c r="A2608" s="1156">
        <f t="shared" si="178"/>
        <v>0</v>
      </c>
      <c r="B2608" s="1327" t="s">
        <v>2028</v>
      </c>
      <c r="C2608" s="1327"/>
      <c r="D2608" s="1081"/>
      <c r="E2608" s="1082">
        <v>0</v>
      </c>
      <c r="F2608" s="1083" t="str">
        <f>VLOOKUP($B2608,DG!A:D,DG!$C$2,)</f>
        <v>Sắt góc L75 x75 x8</v>
      </c>
      <c r="G2608" s="1082" t="s">
        <v>2256</v>
      </c>
      <c r="H2608" s="1873">
        <f>H2606*9.02*(2.4+4*0.07)*2</f>
        <v>0</v>
      </c>
      <c r="I2608" s="1262">
        <f t="shared" si="176"/>
        <v>0</v>
      </c>
      <c r="J2608" s="1084"/>
      <c r="K2608" s="1084"/>
      <c r="L2608" s="1085"/>
      <c r="M2608" s="977">
        <v>2000</v>
      </c>
    </row>
    <row r="2609" spans="1:13" s="1086" customFormat="1" ht="25.15" hidden="1" customHeight="1">
      <c r="A2609" s="1156">
        <f t="shared" si="178"/>
        <v>0</v>
      </c>
      <c r="B2609" s="1327" t="s">
        <v>1037</v>
      </c>
      <c r="C2609" s="1327"/>
      <c r="D2609" s="1081"/>
      <c r="E2609" s="1082" t="s">
        <v>554</v>
      </c>
      <c r="F2609" s="1083" t="str">
        <f>VLOOKUP($B2609,DG!A:D,DG!$C$2,)&amp;" (Thanh choáng 920)"</f>
        <v>Sắt góc L50 x50 x5 (Thanh choáng 920)</v>
      </c>
      <c r="G2609" s="1082" t="s">
        <v>2256</v>
      </c>
      <c r="H2609" s="1873">
        <f>H2606*3.77*0.92*4</f>
        <v>0</v>
      </c>
      <c r="I2609" s="1262">
        <f t="shared" si="176"/>
        <v>0</v>
      </c>
      <c r="J2609" s="1084"/>
      <c r="K2609" s="1084"/>
      <c r="L2609" s="1085"/>
      <c r="M2609" s="977">
        <v>2000</v>
      </c>
    </row>
    <row r="2610" spans="1:13" s="1086" customFormat="1" ht="25.15" hidden="1" customHeight="1">
      <c r="A2610" s="1156">
        <f t="shared" si="178"/>
        <v>0</v>
      </c>
      <c r="B2610" s="1327" t="s">
        <v>1615</v>
      </c>
      <c r="C2610" s="1327"/>
      <c r="D2610" s="1081"/>
      <c r="E2610" s="1082">
        <v>0</v>
      </c>
      <c r="F2610" s="1083" t="str">
        <f>VLOOKUP($B2610,DG!A:D,DG!$C$2,)</f>
        <v>Boulon 16x300+ 2 long đền vuông D18-50x50x3/Zn</v>
      </c>
      <c r="G2610" s="1082" t="s">
        <v>2448</v>
      </c>
      <c r="H2610" s="1873">
        <f>H2606*2</f>
        <v>0</v>
      </c>
      <c r="I2610" s="1262">
        <f t="shared" si="176"/>
        <v>0</v>
      </c>
      <c r="J2610" s="1084"/>
      <c r="K2610" s="1084"/>
      <c r="L2610" s="1085"/>
      <c r="M2610" s="977">
        <v>2000</v>
      </c>
    </row>
    <row r="2611" spans="1:13" s="1086" customFormat="1" ht="25.15" hidden="1" customHeight="1">
      <c r="A2611" s="1156">
        <f t="shared" si="178"/>
        <v>0</v>
      </c>
      <c r="B2611" s="1327" t="s">
        <v>1792</v>
      </c>
      <c r="C2611" s="1327"/>
      <c r="D2611" s="1081"/>
      <c r="E2611" s="1082">
        <v>0</v>
      </c>
      <c r="F2611" s="1083" t="str">
        <f>VLOOKUP($B2611,DG!A:D,DG!$C$2,)</f>
        <v>Boulon 16x50+ 2 long đền vuông D18-50x50x3/Zn</v>
      </c>
      <c r="G2611" s="1082" t="s">
        <v>2448</v>
      </c>
      <c r="H2611" s="1873">
        <f>H2606*4</f>
        <v>0</v>
      </c>
      <c r="I2611" s="1262">
        <f t="shared" ref="I2611:I2674" si="179">IF(M2611=$M$23,H2611+J2611-K2611,0)</f>
        <v>0</v>
      </c>
      <c r="J2611" s="1084"/>
      <c r="K2611" s="1084"/>
      <c r="L2611" s="1085"/>
      <c r="M2611" s="977">
        <v>2000</v>
      </c>
    </row>
    <row r="2612" spans="1:13" s="1086" customFormat="1" ht="25.15" hidden="1" customHeight="1">
      <c r="A2612" s="1156">
        <f t="shared" si="178"/>
        <v>0</v>
      </c>
      <c r="B2612" s="1327" t="s">
        <v>1790</v>
      </c>
      <c r="C2612" s="1327"/>
      <c r="D2612" s="1081"/>
      <c r="E2612" s="1082">
        <v>0</v>
      </c>
      <c r="F2612" s="1083" t="str">
        <f>VLOOKUP($B2612,DG!A:D,DG!$C$2,)</f>
        <v>Boulon 16x300VRS+ 4 long đền vuông D18-50x50x3/Zn</v>
      </c>
      <c r="G2612" s="1082" t="s">
        <v>2448</v>
      </c>
      <c r="H2612" s="1873">
        <f>H2606*4</f>
        <v>0</v>
      </c>
      <c r="I2612" s="1262">
        <f t="shared" si="179"/>
        <v>0</v>
      </c>
      <c r="J2612" s="1084"/>
      <c r="K2612" s="1084"/>
      <c r="L2612" s="1085"/>
      <c r="M2612" s="977">
        <v>2000</v>
      </c>
    </row>
    <row r="2613" spans="1:13" s="1086" customFormat="1" ht="25.15" hidden="1" customHeight="1">
      <c r="A2613" s="1156">
        <f t="shared" si="178"/>
        <v>0</v>
      </c>
      <c r="B2613" s="1327" t="s">
        <v>550</v>
      </c>
      <c r="C2613" s="1327"/>
      <c r="D2613" s="1081"/>
      <c r="E2613" s="1082">
        <v>0</v>
      </c>
      <c r="F2613" s="1083" t="str">
        <f>VLOOKUP($B2613,DG!A:D,DG!$C$2,)</f>
        <v>Bass LI bắt FCO</v>
      </c>
      <c r="G2613" s="1082" t="s">
        <v>2448</v>
      </c>
      <c r="H2613" s="1873">
        <f>H2606*3/2*0</f>
        <v>0</v>
      </c>
      <c r="I2613" s="1262">
        <f t="shared" si="179"/>
        <v>0</v>
      </c>
      <c r="J2613" s="1084"/>
      <c r="K2613" s="1084"/>
      <c r="L2613" s="1085"/>
      <c r="M2613" s="977">
        <v>2000</v>
      </c>
    </row>
    <row r="2614" spans="1:13" s="1086" customFormat="1" ht="25.15" hidden="1" customHeight="1">
      <c r="A2614" s="1156">
        <f t="shared" si="178"/>
        <v>0</v>
      </c>
      <c r="B2614" s="1327" t="s">
        <v>517</v>
      </c>
      <c r="C2614" s="1327"/>
      <c r="D2614" s="1081"/>
      <c r="E2614" s="1082" t="s">
        <v>1462</v>
      </c>
      <c r="F2614" s="1083" t="str">
        <f>VLOOKUP($B2614,DG!A:D,DG!$C$2,)</f>
        <v>Lắp xà néo ≤ 100kg</v>
      </c>
      <c r="G2614" s="1082" t="s">
        <v>2448</v>
      </c>
      <c r="H2614" s="1873">
        <f>H2606</f>
        <v>0</v>
      </c>
      <c r="I2614" s="1262">
        <f t="shared" si="179"/>
        <v>0</v>
      </c>
      <c r="J2614" s="1084"/>
      <c r="K2614" s="1084"/>
      <c r="L2614" s="1085"/>
      <c r="M2614" s="977">
        <v>2000</v>
      </c>
    </row>
    <row r="2615" spans="1:13" s="1086" customFormat="1" ht="25.15" hidden="1" customHeight="1">
      <c r="A2615" s="1156">
        <f t="shared" si="178"/>
        <v>0</v>
      </c>
      <c r="B2615" s="1327"/>
      <c r="C2615" s="1327"/>
      <c r="D2615" s="1087">
        <f>IF(H2615&gt;0,D2606+1,D2606)</f>
        <v>0</v>
      </c>
      <c r="E2615" s="1088"/>
      <c r="F2615" s="1133" t="s">
        <v>3775</v>
      </c>
      <c r="G2615" s="1087" t="s">
        <v>2394</v>
      </c>
      <c r="H2615" s="1889">
        <f>H2552*3</f>
        <v>0</v>
      </c>
      <c r="I2615" s="1262">
        <f t="shared" si="179"/>
        <v>0</v>
      </c>
      <c r="J2615" s="1084"/>
      <c r="K2615" s="1084"/>
      <c r="L2615" s="1085"/>
      <c r="M2615" s="977">
        <v>2000</v>
      </c>
    </row>
    <row r="2616" spans="1:13" s="1086" customFormat="1" ht="25.15" hidden="1" customHeight="1">
      <c r="A2616" s="1156">
        <f>IF(A2615&gt;0,1,0)</f>
        <v>0</v>
      </c>
      <c r="B2616" s="1327"/>
      <c r="C2616" s="1327"/>
      <c r="D2616" s="1081"/>
      <c r="E2616" s="1091"/>
      <c r="F2616" s="1370" t="s">
        <v>2287</v>
      </c>
      <c r="G2616" s="1093"/>
      <c r="H2616" s="1873"/>
      <c r="I2616" s="1262">
        <f t="shared" si="179"/>
        <v>0</v>
      </c>
      <c r="J2616" s="1084"/>
      <c r="K2616" s="1084"/>
      <c r="L2616" s="1085"/>
      <c r="M2616" s="977">
        <v>2000</v>
      </c>
    </row>
    <row r="2617" spans="1:13" s="1086" customFormat="1" ht="25.15" hidden="1" customHeight="1">
      <c r="A2617" s="1156">
        <f t="shared" si="178"/>
        <v>0</v>
      </c>
      <c r="B2617" s="1327" t="s">
        <v>2028</v>
      </c>
      <c r="C2617" s="1327"/>
      <c r="D2617" s="1081"/>
      <c r="E2617" s="1082">
        <v>0</v>
      </c>
      <c r="F2617" s="1083" t="str">
        <f>VLOOKUP($B2617,DG!A:D,DG!$C$2,)</f>
        <v>Sắt góc L75 x75 x8</v>
      </c>
      <c r="G2617" s="1082" t="s">
        <v>2256</v>
      </c>
      <c r="H2617" s="1873">
        <f>H2615*9.02*(2.2+4*0.07)</f>
        <v>0</v>
      </c>
      <c r="I2617" s="1262">
        <f t="shared" si="179"/>
        <v>0</v>
      </c>
      <c r="J2617" s="1084"/>
      <c r="K2617" s="1084"/>
      <c r="L2617" s="1085"/>
      <c r="M2617" s="977">
        <v>2000</v>
      </c>
    </row>
    <row r="2618" spans="1:13" s="1086" customFormat="1" ht="25.15" hidden="1" customHeight="1">
      <c r="A2618" s="1156">
        <f t="shared" si="178"/>
        <v>0</v>
      </c>
      <c r="B2618" s="1327" t="s">
        <v>1037</v>
      </c>
      <c r="C2618" s="1327"/>
      <c r="D2618" s="1081"/>
      <c r="E2618" s="1082">
        <v>0</v>
      </c>
      <c r="F2618" s="1083" t="str">
        <f>VLOOKUP($B2618,DG!A:D,DG!$C$2,)&amp;" (Thanh choáng 920)"</f>
        <v>Sắt góc L50 x50 x5 (Thanh choáng 920)</v>
      </c>
      <c r="G2618" s="1082" t="s">
        <v>2256</v>
      </c>
      <c r="H2618" s="1911">
        <f>H2615*3.77*0.92*2</f>
        <v>0</v>
      </c>
      <c r="I2618" s="1262">
        <f t="shared" si="179"/>
        <v>0</v>
      </c>
      <c r="J2618" s="1084"/>
      <c r="K2618" s="1084"/>
      <c r="L2618" s="1085"/>
      <c r="M2618" s="977">
        <v>2000</v>
      </c>
    </row>
    <row r="2619" spans="1:13" s="1086" customFormat="1" ht="25.15" hidden="1" customHeight="1">
      <c r="A2619" s="1156">
        <f t="shared" si="178"/>
        <v>0</v>
      </c>
      <c r="B2619" s="1327" t="s">
        <v>1081</v>
      </c>
      <c r="C2619" s="1327"/>
      <c r="D2619" s="1081"/>
      <c r="E2619" s="1082">
        <v>0</v>
      </c>
      <c r="F2619" s="1083" t="str">
        <f>VLOOKUP($B2619,DG!A:D,DG!$C$2,)</f>
        <v>Boulon 16x350+ 2 long đền vuông D18-50x50x3/Zn</v>
      </c>
      <c r="G2619" s="1082" t="s">
        <v>2448</v>
      </c>
      <c r="H2619" s="1873">
        <f>H2615*2</f>
        <v>0</v>
      </c>
      <c r="I2619" s="1262">
        <f t="shared" si="179"/>
        <v>0</v>
      </c>
      <c r="J2619" s="1084"/>
      <c r="K2619" s="1084"/>
      <c r="L2619" s="1085"/>
      <c r="M2619" s="977">
        <v>2000</v>
      </c>
    </row>
    <row r="2620" spans="1:13" s="1086" customFormat="1" ht="25.15" hidden="1" customHeight="1">
      <c r="A2620" s="1156">
        <f t="shared" si="178"/>
        <v>0</v>
      </c>
      <c r="B2620" s="1327" t="s">
        <v>1792</v>
      </c>
      <c r="C2620" s="1327"/>
      <c r="D2620" s="1081"/>
      <c r="E2620" s="1082">
        <v>0</v>
      </c>
      <c r="F2620" s="1083" t="str">
        <f>VLOOKUP($B2620,DG!A:D,DG!$C$2,)</f>
        <v>Boulon 16x50+ 2 long đền vuông D18-50x50x3/Zn</v>
      </c>
      <c r="G2620" s="1082" t="s">
        <v>2448</v>
      </c>
      <c r="H2620" s="1873">
        <f>H2615*2</f>
        <v>0</v>
      </c>
      <c r="I2620" s="1262">
        <f t="shared" si="179"/>
        <v>0</v>
      </c>
      <c r="J2620" s="1084"/>
      <c r="K2620" s="1084"/>
      <c r="L2620" s="1085"/>
      <c r="M2620" s="977">
        <v>2000</v>
      </c>
    </row>
    <row r="2621" spans="1:13" s="1086" customFormat="1" ht="25.15" hidden="1" customHeight="1">
      <c r="A2621" s="1156">
        <f t="shared" si="178"/>
        <v>0</v>
      </c>
      <c r="B2621" s="1327" t="s">
        <v>1741</v>
      </c>
      <c r="C2621" s="1327"/>
      <c r="D2621" s="1081"/>
      <c r="E2621" s="1082">
        <v>0</v>
      </c>
      <c r="F2621" s="1083" t="str">
        <f>VLOOKUP($B2621,DG!A:D,DG!$C$2,)</f>
        <v>Bass LI bắt FCO</v>
      </c>
      <c r="G2621" s="1082" t="s">
        <v>2448</v>
      </c>
      <c r="H2621" s="1911">
        <f>H2615</f>
        <v>0</v>
      </c>
      <c r="I2621" s="1262">
        <f t="shared" si="179"/>
        <v>0</v>
      </c>
      <c r="J2621" s="1084"/>
      <c r="K2621" s="1084"/>
      <c r="L2621" s="1085"/>
      <c r="M2621" s="977">
        <v>2000</v>
      </c>
    </row>
    <row r="2622" spans="1:13" s="1086" customFormat="1" ht="25.15" hidden="1" customHeight="1">
      <c r="A2622" s="1156">
        <f t="shared" si="178"/>
        <v>0</v>
      </c>
      <c r="B2622" s="1327" t="s">
        <v>990</v>
      </c>
      <c r="C2622" s="1327"/>
      <c r="D2622" s="1081"/>
      <c r="E2622" s="1082">
        <v>0</v>
      </c>
      <c r="F2622" s="1083" t="str">
        <f>VLOOKUP($B2622,DG!A:D,DG!$C$2,)</f>
        <v xml:space="preserve">Cổ dê chống lắc 8x80x800 </v>
      </c>
      <c r="G2622" s="1082" t="s">
        <v>2448</v>
      </c>
      <c r="H2622" s="1873">
        <f>H2615/3</f>
        <v>0</v>
      </c>
      <c r="I2622" s="1262">
        <f t="shared" si="179"/>
        <v>0</v>
      </c>
      <c r="J2622" s="1084"/>
      <c r="K2622" s="1084"/>
      <c r="L2622" s="1085"/>
      <c r="M2622" s="977">
        <v>2000</v>
      </c>
    </row>
    <row r="2623" spans="1:13" s="1086" customFormat="1" ht="25.15" hidden="1" customHeight="1">
      <c r="A2623" s="1156">
        <f t="shared" si="178"/>
        <v>0</v>
      </c>
      <c r="B2623" s="1327" t="s">
        <v>2004</v>
      </c>
      <c r="C2623" s="1327"/>
      <c r="D2623" s="1081"/>
      <c r="E2623" s="1082" t="s">
        <v>2273</v>
      </c>
      <c r="F2623" s="1083" t="str">
        <f>VLOOKUP($B2623,DG!A:D,DG!$C$2,)</f>
        <v>Lắp xà néo ≤ 50kg</v>
      </c>
      <c r="G2623" s="1082" t="s">
        <v>2448</v>
      </c>
      <c r="H2623" s="1873">
        <f>H2615</f>
        <v>0</v>
      </c>
      <c r="I2623" s="1262">
        <f t="shared" si="179"/>
        <v>0</v>
      </c>
      <c r="J2623" s="1084"/>
      <c r="K2623" s="1084"/>
      <c r="L2623" s="1085"/>
      <c r="M2623" s="977">
        <v>2000</v>
      </c>
    </row>
    <row r="2624" spans="1:13" s="1086" customFormat="1" ht="25.15" hidden="1" customHeight="1">
      <c r="A2624" s="1156">
        <f t="shared" si="178"/>
        <v>0</v>
      </c>
      <c r="B2624" s="1327"/>
      <c r="C2624" s="1327"/>
      <c r="D2624" s="1087">
        <f>IF(H2624&gt;0,D2615+1,D2615)</f>
        <v>0</v>
      </c>
      <c r="E2624" s="1088"/>
      <c r="F2624" s="1133" t="s">
        <v>3776</v>
      </c>
      <c r="G2624" s="1087" t="s">
        <v>2394</v>
      </c>
      <c r="H2624" s="1889">
        <f>H2552</f>
        <v>0</v>
      </c>
      <c r="I2624" s="1262">
        <f t="shared" si="179"/>
        <v>0</v>
      </c>
      <c r="J2624" s="1084"/>
      <c r="K2624" s="1084"/>
      <c r="L2624" s="1085"/>
      <c r="M2624" s="977">
        <v>2000</v>
      </c>
    </row>
    <row r="2625" spans="1:13" s="1086" customFormat="1" ht="25.15" hidden="1" customHeight="1">
      <c r="A2625" s="1156">
        <f t="shared" si="178"/>
        <v>0</v>
      </c>
      <c r="B2625" s="1358"/>
      <c r="C2625" s="1358"/>
      <c r="D2625" s="1081"/>
      <c r="E2625" s="1091"/>
      <c r="F2625" s="1092" t="s">
        <v>3777</v>
      </c>
      <c r="G2625" s="1093"/>
      <c r="H2625" s="1873"/>
      <c r="I2625" s="1262">
        <f t="shared" si="179"/>
        <v>0</v>
      </c>
      <c r="J2625" s="1084"/>
      <c r="K2625" s="1084"/>
      <c r="L2625" s="1085"/>
      <c r="M2625" s="977">
        <v>2000</v>
      </c>
    </row>
    <row r="2626" spans="1:13" s="1086" customFormat="1" ht="25.15" hidden="1" customHeight="1">
      <c r="A2626" s="1156">
        <f t="shared" si="178"/>
        <v>0</v>
      </c>
      <c r="B2626" s="1327" t="s">
        <v>1035</v>
      </c>
      <c r="C2626" s="1327"/>
      <c r="D2626" s="1081"/>
      <c r="E2626" s="1082">
        <f>VLOOKUP($B2626,DG!A:D,DG!$B$2,)</f>
        <v>0</v>
      </c>
      <c r="F2626" s="1083" t="str">
        <f>VLOOKUP($B2626,DG!A:D,DG!$C$2,)&amp; ": "&amp;I3&amp;"m"</f>
        <v>Cáp đồng trần M25mm2: 46m</v>
      </c>
      <c r="G2626" s="1082" t="str">
        <f>VLOOKUP($B2626,DG!A:D,DG!$D$2,)</f>
        <v>kg</v>
      </c>
      <c r="H2626" s="1873">
        <f>I3*0.224*H2624*0</f>
        <v>0</v>
      </c>
      <c r="I2626" s="1262">
        <f t="shared" si="179"/>
        <v>0</v>
      </c>
      <c r="J2626" s="1084"/>
      <c r="K2626" s="1084"/>
      <c r="L2626" s="1085"/>
      <c r="M2626" s="977">
        <v>2000</v>
      </c>
    </row>
    <row r="2627" spans="1:13" s="1086" customFormat="1" ht="25.15" hidden="1" customHeight="1">
      <c r="A2627" s="1156">
        <f t="shared" si="178"/>
        <v>0</v>
      </c>
      <c r="B2627" s="1327" t="s">
        <v>1035</v>
      </c>
      <c r="C2627" s="1327"/>
      <c r="D2627" s="1081"/>
      <c r="E2627" s="1082">
        <f>VLOOKUP($B2627,DG!A:D,DG!$B$2,)</f>
        <v>0</v>
      </c>
      <c r="F2627" s="1083" t="str">
        <f>VLOOKUP($B2627,DG!A:D,DG!$C$2,)&amp;": 10m noái leân voû caùc thieát bò"</f>
        <v>Cáp đồng trần M25mm2: 10m noái leân voû caùc thieát bò</v>
      </c>
      <c r="G2627" s="1082" t="str">
        <f>VLOOKUP($B2627,DG!A:D,DG!$D$2,)</f>
        <v>kg</v>
      </c>
      <c r="H2627" s="1873">
        <f>10*0.224*H2624*0</f>
        <v>0</v>
      </c>
      <c r="I2627" s="1262">
        <f t="shared" si="179"/>
        <v>0</v>
      </c>
      <c r="J2627" s="1084"/>
      <c r="K2627" s="1084"/>
      <c r="L2627" s="1085"/>
      <c r="M2627" s="977">
        <v>2000</v>
      </c>
    </row>
    <row r="2628" spans="1:13" s="1086" customFormat="1" ht="25.15" hidden="1" customHeight="1">
      <c r="A2628" s="1156">
        <f t="shared" si="178"/>
        <v>0</v>
      </c>
      <c r="B2628" s="1157" t="s">
        <v>1513</v>
      </c>
      <c r="C2628" s="1157"/>
      <c r="D2628" s="1081"/>
      <c r="E2628" s="1082">
        <f>VLOOKUP($B2628,DG!A:D,DG!$B$2,)</f>
        <v>0</v>
      </c>
      <c r="F2628" s="1083" t="str">
        <f>VLOOKUP($B2628,DG!A:D,DG!$C$2,)</f>
        <v>Cọc tiếp đất Þ 16- 2,4m + kẹp cọc mạ đồng</v>
      </c>
      <c r="G2628" s="1082" t="str">
        <f>VLOOKUP($B2628,DG!A:D,DG!$D$2,)</f>
        <v>bộ</v>
      </c>
      <c r="H2628" s="1873">
        <f>I2*H2624</f>
        <v>0</v>
      </c>
      <c r="I2628" s="1262">
        <f t="shared" si="179"/>
        <v>0</v>
      </c>
      <c r="J2628" s="1084"/>
      <c r="K2628" s="1084"/>
      <c r="L2628" s="1085"/>
      <c r="M2628" s="977">
        <v>2000</v>
      </c>
    </row>
    <row r="2629" spans="1:13" s="1086" customFormat="1" ht="25.15" hidden="1" customHeight="1">
      <c r="A2629" s="1156">
        <f t="shared" si="178"/>
        <v>0</v>
      </c>
      <c r="B2629" s="1157" t="s">
        <v>1495</v>
      </c>
      <c r="C2629" s="1157"/>
      <c r="D2629" s="1081"/>
      <c r="E2629" s="1082" t="str">
        <f>VLOOKUP($B2629,DG!A:D,DG!$B$2,)</f>
        <v>07.2403</v>
      </c>
      <c r="F2629" s="1083" t="str">
        <f>VLOOKUP($B2629,DG!A:D,DG!$C$2,)</f>
        <v xml:space="preserve">Ống PVC D21x1,6mm </v>
      </c>
      <c r="G2629" s="1082" t="str">
        <f>VLOOKUP($B2629,DG!A:D,DG!$D$2,)</f>
        <v>m</v>
      </c>
      <c r="H2629" s="1873">
        <f>H2624*6*0</f>
        <v>0</v>
      </c>
      <c r="I2629" s="1262">
        <f t="shared" si="179"/>
        <v>0</v>
      </c>
      <c r="J2629" s="1084"/>
      <c r="K2629" s="1084"/>
      <c r="L2629" s="1085"/>
      <c r="M2629" s="977">
        <v>2000</v>
      </c>
    </row>
    <row r="2630" spans="1:13" s="1086" customFormat="1" ht="25.15" hidden="1" customHeight="1">
      <c r="A2630" s="1156">
        <f t="shared" si="178"/>
        <v>0</v>
      </c>
      <c r="B2630" s="1332" t="s">
        <v>1584</v>
      </c>
      <c r="C2630" s="1332"/>
      <c r="D2630" s="1081"/>
      <c r="E2630" s="1082">
        <f>VLOOKUP($B2630,DG!A:D,DG!$B$2,)</f>
        <v>0</v>
      </c>
      <c r="F2630" s="1083" t="str">
        <f>VLOOKUP($B2630,DG!A:D,DG!$C$2,)&amp; " baét trung tính löôùi"</f>
        <v>Kẹp ép WR cỡ dây 50mm2 baét trung tính löôùi</v>
      </c>
      <c r="G2630" s="1082" t="str">
        <f>VLOOKUP($B2630,DG!A:D,DG!$D$2,)</f>
        <v>cái</v>
      </c>
      <c r="H2630" s="1873">
        <f>2*H2624*0</f>
        <v>0</v>
      </c>
      <c r="I2630" s="1262">
        <f t="shared" si="179"/>
        <v>0</v>
      </c>
      <c r="J2630" s="1084"/>
      <c r="K2630" s="1084"/>
      <c r="L2630" s="1085"/>
      <c r="M2630" s="977">
        <v>2000</v>
      </c>
    </row>
    <row r="2631" spans="1:13" s="1086" customFormat="1" ht="25.15" hidden="1" customHeight="1">
      <c r="A2631" s="1156">
        <f t="shared" si="178"/>
        <v>0</v>
      </c>
      <c r="B2631" s="1332" t="s">
        <v>1116</v>
      </c>
      <c r="C2631" s="1332"/>
      <c r="D2631" s="1081"/>
      <c r="E2631" s="1082">
        <f>VLOOKUP($B2631,DG!A:D,DG!$B$2,)</f>
        <v>0</v>
      </c>
      <c r="F2631" s="1083" t="str">
        <f>VLOOKUP($B2631,DG!A:D,DG!$C$2,)</f>
        <v>Kẹp ép cỡ dây 25mm2</v>
      </c>
      <c r="G2631" s="1082" t="str">
        <f>VLOOKUP($B2631,DG!A:D,DG!$D$2,)</f>
        <v>cái</v>
      </c>
      <c r="H2631" s="1911">
        <f>H2624*11*0</f>
        <v>0</v>
      </c>
      <c r="I2631" s="1262">
        <f t="shared" si="179"/>
        <v>0</v>
      </c>
      <c r="J2631" s="1084"/>
      <c r="K2631" s="1084"/>
      <c r="L2631" s="1085"/>
      <c r="M2631" s="977">
        <v>2000</v>
      </c>
    </row>
    <row r="2632" spans="1:13" s="1086" customFormat="1" ht="25.15" hidden="1" customHeight="1">
      <c r="A2632" s="1156">
        <f t="shared" si="178"/>
        <v>0</v>
      </c>
      <c r="B2632" s="1157" t="s">
        <v>138</v>
      </c>
      <c r="C2632" s="1157"/>
      <c r="D2632" s="1081"/>
      <c r="E2632" s="1082">
        <f>VLOOKUP($B2632,DG!A:D,DG!$B$2,)</f>
        <v>0</v>
      </c>
      <c r="F2632" s="1083" t="str">
        <f>VLOOKUP($B2632,DG!A:D,DG!$C$2,)</f>
        <v>Boulon 12x40+ 2 long đền vuông D14-50x50x3/Zn</v>
      </c>
      <c r="G2632" s="1082" t="str">
        <f>VLOOKUP($B2632,DG!A:D,DG!$D$2,)</f>
        <v>bộ</v>
      </c>
      <c r="H2632" s="1873">
        <f>H2633/2</f>
        <v>0</v>
      </c>
      <c r="I2632" s="1262">
        <f t="shared" si="179"/>
        <v>0</v>
      </c>
      <c r="J2632" s="1084"/>
      <c r="K2632" s="1084"/>
      <c r="L2632" s="1085"/>
      <c r="M2632" s="977">
        <v>2000</v>
      </c>
    </row>
    <row r="2633" spans="1:13" s="1086" customFormat="1" ht="25.15" hidden="1" customHeight="1">
      <c r="A2633" s="1156">
        <f t="shared" si="178"/>
        <v>0</v>
      </c>
      <c r="B2633" s="1157" t="s">
        <v>104</v>
      </c>
      <c r="C2633" s="1157"/>
      <c r="D2633" s="1081"/>
      <c r="E2633" s="1082" t="str">
        <f>VLOOKUP($B2633,DG!A:D,DG!$B$2,)</f>
        <v>03.4001</v>
      </c>
      <c r="F2633" s="1083" t="str">
        <f>VLOOKUP($B2633,DG!A:D,DG!$C$2,)</f>
        <v>Đầu cosse ép Cu 25mm2</v>
      </c>
      <c r="G2633" s="1082" t="str">
        <f>VLOOKUP($B2633,DG!A:D,DG!$D$2,)</f>
        <v>cái</v>
      </c>
      <c r="H2633" s="1873">
        <f>+H2624*2*0</f>
        <v>0</v>
      </c>
      <c r="I2633" s="1262">
        <f t="shared" si="179"/>
        <v>0</v>
      </c>
      <c r="J2633" s="1084"/>
      <c r="K2633" s="1084"/>
      <c r="L2633" s="1085"/>
      <c r="M2633" s="977">
        <v>2000</v>
      </c>
    </row>
    <row r="2634" spans="1:13" s="1086" customFormat="1" ht="25.15" hidden="1" customHeight="1">
      <c r="A2634" s="1156">
        <f t="shared" si="178"/>
        <v>0</v>
      </c>
      <c r="B2634" s="1157" t="s">
        <v>525</v>
      </c>
      <c r="C2634" s="1157"/>
      <c r="D2634" s="1081"/>
      <c r="E2634" s="1082" t="str">
        <f>VLOOKUP($B2634,DG!A:D,DG!$B$2,)</f>
        <v>06.3231</v>
      </c>
      <c r="F2634" s="1083" t="str">
        <f>VLOOKUP($B2634,DG!A:D,DG!$C$2,)</f>
        <v>Cổ dê kẹp ống PVC  21</v>
      </c>
      <c r="G2634" s="1082" t="str">
        <f>VLOOKUP($B2634,DG!A:D,DG!$D$2,)</f>
        <v>bộ</v>
      </c>
      <c r="H2634" s="1873">
        <f>H2624*2*0</f>
        <v>0</v>
      </c>
      <c r="I2634" s="1262">
        <f t="shared" si="179"/>
        <v>0</v>
      </c>
      <c r="J2634" s="1084"/>
      <c r="K2634" s="1084"/>
      <c r="L2634" s="1085"/>
      <c r="M2634" s="977">
        <v>2000</v>
      </c>
    </row>
    <row r="2635" spans="1:13" s="1086" customFormat="1" ht="25.15" hidden="1" customHeight="1">
      <c r="A2635" s="1156">
        <f t="shared" si="178"/>
        <v>0</v>
      </c>
      <c r="B2635" s="1157" t="s">
        <v>1590</v>
      </c>
      <c r="C2635" s="1157"/>
      <c r="D2635" s="1081"/>
      <c r="E2635" s="1082">
        <f>VLOOKUP($B2635,DG!A:D,DG!$B$2,)</f>
        <v>0</v>
      </c>
      <c r="F2635" s="1083" t="str">
        <f>VLOOKUP($B2635,DG!A:D,DG!$C$2,)</f>
        <v>Giếng tiếp địa khoan đất</v>
      </c>
      <c r="G2635" s="1082" t="str">
        <f>VLOOKUP($B2635,DG!A:D,DG!$D$2,)</f>
        <v>Cái</v>
      </c>
      <c r="H2635" s="1873"/>
      <c r="I2635" s="1262">
        <f t="shared" si="179"/>
        <v>0</v>
      </c>
      <c r="J2635" s="1084"/>
      <c r="K2635" s="1084"/>
      <c r="L2635" s="1085"/>
      <c r="M2635" s="977">
        <v>2000</v>
      </c>
    </row>
    <row r="2636" spans="1:13" s="1086" customFormat="1" ht="25.15" hidden="1" customHeight="1">
      <c r="A2636" s="1156">
        <f t="shared" si="178"/>
        <v>0</v>
      </c>
      <c r="B2636" s="1157" t="s">
        <v>453</v>
      </c>
      <c r="C2636" s="1157"/>
      <c r="D2636" s="1093"/>
      <c r="E2636" s="1082" t="str">
        <f>VLOOKUP($B2636,DG!A:D,DG!$B$2,)</f>
        <v>03.8133</v>
      </c>
      <c r="F2636" s="1111" t="str">
        <f>VLOOKUP($B2636,DG!A:D,DG!$C$2,)&amp;": (2m3/cọc)x"&amp;H2628&amp;" cọc"</f>
        <v>Phá đá chân hố móng, đá cấp II: (2m3/cọc)x0 cọc</v>
      </c>
      <c r="G2636" s="1138" t="s">
        <v>858</v>
      </c>
      <c r="H2636" s="1170"/>
      <c r="I2636" s="1262">
        <f t="shared" si="179"/>
        <v>0</v>
      </c>
      <c r="J2636" s="1084"/>
      <c r="K2636" s="1084"/>
      <c r="L2636" s="1085"/>
      <c r="M2636" s="977">
        <v>2000</v>
      </c>
    </row>
    <row r="2637" spans="1:13" s="1086" customFormat="1" ht="25.15" hidden="1" customHeight="1">
      <c r="A2637" s="1156">
        <f t="shared" si="178"/>
        <v>0</v>
      </c>
      <c r="B2637" s="1157" t="s">
        <v>796</v>
      </c>
      <c r="C2637" s="1157"/>
      <c r="D2637" s="1093"/>
      <c r="E2637" s="1082" t="str">
        <f>VLOOKUP($B2637,DG!A:D,DG!$B$2,)</f>
        <v>03.3123</v>
      </c>
      <c r="F2637" s="1083" t="str">
        <f>VLOOKUP($B2637,DG!A:D,DG!$C$2,)</f>
        <v>Đào rãnh tiếp địa đất cấp 3</v>
      </c>
      <c r="G2637" s="1138" t="s">
        <v>858</v>
      </c>
      <c r="H2637" s="1170">
        <f>I3*H2624</f>
        <v>0</v>
      </c>
      <c r="I2637" s="1262">
        <f t="shared" si="179"/>
        <v>0</v>
      </c>
      <c r="J2637" s="1084"/>
      <c r="K2637" s="1084"/>
      <c r="L2637" s="1085"/>
      <c r="M2637" s="977">
        <v>2000</v>
      </c>
    </row>
    <row r="2638" spans="1:13" s="1086" customFormat="1" ht="25.15" hidden="1" customHeight="1">
      <c r="A2638" s="1156">
        <f t="shared" si="178"/>
        <v>0</v>
      </c>
      <c r="B2638" s="1157" t="s">
        <v>800</v>
      </c>
      <c r="C2638" s="1157"/>
      <c r="D2638" s="1093"/>
      <c r="E2638" s="1082" t="str">
        <f>VLOOKUP($B2638,DG!A:D,DG!$B$2,)</f>
        <v>03.4123</v>
      </c>
      <c r="F2638" s="1083" t="str">
        <f>VLOOKUP($B2638,DG!A:D,DG!$C$2,)</f>
        <v>Đắp đất rãnh tiếp độ chặt k=0,85</v>
      </c>
      <c r="G2638" s="1138" t="s">
        <v>858</v>
      </c>
      <c r="H2638" s="1170">
        <f>($H2637+H2636)*H2624</f>
        <v>0</v>
      </c>
      <c r="I2638" s="1262">
        <f t="shared" si="179"/>
        <v>0</v>
      </c>
      <c r="J2638" s="1084"/>
      <c r="K2638" s="1084"/>
      <c r="L2638" s="1085"/>
      <c r="M2638" s="977">
        <v>2000</v>
      </c>
    </row>
    <row r="2639" spans="1:13" s="1086" customFormat="1" ht="25.15" hidden="1" customHeight="1">
      <c r="A2639" s="1156">
        <f t="shared" si="178"/>
        <v>0</v>
      </c>
      <c r="B2639" s="1157" t="s">
        <v>904</v>
      </c>
      <c r="C2639" s="1157"/>
      <c r="D2639" s="1093"/>
      <c r="E2639" s="1082" t="str">
        <f>VLOOKUP($B2639,DG!A:D,DG!$B$2,)</f>
        <v>04.7001</v>
      </c>
      <c r="F2639" s="1083" t="str">
        <f>VLOOKUP($B2639,DG!A:D,DG!$C$2,)</f>
        <v>Đóng cọc tiếp địa trong TBA</v>
      </c>
      <c r="G2639" s="1138" t="s">
        <v>858</v>
      </c>
      <c r="H2639" s="1170">
        <f>H2628</f>
        <v>0</v>
      </c>
      <c r="I2639" s="1262">
        <f t="shared" si="179"/>
        <v>0</v>
      </c>
      <c r="J2639" s="1084"/>
      <c r="K2639" s="1084"/>
      <c r="L2639" s="1085"/>
      <c r="M2639" s="977">
        <v>2000</v>
      </c>
    </row>
    <row r="2640" spans="1:13" s="1086" customFormat="1" ht="25.15" hidden="1" customHeight="1">
      <c r="A2640" s="1156">
        <f t="shared" si="178"/>
        <v>0</v>
      </c>
      <c r="B2640" s="1157" t="s">
        <v>1442</v>
      </c>
      <c r="C2640" s="1157"/>
      <c r="D2640" s="1081"/>
      <c r="E2640" s="1082" t="str">
        <f>VLOOKUP($B2640,DG!A:D,DG!$B$2,)</f>
        <v>04.7002</v>
      </c>
      <c r="F2640" s="1083" t="str">
        <f>VLOOKUP($B2640,DG!A:D,DG!$C$2,)</f>
        <v>Kéo dây tiếp địa trong TBA</v>
      </c>
      <c r="G2640" s="1082" t="str">
        <f>VLOOKUP($B2640,DG!A:D,DG!$D$2,)</f>
        <v>mét</v>
      </c>
      <c r="H2640" s="1873">
        <f>H2624*I3*0</f>
        <v>0</v>
      </c>
      <c r="I2640" s="1262">
        <f t="shared" si="179"/>
        <v>0</v>
      </c>
      <c r="J2640" s="1084"/>
      <c r="K2640" s="1084"/>
      <c r="L2640" s="1085"/>
      <c r="M2640" s="977">
        <v>2000</v>
      </c>
    </row>
    <row r="2641" spans="1:14" s="1086" customFormat="1" ht="25.15" hidden="1" customHeight="1">
      <c r="A2641" s="1156">
        <f t="shared" ref="A2641:A2704" si="180">IF(I2641&gt;0,1,0)</f>
        <v>0</v>
      </c>
      <c r="B2641" s="1327"/>
      <c r="C2641" s="1327"/>
      <c r="D2641" s="1087">
        <f>IF(H2641&gt;0,D2624+1,D2624)</f>
        <v>0</v>
      </c>
      <c r="E2641" s="1088"/>
      <c r="F2641" s="1089" t="s">
        <v>3778</v>
      </c>
      <c r="G2641" s="1087" t="s">
        <v>2394</v>
      </c>
      <c r="H2641" s="1889">
        <f>H2552</f>
        <v>0</v>
      </c>
      <c r="I2641" s="1262">
        <f t="shared" si="179"/>
        <v>0</v>
      </c>
      <c r="J2641" s="1084"/>
      <c r="K2641" s="1084"/>
      <c r="L2641" s="1085"/>
      <c r="M2641" s="977">
        <v>2000</v>
      </c>
    </row>
    <row r="2642" spans="1:14" s="1086" customFormat="1" ht="25.15" hidden="1" customHeight="1">
      <c r="A2642" s="1156">
        <f>IF(A2641&gt;0,1,0)</f>
        <v>0</v>
      </c>
      <c r="B2642" s="1327"/>
      <c r="C2642" s="1327"/>
      <c r="D2642" s="1081"/>
      <c r="E2642" s="1091"/>
      <c r="F2642" s="1370" t="s">
        <v>2287</v>
      </c>
      <c r="G2642" s="1093"/>
      <c r="H2642" s="1873"/>
      <c r="I2642" s="1262">
        <f t="shared" si="179"/>
        <v>0</v>
      </c>
      <c r="J2642" s="1084"/>
      <c r="K2642" s="1084"/>
      <c r="L2642" s="1085"/>
      <c r="M2642" s="977">
        <v>2000</v>
      </c>
    </row>
    <row r="2643" spans="1:14" s="1086" customFormat="1" ht="25.15" hidden="1" customHeight="1">
      <c r="A2643" s="1156">
        <f t="shared" si="180"/>
        <v>0</v>
      </c>
      <c r="B2643" s="1365" t="s">
        <v>1194</v>
      </c>
      <c r="C2643" s="1365"/>
      <c r="D2643" s="1093"/>
      <c r="E2643" s="1094" t="str">
        <f>VLOOKUP($B2643,DG!A:D,DG!$B$2,)</f>
        <v>05.1002</v>
      </c>
      <c r="F2643" s="1095" t="str">
        <f>VLOOKUP($B2643,DG!A:D,DG!$C$2,)</f>
        <v>Tủ CB trạm 3 pha + khoá + bulon</v>
      </c>
      <c r="G2643" s="1094" t="str">
        <f>VLOOKUP($B2643,DG!A:D,DG!$D$2,)</f>
        <v>cái</v>
      </c>
      <c r="H2643" s="1873">
        <f>H2641</f>
        <v>0</v>
      </c>
      <c r="I2643" s="1262">
        <f t="shared" si="179"/>
        <v>0</v>
      </c>
      <c r="J2643" s="1084"/>
      <c r="K2643" s="1084"/>
      <c r="L2643" s="1085"/>
      <c r="M2643" s="977">
        <v>2000</v>
      </c>
    </row>
    <row r="2644" spans="1:14" s="1086" customFormat="1" ht="25.15" hidden="1" customHeight="1">
      <c r="A2644" s="1156">
        <f t="shared" si="180"/>
        <v>0</v>
      </c>
      <c r="B2644" s="1327" t="s">
        <v>1540</v>
      </c>
      <c r="C2644" s="1327"/>
      <c r="D2644" s="1081"/>
      <c r="E2644" s="1094">
        <f>VLOOKUP($B2644,DG!A:D,DG!$B$2,)</f>
        <v>0</v>
      </c>
      <c r="F2644" s="1095" t="str">
        <f>VLOOKUP($B2644,DG!A:D,DG!$C$2,)</f>
        <v>Giá nới + Thanh cái tủ CB</v>
      </c>
      <c r="G2644" s="1094" t="str">
        <f>VLOOKUP($B2644,DG!A:D,DG!$D$2,)</f>
        <v>bộ</v>
      </c>
      <c r="H2644" s="1890">
        <f>H2641</f>
        <v>0</v>
      </c>
      <c r="I2644" s="1262">
        <f t="shared" si="179"/>
        <v>0</v>
      </c>
      <c r="J2644" s="1084"/>
      <c r="K2644" s="1084"/>
      <c r="L2644" s="1085"/>
      <c r="M2644" s="977">
        <v>2000</v>
      </c>
    </row>
    <row r="2645" spans="1:14" s="1086" customFormat="1" ht="25.15" hidden="1" customHeight="1">
      <c r="A2645" s="1156">
        <f t="shared" si="180"/>
        <v>0</v>
      </c>
      <c r="B2645" s="1327" t="s">
        <v>882</v>
      </c>
      <c r="C2645" s="1327"/>
      <c r="D2645" s="1081"/>
      <c r="E2645" s="1094">
        <f>VLOOKUP($B2645,DG!A:D,DG!$B$2,)</f>
        <v>0</v>
      </c>
      <c r="F2645" s="1095" t="str">
        <f>VLOOKUP($B2645,DG!A:D,DG!$C$2,)</f>
        <v xml:space="preserve">Bakelit 550x450 dầy 10mm </v>
      </c>
      <c r="G2645" s="1094" t="str">
        <f>VLOOKUP($B2645,DG!A:D,DG!$D$2,)</f>
        <v>cái</v>
      </c>
      <c r="H2645" s="1890">
        <f>H2641*1</f>
        <v>0</v>
      </c>
      <c r="I2645" s="1262">
        <f t="shared" si="179"/>
        <v>0</v>
      </c>
      <c r="J2645" s="1084"/>
      <c r="K2645" s="1084"/>
      <c r="L2645" s="1085"/>
      <c r="M2645" s="977">
        <v>2000</v>
      </c>
    </row>
    <row r="2646" spans="1:14" s="1086" customFormat="1" ht="25.15" hidden="1" customHeight="1">
      <c r="A2646" s="1156">
        <f t="shared" si="180"/>
        <v>0</v>
      </c>
      <c r="B2646" s="1327" t="s">
        <v>289</v>
      </c>
      <c r="C2646" s="1327"/>
      <c r="D2646" s="1093"/>
      <c r="E2646" s="1094" t="str">
        <f>VLOOKUP($B2646,DG!A:D,DG!$B$2,)</f>
        <v>06.3191</v>
      </c>
      <c r="F2646" s="1095" t="str">
        <f>VLOOKUP($B2646,DG!A:D,DG!$C$2,)</f>
        <v>Bảng tên trạm, bảng báo nguy hiểm + đinh vít</v>
      </c>
      <c r="G2646" s="1094" t="str">
        <f>VLOOKUP($B2646,DG!A:D,DG!$D$2,)</f>
        <v>bộ</v>
      </c>
      <c r="H2646" s="1873">
        <f>H2641</f>
        <v>0</v>
      </c>
      <c r="I2646" s="1262">
        <f t="shared" si="179"/>
        <v>0</v>
      </c>
      <c r="J2646" s="1084"/>
      <c r="K2646" s="1084"/>
      <c r="L2646" s="1085"/>
      <c r="M2646" s="977">
        <v>2000</v>
      </c>
    </row>
    <row r="2647" spans="1:14" s="1086" customFormat="1" ht="25.15" hidden="1" customHeight="1">
      <c r="A2647" s="1156">
        <f t="shared" si="180"/>
        <v>0</v>
      </c>
      <c r="B2647" s="1327"/>
      <c r="C2647" s="1327"/>
      <c r="D2647" s="1087">
        <f>IF(H2647&gt;0,D2641+1,D2641)</f>
        <v>0</v>
      </c>
      <c r="E2647" s="1088"/>
      <c r="F2647" s="1089" t="s">
        <v>3779</v>
      </c>
      <c r="G2647" s="1087" t="s">
        <v>2541</v>
      </c>
      <c r="H2647" s="1889"/>
      <c r="I2647" s="1262">
        <f t="shared" si="179"/>
        <v>0</v>
      </c>
      <c r="J2647" s="1084"/>
      <c r="K2647" s="1084"/>
      <c r="L2647" s="1085"/>
      <c r="M2647" s="977">
        <v>2000</v>
      </c>
    </row>
    <row r="2648" spans="1:14" s="1086" customFormat="1" ht="25.15" hidden="1" customHeight="1">
      <c r="A2648" s="1156">
        <f>IF(A2647&gt;0,1,0)</f>
        <v>0</v>
      </c>
      <c r="B2648" s="1327"/>
      <c r="C2648" s="1327"/>
      <c r="D2648" s="1081"/>
      <c r="E2648" s="1091"/>
      <c r="F2648" s="1370" t="s">
        <v>2287</v>
      </c>
      <c r="G2648" s="1093"/>
      <c r="H2648" s="1873"/>
      <c r="I2648" s="1262">
        <f t="shared" si="179"/>
        <v>0</v>
      </c>
      <c r="J2648" s="1084"/>
      <c r="K2648" s="1084"/>
      <c r="L2648" s="1085"/>
      <c r="M2648" s="977">
        <v>2000</v>
      </c>
    </row>
    <row r="2649" spans="1:14" s="1086" customFormat="1" ht="25.15" hidden="1" customHeight="1">
      <c r="A2649" s="1156">
        <f t="shared" si="180"/>
        <v>0</v>
      </c>
      <c r="B2649" s="1329" t="s">
        <v>754</v>
      </c>
      <c r="C2649" s="1329"/>
      <c r="D2649" s="1093"/>
      <c r="E2649" s="1094" t="e">
        <f>VLOOKUP($B2649,DG!A:D,DG!$B$2,)</f>
        <v>#N/A</v>
      </c>
      <c r="F2649" s="1111" t="e">
        <f>VLOOKUP($B2649,DG!A:D,DG!$C$2,)&amp;": 0,38m3/m"</f>
        <v>#N/A</v>
      </c>
      <c r="G2649" s="1094" t="e">
        <f>VLOOKUP($B2649,DG!A:D,DG!$D$2,)</f>
        <v>#N/A</v>
      </c>
      <c r="H2649" s="1873">
        <f>H2647*0.38</f>
        <v>0</v>
      </c>
      <c r="I2649" s="1262">
        <f t="shared" si="179"/>
        <v>0</v>
      </c>
      <c r="J2649" s="1084"/>
      <c r="K2649" s="1084"/>
      <c r="L2649" s="1085"/>
      <c r="M2649" s="977">
        <v>2000</v>
      </c>
    </row>
    <row r="2650" spans="1:14" s="1086" customFormat="1" ht="25.15" hidden="1" customHeight="1">
      <c r="A2650" s="1156">
        <f t="shared" si="180"/>
        <v>0</v>
      </c>
      <c r="B2650" s="1329" t="s">
        <v>869</v>
      </c>
      <c r="C2650" s="1329"/>
      <c r="D2650" s="1093"/>
      <c r="E2650" s="1094">
        <f>VLOOKUP($B2650,DG!A:D,DG!$B$2,)</f>
        <v>0</v>
      </c>
      <c r="F2650" s="1111" t="str">
        <f>VLOOKUP($B2650,DG!A:D,DG!$C$2,)&amp;": 0,12m3/m"</f>
        <v>Đá 1x2: 0,12m3/m</v>
      </c>
      <c r="G2650" s="1094" t="str">
        <f>VLOOKUP($B2650,DG!A:D,DG!$D$2,)</f>
        <v>m3</v>
      </c>
      <c r="H2650" s="1873">
        <f>0.12*H2647*0</f>
        <v>0</v>
      </c>
      <c r="I2650" s="1262">
        <f t="shared" si="179"/>
        <v>0</v>
      </c>
      <c r="J2650" s="1084"/>
      <c r="K2650" s="1084"/>
      <c r="L2650" s="1085"/>
      <c r="M2650" s="977">
        <v>2000</v>
      </c>
    </row>
    <row r="2651" spans="1:14" s="1086" customFormat="1" ht="25.15" hidden="1" customHeight="1">
      <c r="A2651" s="1156">
        <f t="shared" si="180"/>
        <v>0</v>
      </c>
      <c r="B2651" s="1329" t="s">
        <v>1681</v>
      </c>
      <c r="C2651" s="1329"/>
      <c r="D2651" s="1093"/>
      <c r="E2651" s="1094">
        <f>VLOOKUP($B2651,DG!A:D,DG!$B$2,)</f>
        <v>0</v>
      </c>
      <c r="F2651" s="1111" t="str">
        <f>VLOOKUP($B2651,DG!A:D,DG!$C$2,)&amp;": 3,3vieân/m"</f>
        <v>Gạch tàu: 3,3vieân/m</v>
      </c>
      <c r="G2651" s="1094" t="str">
        <f>VLOOKUP($B2651,DG!A:D,DG!$D$2,)</f>
        <v>viên</v>
      </c>
      <c r="H2651" s="1873">
        <f>3.3*H2647</f>
        <v>0</v>
      </c>
      <c r="I2651" s="1262">
        <f t="shared" si="179"/>
        <v>0</v>
      </c>
      <c r="J2651" s="1084"/>
      <c r="K2651" s="1084"/>
      <c r="L2651" s="1085"/>
      <c r="M2651" s="977">
        <v>2000</v>
      </c>
    </row>
    <row r="2652" spans="1:14" s="1086" customFormat="1" ht="25.15" hidden="1" customHeight="1">
      <c r="A2652" s="1156">
        <f t="shared" si="180"/>
        <v>0</v>
      </c>
      <c r="B2652" s="1329" t="s">
        <v>1682</v>
      </c>
      <c r="C2652" s="1329"/>
      <c r="D2652" s="1093"/>
      <c r="E2652" s="1094">
        <f>VLOOKUP($B2652,DG!A:D,DG!$B$2,)</f>
        <v>0</v>
      </c>
      <c r="F2652" s="1111" t="str">
        <f>VLOOKUP($B2652,DG!A:D,DG!$C$2,)&amp;": 0,4m2/m"</f>
        <v>Tấm nilông màu cảnh báo: 0,4m2/m</v>
      </c>
      <c r="G2652" s="1094" t="str">
        <f>VLOOKUP($B2652,DG!A:D,DG!$D$2,)</f>
        <v>m2</v>
      </c>
      <c r="H2652" s="1873">
        <f>0.4*H2647</f>
        <v>0</v>
      </c>
      <c r="I2652" s="1262">
        <f t="shared" si="179"/>
        <v>0</v>
      </c>
      <c r="J2652" s="1084"/>
      <c r="K2652" s="1084"/>
      <c r="L2652" s="1085"/>
      <c r="M2652" s="977">
        <v>2000</v>
      </c>
    </row>
    <row r="2653" spans="1:14" s="1086" customFormat="1" ht="25.15" hidden="1" customHeight="1">
      <c r="A2653" s="1156">
        <f t="shared" si="180"/>
        <v>0</v>
      </c>
      <c r="B2653" s="1329" t="s">
        <v>1523</v>
      </c>
      <c r="C2653" s="1329"/>
      <c r="D2653" s="1081"/>
      <c r="E2653" s="1094">
        <f>VLOOKUP($B2653,DG!A:D,DG!$B$2,)</f>
        <v>0</v>
      </c>
      <c r="F2653" s="1111" t="str">
        <f>VLOOKUP($B2653,DG!A:D,DG!$C$2,)</f>
        <v>Ống PVC D140x6,7mm</v>
      </c>
      <c r="G2653" s="1094" t="str">
        <f>VLOOKUP($B2653,DG!A:D,DG!$D$2,)</f>
        <v>m</v>
      </c>
      <c r="H2653" s="1873">
        <f>1*H2647</f>
        <v>0</v>
      </c>
      <c r="I2653" s="1262">
        <f t="shared" si="179"/>
        <v>0</v>
      </c>
      <c r="J2653" s="1084"/>
      <c r="K2653" s="1084"/>
      <c r="L2653" s="1085"/>
      <c r="M2653" s="977">
        <v>2000</v>
      </c>
    </row>
    <row r="2654" spans="1:14" s="1086" customFormat="1" ht="25.15" hidden="1" customHeight="1">
      <c r="A2654" s="1156">
        <f t="shared" si="180"/>
        <v>0</v>
      </c>
      <c r="B2654" s="1329" t="s">
        <v>1684</v>
      </c>
      <c r="C2654" s="1329"/>
      <c r="D2654" s="1093"/>
      <c r="E2654" s="1094" t="str">
        <f>VLOOKUP($B2654,DG!A:D,DG!$B$2,)</f>
        <v>03.7000</v>
      </c>
      <c r="F2654" s="1111" t="str">
        <f>VLOOKUP($B2654,DG!A:D,DG!$C$2,)&amp;" + ñaép ñaù"</f>
        <v>Đắp cát  + ñaép ñaù</v>
      </c>
      <c r="G2654" s="1094" t="str">
        <f>VLOOKUP($B2654,DG!A:D,DG!$D$2,)</f>
        <v>m3</v>
      </c>
      <c r="H2654" s="1873">
        <f>H2649+H2650</f>
        <v>0</v>
      </c>
      <c r="I2654" s="1262">
        <f t="shared" si="179"/>
        <v>0</v>
      </c>
      <c r="J2654" s="1084"/>
      <c r="K2654" s="1084"/>
      <c r="L2654" s="1085"/>
      <c r="M2654" s="977">
        <v>2000</v>
      </c>
    </row>
    <row r="2655" spans="1:14" s="1086" customFormat="1" ht="25.15" hidden="1" customHeight="1">
      <c r="A2655" s="1156">
        <f t="shared" si="180"/>
        <v>0</v>
      </c>
      <c r="B2655" s="1329" t="s">
        <v>144</v>
      </c>
      <c r="C2655" s="1329"/>
      <c r="D2655" s="1093"/>
      <c r="E2655" s="1094" t="str">
        <f>VLOOKUP($B2655,DG!A:D,DG!$B$2,)</f>
        <v>03.3103</v>
      </c>
      <c r="F2655" s="1111" t="str">
        <f>VLOOKUP($B2655,DG!A:D,DG!$C$2,)&amp;" : 0,48m3/m"</f>
        <v>Đào mương cáp ngầm đất cấp 3 : 0,48m3/m</v>
      </c>
      <c r="G2655" s="1094" t="str">
        <f>VLOOKUP($B2655,DG!A:D,DG!$D$2,)</f>
        <v>m3</v>
      </c>
      <c r="H2655" s="1873">
        <f>H2647*0.48</f>
        <v>0</v>
      </c>
      <c r="I2655" s="1262">
        <f t="shared" si="179"/>
        <v>0</v>
      </c>
      <c r="J2655" s="1084"/>
      <c r="K2655" s="1084"/>
      <c r="L2655" s="1085"/>
      <c r="M2655" s="977">
        <v>2000</v>
      </c>
    </row>
    <row r="2656" spans="1:14" s="1086" customFormat="1" ht="25.15" hidden="1" customHeight="1">
      <c r="A2656" s="1156">
        <f t="shared" si="180"/>
        <v>0</v>
      </c>
      <c r="B2656" s="1329" t="s">
        <v>529</v>
      </c>
      <c r="C2656" s="1329"/>
      <c r="D2656" s="1093"/>
      <c r="E2656" s="1094" t="str">
        <f>VLOOKUP($B2656,DG!A:D,DG!$B$2,)</f>
        <v>03.3203</v>
      </c>
      <c r="F2656" s="1111" t="str">
        <f>VLOOKUP($B2656,DG!A:D,DG!$C$2,)&amp;" : 0,16m3/m"</f>
        <v>Đắp đất mương cáp ngầm, đất cấp 3 : 0,16m3/m</v>
      </c>
      <c r="G2656" s="1094" t="str">
        <f>VLOOKUP($B2656,DG!A:D,DG!$D$2,)</f>
        <v>m3</v>
      </c>
      <c r="H2656" s="1873">
        <f>0.16*H2647</f>
        <v>0</v>
      </c>
      <c r="I2656" s="1262">
        <f t="shared" si="179"/>
        <v>0</v>
      </c>
      <c r="J2656" s="1084"/>
      <c r="K2656" s="1084"/>
      <c r="L2656" s="1085"/>
      <c r="M2656" s="977">
        <v>2000</v>
      </c>
      <c r="N2656" s="1136">
        <v>0.47499999999999998</v>
      </c>
    </row>
    <row r="2657" spans="1:14" s="1086" customFormat="1" ht="25.15" hidden="1" customHeight="1">
      <c r="A2657" s="1156">
        <f t="shared" si="180"/>
        <v>0</v>
      </c>
      <c r="B2657" s="1327"/>
      <c r="C2657" s="1327"/>
      <c r="D2657" s="1087">
        <f>IF(H2657&gt;0,D2647+1,D2647)</f>
        <v>0</v>
      </c>
      <c r="E2657" s="1088"/>
      <c r="F2657" s="1089" t="s">
        <v>3780</v>
      </c>
      <c r="G2657" s="1087" t="s">
        <v>2394</v>
      </c>
      <c r="H2657" s="1889">
        <f>H2666</f>
        <v>0</v>
      </c>
      <c r="I2657" s="1262">
        <f t="shared" si="179"/>
        <v>0</v>
      </c>
      <c r="J2657" s="1084"/>
      <c r="K2657" s="1084"/>
      <c r="L2657" s="1085"/>
      <c r="M2657" s="977">
        <v>2000</v>
      </c>
      <c r="N2657" s="1136">
        <v>0.88100000000000001</v>
      </c>
    </row>
    <row r="2658" spans="1:14" s="1086" customFormat="1" ht="25.15" hidden="1" customHeight="1">
      <c r="A2658" s="1156">
        <f>IF(A2657&gt;0,1,0)</f>
        <v>0</v>
      </c>
      <c r="B2658" s="1327"/>
      <c r="C2658" s="1327"/>
      <c r="D2658" s="1081"/>
      <c r="E2658" s="1091"/>
      <c r="F2658" s="1370" t="s">
        <v>2287</v>
      </c>
      <c r="G2658" s="1093"/>
      <c r="H2658" s="1873"/>
      <c r="I2658" s="1262">
        <f t="shared" si="179"/>
        <v>0</v>
      </c>
      <c r="J2658" s="1084"/>
      <c r="K2658" s="1084"/>
      <c r="L2658" s="1085"/>
      <c r="M2658" s="977">
        <v>2000</v>
      </c>
    </row>
    <row r="2659" spans="1:14" s="1086" customFormat="1" ht="25.15" hidden="1" customHeight="1">
      <c r="A2659" s="1156">
        <f t="shared" si="180"/>
        <v>0</v>
      </c>
      <c r="B2659" s="1327" t="s">
        <v>623</v>
      </c>
      <c r="C2659" s="1327"/>
      <c r="D2659" s="1093"/>
      <c r="E2659" s="1094" t="str">
        <f>VLOOKUP($B2659,DG!A:D,DG!$B$2,)</f>
        <v>07.2204</v>
      </c>
      <c r="F2659" s="1095" t="str">
        <f>VLOOKUP($B2659,DG!A:D,DG!$C$2,)</f>
        <v>ÔÁng sắt tráng kẽm D140</v>
      </c>
      <c r="G2659" s="1094" t="str">
        <f>VLOOKUP($B2659,DG!A:D,DG!$D$2,)</f>
        <v>mét</v>
      </c>
      <c r="H2659" s="1873">
        <f>H2657*4</f>
        <v>0</v>
      </c>
      <c r="I2659" s="1262">
        <f t="shared" si="179"/>
        <v>0</v>
      </c>
      <c r="J2659" s="1084"/>
      <c r="K2659" s="1084"/>
      <c r="L2659" s="1085"/>
      <c r="M2659" s="977">
        <v>2000</v>
      </c>
    </row>
    <row r="2660" spans="1:14" s="1086" customFormat="1" ht="25.15" hidden="1" customHeight="1">
      <c r="A2660" s="1156">
        <f t="shared" si="180"/>
        <v>0</v>
      </c>
      <c r="B2660" s="1329" t="s">
        <v>473</v>
      </c>
      <c r="C2660" s="1329"/>
      <c r="D2660" s="1081"/>
      <c r="E2660" s="1094">
        <f>VLOOKUP($B2660,DG!A:D,DG!$B$2,)</f>
        <v>0</v>
      </c>
      <c r="F2660" s="1095" t="str">
        <f>VLOOKUP($B2660,DG!A:D,DG!$C$2,)</f>
        <v>Co sừng 90 độ PVC 140</v>
      </c>
      <c r="G2660" s="1094" t="str">
        <f>VLOOKUP($B2660,DG!A:D,DG!$D$2,)</f>
        <v>cái</v>
      </c>
      <c r="H2660" s="1873">
        <f>H2657*1</f>
        <v>0</v>
      </c>
      <c r="I2660" s="1262">
        <f t="shared" si="179"/>
        <v>0</v>
      </c>
      <c r="J2660" s="1084"/>
      <c r="K2660" s="1084"/>
      <c r="L2660" s="1085"/>
      <c r="M2660" s="977">
        <v>2000</v>
      </c>
    </row>
    <row r="2661" spans="1:14" s="1086" customFormat="1" ht="25.15" hidden="1" customHeight="1">
      <c r="A2661" s="1156">
        <f t="shared" si="180"/>
        <v>0</v>
      </c>
      <c r="B2661" s="1327" t="s">
        <v>120</v>
      </c>
      <c r="C2661" s="1327"/>
      <c r="D2661" s="1093"/>
      <c r="E2661" s="1094" t="str">
        <f>VLOOKUP($B2661,DG!A:D,DG!$B$2,)</f>
        <v>06.3231</v>
      </c>
      <c r="F2661" s="1095" t="str">
        <f>VLOOKUP($B2661,DG!A:D,DG!$C$2,)</f>
        <v>Cổ dê giữ ống STK D140 vào tường+Boulon+long đền+tắc ke sắt</v>
      </c>
      <c r="G2661" s="1094" t="str">
        <f>VLOOKUP($B2661,DG!A:D,DG!$D$2,)</f>
        <v>bộ</v>
      </c>
      <c r="H2661" s="1873">
        <f>H2657*2</f>
        <v>0</v>
      </c>
      <c r="I2661" s="1262">
        <f t="shared" si="179"/>
        <v>0</v>
      </c>
      <c r="J2661" s="1084"/>
      <c r="K2661" s="1084"/>
      <c r="L2661" s="1085"/>
      <c r="M2661" s="977">
        <v>2000</v>
      </c>
    </row>
    <row r="2662" spans="1:14" s="1086" customFormat="1" ht="25.15" hidden="1" customHeight="1">
      <c r="A2662" s="1156">
        <f t="shared" si="180"/>
        <v>0</v>
      </c>
      <c r="B2662" s="1157" t="s">
        <v>1414</v>
      </c>
      <c r="C2662" s="1157"/>
      <c r="D2662" s="1093"/>
      <c r="E2662" s="1094">
        <f>VLOOKUP($B2662,DG!A:D,DG!$B$2,)</f>
        <v>0</v>
      </c>
      <c r="F2662" s="1095" t="str">
        <f>VLOOKUP($B2662,DG!A:D,DG!$C$2,)</f>
        <v>Giá đỡ cáp ngầm (V63x6)</v>
      </c>
      <c r="G2662" s="1094" t="str">
        <f>VLOOKUP($B2662,DG!A:D,DG!$D$2,)</f>
        <v>bộ</v>
      </c>
      <c r="H2662" s="1873">
        <f>H2657</f>
        <v>0</v>
      </c>
      <c r="I2662" s="1262">
        <f t="shared" si="179"/>
        <v>0</v>
      </c>
      <c r="J2662" s="1084"/>
      <c r="K2662" s="1084"/>
      <c r="L2662" s="1085"/>
      <c r="M2662" s="977">
        <v>2000</v>
      </c>
    </row>
    <row r="2663" spans="1:14" s="1086" customFormat="1" ht="25.15" hidden="1" customHeight="1">
      <c r="A2663" s="1156">
        <f t="shared" si="180"/>
        <v>0</v>
      </c>
      <c r="B2663" s="1157" t="s">
        <v>986</v>
      </c>
      <c r="C2663" s="1157"/>
      <c r="D2663" s="1093"/>
      <c r="E2663" s="1094">
        <f>VLOOKUP($B2663,DG!A:D,DG!$B$2,)</f>
        <v>0</v>
      </c>
      <c r="F2663" s="1095" t="str">
        <f>VLOOKUP($B2663,DG!A:D,DG!$C$2,)</f>
        <v>Giá đỡ cáp trung thế</v>
      </c>
      <c r="G2663" s="1094" t="str">
        <f>VLOOKUP($B2663,DG!A:D,DG!$D$2,)</f>
        <v>bộ</v>
      </c>
      <c r="H2663" s="1873">
        <f>H2657*0</f>
        <v>0</v>
      </c>
      <c r="I2663" s="1262">
        <f t="shared" si="179"/>
        <v>0</v>
      </c>
      <c r="J2663" s="1084"/>
      <c r="K2663" s="1084"/>
      <c r="L2663" s="1085"/>
      <c r="M2663" s="977">
        <v>2000</v>
      </c>
    </row>
    <row r="2664" spans="1:14" s="1086" customFormat="1" ht="25.15" hidden="1" customHeight="1">
      <c r="A2664" s="1156">
        <f t="shared" si="180"/>
        <v>0</v>
      </c>
      <c r="B2664" s="1327" t="s">
        <v>1415</v>
      </c>
      <c r="C2664" s="1327"/>
      <c r="D2664" s="1081"/>
      <c r="E2664" s="1094" t="str">
        <f>VLOOKUP($B2664,DG!A:D,DG!$B$2,)</f>
        <v>05.6101</v>
      </c>
      <c r="F2664" s="1095" t="str">
        <f>VLOOKUP($B2664,DG!A:D,DG!$C$2,)</f>
        <v>Lắp Giá đỡ cáp</v>
      </c>
      <c r="G2664" s="1094" t="str">
        <f>VLOOKUP($B2664,DG!A:D,DG!$D$2,)</f>
        <v>bộ</v>
      </c>
      <c r="H2664" s="1873">
        <f>H2662</f>
        <v>0</v>
      </c>
      <c r="I2664" s="1262">
        <f t="shared" si="179"/>
        <v>0</v>
      </c>
      <c r="J2664" s="1084"/>
      <c r="K2664" s="1084"/>
      <c r="L2664" s="1085"/>
      <c r="M2664" s="977">
        <v>2000</v>
      </c>
    </row>
    <row r="2665" spans="1:14" s="1086" customFormat="1" ht="25.15" hidden="1" customHeight="1">
      <c r="A2665" s="1156">
        <f t="shared" si="180"/>
        <v>0</v>
      </c>
      <c r="B2665" s="1327" t="s">
        <v>289</v>
      </c>
      <c r="C2665" s="1327"/>
      <c r="D2665" s="1093"/>
      <c r="E2665" s="1094" t="str">
        <f>VLOOKUP($B2665,DG!A:D,DG!$B$2,)</f>
        <v>06.3191</v>
      </c>
      <c r="F2665" s="1095" t="str">
        <f>VLOOKUP($B2665,DG!A:D,DG!$C$2,)</f>
        <v>Bảng tên trạm, bảng báo nguy hiểm + đinh vít</v>
      </c>
      <c r="G2665" s="1094" t="str">
        <f>VLOOKUP($B2665,DG!A:D,DG!$D$2,)</f>
        <v>bộ</v>
      </c>
      <c r="H2665" s="1873">
        <f>H2657</f>
        <v>0</v>
      </c>
      <c r="I2665" s="1262">
        <f t="shared" si="179"/>
        <v>0</v>
      </c>
      <c r="J2665" s="1084"/>
      <c r="K2665" s="1084"/>
      <c r="L2665" s="1085"/>
      <c r="M2665" s="977">
        <v>2000</v>
      </c>
    </row>
    <row r="2666" spans="1:14" s="1086" customFormat="1" ht="25.15" hidden="1" customHeight="1">
      <c r="A2666" s="1156">
        <f t="shared" si="180"/>
        <v>0</v>
      </c>
      <c r="B2666" s="1327"/>
      <c r="C2666" s="1327"/>
      <c r="D2666" s="1087">
        <f>IF(H2666&gt;0,D2657+1,D2657)</f>
        <v>0</v>
      </c>
      <c r="E2666" s="1088"/>
      <c r="F2666" s="1097" t="s">
        <v>3747</v>
      </c>
      <c r="G2666" s="1087" t="s">
        <v>2394</v>
      </c>
      <c r="H2666" s="1889">
        <f>H2552*0</f>
        <v>0</v>
      </c>
      <c r="I2666" s="1262">
        <f t="shared" si="179"/>
        <v>0</v>
      </c>
      <c r="J2666" s="1084"/>
      <c r="K2666" s="1084"/>
      <c r="L2666" s="1085"/>
      <c r="M2666" s="977">
        <v>2000</v>
      </c>
    </row>
    <row r="2667" spans="1:14" s="1086" customFormat="1" ht="25.15" hidden="1" customHeight="1">
      <c r="A2667" s="1156">
        <f>IF(A2666&gt;0,1,0)</f>
        <v>0</v>
      </c>
      <c r="B2667" s="1327"/>
      <c r="C2667" s="1327"/>
      <c r="D2667" s="1081"/>
      <c r="E2667" s="1091"/>
      <c r="F2667" s="1371" t="s">
        <v>2287</v>
      </c>
      <c r="G2667" s="1081"/>
      <c r="H2667" s="1890"/>
      <c r="I2667" s="1262">
        <f t="shared" si="179"/>
        <v>0</v>
      </c>
      <c r="J2667" s="1084"/>
      <c r="K2667" s="1084"/>
      <c r="L2667" s="1085"/>
      <c r="M2667" s="977">
        <v>2000</v>
      </c>
    </row>
    <row r="2668" spans="1:14" s="1086" customFormat="1" ht="25.15" hidden="1" customHeight="1">
      <c r="A2668" s="1156">
        <f t="shared" si="180"/>
        <v>0</v>
      </c>
      <c r="B2668" s="1157" t="s">
        <v>470</v>
      </c>
      <c r="C2668" s="1157"/>
      <c r="D2668" s="1093"/>
      <c r="E2668" s="1082">
        <f>VLOOKUP($B2668,DG!A:D,DG!$B$2,)</f>
        <v>0</v>
      </c>
      <c r="F2668" s="1083" t="str">
        <f>VLOOKUP($B2668,DG!A:D,DG!$C$2,)&amp;": töø trụ ño ñeám ñeán tuû LBSA"</f>
        <v>Cáp 24kV C/XLPE/DSTA/PVC3x50: töø trụ ño ñeám ñeán tuû LBSA</v>
      </c>
      <c r="G2668" s="1082" t="str">
        <f>VLOOKUP($B2668,DG!A:D,DG!$D$2,)</f>
        <v>mét</v>
      </c>
      <c r="H2668" s="1873">
        <f>(3+10)*1.02*H2666*0</f>
        <v>0</v>
      </c>
      <c r="I2668" s="1262">
        <f t="shared" si="179"/>
        <v>0</v>
      </c>
      <c r="J2668" s="1084"/>
      <c r="K2668" s="1084"/>
      <c r="L2668" s="1085"/>
      <c r="M2668" s="977">
        <v>2000</v>
      </c>
    </row>
    <row r="2669" spans="1:14" s="1086" customFormat="1" ht="25.15" hidden="1" customHeight="1">
      <c r="A2669" s="1156">
        <f t="shared" si="180"/>
        <v>0</v>
      </c>
      <c r="B2669" s="1157" t="s">
        <v>271</v>
      </c>
      <c r="C2669" s="1157"/>
      <c r="D2669" s="1093"/>
      <c r="E2669" s="1082">
        <f>VLOOKUP($B2669,DG!A:D,DG!$B$2,)</f>
        <v>0</v>
      </c>
      <c r="F2669" s="1083" t="str">
        <f>VLOOKUP($B2669,DG!A:D,DG!$C$2,)&amp;": 0,5m/pha"</f>
        <v>Cáp 24KV C/XLPE/PVC 50mm2: 0,5m/pha</v>
      </c>
      <c r="G2669" s="1082" t="str">
        <f>VLOOKUP($B2669,DG!A:D,DG!$D$2,)</f>
        <v>mét</v>
      </c>
      <c r="H2669" s="1873">
        <f>H2666*0.5*3</f>
        <v>0</v>
      </c>
      <c r="I2669" s="1262">
        <f t="shared" si="179"/>
        <v>0</v>
      </c>
      <c r="J2669" s="1084"/>
      <c r="K2669" s="1084"/>
      <c r="L2669" s="1085"/>
      <c r="M2669" s="977">
        <v>2000</v>
      </c>
    </row>
    <row r="2670" spans="1:14" s="1086" customFormat="1" ht="25.15" hidden="1" customHeight="1">
      <c r="A2670" s="1156">
        <f t="shared" si="180"/>
        <v>0</v>
      </c>
      <c r="B2670" s="1157" t="s">
        <v>1357</v>
      </c>
      <c r="C2670" s="1157"/>
      <c r="D2670" s="1093"/>
      <c r="E2670" s="1082">
        <f>VLOOKUP($B2670,DG!A:D,DG!$B$2,)</f>
        <v>0</v>
      </c>
      <c r="F2670" s="1083" t="str">
        <f>VLOOKUP($B2670,DG!A:D,DG!$C$2,)</f>
        <v>Đầu cáp ngầm 24KV 3x50mm2 outdoor</v>
      </c>
      <c r="G2670" s="1082" t="str">
        <f>VLOOKUP($B2670,DG!A:D,DG!$D$2,)</f>
        <v>cái</v>
      </c>
      <c r="H2670" s="1873">
        <f>H2666*2*0</f>
        <v>0</v>
      </c>
      <c r="I2670" s="1262">
        <f t="shared" si="179"/>
        <v>0</v>
      </c>
      <c r="J2670" s="1084"/>
      <c r="K2670" s="1084"/>
      <c r="L2670" s="1085"/>
      <c r="M2670" s="977">
        <v>2000</v>
      </c>
    </row>
    <row r="2671" spans="1:14" s="1086" customFormat="1" ht="25.15" hidden="1" customHeight="1">
      <c r="A2671" s="1156">
        <f t="shared" si="180"/>
        <v>0</v>
      </c>
      <c r="B2671" s="1157" t="s">
        <v>470</v>
      </c>
      <c r="C2671" s="1157"/>
      <c r="D2671" s="1093"/>
      <c r="E2671" s="1082">
        <f>VLOOKUP($B2671,DG!A:D,DG!$B$2,)</f>
        <v>0</v>
      </c>
      <c r="F2671" s="1083" t="str">
        <f>VLOOKUP($B2671,DG!A:D,DG!$C$2,)&amp;": töø tuû LBS ñeán MBA"</f>
        <v>Cáp 24kV C/XLPE/DSTA/PVC3x50: töø tuû LBS ñeán MBA</v>
      </c>
      <c r="G2671" s="1082" t="str">
        <f>VLOOKUP($B2671,DG!A:D,DG!$D$2,)</f>
        <v>mét</v>
      </c>
      <c r="H2671" s="1873">
        <f>(1.2+2.4)*H2666*0</f>
        <v>0</v>
      </c>
      <c r="I2671" s="1262">
        <f t="shared" si="179"/>
        <v>0</v>
      </c>
      <c r="J2671" s="1084"/>
      <c r="K2671" s="1084"/>
      <c r="L2671" s="1085"/>
      <c r="M2671" s="977">
        <v>2000</v>
      </c>
    </row>
    <row r="2672" spans="1:14" s="1086" customFormat="1" ht="25.15" hidden="1" customHeight="1">
      <c r="A2672" s="1156">
        <f t="shared" si="180"/>
        <v>0</v>
      </c>
      <c r="B2672" s="1157" t="s">
        <v>271</v>
      </c>
      <c r="C2672" s="1157"/>
      <c r="D2672" s="1093"/>
      <c r="E2672" s="1082">
        <f>VLOOKUP($B2672,DG!A:D,DG!$B$2,)</f>
        <v>0</v>
      </c>
      <c r="F2672" s="1083" t="str">
        <f>VLOOKUP($B2672,DG!A:D,DG!$C$2,)&amp;": töø tuû LBS ñeán MBA"</f>
        <v>Cáp 24KV C/XLPE/PVC 50mm2: töø tuû LBS ñeán MBA</v>
      </c>
      <c r="G2672" s="1082" t="str">
        <f>VLOOKUP($B2672,DG!A:D,DG!$D$2,)</f>
        <v>mét</v>
      </c>
      <c r="H2672" s="1873">
        <f>H2671*0</f>
        <v>0</v>
      </c>
      <c r="I2672" s="1262">
        <f t="shared" si="179"/>
        <v>0</v>
      </c>
      <c r="J2672" s="1084"/>
      <c r="K2672" s="1084"/>
      <c r="L2672" s="1085"/>
      <c r="M2672" s="977">
        <v>2000</v>
      </c>
    </row>
    <row r="2673" spans="1:13" s="1086" customFormat="1" ht="25.15" hidden="1" customHeight="1">
      <c r="A2673" s="1156">
        <f t="shared" si="180"/>
        <v>0</v>
      </c>
      <c r="B2673" s="1157" t="s">
        <v>1358</v>
      </c>
      <c r="C2673" s="1157"/>
      <c r="D2673" s="1093"/>
      <c r="E2673" s="1082">
        <f>VLOOKUP($B2673,DG!A:D,DG!$B$2,)</f>
        <v>0</v>
      </c>
      <c r="F2673" s="1083" t="str">
        <f>VLOOKUP($B2673,DG!A:D,DG!$C$2,)</f>
        <v>Đầu cáp ngầm 24KV 3x50mm2 indoor</v>
      </c>
      <c r="G2673" s="1082" t="str">
        <f>VLOOKUP($B2673,DG!A:D,DG!$D$2,)</f>
        <v>cái</v>
      </c>
      <c r="H2673" s="1873">
        <f>H2666*3*0</f>
        <v>0</v>
      </c>
      <c r="I2673" s="1262">
        <f t="shared" si="179"/>
        <v>0</v>
      </c>
      <c r="J2673" s="1084"/>
      <c r="K2673" s="1084"/>
      <c r="L2673" s="1085"/>
      <c r="M2673" s="977">
        <v>2000</v>
      </c>
    </row>
    <row r="2674" spans="1:13" s="1086" customFormat="1" ht="25.15" hidden="1" customHeight="1">
      <c r="A2674" s="1156">
        <f t="shared" si="180"/>
        <v>0</v>
      </c>
      <c r="B2674" s="1157" t="s">
        <v>1680</v>
      </c>
      <c r="C2674" s="1157"/>
      <c r="D2674" s="1093"/>
      <c r="E2674" s="1082" t="str">
        <f>VLOOKUP($B2674,DG!A:D,DG!$B$2,)</f>
        <v>07.4312</v>
      </c>
      <c r="F2674" s="1083" t="str">
        <f>VLOOKUP($B2674,DG!A:D,DG!$C$2,)</f>
        <v>Lắp đầu cáp trung thế 3x50mm2, 70mm2</v>
      </c>
      <c r="G2674" s="1082" t="str">
        <f>VLOOKUP($B2674,DG!A:D,DG!$D$2,)</f>
        <v>cái</v>
      </c>
      <c r="H2674" s="1873">
        <f>H2670+H2673</f>
        <v>0</v>
      </c>
      <c r="I2674" s="1262">
        <f t="shared" si="179"/>
        <v>0</v>
      </c>
      <c r="J2674" s="1084"/>
      <c r="K2674" s="1084"/>
      <c r="L2674" s="1085"/>
      <c r="M2674" s="977">
        <v>2000</v>
      </c>
    </row>
    <row r="2675" spans="1:13" s="1086" customFormat="1" ht="25.15" hidden="1" customHeight="1">
      <c r="A2675" s="1156">
        <f t="shared" si="180"/>
        <v>0</v>
      </c>
      <c r="B2675" s="1157" t="s">
        <v>1184</v>
      </c>
      <c r="C2675" s="1157"/>
      <c r="D2675" s="1093"/>
      <c r="E2675" s="1082" t="str">
        <f>VLOOKUP($B2675,DG!A:D,DG!$B$2,)</f>
        <v>07.3405</v>
      </c>
      <c r="F2675" s="1083" t="str">
        <f>VLOOKUP($B2675,DG!A:D,DG!$C$2,)</f>
        <v>Lắp cáp trong ống bảo vệ loại &lt;=6kg</v>
      </c>
      <c r="G2675" s="1082" t="str">
        <f>VLOOKUP($B2675,DG!A:D,DG!$D$2,)</f>
        <v>mét</v>
      </c>
      <c r="H2675" s="1873">
        <f>H2668+H2671</f>
        <v>0</v>
      </c>
      <c r="I2675" s="1262">
        <f t="shared" ref="I2675:I2735" si="181">IF(M2675=$M$23,H2675+J2675-K2675,0)</f>
        <v>0</v>
      </c>
      <c r="J2675" s="1084"/>
      <c r="K2675" s="1084"/>
      <c r="L2675" s="1085"/>
      <c r="M2675" s="977">
        <v>2000</v>
      </c>
    </row>
    <row r="2676" spans="1:13" s="1086" customFormat="1" ht="25.15" hidden="1" customHeight="1">
      <c r="A2676" s="1156">
        <f t="shared" si="180"/>
        <v>0</v>
      </c>
      <c r="B2676" s="1157" t="s">
        <v>1530</v>
      </c>
      <c r="C2676" s="1157"/>
      <c r="D2676" s="1093"/>
      <c r="E2676" s="1082" t="str">
        <f>VLOOKUP($B2676,DG!A:D,DG!$B$2,)</f>
        <v>04.4201</v>
      </c>
      <c r="F2676" s="1083" t="str">
        <f>VLOOKUP($B2676,DG!A:D,DG!$C$2,)</f>
        <v>Lắp cáp đồng xuống thiết bị D ≤ 95mm2</v>
      </c>
      <c r="G2676" s="1082" t="str">
        <f>VLOOKUP($B2676,DG!A:D,DG!$D$2,)</f>
        <v>m</v>
      </c>
      <c r="H2676" s="1873">
        <f>H2669</f>
        <v>0</v>
      </c>
      <c r="I2676" s="1262">
        <f t="shared" si="181"/>
        <v>0</v>
      </c>
      <c r="J2676" s="1084"/>
      <c r="K2676" s="1084"/>
      <c r="L2676" s="1085"/>
      <c r="M2676" s="977">
        <v>2000</v>
      </c>
    </row>
    <row r="2677" spans="1:13" s="1086" customFormat="1" ht="25.15" hidden="1" customHeight="1">
      <c r="A2677" s="1156">
        <f t="shared" si="180"/>
        <v>0</v>
      </c>
      <c r="B2677" s="1157" t="s">
        <v>1354</v>
      </c>
      <c r="C2677" s="1157"/>
      <c r="D2677" s="1093"/>
      <c r="E2677" s="1082">
        <f>VLOOKUP($B2677,DG!A:D,DG!$B$2,)</f>
        <v>0</v>
      </c>
      <c r="F2677" s="1083" t="str">
        <f>VLOOKUP($B2677,DG!A:D,DG!$C$2,)</f>
        <v>Dây rút cáp</v>
      </c>
      <c r="G2677" s="1082" t="str">
        <f>VLOOKUP($B2677,DG!A:D,DG!$D$2,)</f>
        <v>bọc</v>
      </c>
      <c r="H2677" s="1873">
        <f>H2666*2*0</f>
        <v>0</v>
      </c>
      <c r="I2677" s="1262">
        <f t="shared" si="181"/>
        <v>0</v>
      </c>
      <c r="J2677" s="1084"/>
      <c r="K2677" s="1084"/>
      <c r="L2677" s="1085"/>
      <c r="M2677" s="977">
        <v>2000</v>
      </c>
    </row>
    <row r="2678" spans="1:13" s="1086" customFormat="1" ht="25.15" hidden="1" customHeight="1">
      <c r="A2678" s="1156">
        <f t="shared" si="180"/>
        <v>0</v>
      </c>
      <c r="B2678" s="1327"/>
      <c r="C2678" s="1327"/>
      <c r="D2678" s="1087">
        <f>IF(H2678&gt;0,D2666+1,D2666)</f>
        <v>0</v>
      </c>
      <c r="E2678" s="1088"/>
      <c r="F2678" s="1097" t="s">
        <v>3748</v>
      </c>
      <c r="G2678" s="1087" t="s">
        <v>2394</v>
      </c>
      <c r="H2678" s="1889">
        <f>H2552</f>
        <v>0</v>
      </c>
      <c r="I2678" s="1262">
        <f t="shared" si="181"/>
        <v>0</v>
      </c>
      <c r="J2678" s="1084"/>
      <c r="K2678" s="1084"/>
      <c r="L2678" s="1085"/>
      <c r="M2678" s="977">
        <v>2000</v>
      </c>
    </row>
    <row r="2679" spans="1:13" s="1086" customFormat="1" ht="25.15" hidden="1" customHeight="1">
      <c r="A2679" s="1156">
        <f>IF(A2678&gt;0,1,0)</f>
        <v>0</v>
      </c>
      <c r="B2679" s="1327"/>
      <c r="C2679" s="1327"/>
      <c r="D2679" s="1081"/>
      <c r="E2679" s="1091"/>
      <c r="F2679" s="1371" t="s">
        <v>2287</v>
      </c>
      <c r="G2679" s="1081"/>
      <c r="H2679" s="1890"/>
      <c r="I2679" s="1262">
        <f t="shared" si="181"/>
        <v>0</v>
      </c>
      <c r="J2679" s="1084"/>
      <c r="K2679" s="1084"/>
      <c r="L2679" s="1085"/>
      <c r="M2679" s="977">
        <v>2000</v>
      </c>
    </row>
    <row r="2680" spans="1:13" s="1086" customFormat="1" ht="25.15" hidden="1" customHeight="1">
      <c r="A2680" s="1156">
        <f t="shared" si="180"/>
        <v>0</v>
      </c>
      <c r="B2680" s="1157" t="s">
        <v>699</v>
      </c>
      <c r="C2680" s="1157"/>
      <c r="D2680" s="1093"/>
      <c r="E2680" s="1082">
        <f>VLOOKUP($B2680,DG!A:D,DG!$B$2,)</f>
        <v>0</v>
      </c>
      <c r="F2680" s="1083" t="str">
        <f>VLOOKUP($B2680,DG!A:D,DG!$C$2,)&amp;": 7m/1pha"</f>
        <v>Cáp 24KV CX-25mm2: 7m/1pha</v>
      </c>
      <c r="G2680" s="1082" t="str">
        <f>VLOOKUP($B2680,DG!A:D,DG!$D$2,)</f>
        <v>mét</v>
      </c>
      <c r="H2680" s="1873">
        <f>H2678*7*3</f>
        <v>0</v>
      </c>
      <c r="I2680" s="1262">
        <f t="shared" si="181"/>
        <v>0</v>
      </c>
      <c r="J2680" s="1084"/>
      <c r="K2680" s="1084"/>
      <c r="L2680" s="1085"/>
      <c r="M2680" s="977">
        <v>2000</v>
      </c>
    </row>
    <row r="2681" spans="1:13" s="1086" customFormat="1" ht="25.15" hidden="1" customHeight="1">
      <c r="A2681" s="1156">
        <f t="shared" si="180"/>
        <v>0</v>
      </c>
      <c r="B2681" s="1157" t="s">
        <v>1117</v>
      </c>
      <c r="C2681" s="1157"/>
      <c r="D2681" s="1093"/>
      <c r="E2681" s="1082">
        <f>VLOOKUP($B2681,DG!A:D,DG!$B$2,)</f>
        <v>0</v>
      </c>
      <c r="F2681" s="1083" t="str">
        <f>VLOOKUP($B2681,DG!A:D,DG!$C$2,)</f>
        <v>Kẹp ép cỡ dây 25mm2</v>
      </c>
      <c r="G2681" s="1082" t="str">
        <f>VLOOKUP($B2681,DG!A:D,DG!$D$2,)</f>
        <v>cái</v>
      </c>
      <c r="H2681" s="1873">
        <f>H2678*3*2</f>
        <v>0</v>
      </c>
      <c r="I2681" s="1262">
        <f t="shared" si="181"/>
        <v>0</v>
      </c>
      <c r="J2681" s="1084"/>
      <c r="K2681" s="1084"/>
      <c r="L2681" s="1085"/>
      <c r="M2681" s="977">
        <v>2000</v>
      </c>
    </row>
    <row r="2682" spans="1:13" s="1086" customFormat="1" ht="25.15" hidden="1" customHeight="1">
      <c r="A2682" s="1156">
        <f t="shared" si="180"/>
        <v>0</v>
      </c>
      <c r="B2682" s="1157" t="s">
        <v>1484</v>
      </c>
      <c r="C2682" s="1157"/>
      <c r="D2682" s="1093"/>
      <c r="E2682" s="1082" t="str">
        <f>VLOOKUP($B2682,DG!A:D,DG!$B$2,)</f>
        <v>04.3007</v>
      </c>
      <c r="F2682" s="1083" t="str">
        <f>VLOOKUP($B2682,DG!A:D,DG!$C$2,)</f>
        <v>Kẹp quai 2/0</v>
      </c>
      <c r="G2682" s="1082" t="str">
        <f>VLOOKUP($B2682,DG!A:D,DG!$D$2,)</f>
        <v>cái</v>
      </c>
      <c r="H2682" s="1873">
        <f>H2678*3*0</f>
        <v>0</v>
      </c>
      <c r="I2682" s="1262">
        <f t="shared" si="181"/>
        <v>0</v>
      </c>
      <c r="J2682" s="1084"/>
      <c r="K2682" s="1084"/>
      <c r="L2682" s="1085"/>
      <c r="M2682" s="977">
        <v>2000</v>
      </c>
    </row>
    <row r="2683" spans="1:13" s="1086" customFormat="1" ht="25.15" hidden="1" customHeight="1">
      <c r="A2683" s="1156">
        <f t="shared" si="180"/>
        <v>0</v>
      </c>
      <c r="B2683" s="1157" t="s">
        <v>1482</v>
      </c>
      <c r="C2683" s="1157"/>
      <c r="D2683" s="1093"/>
      <c r="E2683" s="1082" t="str">
        <f>VLOOKUP($B2683,DG!A:D,DG!$B$2,)</f>
        <v>04.3007</v>
      </c>
      <c r="F2683" s="1083" t="str">
        <f>VLOOKUP($B2683,DG!A:D,DG!$C$2,)&amp;": "</f>
        <v xml:space="preserve">Kẹp hotline 2/0: </v>
      </c>
      <c r="G2683" s="1082" t="str">
        <f>VLOOKUP($B2683,DG!A:D,DG!$D$2,)</f>
        <v>cái</v>
      </c>
      <c r="H2683" s="1873">
        <f>H2682</f>
        <v>0</v>
      </c>
      <c r="I2683" s="1262">
        <f t="shared" si="181"/>
        <v>0</v>
      </c>
      <c r="J2683" s="1084"/>
      <c r="K2683" s="1084"/>
      <c r="L2683" s="1085"/>
      <c r="M2683" s="977">
        <v>2000</v>
      </c>
    </row>
    <row r="2684" spans="1:13" s="1086" customFormat="1" ht="25.15" hidden="1" customHeight="1">
      <c r="A2684" s="1156">
        <f t="shared" si="180"/>
        <v>0</v>
      </c>
      <c r="B2684" s="1157" t="s">
        <v>698</v>
      </c>
      <c r="C2684" s="1157"/>
      <c r="D2684" s="1113"/>
      <c r="E2684" s="1082">
        <f>VLOOKUP($B2684,DG!A:D,DG!$B$2,)</f>
        <v>0</v>
      </c>
      <c r="F2684" s="1083" t="str">
        <f>VLOOKUP($B2684,DG!A:D,DG!$C$2,)</f>
        <v xml:space="preserve">Sứ đứng 24KV </v>
      </c>
      <c r="G2684" s="1082" t="str">
        <f>VLOOKUP($B2684,DG!A:D,DG!$D$2,)</f>
        <v>cái</v>
      </c>
      <c r="H2684" s="1873">
        <f>+H2678*3*4</f>
        <v>0</v>
      </c>
      <c r="I2684" s="1262">
        <f t="shared" si="181"/>
        <v>0</v>
      </c>
      <c r="J2684" s="1084"/>
      <c r="K2684" s="1084"/>
      <c r="L2684" s="1085"/>
      <c r="M2684" s="977">
        <v>2000</v>
      </c>
    </row>
    <row r="2685" spans="1:13" s="1086" customFormat="1" ht="25.15" hidden="1" customHeight="1">
      <c r="A2685" s="1156">
        <f t="shared" si="180"/>
        <v>0</v>
      </c>
      <c r="B2685" s="1157" t="s">
        <v>1270</v>
      </c>
      <c r="C2685" s="1157"/>
      <c r="D2685" s="1093"/>
      <c r="E2685" s="1082">
        <f>VLOOKUP($B2685,DG!A:D,DG!$B$2,)</f>
        <v>0</v>
      </c>
      <c r="F2685" s="1083" t="str">
        <f>VLOOKUP($B2685,DG!A:D,DG!$C$2,)</f>
        <v>Chân sứ đứng D20</v>
      </c>
      <c r="G2685" s="1082" t="str">
        <f>VLOOKUP($B2685,DG!A:D,DG!$D$2,)</f>
        <v>cái</v>
      </c>
      <c r="H2685" s="1873">
        <f>+H2684</f>
        <v>0</v>
      </c>
      <c r="I2685" s="1262">
        <f t="shared" si="181"/>
        <v>0</v>
      </c>
      <c r="J2685" s="1084"/>
      <c r="K2685" s="1084"/>
      <c r="L2685" s="1085"/>
      <c r="M2685" s="977">
        <v>2000</v>
      </c>
    </row>
    <row r="2686" spans="1:13" s="1086" customFormat="1" ht="25.15" hidden="1" customHeight="1">
      <c r="A2686" s="1156">
        <f t="shared" si="180"/>
        <v>0</v>
      </c>
      <c r="B2686" s="1157" t="s">
        <v>347</v>
      </c>
      <c r="C2686" s="1157"/>
      <c r="D2686" s="1093"/>
      <c r="E2686" s="1082" t="str">
        <f>VLOOKUP($B2686,DG!A:D,DG!$B$2,)</f>
        <v>06.1115</v>
      </c>
      <c r="F2686" s="1083" t="str">
        <f>VLOOKUP($B2686,DG!A:D,DG!$C$2,)</f>
        <v>Lắp sứ đứng 24KV</v>
      </c>
      <c r="G2686" s="1082" t="str">
        <f>VLOOKUP($B2686,DG!A:D,DG!$D$2,)</f>
        <v>bộ</v>
      </c>
      <c r="H2686" s="1873">
        <f>H2684</f>
        <v>0</v>
      </c>
      <c r="I2686" s="1262">
        <f t="shared" si="181"/>
        <v>0</v>
      </c>
      <c r="J2686" s="1084"/>
      <c r="K2686" s="1084"/>
      <c r="L2686" s="1085"/>
      <c r="M2686" s="977">
        <v>2000</v>
      </c>
    </row>
    <row r="2687" spans="1:13" s="1086" customFormat="1" ht="25.15" hidden="1" customHeight="1">
      <c r="A2687" s="1156">
        <f t="shared" si="180"/>
        <v>0</v>
      </c>
      <c r="B2687" s="1327"/>
      <c r="C2687" s="1327"/>
      <c r="D2687" s="1087">
        <f>IF(H2687&gt;0,D2678+1,D2678)</f>
        <v>0</v>
      </c>
      <c r="E2687" s="1088"/>
      <c r="F2687" s="1089" t="s">
        <v>3781</v>
      </c>
      <c r="G2687" s="1087" t="s">
        <v>2394</v>
      </c>
      <c r="H2687" s="1889">
        <f>H2552*1</f>
        <v>0</v>
      </c>
      <c r="I2687" s="1262">
        <f t="shared" si="181"/>
        <v>0</v>
      </c>
      <c r="J2687" s="1084"/>
      <c r="K2687" s="1084"/>
      <c r="L2687" s="1085"/>
      <c r="M2687" s="977">
        <v>2000</v>
      </c>
    </row>
    <row r="2688" spans="1:13" s="1086" customFormat="1" ht="25.15" hidden="1" customHeight="1">
      <c r="A2688" s="1156">
        <f>IF(A2687&gt;0,1,0)</f>
        <v>0</v>
      </c>
      <c r="B2688" s="1327"/>
      <c r="C2688" s="1327"/>
      <c r="D2688" s="1081"/>
      <c r="E2688" s="1091"/>
      <c r="F2688" s="1371" t="s">
        <v>2287</v>
      </c>
      <c r="G2688" s="1081"/>
      <c r="H2688" s="1890"/>
      <c r="I2688" s="1262">
        <f t="shared" si="181"/>
        <v>0</v>
      </c>
      <c r="J2688" s="1084"/>
      <c r="K2688" s="1084"/>
      <c r="L2688" s="1085"/>
      <c r="M2688" s="977">
        <v>2000</v>
      </c>
    </row>
    <row r="2689" spans="1:14" s="1086" customFormat="1" ht="25.15" hidden="1" customHeight="1">
      <c r="A2689" s="1156">
        <f t="shared" si="180"/>
        <v>0</v>
      </c>
      <c r="B2689" s="1327" t="s">
        <v>1126</v>
      </c>
      <c r="C2689" s="1327"/>
      <c r="D2689" s="1093"/>
      <c r="E2689" s="1082">
        <f>VLOOKUP($B2689,DG!A:D,DG!$B$2,)</f>
        <v>0</v>
      </c>
      <c r="F2689" s="1083" t="str">
        <f>VLOOKUP($B2689,DG!A:D,DG!$C$2,)</f>
        <v xml:space="preserve">Giá đỡ cáp hạ thế </v>
      </c>
      <c r="G2689" s="1082" t="str">
        <f>VLOOKUP($B2689,DG!A:D,DG!$D$2,)</f>
        <v>bộ</v>
      </c>
      <c r="H2689" s="1873">
        <f>H2687</f>
        <v>0</v>
      </c>
      <c r="I2689" s="1262">
        <f t="shared" si="181"/>
        <v>0</v>
      </c>
      <c r="J2689" s="1084"/>
      <c r="K2689" s="1084"/>
      <c r="L2689" s="1085"/>
      <c r="M2689" s="977">
        <v>2000</v>
      </c>
    </row>
    <row r="2690" spans="1:14" s="1086" customFormat="1" ht="25.15" hidden="1" customHeight="1">
      <c r="A2690" s="1156">
        <f t="shared" si="180"/>
        <v>0</v>
      </c>
      <c r="B2690" s="1327" t="s">
        <v>1415</v>
      </c>
      <c r="C2690" s="1327"/>
      <c r="D2690" s="1093"/>
      <c r="E2690" s="1082" t="str">
        <f>VLOOKUP($B2690,DG!A:D,DG!$B$2,)</f>
        <v>05.6101</v>
      </c>
      <c r="F2690" s="1083" t="str">
        <f>VLOOKUP($B2690,DG!A:D,DG!$C$2,)</f>
        <v>Lắp Giá đỡ cáp</v>
      </c>
      <c r="G2690" s="1082" t="str">
        <f>VLOOKUP($B2690,DG!A:D,DG!$D$2,)</f>
        <v>bộ</v>
      </c>
      <c r="H2690" s="1873">
        <f>H2689</f>
        <v>0</v>
      </c>
      <c r="I2690" s="1262">
        <f t="shared" si="181"/>
        <v>0</v>
      </c>
      <c r="J2690" s="1084"/>
      <c r="K2690" s="1084"/>
      <c r="L2690" s="1085"/>
      <c r="M2690" s="977">
        <v>2000</v>
      </c>
    </row>
    <row r="2691" spans="1:14" s="1086" customFormat="1" ht="25.15" hidden="1" customHeight="1">
      <c r="A2691" s="1156">
        <f t="shared" si="180"/>
        <v>0</v>
      </c>
      <c r="B2691" s="1157"/>
      <c r="C2691" s="1157"/>
      <c r="D2691" s="1087">
        <f>IF(H2691&gt;0,D2687+1,D2687)</f>
        <v>0</v>
      </c>
      <c r="E2691" s="1088"/>
      <c r="F2691" s="1097" t="s">
        <v>3782</v>
      </c>
      <c r="G2691" s="1087" t="s">
        <v>2394</v>
      </c>
      <c r="H2691" s="1910">
        <f>H2666+H2678</f>
        <v>0</v>
      </c>
      <c r="I2691" s="1262">
        <f t="shared" si="181"/>
        <v>0</v>
      </c>
      <c r="J2691" s="1084"/>
      <c r="K2691" s="1084"/>
      <c r="L2691" s="1085"/>
      <c r="M2691" s="977">
        <v>2000</v>
      </c>
    </row>
    <row r="2692" spans="1:14" s="1086" customFormat="1" ht="25.15" hidden="1" customHeight="1">
      <c r="A2692" s="1156">
        <f>IF(A2691&gt;0,1,0)</f>
        <v>0</v>
      </c>
      <c r="B2692" s="1157"/>
      <c r="C2692" s="1157"/>
      <c r="D2692" s="1081"/>
      <c r="E2692" s="1091"/>
      <c r="F2692" s="1371" t="s">
        <v>2287</v>
      </c>
      <c r="G2692" s="1081"/>
      <c r="H2692" s="1873"/>
      <c r="I2692" s="1262">
        <f t="shared" si="181"/>
        <v>0</v>
      </c>
      <c r="J2692" s="1084"/>
      <c r="K2692" s="1084"/>
      <c r="L2692" s="1085"/>
      <c r="M2692" s="977">
        <v>2000</v>
      </c>
    </row>
    <row r="2693" spans="1:14" s="1086" customFormat="1" ht="25.15" hidden="1" customHeight="1">
      <c r="A2693" s="1156">
        <f t="shared" si="180"/>
        <v>0</v>
      </c>
      <c r="B2693" s="1327" t="s">
        <v>1243</v>
      </c>
      <c r="C2693" s="1327"/>
      <c r="D2693" s="1093"/>
      <c r="E2693" s="1082">
        <f>VLOOKUP($B2693,DG!A:D,DG!$B$2,)</f>
        <v>0</v>
      </c>
      <c r="F2693" s="1083" t="e">
        <f>VLOOKUP($B2693,DG!A:D,DG!$C$2,)&amp;": "&amp;#REF!&amp;"x 8m/pha "</f>
        <v>#REF!</v>
      </c>
      <c r="G2693" s="1082" t="str">
        <f>VLOOKUP($B2693,DG!A:D,DG!$D$2,)</f>
        <v>mét</v>
      </c>
      <c r="H2693" s="1916"/>
      <c r="I2693" s="1262">
        <f t="shared" si="181"/>
        <v>0</v>
      </c>
      <c r="J2693" s="1084"/>
      <c r="K2693" s="1084"/>
      <c r="L2693" s="1085"/>
      <c r="M2693" s="977">
        <v>2000</v>
      </c>
      <c r="N2693" s="1086">
        <f>48*(30+6)</f>
        <v>1728</v>
      </c>
    </row>
    <row r="2694" spans="1:14" s="1086" customFormat="1" ht="25.15" hidden="1" customHeight="1">
      <c r="A2694" s="1156">
        <f t="shared" si="180"/>
        <v>0</v>
      </c>
      <c r="B2694" s="1327" t="s">
        <v>1243</v>
      </c>
      <c r="C2694" s="1327"/>
      <c r="D2694" s="1093"/>
      <c r="E2694" s="1082">
        <f>VLOOKUP($B2694,DG!A:D,DG!$B$2,)</f>
        <v>0</v>
      </c>
      <c r="F2694" s="1083" t="e">
        <f>VLOOKUP($B2694,DG!A:D,DG!$C$2,)&amp;": "&amp;#REF!/2&amp;"x 8m/trung tính "</f>
        <v>#REF!</v>
      </c>
      <c r="G2694" s="1082" t="str">
        <f>VLOOKUP($B2694,DG!A:D,DG!$D$2,)</f>
        <v>mét</v>
      </c>
      <c r="H2694" s="1916"/>
      <c r="I2694" s="1262">
        <f t="shared" si="181"/>
        <v>0</v>
      </c>
      <c r="J2694" s="1084"/>
      <c r="K2694" s="1084"/>
      <c r="L2694" s="1085"/>
      <c r="M2694" s="977">
        <v>2000</v>
      </c>
      <c r="N2694" s="1086">
        <f>8*(30+6)</f>
        <v>288</v>
      </c>
    </row>
    <row r="2695" spans="1:14" s="1086" customFormat="1" ht="25.15" hidden="1" customHeight="1">
      <c r="A2695" s="1156">
        <f t="shared" si="180"/>
        <v>0</v>
      </c>
      <c r="B2695" s="1327" t="s">
        <v>448</v>
      </c>
      <c r="C2695" s="1327"/>
      <c r="D2695" s="1093"/>
      <c r="E2695" s="1082" t="str">
        <f>VLOOKUP($B2695,DG!A:D,DG!$B$2,)</f>
        <v>03.4009</v>
      </c>
      <c r="F2695" s="1083" t="str">
        <f>VLOOKUP($B2695,DG!A:D,DG!$C$2,)&amp;": "</f>
        <v xml:space="preserve">Đầu cosse ép Cu 250mm2: </v>
      </c>
      <c r="G2695" s="1082" t="str">
        <f>VLOOKUP($B2695,DG!A:D,DG!$D$2,)</f>
        <v>cái</v>
      </c>
      <c r="H2695" s="1916"/>
      <c r="I2695" s="1262">
        <f t="shared" si="181"/>
        <v>0</v>
      </c>
      <c r="J2695" s="1084"/>
      <c r="K2695" s="1084"/>
      <c r="L2695" s="1085"/>
      <c r="M2695" s="977">
        <v>2000</v>
      </c>
    </row>
    <row r="2696" spans="1:14" s="1086" customFormat="1" ht="25.15" hidden="1" customHeight="1">
      <c r="A2696" s="1156">
        <f t="shared" si="180"/>
        <v>0</v>
      </c>
      <c r="B2696" s="1327" t="s">
        <v>448</v>
      </c>
      <c r="C2696" s="1327"/>
      <c r="D2696" s="1093"/>
      <c r="E2696" s="1082" t="str">
        <f>VLOOKUP($B2696,DG!A:D,DG!$B$2,)</f>
        <v>03.4009</v>
      </c>
      <c r="F2696" s="1083" t="str">
        <f>VLOOKUP($B2696,DG!A:D,DG!$C$2,)&amp;": "</f>
        <v xml:space="preserve">Đầu cosse ép Cu 250mm2: </v>
      </c>
      <c r="G2696" s="1082" t="str">
        <f>VLOOKUP($B2696,DG!A:D,DG!$D$2,)</f>
        <v>cái</v>
      </c>
      <c r="H2696" s="1916"/>
      <c r="I2696" s="1262">
        <f t="shared" si="181"/>
        <v>0</v>
      </c>
      <c r="J2696" s="1084"/>
      <c r="K2696" s="1084"/>
      <c r="L2696" s="1085"/>
      <c r="M2696" s="977">
        <v>2000</v>
      </c>
    </row>
    <row r="2697" spans="1:14" s="1086" customFormat="1" ht="25.15" hidden="1" customHeight="1">
      <c r="A2697" s="1156">
        <f t="shared" si="180"/>
        <v>0</v>
      </c>
      <c r="B2697" s="1327" t="s">
        <v>1074</v>
      </c>
      <c r="C2697" s="1327"/>
      <c r="D2697" s="1093"/>
      <c r="E2697" s="1082">
        <f>VLOOKUP($B2697,DG!A:D,DG!$B$2,)</f>
        <v>0</v>
      </c>
      <c r="F2697" s="1083" t="str">
        <f>VLOOKUP($B2697,DG!A:D,DG!$C$2,)&amp;": "</f>
        <v xml:space="preserve">Chụp đầu cosse  250mm2: </v>
      </c>
      <c r="G2697" s="1082" t="str">
        <f>VLOOKUP($B2697,DG!A:D,DG!$D$2,)</f>
        <v>cái</v>
      </c>
      <c r="H2697" s="1916"/>
      <c r="I2697" s="1262">
        <f t="shared" si="181"/>
        <v>0</v>
      </c>
      <c r="J2697" s="1084"/>
      <c r="K2697" s="1084"/>
      <c r="L2697" s="1085"/>
      <c r="M2697" s="977">
        <v>2000</v>
      </c>
    </row>
    <row r="2698" spans="1:14" s="1086" customFormat="1" ht="25.15" hidden="1" customHeight="1">
      <c r="A2698" s="1156">
        <f t="shared" si="180"/>
        <v>0</v>
      </c>
      <c r="B2698" s="1327" t="s">
        <v>1074</v>
      </c>
      <c r="C2698" s="1327"/>
      <c r="D2698" s="1093"/>
      <c r="E2698" s="1082">
        <f>VLOOKUP($B2698,DG!A:D,DG!$B$2,)</f>
        <v>0</v>
      </c>
      <c r="F2698" s="1083" t="str">
        <f>VLOOKUP($B2698,DG!A:D,DG!$C$2,)&amp;": "</f>
        <v xml:space="preserve">Chụp đầu cosse  250mm2: </v>
      </c>
      <c r="G2698" s="1082" t="str">
        <f>VLOOKUP($B2698,DG!A:D,DG!$D$2,)</f>
        <v>cái</v>
      </c>
      <c r="H2698" s="1916"/>
      <c r="I2698" s="1262">
        <f t="shared" si="181"/>
        <v>0</v>
      </c>
      <c r="J2698" s="1084"/>
      <c r="K2698" s="1084"/>
      <c r="L2698" s="1085"/>
      <c r="M2698" s="977">
        <v>2000</v>
      </c>
    </row>
    <row r="2699" spans="1:14" s="1086" customFormat="1" ht="25.15" hidden="1" customHeight="1">
      <c r="A2699" s="1156">
        <f t="shared" si="180"/>
        <v>0</v>
      </c>
      <c r="B2699" s="1327" t="s">
        <v>1044</v>
      </c>
      <c r="C2699" s="1327"/>
      <c r="D2699" s="1093"/>
      <c r="E2699" s="1082">
        <f>VLOOKUP($B2699,DG!A:D,DG!$B$2,)</f>
        <v>0</v>
      </c>
      <c r="F2699" s="1083" t="str">
        <f>VLOOKUP($B2699,DG!A:D,DG!$C$2,)</f>
        <v xml:space="preserve">Ống PVC D114x4,9mm </v>
      </c>
      <c r="G2699" s="1082" t="str">
        <f>VLOOKUP($B2699,DG!A:D,DG!$D$2,)</f>
        <v>m</v>
      </c>
      <c r="H2699" s="1916"/>
      <c r="I2699" s="1262">
        <f t="shared" si="181"/>
        <v>0</v>
      </c>
      <c r="J2699" s="1084"/>
      <c r="K2699" s="1084"/>
      <c r="L2699" s="1085"/>
      <c r="M2699" s="977">
        <v>2000</v>
      </c>
    </row>
    <row r="2700" spans="1:14" s="1086" customFormat="1" ht="25.15" hidden="1" customHeight="1">
      <c r="A2700" s="1156">
        <f t="shared" si="180"/>
        <v>0</v>
      </c>
      <c r="B2700" s="1157" t="s">
        <v>733</v>
      </c>
      <c r="C2700" s="1157"/>
      <c r="D2700" s="1093"/>
      <c r="E2700" s="1082" t="str">
        <f>VLOOKUP($B2700,DG!A:D,DG!$B$2,)</f>
        <v>06.3231</v>
      </c>
      <c r="F2700" s="1083" t="str">
        <f>VLOOKUP($B2700,DG!A:D,DG!$C$2,)</f>
        <v>Cổ dê kẹp ống PVC Ø 114</v>
      </c>
      <c r="G2700" s="1082" t="str">
        <f>VLOOKUP($B2700,DG!A:D,DG!$D$2,)</f>
        <v>bộ</v>
      </c>
      <c r="H2700" s="1916"/>
      <c r="I2700" s="1262">
        <f t="shared" si="181"/>
        <v>0</v>
      </c>
      <c r="J2700" s="1084"/>
      <c r="K2700" s="1084"/>
      <c r="L2700" s="1085"/>
      <c r="M2700" s="977">
        <v>2000</v>
      </c>
    </row>
    <row r="2701" spans="1:14" s="1086" customFormat="1" ht="25.15" hidden="1" customHeight="1">
      <c r="A2701" s="1156">
        <f t="shared" si="180"/>
        <v>0</v>
      </c>
      <c r="B2701" s="1327" t="s">
        <v>1045</v>
      </c>
      <c r="C2701" s="1327"/>
      <c r="D2701" s="1093"/>
      <c r="E2701" s="1082">
        <f>VLOOKUP($B2701,DG!A:D,DG!$B$2,)</f>
        <v>0</v>
      </c>
      <c r="F2701" s="1083" t="str">
        <f>VLOOKUP($B2701,DG!A:D,DG!$C$2,)</f>
        <v>Co sừng 90 độ PVC 114</v>
      </c>
      <c r="G2701" s="1082" t="str">
        <f>VLOOKUP($B2701,DG!A:D,DG!$D$2,)</f>
        <v>cái</v>
      </c>
      <c r="H2701" s="1916"/>
      <c r="I2701" s="1262">
        <f t="shared" si="181"/>
        <v>0</v>
      </c>
      <c r="J2701" s="1084"/>
      <c r="K2701" s="1084"/>
      <c r="L2701" s="1085"/>
      <c r="M2701" s="977">
        <v>2000</v>
      </c>
    </row>
    <row r="2702" spans="1:14" s="1086" customFormat="1" ht="25.15" hidden="1" customHeight="1">
      <c r="A2702" s="1156">
        <f t="shared" si="180"/>
        <v>0</v>
      </c>
      <c r="B2702" s="1327" t="s">
        <v>2175</v>
      </c>
      <c r="C2702" s="1327"/>
      <c r="D2702" s="1093"/>
      <c r="E2702" s="1082">
        <f>VLOOKUP($B2702,DG!A:D,DG!$B$2,)</f>
        <v>0</v>
      </c>
      <c r="F2702" s="1083" t="str">
        <f>VLOOKUP($B2702,DG!A:D,DG!$C$2,)</f>
        <v>Khâu ven răng trong D114</v>
      </c>
      <c r="G2702" s="1082" t="str">
        <f>VLOOKUP($B2702,DG!A:D,DG!$D$2,)</f>
        <v>cái</v>
      </c>
      <c r="H2702" s="1916"/>
      <c r="I2702" s="1262">
        <f t="shared" si="181"/>
        <v>0</v>
      </c>
      <c r="J2702" s="1084"/>
      <c r="K2702" s="1084"/>
      <c r="L2702" s="1085"/>
      <c r="M2702" s="977">
        <v>2000</v>
      </c>
    </row>
    <row r="2703" spans="1:14" s="1086" customFormat="1" ht="25.15" hidden="1" customHeight="1">
      <c r="A2703" s="1156">
        <f t="shared" si="180"/>
        <v>0</v>
      </c>
      <c r="B2703" s="1327" t="s">
        <v>2176</v>
      </c>
      <c r="C2703" s="1327"/>
      <c r="D2703" s="1093"/>
      <c r="E2703" s="1082">
        <f>VLOOKUP($B2703,DG!A:D,DG!$B$2,)</f>
        <v>0</v>
      </c>
      <c r="F2703" s="1083" t="str">
        <f>VLOOKUP($B2703,DG!A:D,DG!$C$2,)&amp;": "</f>
        <v xml:space="preserve">Khâu ven răng ngoài D114: </v>
      </c>
      <c r="G2703" s="1082" t="str">
        <f>VLOOKUP($B2703,DG!A:D,DG!$D$2,)</f>
        <v>cái</v>
      </c>
      <c r="H2703" s="1916"/>
      <c r="I2703" s="1262">
        <f t="shared" si="181"/>
        <v>0</v>
      </c>
      <c r="J2703" s="1084"/>
      <c r="K2703" s="1084"/>
      <c r="L2703" s="1085"/>
      <c r="M2703" s="977">
        <v>2000</v>
      </c>
    </row>
    <row r="2704" spans="1:14" s="1086" customFormat="1" ht="25.15" hidden="1" customHeight="1">
      <c r="A2704" s="1156">
        <f t="shared" si="180"/>
        <v>0</v>
      </c>
      <c r="B2704" s="1327" t="s">
        <v>728</v>
      </c>
      <c r="C2704" s="1327"/>
      <c r="D2704" s="1093"/>
      <c r="E2704" s="1082">
        <f>VLOOKUP($B2704,DG!A:D,DG!$B$2,)</f>
        <v>0</v>
      </c>
      <c r="F2704" s="1083" t="str">
        <f>VLOOKUP($B2704,DG!A:D,DG!$C$2,)&amp;": "</f>
        <v xml:space="preserve">Keo dán ống PVC (500gr): </v>
      </c>
      <c r="G2704" s="1082" t="str">
        <f>VLOOKUP($B2704,DG!A:D,DG!$D$2,)</f>
        <v>lon</v>
      </c>
      <c r="H2704" s="1916"/>
      <c r="I2704" s="1262">
        <f t="shared" si="181"/>
        <v>0</v>
      </c>
      <c r="J2704" s="1084"/>
      <c r="K2704" s="1084"/>
      <c r="L2704" s="1085"/>
      <c r="M2704" s="977">
        <v>2000</v>
      </c>
    </row>
    <row r="2705" spans="1:13" s="1086" customFormat="1" ht="25.15" hidden="1" customHeight="1">
      <c r="A2705" s="1156">
        <f t="shared" ref="A2705:A2735" si="182">IF(I2705&gt;0,1,0)</f>
        <v>0</v>
      </c>
      <c r="B2705" s="1157" t="s">
        <v>6</v>
      </c>
      <c r="C2705" s="1157"/>
      <c r="D2705" s="1093"/>
      <c r="E2705" s="1082"/>
      <c r="F2705" s="1083" t="str">
        <f>VLOOKUP($B2705,DG!A:D,DG!$C$2,)&amp;":"</f>
        <v>Keo silicon bít miệng ống:</v>
      </c>
      <c r="G2705" s="1082" t="str">
        <f>VLOOKUP($B2705,DG!A:D,DG!$D$2,)</f>
        <v>ống</v>
      </c>
      <c r="H2705" s="1916"/>
      <c r="I2705" s="1262">
        <f t="shared" si="181"/>
        <v>0</v>
      </c>
      <c r="J2705" s="1084"/>
      <c r="K2705" s="1084"/>
      <c r="L2705" s="1085"/>
      <c r="M2705" s="977">
        <v>2000</v>
      </c>
    </row>
    <row r="2706" spans="1:13" s="1086" customFormat="1" ht="25.15" hidden="1" customHeight="1">
      <c r="A2706" s="1156">
        <f t="shared" si="182"/>
        <v>0</v>
      </c>
      <c r="B2706" s="1327" t="s">
        <v>1353</v>
      </c>
      <c r="C2706" s="1327"/>
      <c r="D2706" s="1093"/>
      <c r="E2706" s="1082">
        <f>VLOOKUP($B2706,DG!A:D,DG!$B$2,)</f>
        <v>0</v>
      </c>
      <c r="F2706" s="1083" t="str">
        <f>VLOOKUP($B2706,DG!A:D,DG!$C$2,)</f>
        <v>Dây rút cáp</v>
      </c>
      <c r="G2706" s="1082" t="str">
        <f>VLOOKUP($B2706,DG!A:D,DG!$D$2,)</f>
        <v>bọc</v>
      </c>
      <c r="H2706" s="1916"/>
      <c r="I2706" s="1262">
        <f t="shared" si="181"/>
        <v>0</v>
      </c>
      <c r="J2706" s="1084"/>
      <c r="K2706" s="1084"/>
      <c r="L2706" s="1085"/>
      <c r="M2706" s="977">
        <v>2000</v>
      </c>
    </row>
    <row r="2707" spans="1:13" s="1086" customFormat="1" ht="25.15" hidden="1" customHeight="1">
      <c r="A2707" s="1156">
        <f t="shared" si="182"/>
        <v>0</v>
      </c>
      <c r="B2707" s="1157" t="s">
        <v>672</v>
      </c>
      <c r="C2707" s="1157"/>
      <c r="D2707" s="1093"/>
      <c r="E2707" s="1082">
        <f>VLOOKUP($B2707,DG!A:D,DG!$B$2,)</f>
        <v>0</v>
      </c>
      <c r="F2707" s="1083" t="str">
        <f>VLOOKUP($B2707,DG!A:D,DG!$C$2,)</f>
        <v>Băng keo cách điện</v>
      </c>
      <c r="G2707" s="1082" t="str">
        <f>VLOOKUP($B2707,DG!A:D,DG!$D$2,)</f>
        <v>cuộn</v>
      </c>
      <c r="H2707" s="1916"/>
      <c r="I2707" s="1262">
        <f t="shared" si="181"/>
        <v>0</v>
      </c>
      <c r="J2707" s="1084"/>
      <c r="K2707" s="1084"/>
      <c r="L2707" s="1085"/>
      <c r="M2707" s="977">
        <v>2000</v>
      </c>
    </row>
    <row r="2708" spans="1:13" s="1086" customFormat="1" ht="25.15" hidden="1" customHeight="1">
      <c r="A2708" s="1156">
        <f t="shared" si="182"/>
        <v>0</v>
      </c>
      <c r="B2708" s="1157" t="s">
        <v>247</v>
      </c>
      <c r="C2708" s="1157"/>
      <c r="D2708" s="1098"/>
      <c r="E2708" s="1082"/>
      <c r="F2708" s="1083" t="str">
        <f>VLOOKUP($B2708,DG!A:D,DG!$C$2,)&amp;":"</f>
        <v>Lắp cáp đồng xuống thiết bị D &gt; 150mm2:</v>
      </c>
      <c r="G2708" s="1082" t="str">
        <f>VLOOKUP($B2708,DG!A:D,DG!$D$2,)</f>
        <v>m</v>
      </c>
      <c r="H2708" s="1916"/>
      <c r="I2708" s="1262">
        <f t="shared" si="181"/>
        <v>0</v>
      </c>
      <c r="J2708" s="1084"/>
      <c r="K2708" s="1084"/>
      <c r="L2708" s="1085"/>
      <c r="M2708" s="977">
        <v>2000</v>
      </c>
    </row>
    <row r="2709" spans="1:13" s="1086" customFormat="1" ht="25.15" hidden="1" customHeight="1">
      <c r="A2709" s="1156">
        <f t="shared" si="182"/>
        <v>0</v>
      </c>
      <c r="B2709" s="1157"/>
      <c r="C2709" s="1157"/>
      <c r="D2709" s="1087">
        <f>IF(H2709&gt;0,D2691+1,D2691)</f>
        <v>0</v>
      </c>
      <c r="E2709" s="1088"/>
      <c r="F2709" s="1097" t="s">
        <v>3750</v>
      </c>
      <c r="G2709" s="1087" t="s">
        <v>2394</v>
      </c>
      <c r="H2709" s="1910"/>
      <c r="I2709" s="1262">
        <f t="shared" si="181"/>
        <v>0</v>
      </c>
      <c r="J2709" s="1084"/>
      <c r="K2709" s="1084"/>
      <c r="L2709" s="1085"/>
      <c r="M2709" s="977">
        <v>2000</v>
      </c>
    </row>
    <row r="2710" spans="1:13" s="1137" customFormat="1" ht="25.15" hidden="1" customHeight="1">
      <c r="A2710" s="1156">
        <f>IF(A2709&gt;0,1,0)</f>
        <v>0</v>
      </c>
      <c r="B2710" s="1360"/>
      <c r="C2710" s="1360"/>
      <c r="D2710" s="1081"/>
      <c r="E2710" s="1091"/>
      <c r="F2710" s="1371" t="s">
        <v>2287</v>
      </c>
      <c r="G2710" s="1081" t="s">
        <v>2448</v>
      </c>
      <c r="H2710" s="1890"/>
      <c r="I2710" s="1262">
        <f t="shared" si="181"/>
        <v>0</v>
      </c>
      <c r="J2710" s="1084"/>
      <c r="K2710" s="1084"/>
      <c r="L2710" s="1085"/>
      <c r="M2710" s="977">
        <v>2000</v>
      </c>
    </row>
    <row r="2711" spans="1:13" s="1086" customFormat="1" ht="25.15" hidden="1" customHeight="1">
      <c r="A2711" s="1156">
        <f t="shared" si="182"/>
        <v>0</v>
      </c>
      <c r="B2711" s="1327" t="s">
        <v>1828</v>
      </c>
      <c r="C2711" s="1327"/>
      <c r="D2711" s="1113"/>
      <c r="E2711" s="1082" t="str">
        <f>VLOOKUP($B2711,DG!A:D,DG!$B$2,)</f>
        <v>03.1401</v>
      </c>
      <c r="F2711" s="1111" t="str">
        <f>VLOOKUP($B2711,DG!A:D,DG!$C$2,)</f>
        <v xml:space="preserve">Cáp CVV 4x2,5mm2  </v>
      </c>
      <c r="G2711" s="1138" t="str">
        <f>VLOOKUP($B2711,DG!A:D,DG!$D$2,)</f>
        <v>mét</v>
      </c>
      <c r="H2711" s="1873">
        <f>H2709*12</f>
        <v>0</v>
      </c>
      <c r="I2711" s="1262">
        <f t="shared" si="181"/>
        <v>0</v>
      </c>
      <c r="J2711" s="1084"/>
      <c r="K2711" s="1084"/>
      <c r="L2711" s="1085"/>
      <c r="M2711" s="977">
        <v>2000</v>
      </c>
    </row>
    <row r="2712" spans="1:13" s="1086" customFormat="1" ht="25.15" hidden="1" customHeight="1">
      <c r="A2712" s="1156">
        <f t="shared" si="182"/>
        <v>0</v>
      </c>
      <c r="B2712" s="1327" t="s">
        <v>246</v>
      </c>
      <c r="C2712" s="1327"/>
      <c r="D2712" s="1113"/>
      <c r="E2712" s="1082" t="str">
        <f>VLOOKUP($B2712,DG!A:D,DG!$B$2,)</f>
        <v>05.6101</v>
      </c>
      <c r="F2712" s="1111" t="str">
        <f>VLOOKUP($B2712,DG!A:D,DG!$C$2,)</f>
        <v>Xà kẹp TU, TI U50x32x4 350</v>
      </c>
      <c r="G2712" s="1138" t="str">
        <f>VLOOKUP($B2712,DG!A:D,DG!$D$2,)</f>
        <v>Bộ</v>
      </c>
      <c r="H2712" s="1873">
        <f>H2709*24*0</f>
        <v>0</v>
      </c>
      <c r="I2712" s="1262">
        <f t="shared" si="181"/>
        <v>0</v>
      </c>
      <c r="J2712" s="1084"/>
      <c r="K2712" s="1084"/>
      <c r="L2712" s="1085"/>
      <c r="M2712" s="977">
        <v>2000</v>
      </c>
    </row>
    <row r="2713" spans="1:13" s="1086" customFormat="1" ht="25.15" hidden="1" customHeight="1">
      <c r="A2713" s="1156">
        <f t="shared" si="182"/>
        <v>0</v>
      </c>
      <c r="B2713" s="1327" t="s">
        <v>1871</v>
      </c>
      <c r="C2713" s="1327"/>
      <c r="D2713" s="1093"/>
      <c r="E2713" s="1082" t="str">
        <f>VLOOKUP($B2713,DG!A:D,DG!$B$2,)</f>
        <v>03.4001</v>
      </c>
      <c r="F2713" s="1111" t="str">
        <f>VLOOKUP($B2713,DG!A:D,DG!$C$2,)</f>
        <v xml:space="preserve">Đầu cosse ép Cu 2,5mm2 + bao PVC </v>
      </c>
      <c r="G2713" s="1138" t="str">
        <f>VLOOKUP($B2713,DG!A:D,DG!$D$2,)</f>
        <v>cái</v>
      </c>
      <c r="H2713" s="1873">
        <f>H2709*16*0</f>
        <v>0</v>
      </c>
      <c r="I2713" s="1262">
        <f t="shared" si="181"/>
        <v>0</v>
      </c>
      <c r="J2713" s="1084"/>
      <c r="K2713" s="1084"/>
      <c r="L2713" s="1085"/>
      <c r="M2713" s="977">
        <v>2000</v>
      </c>
    </row>
    <row r="2714" spans="1:13" s="1086" customFormat="1" ht="25.15" hidden="1" customHeight="1">
      <c r="A2714" s="1156">
        <f t="shared" si="182"/>
        <v>0</v>
      </c>
      <c r="B2714" s="1327" t="s">
        <v>1515</v>
      </c>
      <c r="C2714" s="1327"/>
      <c r="D2714" s="1093"/>
      <c r="E2714" s="1082">
        <f>VLOOKUP($B2714,DG!A:D,DG!$B$2,)</f>
        <v>0</v>
      </c>
      <c r="F2714" s="1111" t="str">
        <f>VLOOKUP($B2714,DG!A:D,DG!$C$2,)</f>
        <v>Dây điện đôi 16/10</v>
      </c>
      <c r="G2714" s="1138" t="str">
        <f>VLOOKUP($B2714,DG!A:D,DG!$D$2,)</f>
        <v>mét</v>
      </c>
      <c r="H2714" s="1873">
        <f>6*H2709*0</f>
        <v>0</v>
      </c>
      <c r="I2714" s="1262">
        <f t="shared" si="181"/>
        <v>0</v>
      </c>
      <c r="J2714" s="1084"/>
      <c r="K2714" s="1084"/>
      <c r="L2714" s="1085"/>
      <c r="M2714" s="977">
        <v>2000</v>
      </c>
    </row>
    <row r="2715" spans="1:13" s="1086" customFormat="1" ht="25.15" hidden="1" customHeight="1">
      <c r="A2715" s="1156">
        <f t="shared" si="182"/>
        <v>0</v>
      </c>
      <c r="B2715" s="1327" t="s">
        <v>1116</v>
      </c>
      <c r="C2715" s="1327"/>
      <c r="D2715" s="1093"/>
      <c r="E2715" s="1082">
        <f>VLOOKUP($B2715,DG!A:D,DG!$B$2,)</f>
        <v>0</v>
      </c>
      <c r="F2715" s="1111" t="str">
        <f>VLOOKUP($B2715,DG!A:D,DG!$C$2,)&amp;" (ñaáu TU)"</f>
        <v>Kẹp ép cỡ dây 25mm2 (ñaáu TU)</v>
      </c>
      <c r="G2715" s="1138" t="str">
        <f>VLOOKUP($B2715,DG!A:D,DG!$D$2,)</f>
        <v>cái</v>
      </c>
      <c r="H2715" s="1873">
        <f>+H2709*3*0</f>
        <v>0</v>
      </c>
      <c r="I2715" s="1262">
        <f t="shared" si="181"/>
        <v>0</v>
      </c>
      <c r="J2715" s="1084"/>
      <c r="K2715" s="1084"/>
      <c r="L2715" s="1085"/>
      <c r="M2715" s="977">
        <v>2000</v>
      </c>
    </row>
    <row r="2716" spans="1:13" s="1086" customFormat="1" ht="25.15" hidden="1" customHeight="1">
      <c r="A2716" s="1156">
        <f t="shared" si="182"/>
        <v>0</v>
      </c>
      <c r="B2716" s="1327" t="s">
        <v>2149</v>
      </c>
      <c r="C2716" s="1327"/>
      <c r="D2716" s="1093"/>
      <c r="E2716" s="1082" t="str">
        <f>VLOOKUP($B2716,DG!A:D,DG!$B$2,)</f>
        <v>07.2403</v>
      </c>
      <c r="F2716" s="1111" t="str">
        <f>VLOOKUP($B2716,DG!A:D,DG!$C$2,)</f>
        <v>Ống PVC D42x2,1mm</v>
      </c>
      <c r="G2716" s="1138" t="str">
        <f>VLOOKUP($B2716,DG!A:D,DG!$D$2,)</f>
        <v>m</v>
      </c>
      <c r="H2716" s="1873">
        <f>H2727*6</f>
        <v>0</v>
      </c>
      <c r="I2716" s="1262">
        <f t="shared" si="181"/>
        <v>0</v>
      </c>
      <c r="J2716" s="1084"/>
      <c r="K2716" s="1084"/>
      <c r="L2716" s="1085"/>
      <c r="M2716" s="977">
        <v>2000</v>
      </c>
    </row>
    <row r="2717" spans="1:13" s="1086" customFormat="1" ht="25.15" hidden="1" customHeight="1">
      <c r="A2717" s="1156">
        <f t="shared" si="182"/>
        <v>0</v>
      </c>
      <c r="B2717" s="1157" t="s">
        <v>204</v>
      </c>
      <c r="C2717" s="1157"/>
      <c r="D2717" s="1093"/>
      <c r="E2717" s="1082" t="str">
        <f>VLOOKUP($B2717,DG!A:D,DG!$B$2,)</f>
        <v>06.3231</v>
      </c>
      <c r="F2717" s="1111" t="str">
        <f>VLOOKUP($B2717,DG!A:D,DG!$C$2,)</f>
        <v>Cổ dê giữ ống PVC D42</v>
      </c>
      <c r="G2717" s="1138" t="str">
        <f>VLOOKUP($B2717,DG!A:D,DG!$D$2,)</f>
        <v>bộ</v>
      </c>
      <c r="H2717" s="1873">
        <f>H2709*4</f>
        <v>0</v>
      </c>
      <c r="I2717" s="1262">
        <f t="shared" si="181"/>
        <v>0</v>
      </c>
      <c r="J2717" s="1084"/>
      <c r="K2717" s="1084"/>
      <c r="L2717" s="1085"/>
      <c r="M2717" s="977">
        <v>2000</v>
      </c>
    </row>
    <row r="2718" spans="1:13" s="1086" customFormat="1" ht="25.15" hidden="1" customHeight="1">
      <c r="A2718" s="1156">
        <f t="shared" si="182"/>
        <v>0</v>
      </c>
      <c r="B2718" s="1327" t="s">
        <v>1621</v>
      </c>
      <c r="C2718" s="1327"/>
      <c r="D2718" s="1093"/>
      <c r="E2718" s="1082">
        <f>VLOOKUP($B2718,DG!A:D,DG!$B$2,)</f>
        <v>0</v>
      </c>
      <c r="F2718" s="1111" t="str">
        <f>VLOOKUP($B2718,DG!A:D,DG!$C$2,)</f>
        <v>Co 90 độ PVC 42</v>
      </c>
      <c r="G2718" s="1138" t="str">
        <f>VLOOKUP($B2718,DG!A:D,DG!$D$2,)</f>
        <v>cái</v>
      </c>
      <c r="H2718" s="1873">
        <f>H2709*4</f>
        <v>0</v>
      </c>
      <c r="I2718" s="1262">
        <f t="shared" si="181"/>
        <v>0</v>
      </c>
      <c r="J2718" s="1084"/>
      <c r="K2718" s="1084"/>
      <c r="L2718" s="1085"/>
      <c r="M2718" s="977">
        <v>2000</v>
      </c>
    </row>
    <row r="2719" spans="1:13" s="1086" customFormat="1" ht="25.15" hidden="1" customHeight="1">
      <c r="A2719" s="1156">
        <f t="shared" si="182"/>
        <v>0</v>
      </c>
      <c r="B2719" s="1327" t="s">
        <v>1052</v>
      </c>
      <c r="C2719" s="1327"/>
      <c r="D2719" s="1093"/>
      <c r="E2719" s="1082">
        <f>VLOOKUP($B2719,DG!A:D,DG!$B$2,)</f>
        <v>0</v>
      </c>
      <c r="F2719" s="1111" t="str">
        <f>VLOOKUP($B2719,DG!A:D,DG!$C$2,)</f>
        <v>Co chữ T ống PVC 42</v>
      </c>
      <c r="G2719" s="1138" t="str">
        <f>VLOOKUP($B2719,DG!A:D,DG!$D$2,)</f>
        <v>cái</v>
      </c>
      <c r="H2719" s="1873">
        <f>H2709*5*0</f>
        <v>0</v>
      </c>
      <c r="I2719" s="1262">
        <f t="shared" si="181"/>
        <v>0</v>
      </c>
      <c r="J2719" s="1084"/>
      <c r="K2719" s="1084"/>
      <c r="L2719" s="1085"/>
      <c r="M2719" s="977">
        <v>2000</v>
      </c>
    </row>
    <row r="2720" spans="1:13" s="1086" customFormat="1" ht="25.15" hidden="1" customHeight="1">
      <c r="A2720" s="1156">
        <f t="shared" si="182"/>
        <v>0</v>
      </c>
      <c r="B2720" s="1327" t="s">
        <v>1919</v>
      </c>
      <c r="C2720" s="1327"/>
      <c r="D2720" s="1093"/>
      <c r="E2720" s="1082">
        <f>VLOOKUP($B2720,DG!A:D,DG!$B$2,)</f>
        <v>0</v>
      </c>
      <c r="F2720" s="1111" t="str">
        <f>VLOOKUP($B2720,DG!A:D,DG!$C$2,)</f>
        <v>Nối thẳng ống PVC 42</v>
      </c>
      <c r="G2720" s="1138" t="str">
        <f>VLOOKUP($B2720,DG!A:D,DG!$D$2,)</f>
        <v>cái</v>
      </c>
      <c r="H2720" s="1873">
        <f>H2709*0</f>
        <v>0</v>
      </c>
      <c r="I2720" s="1262">
        <f t="shared" si="181"/>
        <v>0</v>
      </c>
      <c r="J2720" s="1084"/>
      <c r="K2720" s="1084"/>
      <c r="L2720" s="1085"/>
      <c r="M2720" s="977">
        <v>2000</v>
      </c>
    </row>
    <row r="2721" spans="1:13" s="1086" customFormat="1" ht="25.15" hidden="1" customHeight="1">
      <c r="A2721" s="1156">
        <f t="shared" si="182"/>
        <v>0</v>
      </c>
      <c r="B2721" s="1327" t="s">
        <v>699</v>
      </c>
      <c r="C2721" s="1327"/>
      <c r="D2721" s="1093"/>
      <c r="E2721" s="1082">
        <f>VLOOKUP($B2721,DG!A:D,DG!$B$2,)</f>
        <v>0</v>
      </c>
      <c r="F2721" s="1111" t="str">
        <f>VLOOKUP($B2721,DG!A:D,DG!$C$2,)&amp;" ñaáu TU"</f>
        <v>Cáp 24KV CX-25mm2 ñaáu TU</v>
      </c>
      <c r="G2721" s="1138" t="str">
        <f>VLOOKUP($B2721,DG!A:D,DG!$D$2,)</f>
        <v>mét</v>
      </c>
      <c r="H2721" s="1873">
        <f>H2709*2.5*3*0</f>
        <v>0</v>
      </c>
      <c r="I2721" s="1262">
        <f t="shared" si="181"/>
        <v>0</v>
      </c>
      <c r="J2721" s="1084"/>
      <c r="K2721" s="1084"/>
      <c r="L2721" s="1085"/>
      <c r="M2721" s="977">
        <v>2000</v>
      </c>
    </row>
    <row r="2722" spans="1:13" s="1086" customFormat="1" ht="25.15" hidden="1" customHeight="1">
      <c r="A2722" s="1156">
        <f t="shared" si="182"/>
        <v>0</v>
      </c>
      <c r="B2722" s="1327" t="s">
        <v>728</v>
      </c>
      <c r="C2722" s="1327"/>
      <c r="D2722" s="1093"/>
      <c r="E2722" s="1082">
        <f>VLOOKUP($B2722,DG!A:D,DG!$B$2,)</f>
        <v>0</v>
      </c>
      <c r="F2722" s="1111" t="str">
        <f>VLOOKUP($B2722,DG!A:D,DG!$C$2,)</f>
        <v>Keo dán ống PVC (500gr)</v>
      </c>
      <c r="G2722" s="1138" t="str">
        <f>VLOOKUP($B2722,DG!A:D,DG!$D$2,)</f>
        <v>lon</v>
      </c>
      <c r="H2722" s="1873">
        <f>H2709</f>
        <v>0</v>
      </c>
      <c r="I2722" s="1262">
        <f t="shared" si="181"/>
        <v>0</v>
      </c>
      <c r="J2722" s="1084"/>
      <c r="K2722" s="1084"/>
      <c r="L2722" s="1085"/>
      <c r="M2722" s="977">
        <v>2000</v>
      </c>
    </row>
    <row r="2723" spans="1:13" s="1086" customFormat="1" ht="25.15" hidden="1" customHeight="1">
      <c r="A2723" s="1156">
        <f t="shared" si="182"/>
        <v>0</v>
      </c>
      <c r="B2723" s="1157" t="s">
        <v>672</v>
      </c>
      <c r="C2723" s="1157"/>
      <c r="D2723" s="1093"/>
      <c r="E2723" s="1082">
        <f>VLOOKUP($B2723,DG!A:D,DG!$B$2,)</f>
        <v>0</v>
      </c>
      <c r="F2723" s="1111" t="str">
        <f>VLOOKUP($B2723,DG!A:D,DG!$C$2,)</f>
        <v>Băng keo cách điện</v>
      </c>
      <c r="G2723" s="1138" t="str">
        <f>VLOOKUP($B2723,DG!A:D,DG!$D$2,)</f>
        <v>cuộn</v>
      </c>
      <c r="H2723" s="1873">
        <f>H2709</f>
        <v>0</v>
      </c>
      <c r="I2723" s="1262">
        <f t="shared" si="181"/>
        <v>0</v>
      </c>
      <c r="J2723" s="1084"/>
      <c r="K2723" s="1084"/>
      <c r="L2723" s="1085"/>
      <c r="M2723" s="977">
        <v>2000</v>
      </c>
    </row>
    <row r="2724" spans="1:13" s="1086" customFormat="1" ht="25.15" hidden="1" customHeight="1">
      <c r="A2724" s="1156">
        <f t="shared" si="182"/>
        <v>0</v>
      </c>
      <c r="B2724" s="1327" t="s">
        <v>2128</v>
      </c>
      <c r="C2724" s="1327"/>
      <c r="D2724" s="1093"/>
      <c r="E2724" s="1082">
        <f>VLOOKUP($B2724,DG!A:D,DG!$B$2,)</f>
        <v>0</v>
      </c>
      <c r="F2724" s="1111" t="str">
        <f>VLOOKUP($B2724,DG!A:D,DG!$C$2,)</f>
        <v>Khâu ven răng trong D42</v>
      </c>
      <c r="G2724" s="1138" t="str">
        <f>VLOOKUP($B2724,DG!A:D,DG!$D$2,)</f>
        <v>cái</v>
      </c>
      <c r="H2724" s="1873">
        <f>H2709*2</f>
        <v>0</v>
      </c>
      <c r="I2724" s="1262">
        <f t="shared" si="181"/>
        <v>0</v>
      </c>
      <c r="J2724" s="1084"/>
      <c r="K2724" s="1084"/>
      <c r="L2724" s="1085"/>
      <c r="M2724" s="977">
        <v>2000</v>
      </c>
    </row>
    <row r="2725" spans="1:13" s="1086" customFormat="1" ht="25.15" hidden="1" customHeight="1">
      <c r="A2725" s="1156">
        <f t="shared" si="182"/>
        <v>0</v>
      </c>
      <c r="B2725" s="1157" t="s">
        <v>961</v>
      </c>
      <c r="C2725" s="1157"/>
      <c r="D2725" s="1093"/>
      <c r="E2725" s="1082">
        <f>VLOOKUP($B2725,DG!A:D,DG!$B$2,)</f>
        <v>0</v>
      </c>
      <c r="F2725" s="1111" t="str">
        <f>VLOOKUP($B2725,DG!A:D,DG!$C$2,)</f>
        <v>Khâu ven răng ngoài D42</v>
      </c>
      <c r="G2725" s="1138" t="str">
        <f>VLOOKUP($B2725,DG!A:D,DG!$D$2,)</f>
        <v>cái</v>
      </c>
      <c r="H2725" s="1873">
        <f>H2709*2</f>
        <v>0</v>
      </c>
      <c r="I2725" s="1262">
        <f t="shared" si="181"/>
        <v>0</v>
      </c>
      <c r="J2725" s="1084"/>
      <c r="K2725" s="1084"/>
      <c r="L2725" s="1085"/>
      <c r="M2725" s="977">
        <v>2000</v>
      </c>
    </row>
    <row r="2726" spans="1:13" s="1086" customFormat="1" ht="25.15" hidden="1" customHeight="1">
      <c r="A2726" s="1156">
        <f t="shared" si="182"/>
        <v>0</v>
      </c>
      <c r="B2726" s="1157" t="s">
        <v>319</v>
      </c>
      <c r="C2726" s="1157"/>
      <c r="D2726" s="1093"/>
      <c r="E2726" s="1082" t="str">
        <f>VLOOKUP($B2726,DG!A:D,DG!$B$2,)</f>
        <v>06.3231</v>
      </c>
      <c r="F2726" s="1111" t="str">
        <f>VLOOKUP($B2726,DG!A:D,DG!$C$2,)</f>
        <v>Cổ dê CDĐKĐT( bắt thùng điện kế)</v>
      </c>
      <c r="G2726" s="1138" t="str">
        <f>VLOOKUP($B2726,DG!A:D,DG!$D$2,)</f>
        <v>bộ</v>
      </c>
      <c r="H2726" s="1873">
        <f>H2709*2*0</f>
        <v>0</v>
      </c>
      <c r="I2726" s="1262">
        <f t="shared" si="181"/>
        <v>0</v>
      </c>
      <c r="J2726" s="1084"/>
      <c r="K2726" s="1084"/>
      <c r="L2726" s="1085"/>
      <c r="M2726" s="977">
        <v>2000</v>
      </c>
    </row>
    <row r="2727" spans="1:13" s="1086" customFormat="1" ht="25.15" hidden="1" customHeight="1">
      <c r="A2727" s="1156">
        <f t="shared" si="182"/>
        <v>0</v>
      </c>
      <c r="B2727" s="1157" t="s">
        <v>1921</v>
      </c>
      <c r="C2727" s="1157"/>
      <c r="D2727" s="1093"/>
      <c r="E2727" s="1082" t="str">
        <f>VLOOKUP($B2727,DG!A:D,DG!$B$2,)</f>
        <v>05.1101</v>
      </c>
      <c r="F2727" s="1111" t="str">
        <f>VLOOKUP($B2727,DG!A:D,DG!$C$2,)</f>
        <v>Thùng điện kế 450x300x200mm đo đếm trung thế</v>
      </c>
      <c r="G2727" s="1138" t="str">
        <f>VLOOKUP($B2727,DG!A:D,DG!$D$2,)</f>
        <v>cái</v>
      </c>
      <c r="H2727" s="1873">
        <f>H2709</f>
        <v>0</v>
      </c>
      <c r="I2727" s="1262">
        <f t="shared" si="181"/>
        <v>0</v>
      </c>
      <c r="J2727" s="1084"/>
      <c r="K2727" s="1084"/>
      <c r="L2727" s="1085"/>
      <c r="M2727" s="977">
        <v>2000</v>
      </c>
    </row>
    <row r="2728" spans="1:13" s="1086" customFormat="1" ht="25.15" hidden="1" customHeight="1">
      <c r="A2728" s="1156">
        <f t="shared" si="182"/>
        <v>0</v>
      </c>
      <c r="B2728" s="1157" t="s">
        <v>6</v>
      </c>
      <c r="C2728" s="1157"/>
      <c r="D2728" s="1093"/>
      <c r="E2728" s="1082">
        <f>VLOOKUP($B2728,DG!A:D,DG!$B$2,)</f>
        <v>0</v>
      </c>
      <c r="F2728" s="1111" t="str">
        <f>VLOOKUP($B2728,DG!A:D,DG!$C$2,)</f>
        <v>Keo silicon bít miệng ống</v>
      </c>
      <c r="G2728" s="1138" t="str">
        <f>VLOOKUP($B2728,DG!A:D,DG!$D$2,)</f>
        <v>ống</v>
      </c>
      <c r="H2728" s="1873">
        <f>H2709*2</f>
        <v>0</v>
      </c>
      <c r="I2728" s="1262">
        <f t="shared" si="181"/>
        <v>0</v>
      </c>
      <c r="J2728" s="1084"/>
      <c r="K2728" s="1084"/>
      <c r="L2728" s="1085"/>
      <c r="M2728" s="977">
        <v>2000</v>
      </c>
    </row>
    <row r="2729" spans="1:13" s="1086" customFormat="1" ht="25.15" hidden="1" customHeight="1">
      <c r="A2729" s="1156">
        <f t="shared" si="182"/>
        <v>0</v>
      </c>
      <c r="B2729" s="1157" t="s">
        <v>2147</v>
      </c>
      <c r="C2729" s="1157"/>
      <c r="D2729" s="1093"/>
      <c r="E2729" s="1082">
        <f>VLOOKUP($B2729,DG!A:D,DG!$B$2,)</f>
        <v>0</v>
      </c>
      <c r="F2729" s="1111" t="str">
        <f>VLOOKUP($B2729,DG!A:D,DG!$C$2,)</f>
        <v>Dây đồng trần mềm dẹt</v>
      </c>
      <c r="G2729" s="1138" t="str">
        <f>VLOOKUP($B2729,DG!A:D,DG!$D$2,)</f>
        <v>mét</v>
      </c>
      <c r="H2729" s="1873">
        <f>H2709*4</f>
        <v>0</v>
      </c>
      <c r="I2729" s="1262">
        <f t="shared" si="181"/>
        <v>0</v>
      </c>
      <c r="J2729" s="1084"/>
      <c r="K2729" s="1084"/>
      <c r="L2729" s="1085"/>
      <c r="M2729" s="977">
        <v>2000</v>
      </c>
    </row>
    <row r="2730" spans="1:13" s="1086" customFormat="1" ht="25.15" hidden="1" customHeight="1">
      <c r="A2730" s="1156">
        <f t="shared" si="182"/>
        <v>0</v>
      </c>
      <c r="B2730" s="1157" t="s">
        <v>1037</v>
      </c>
      <c r="C2730" s="1157"/>
      <c r="D2730" s="1093"/>
      <c r="E2730" s="1082">
        <v>0</v>
      </c>
      <c r="F2730" s="1111" t="str">
        <f>VLOOKUP($B2730,DG!A:D,DG!$C$2,)&amp;" : 2 thanh daøi 0,5m"</f>
        <v>Sắt góc L50 x50 x5 : 2 thanh daøi 0,5m</v>
      </c>
      <c r="G2730" s="1138" t="str">
        <f>VLOOKUP($B2730,DG!A:D,DG!$D$2,)</f>
        <v>kg</v>
      </c>
      <c r="H2730" s="1873">
        <f>3.77*H2709</f>
        <v>0</v>
      </c>
      <c r="I2730" s="1262">
        <f t="shared" si="181"/>
        <v>0</v>
      </c>
      <c r="J2730" s="1084"/>
      <c r="K2730" s="1084"/>
      <c r="L2730" s="1085"/>
      <c r="M2730" s="977">
        <v>2000</v>
      </c>
    </row>
    <row r="2731" spans="1:13" s="1086" customFormat="1" ht="25.15" hidden="1" customHeight="1">
      <c r="A2731" s="1156">
        <f t="shared" si="182"/>
        <v>0</v>
      </c>
      <c r="B2731" s="1157" t="s">
        <v>1355</v>
      </c>
      <c r="C2731" s="1157"/>
      <c r="D2731" s="1093"/>
      <c r="E2731" s="1082">
        <v>0</v>
      </c>
      <c r="F2731" s="1151" t="str">
        <f>VLOOKUP($B2731,DG!A:D,DG!$C$2,)&amp;" baét thuøng ÑKÑT"</f>
        <v>Boulon 12x60+ 2 long đền vuông D14-50x50x3/Zn baét thuøng ÑKÑT</v>
      </c>
      <c r="G2731" s="1138" t="str">
        <f>VLOOKUP($B2731,DG!A:D,DG!$D$2,)</f>
        <v>bộ</v>
      </c>
      <c r="H2731" s="1873">
        <f>4*H2709</f>
        <v>0</v>
      </c>
      <c r="I2731" s="1262">
        <f t="shared" si="181"/>
        <v>0</v>
      </c>
      <c r="J2731" s="1084"/>
      <c r="K2731" s="1084"/>
      <c r="L2731" s="1085"/>
      <c r="M2731" s="977">
        <v>2000</v>
      </c>
    </row>
    <row r="2732" spans="1:13" s="1086" customFormat="1" ht="25.15" hidden="1" customHeight="1">
      <c r="A2732" s="1156">
        <f t="shared" si="182"/>
        <v>0</v>
      </c>
      <c r="B2732" s="1157" t="s">
        <v>6</v>
      </c>
      <c r="C2732" s="1157"/>
      <c r="D2732" s="1118"/>
      <c r="E2732" s="1119"/>
      <c r="F2732" s="1108" t="s">
        <v>3783</v>
      </c>
      <c r="G2732" s="1108"/>
      <c r="H2732" s="1897"/>
      <c r="I2732" s="1262">
        <f t="shared" si="181"/>
        <v>0</v>
      </c>
      <c r="J2732" s="1108"/>
      <c r="K2732" s="1108"/>
      <c r="L2732" s="1139"/>
      <c r="M2732" s="977">
        <v>2000</v>
      </c>
    </row>
    <row r="2733" spans="1:13" s="1086" customFormat="1" ht="25.15" hidden="1" customHeight="1">
      <c r="A2733" s="1156">
        <f t="shared" si="182"/>
        <v>0</v>
      </c>
      <c r="B2733" s="1157" t="s">
        <v>1924</v>
      </c>
      <c r="C2733" s="1157"/>
      <c r="D2733" s="1093"/>
      <c r="E2733" s="1082" t="str">
        <f>VLOOKUP($B2733,DG!A:D,DG!$B$2,)</f>
        <v>06.3241</v>
      </c>
      <c r="F2733" s="1111" t="s">
        <v>2469</v>
      </c>
      <c r="G2733" s="1138" t="str">
        <f>VLOOKUP($B2733,DG!A:D,DG!$D$2,)</f>
        <v>bộ</v>
      </c>
      <c r="H2733" s="1873"/>
      <c r="I2733" s="1262">
        <f t="shared" si="181"/>
        <v>0</v>
      </c>
      <c r="J2733" s="1084"/>
      <c r="K2733" s="1084"/>
      <c r="L2733" s="1085"/>
      <c r="M2733" s="977">
        <v>2000</v>
      </c>
    </row>
    <row r="2734" spans="1:13" s="1086" customFormat="1" ht="25.15" hidden="1" customHeight="1">
      <c r="A2734" s="1156">
        <f t="shared" si="182"/>
        <v>0</v>
      </c>
      <c r="B2734" s="1157" t="s">
        <v>811</v>
      </c>
      <c r="C2734" s="1157"/>
      <c r="D2734" s="1093"/>
      <c r="E2734" s="1082" t="str">
        <f>VLOOKUP($B2734,DG!A:D,DG!$B$2,)</f>
        <v>05.6011</v>
      </c>
      <c r="F2734" s="1111" t="s">
        <v>2470</v>
      </c>
      <c r="G2734" s="1138" t="str">
        <f>VLOOKUP($B2734,DG!A:D,DG!$D$2,)</f>
        <v>bộ</v>
      </c>
      <c r="H2734" s="1873"/>
      <c r="I2734" s="1262">
        <f t="shared" si="181"/>
        <v>0</v>
      </c>
      <c r="J2734" s="1084"/>
      <c r="K2734" s="1084"/>
      <c r="L2734" s="1085"/>
      <c r="M2734" s="977">
        <v>2000</v>
      </c>
    </row>
    <row r="2735" spans="1:13" s="1086" customFormat="1" ht="25.15" hidden="1" customHeight="1">
      <c r="A2735" s="1156">
        <f t="shared" si="182"/>
        <v>0</v>
      </c>
      <c r="B2735" s="1157" t="s">
        <v>1355</v>
      </c>
      <c r="C2735" s="1157"/>
      <c r="D2735" s="1098"/>
      <c r="E2735" s="1099">
        <f>VLOOKUP($B2735,DG!A:D,DG!$B$2,)</f>
        <v>0</v>
      </c>
      <c r="F2735" s="1153" t="str">
        <f>VLOOKUP($B2735,DG!A:D,DG!$C$2,)&amp;" baét thuøng ÑKÑT"</f>
        <v>Boulon 12x60+ 2 long đền vuông D14-50x50x3/Zn baét thuøng ÑKÑT</v>
      </c>
      <c r="G2735" s="1154" t="str">
        <f>VLOOKUP($B2735,DG!A:D,DG!$D$2,)</f>
        <v>bộ</v>
      </c>
      <c r="H2735" s="1891">
        <f>4*H2713</f>
        <v>0</v>
      </c>
      <c r="I2735" s="1262">
        <f t="shared" si="181"/>
        <v>0</v>
      </c>
      <c r="J2735" s="1155"/>
      <c r="K2735" s="1155"/>
      <c r="L2735" s="1101"/>
      <c r="M2735" s="977">
        <v>2000</v>
      </c>
    </row>
    <row r="2736" spans="1:13" s="1086" customFormat="1" ht="20.100000000000001" customHeight="1">
      <c r="A2736" s="1156">
        <v>1</v>
      </c>
      <c r="B2736" s="1157"/>
      <c r="C2736" s="1157"/>
      <c r="D2736" s="1152"/>
      <c r="E2736" s="1141"/>
      <c r="F2736" s="1108"/>
      <c r="G2736" s="1142"/>
      <c r="H2736" s="1900"/>
      <c r="I2736" s="1900"/>
      <c r="J2736" s="1143"/>
      <c r="K2736" s="1143"/>
      <c r="L2736" s="1158"/>
      <c r="M2736" s="977" t="str">
        <f>M23</f>
        <v>3x50</v>
      </c>
    </row>
  </sheetData>
  <autoFilter ref="A24:N2736">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98" priority="14"/>
  </conditionalFormatting>
  <conditionalFormatting sqref="B1320:C1320">
    <cfRule type="duplicateValues" dxfId="97" priority="13"/>
  </conditionalFormatting>
  <conditionalFormatting sqref="B1321:C1321">
    <cfRule type="duplicateValues" dxfId="96" priority="12"/>
  </conditionalFormatting>
  <conditionalFormatting sqref="B1321:C1321">
    <cfRule type="duplicateValues" dxfId="95" priority="11"/>
  </conditionalFormatting>
  <conditionalFormatting sqref="B1367:C1367">
    <cfRule type="duplicateValues" dxfId="94" priority="10"/>
  </conditionalFormatting>
  <conditionalFormatting sqref="B1367:C1367">
    <cfRule type="duplicateValues" dxfId="93" priority="9"/>
  </conditionalFormatting>
  <conditionalFormatting sqref="B1401:C1401">
    <cfRule type="duplicateValues" dxfId="92" priority="8"/>
  </conditionalFormatting>
  <conditionalFormatting sqref="B1401:C1401">
    <cfRule type="duplicateValues" dxfId="91" priority="7"/>
  </conditionalFormatting>
  <conditionalFormatting sqref="B1364:C1364">
    <cfRule type="duplicateValues" dxfId="90" priority="6"/>
  </conditionalFormatting>
  <conditionalFormatting sqref="B1364:C1364">
    <cfRule type="duplicateValues" dxfId="89" priority="5"/>
  </conditionalFormatting>
  <conditionalFormatting sqref="B1365:C1365">
    <cfRule type="duplicateValues" dxfId="88" priority="4"/>
  </conditionalFormatting>
  <conditionalFormatting sqref="B1365:C1365">
    <cfRule type="duplicateValues" dxfId="87" priority="3"/>
  </conditionalFormatting>
  <conditionalFormatting sqref="B1363:C1363">
    <cfRule type="duplicateValues" dxfId="86" priority="2"/>
  </conditionalFormatting>
  <conditionalFormatting sqref="B1363:C1363">
    <cfRule type="duplicateValues" dxfId="85"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T2808"/>
  <sheetViews>
    <sheetView showZeros="0" zoomScale="90" zoomScaleNormal="90" workbookViewId="0">
      <pane ySplit="10" topLeftCell="A1876" activePane="bottomLeft" state="frozen"/>
      <selection activeCell="D399" sqref="D399"/>
      <selection pane="bottomLeft" activeCell="F1831" sqref="F1831:P1879"/>
    </sheetView>
  </sheetViews>
  <sheetFormatPr defaultColWidth="8.88671875" defaultRowHeight="12.75" outlineLevelRow="1" outlineLevelCol="1"/>
  <cols>
    <col min="1" max="1" width="8.21875" style="1577" customWidth="1"/>
    <col min="2" max="2" width="9.44140625" style="1576" customWidth="1"/>
    <col min="3" max="3" width="4.5546875" style="1853" customWidth="1"/>
    <col min="4" max="4" width="8.33203125" style="1533" customWidth="1"/>
    <col min="5" max="5" width="9.77734375" style="61" customWidth="1"/>
    <col min="6" max="6" width="48.33203125" style="1000" customWidth="1"/>
    <col min="7" max="7" width="11.21875" style="61" customWidth="1"/>
    <col min="8" max="8" width="10" style="1840" customWidth="1"/>
    <col min="9" max="15" width="10" style="1840" hidden="1" customWidth="1" outlineLevel="1"/>
    <col min="16" max="16" width="10" style="1842" customWidth="1" collapsed="1"/>
    <col min="17" max="18" width="10" style="53" customWidth="1"/>
    <col min="19" max="19" width="9.88671875" style="53" customWidth="1"/>
    <col min="20" max="20" width="11.44140625" style="2058" customWidth="1"/>
    <col min="21" max="16384" width="8.88671875" style="53"/>
  </cols>
  <sheetData>
    <row r="1" spans="1:20" hidden="1" outlineLevel="1">
      <c r="A1" s="59"/>
      <c r="B1" s="1576">
        <v>1</v>
      </c>
      <c r="C1" s="1014"/>
      <c r="F1" s="999" t="s">
        <v>2324</v>
      </c>
      <c r="G1" s="69">
        <v>1.5</v>
      </c>
      <c r="T1" s="53"/>
    </row>
    <row r="2" spans="1:20" hidden="1" outlineLevel="1">
      <c r="A2" s="59"/>
      <c r="B2" s="1576">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575"/>
      <c r="D6" s="1534"/>
      <c r="E6" s="1424" t="s">
        <v>4860</v>
      </c>
      <c r="F6" s="1022"/>
      <c r="G6" s="1022"/>
      <c r="H6" s="1828"/>
      <c r="I6" s="1841"/>
      <c r="J6" s="1841"/>
      <c r="K6" s="1841"/>
      <c r="L6" s="1841"/>
      <c r="M6" s="1841"/>
      <c r="N6" s="1841"/>
      <c r="O6" s="1841"/>
      <c r="P6" s="1829"/>
      <c r="Q6" s="1425"/>
      <c r="R6" s="1425"/>
      <c r="S6" s="1425"/>
    </row>
    <row r="7" spans="1:20" ht="21.75" customHeight="1">
      <c r="D7" s="1535"/>
      <c r="E7" s="1023" t="str">
        <f>CT_tram!D20</f>
        <v>Công trình: Đường dây trung thế &amp; TBA Suối Lá, ấp Gia Ui, xã Xuân Tâm</v>
      </c>
      <c r="F7" s="1022"/>
      <c r="G7" s="986"/>
      <c r="H7" s="1830"/>
      <c r="I7" s="1831"/>
      <c r="J7" s="1831"/>
      <c r="K7" s="1831"/>
      <c r="L7" s="1831"/>
      <c r="M7" s="1831"/>
      <c r="N7" s="1831"/>
      <c r="O7" s="1831"/>
      <c r="P7" s="1830"/>
      <c r="Q7" s="986"/>
      <c r="R7" s="986"/>
      <c r="S7" s="986"/>
    </row>
    <row r="8" spans="1:20" ht="18.75" customHeight="1">
      <c r="D8" s="1534"/>
      <c r="E8" s="932" t="str">
        <f>CT_tram!D21</f>
        <v>Địa điểm: Xã Xuân Tâm - Huyện Xuân Lộc - TỉnhĐồngNai</v>
      </c>
      <c r="F8" s="1022"/>
      <c r="G8" s="1022"/>
      <c r="H8" s="1828"/>
      <c r="I8" s="1841"/>
      <c r="J8" s="1841"/>
      <c r="K8" s="1841"/>
      <c r="L8" s="1841"/>
      <c r="M8" s="1841"/>
      <c r="N8" s="1841"/>
      <c r="O8" s="1841"/>
      <c r="P8" s="1829"/>
      <c r="Q8" s="1425"/>
      <c r="R8" s="1425"/>
      <c r="S8" s="1425"/>
    </row>
    <row r="9" spans="1:20" ht="21" customHeight="1">
      <c r="B9" s="1578" t="s">
        <v>2292</v>
      </c>
      <c r="C9" s="1020" t="s">
        <v>512</v>
      </c>
      <c r="D9" s="1536" t="s">
        <v>4316</v>
      </c>
      <c r="E9" s="1044" t="s">
        <v>2329</v>
      </c>
      <c r="F9" s="2678" t="s">
        <v>2289</v>
      </c>
      <c r="G9" s="2678" t="s">
        <v>2604</v>
      </c>
      <c r="H9" s="1956" t="s">
        <v>4315</v>
      </c>
      <c r="I9" s="1832"/>
      <c r="J9" s="1832"/>
      <c r="K9" s="1832"/>
      <c r="L9" s="1832"/>
      <c r="M9" s="1832"/>
      <c r="N9" s="1832"/>
      <c r="O9" s="1832"/>
      <c r="P9" s="929"/>
      <c r="Q9" s="930"/>
      <c r="R9" s="931"/>
      <c r="S9" s="2682" t="s">
        <v>2610</v>
      </c>
    </row>
    <row r="10" spans="1:20" ht="23.25" customHeight="1">
      <c r="B10" s="1579"/>
      <c r="C10" s="1020" t="s">
        <v>512</v>
      </c>
      <c r="D10" s="1537" t="s">
        <v>4317</v>
      </c>
      <c r="E10" s="1044" t="s">
        <v>4422</v>
      </c>
      <c r="F10" s="2679"/>
      <c r="G10" s="2679"/>
      <c r="H10" s="1044" t="s">
        <v>4314</v>
      </c>
      <c r="I10" s="1833" t="s">
        <v>2331</v>
      </c>
      <c r="J10" s="1833" t="s">
        <v>2332</v>
      </c>
      <c r="K10" s="1833" t="s">
        <v>2333</v>
      </c>
      <c r="L10" s="1833" t="s">
        <v>190</v>
      </c>
      <c r="M10" s="1833" t="s">
        <v>191</v>
      </c>
      <c r="N10" s="1833" t="s">
        <v>2334</v>
      </c>
      <c r="O10" s="1833" t="s">
        <v>162</v>
      </c>
      <c r="P10" s="1044" t="s">
        <v>4311</v>
      </c>
      <c r="Q10" s="1071" t="s">
        <v>4499</v>
      </c>
      <c r="R10" s="1071" t="s">
        <v>4500</v>
      </c>
      <c r="S10" s="2683"/>
      <c r="T10" s="2060" t="s">
        <v>4200</v>
      </c>
    </row>
    <row r="11" spans="1:20" ht="22.15" hidden="1" customHeight="1">
      <c r="A11" s="59"/>
      <c r="B11" s="1597"/>
      <c r="C11" s="57"/>
      <c r="D11" s="1538">
        <v>4</v>
      </c>
      <c r="E11" s="1402">
        <v>1</v>
      </c>
      <c r="F11" s="1403">
        <v>2</v>
      </c>
      <c r="G11" s="1402">
        <v>3</v>
      </c>
      <c r="H11" s="1834"/>
      <c r="I11" s="1834"/>
      <c r="J11" s="1834"/>
      <c r="K11" s="1834"/>
      <c r="L11" s="1834"/>
      <c r="M11" s="1834"/>
      <c r="N11" s="1834"/>
      <c r="O11" s="1834"/>
      <c r="P11" s="1835"/>
      <c r="Q11" s="1401"/>
      <c r="R11" s="1401"/>
      <c r="S11" s="1401"/>
      <c r="T11" s="1401"/>
    </row>
    <row r="12" spans="1:20" ht="22.15" hidden="1" customHeight="1">
      <c r="A12" s="59">
        <v>1</v>
      </c>
      <c r="B12" s="1597">
        <v>2</v>
      </c>
      <c r="C12" s="57"/>
      <c r="D12" s="1539">
        <v>7</v>
      </c>
      <c r="E12" s="1404">
        <v>4</v>
      </c>
      <c r="F12" s="1405">
        <v>5</v>
      </c>
      <c r="G12" s="1404">
        <v>6</v>
      </c>
      <c r="H12" s="1836">
        <v>8</v>
      </c>
      <c r="I12" s="1836">
        <v>9</v>
      </c>
      <c r="J12" s="1836">
        <v>10</v>
      </c>
      <c r="K12" s="1836">
        <v>11</v>
      </c>
      <c r="L12" s="1836">
        <v>12</v>
      </c>
      <c r="M12" s="1836">
        <v>13</v>
      </c>
      <c r="N12" s="1836">
        <v>14</v>
      </c>
      <c r="O12" s="1836">
        <v>15</v>
      </c>
      <c r="P12" s="1835"/>
      <c r="Q12" s="1401"/>
      <c r="R12" s="1401"/>
      <c r="S12" s="1401"/>
      <c r="T12" s="1401"/>
    </row>
    <row r="13" spans="1:20" ht="22.15" customHeight="1">
      <c r="B13" s="1580"/>
      <c r="C13" s="1020" t="s">
        <v>1962</v>
      </c>
      <c r="D13" s="1540"/>
      <c r="E13" s="1045" t="s">
        <v>501</v>
      </c>
      <c r="F13" s="1046" t="s">
        <v>2296</v>
      </c>
      <c r="G13" s="1047"/>
      <c r="H13" s="1837"/>
      <c r="I13" s="1837"/>
      <c r="J13" s="1837"/>
      <c r="K13" s="1837"/>
      <c r="L13" s="1837"/>
      <c r="M13" s="1837"/>
      <c r="N13" s="1837"/>
      <c r="O13" s="1837"/>
      <c r="P13" s="1837"/>
      <c r="Q13" s="1047"/>
      <c r="R13" s="1047"/>
      <c r="S13" s="1047"/>
      <c r="T13" s="1394"/>
    </row>
    <row r="14" spans="1:20" ht="22.15" hidden="1" customHeight="1">
      <c r="A14" s="56" t="s">
        <v>87</v>
      </c>
      <c r="B14" s="1583" t="s">
        <v>87</v>
      </c>
      <c r="C14" s="62" t="str">
        <f>IF(OR(P14&lt;&gt;0,H14&lt;&gt;0),"x"," ")</f>
        <v xml:space="preserve"> </v>
      </c>
      <c r="D14" s="1541"/>
      <c r="E14" s="1048"/>
      <c r="F14" s="1396" t="s">
        <v>2335</v>
      </c>
      <c r="G14" s="1049" t="s">
        <v>2336</v>
      </c>
      <c r="H14" s="1843">
        <f>SUM(I14:O14)</f>
        <v>0</v>
      </c>
      <c r="I14" s="1844"/>
      <c r="J14" s="1844"/>
      <c r="K14" s="1844">
        <f>IFERROR(HLOOKUP(B14,pp3p1m!$1:$3,3,0),0)</f>
        <v>0</v>
      </c>
      <c r="L14" s="1844">
        <f>IFERROR(HLOOKUP(chitiet!B14,pp1p!$1:$3,3,0),0)</f>
        <v>0</v>
      </c>
      <c r="M14" s="1844"/>
      <c r="N14" s="1844"/>
      <c r="O14" s="1844"/>
      <c r="P14" s="1843">
        <f>H14+Q14-R14</f>
        <v>0</v>
      </c>
      <c r="Q14" s="1050"/>
      <c r="R14" s="1050"/>
      <c r="S14" s="1050"/>
      <c r="T14" s="2059">
        <f>IFERROR(HLOOKUP(B14,pp1p!$1:$3,3,0),0)+IFERROR(HLOOKUP(B14,pp3p1m!$1:$3,3,0),0)</f>
        <v>0</v>
      </c>
    </row>
    <row r="15" spans="1:20" ht="22.15" hidden="1" customHeight="1">
      <c r="A15" s="59"/>
      <c r="B15" s="1586" t="s">
        <v>639</v>
      </c>
      <c r="C15" s="64" t="str">
        <f t="shared" ref="C15:C78" si="0">IF(OR(P15&lt;&gt;0,H15&lt;&gt;0),"x"," ")</f>
        <v xml:space="preserve"> </v>
      </c>
      <c r="D15" s="1542">
        <v>0.16300000000000001</v>
      </c>
      <c r="E15" s="1047" t="str">
        <f>VLOOKUP($B15,DG!A:D,DG!$B$2,)</f>
        <v>03.1013</v>
      </c>
      <c r="F15" s="1052" t="str">
        <f>VLOOKUP($B15,DG!A:D,DG!$C$2,)</f>
        <v>Đào hố móng đất cấp 3 sâu &gt;1m</v>
      </c>
      <c r="G15" s="1047" t="str">
        <f>VLOOKUP($B15,DG!A:D,DG!$D$2,)</f>
        <v>m3</v>
      </c>
      <c r="H15" s="1845">
        <f>$H$14*D15</f>
        <v>0</v>
      </c>
      <c r="I15" s="1845"/>
      <c r="J15" s="1845"/>
      <c r="K15" s="1845"/>
      <c r="L15" s="1845"/>
      <c r="M15" s="1845"/>
      <c r="N15" s="1845"/>
      <c r="O15" s="1845"/>
      <c r="P15" s="1846">
        <f>H15+Q15-R15</f>
        <v>0</v>
      </c>
      <c r="Q15" s="1061"/>
      <c r="R15" s="1061"/>
      <c r="S15" s="1061"/>
      <c r="T15" s="2059">
        <f t="shared" ref="T15:T77" si="1">IFERROR(HLOOKUP(B15,BangKeTru,3,0),0)</f>
        <v>0</v>
      </c>
    </row>
    <row r="16" spans="1:20" ht="22.15" hidden="1" customHeight="1">
      <c r="A16" s="59"/>
      <c r="B16" s="1586" t="s">
        <v>21</v>
      </c>
      <c r="C16" s="64" t="str">
        <f t="shared" si="0"/>
        <v xml:space="preserve"> </v>
      </c>
      <c r="D16" s="1542">
        <v>0.13100000000000001</v>
      </c>
      <c r="E16" s="1047" t="str">
        <f>VLOOKUP($B16,DG!A:D,DG!$B$2,)</f>
        <v>03.4113</v>
      </c>
      <c r="F16" s="1052" t="str">
        <f>VLOOKUP($B16,DG!A:D,DG!$C$2,)</f>
        <v>Đắp đất hố móng, độ chặt k=0,95</v>
      </c>
      <c r="G16" s="1047" t="str">
        <f>VLOOKUP($B16,DG!A:D,DG!$D$2,)</f>
        <v>m3</v>
      </c>
      <c r="H16" s="1845">
        <f>$H$14*D16</f>
        <v>0</v>
      </c>
      <c r="I16" s="1845"/>
      <c r="J16" s="1845"/>
      <c r="K16" s="1845"/>
      <c r="L16" s="1845"/>
      <c r="M16" s="1845"/>
      <c r="N16" s="1845"/>
      <c r="O16" s="1845"/>
      <c r="P16" s="1846">
        <f>H16+Q16-R16</f>
        <v>0</v>
      </c>
      <c r="Q16" s="1061"/>
      <c r="R16" s="1061"/>
      <c r="S16" s="1061"/>
      <c r="T16" s="2059">
        <f t="shared" si="1"/>
        <v>0</v>
      </c>
    </row>
    <row r="17" spans="1:20" ht="22.15" hidden="1" customHeight="1">
      <c r="A17" s="59"/>
      <c r="B17" s="1598" t="s">
        <v>635</v>
      </c>
      <c r="C17" s="64" t="str">
        <f t="shared" si="0"/>
        <v xml:space="preserve"> </v>
      </c>
      <c r="D17" s="1543"/>
      <c r="E17" s="1047" t="str">
        <f>VLOOKUP($B17,DG!A:C,2,)</f>
        <v>02.1482</v>
      </c>
      <c r="F17" s="1052" t="str">
        <f>VLOOKUP(B17,DG!A:C,3,0)</f>
        <v>V/c dụng cụ thi công vào vị trí (cự ly &lt;=100m)</v>
      </c>
      <c r="G17" s="1047" t="str">
        <f>VLOOKUP($B17,DG!A:D,4,0)</f>
        <v>tấn</v>
      </c>
      <c r="H17" s="1845"/>
      <c r="I17" s="1845"/>
      <c r="J17" s="1845"/>
      <c r="K17" s="1845"/>
      <c r="L17" s="1845"/>
      <c r="M17" s="1845"/>
      <c r="N17" s="1845"/>
      <c r="O17" s="1845"/>
      <c r="P17" s="1845"/>
      <c r="Q17" s="1061"/>
      <c r="R17" s="1061"/>
      <c r="S17" s="1061"/>
      <c r="T17" s="2059">
        <f t="shared" si="1"/>
        <v>0</v>
      </c>
    </row>
    <row r="18" spans="1:20" ht="22.15" hidden="1" customHeight="1">
      <c r="A18" s="56" t="s">
        <v>102</v>
      </c>
      <c r="B18" s="1583" t="s">
        <v>102</v>
      </c>
      <c r="C18" s="62" t="str">
        <f t="shared" si="0"/>
        <v xml:space="preserve"> </v>
      </c>
      <c r="D18" s="1541"/>
      <c r="E18" s="1048"/>
      <c r="F18" s="1396" t="s">
        <v>2337</v>
      </c>
      <c r="G18" s="1049" t="s">
        <v>2336</v>
      </c>
      <c r="H18" s="1843">
        <f>SUM(I18:O18)</f>
        <v>0</v>
      </c>
      <c r="I18" s="1844"/>
      <c r="J18" s="1844"/>
      <c r="K18" s="1844">
        <f>IFERROR(HLOOKUP(B18,pp3p1m!$1:$3,3,0),0)</f>
        <v>0</v>
      </c>
      <c r="L18" s="1844">
        <f>IFERROR(HLOOKUP(chitiet!B18,pp1p!$1:$3,3,0),0)</f>
        <v>0</v>
      </c>
      <c r="M18" s="1844"/>
      <c r="N18" s="1844"/>
      <c r="O18" s="1844"/>
      <c r="P18" s="1844"/>
      <c r="Q18" s="1050"/>
      <c r="R18" s="1050"/>
      <c r="S18" s="1050"/>
      <c r="T18" s="2059">
        <f>IFERROR(HLOOKUP(B18,pp1p!$1:$3,3,0),0)+IFERROR(HLOOKUP(B18,pp3p1m!$1:$3,3,0),0)</f>
        <v>0</v>
      </c>
    </row>
    <row r="19" spans="1:20" ht="22.15" hidden="1" customHeight="1">
      <c r="A19" s="59"/>
      <c r="B19" s="1586" t="s">
        <v>636</v>
      </c>
      <c r="C19" s="64" t="str">
        <f t="shared" si="0"/>
        <v xml:space="preserve"> </v>
      </c>
      <c r="D19" s="1544">
        <v>1</v>
      </c>
      <c r="E19" s="1047" t="str">
        <f>VLOOKUP($B19,DG!A:D,DG!$B$2,)</f>
        <v>04.4001</v>
      </c>
      <c r="F19" s="1059" t="str">
        <f>VLOOKUP($B19,DG!A:D,DG!$C$2,)</f>
        <v>Đà cản BTCT 1,2m</v>
      </c>
      <c r="G19" s="1047" t="str">
        <f>VLOOKUP($B19,DG!A:D,DG!$D$2,)</f>
        <v>cái</v>
      </c>
      <c r="H19" s="1845">
        <f t="shared" ref="H19:O20" si="2">H$18*$D19</f>
        <v>0</v>
      </c>
      <c r="I19" s="1845">
        <f t="shared" si="2"/>
        <v>0</v>
      </c>
      <c r="J19" s="1845">
        <f t="shared" si="2"/>
        <v>0</v>
      </c>
      <c r="K19" s="1845">
        <f t="shared" si="2"/>
        <v>0</v>
      </c>
      <c r="L19" s="1845">
        <f t="shared" si="2"/>
        <v>0</v>
      </c>
      <c r="M19" s="1845">
        <f t="shared" si="2"/>
        <v>0</v>
      </c>
      <c r="N19" s="1845">
        <f t="shared" si="2"/>
        <v>0</v>
      </c>
      <c r="O19" s="1845">
        <f t="shared" si="2"/>
        <v>0</v>
      </c>
      <c r="P19" s="1845"/>
      <c r="Q19" s="1056"/>
      <c r="R19" s="1056"/>
      <c r="S19" s="1056"/>
      <c r="T19" s="2059">
        <f t="shared" si="1"/>
        <v>0</v>
      </c>
    </row>
    <row r="20" spans="1:20" ht="22.15" hidden="1" customHeight="1">
      <c r="A20" s="59"/>
      <c r="B20" s="1586" t="s">
        <v>721</v>
      </c>
      <c r="C20" s="64" t="str">
        <f t="shared" si="0"/>
        <v xml:space="preserve"> </v>
      </c>
      <c r="D20" s="1544">
        <v>1</v>
      </c>
      <c r="E20" s="1047"/>
      <c r="F20" s="1059" t="str">
        <f>VLOOKUP($B20,DG!A:D,DG!$C$2,)</f>
        <v>Boulon 22x550/100+ 2 long đền vuông D24-50x50x3/Zn</v>
      </c>
      <c r="G20" s="1047" t="str">
        <f>VLOOKUP($B20,DG!A:D,DG!$D$2,)</f>
        <v>bộ</v>
      </c>
      <c r="H20" s="1845">
        <f t="shared" si="2"/>
        <v>0</v>
      </c>
      <c r="I20" s="1845">
        <f t="shared" si="2"/>
        <v>0</v>
      </c>
      <c r="J20" s="1845">
        <f t="shared" si="2"/>
        <v>0</v>
      </c>
      <c r="K20" s="1845">
        <f t="shared" si="2"/>
        <v>0</v>
      </c>
      <c r="L20" s="1845">
        <f t="shared" si="2"/>
        <v>0</v>
      </c>
      <c r="M20" s="1845">
        <f t="shared" si="2"/>
        <v>0</v>
      </c>
      <c r="N20" s="1845">
        <f t="shared" si="2"/>
        <v>0</v>
      </c>
      <c r="O20" s="1845">
        <f t="shared" si="2"/>
        <v>0</v>
      </c>
      <c r="P20" s="1845"/>
      <c r="Q20" s="1056"/>
      <c r="R20" s="1056"/>
      <c r="S20" s="1056"/>
      <c r="T20" s="2059">
        <f t="shared" si="1"/>
        <v>0</v>
      </c>
    </row>
    <row r="21" spans="1:20" ht="22.15" hidden="1" customHeight="1">
      <c r="A21" s="59"/>
      <c r="B21" s="1586" t="s">
        <v>639</v>
      </c>
      <c r="C21" s="64" t="str">
        <f t="shared" si="0"/>
        <v xml:space="preserve"> </v>
      </c>
      <c r="D21" s="1543">
        <v>0.72</v>
      </c>
      <c r="E21" s="1047" t="str">
        <f>VLOOKUP($B21,DG!A:D,DG!$B$2,)</f>
        <v>03.1013</v>
      </c>
      <c r="F21" s="1052" t="str">
        <f>VLOOKUP($B21,DG!A:D,DG!$C$2,)</f>
        <v>Đào hố móng đất cấp 3 sâu &gt;1m</v>
      </c>
      <c r="G21" s="1047" t="str">
        <f>VLOOKUP($B21,DG!A:D,DG!$D$2,)</f>
        <v>m3</v>
      </c>
      <c r="H21" s="1845"/>
      <c r="I21" s="1845"/>
      <c r="J21" s="1845"/>
      <c r="K21" s="1845"/>
      <c r="L21" s="1845"/>
      <c r="M21" s="1845"/>
      <c r="N21" s="1845"/>
      <c r="O21" s="1845"/>
      <c r="P21" s="1845"/>
      <c r="Q21" s="1061"/>
      <c r="R21" s="1061"/>
      <c r="S21" s="1061"/>
      <c r="T21" s="2059">
        <f t="shared" si="1"/>
        <v>0</v>
      </c>
    </row>
    <row r="22" spans="1:20" ht="22.15" hidden="1" customHeight="1">
      <c r="A22" s="59"/>
      <c r="B22" s="1586" t="s">
        <v>21</v>
      </c>
      <c r="C22" s="64" t="str">
        <f t="shared" si="0"/>
        <v xml:space="preserve"> </v>
      </c>
      <c r="D22" s="1543">
        <f>+D21</f>
        <v>0.72</v>
      </c>
      <c r="E22" s="1047" t="str">
        <f>VLOOKUP($B22,DG!A:D,DG!$B$2,)</f>
        <v>03.4113</v>
      </c>
      <c r="F22" s="1052" t="str">
        <f>VLOOKUP($B22,DG!A:D,DG!$C$2,)</f>
        <v>Đắp đất hố móng, độ chặt k=0,95</v>
      </c>
      <c r="G22" s="1047" t="str">
        <f>VLOOKUP($B22,DG!A:D,DG!$D$2,)</f>
        <v>m3</v>
      </c>
      <c r="H22" s="1845"/>
      <c r="I22" s="1845"/>
      <c r="J22" s="1845"/>
      <c r="K22" s="1845"/>
      <c r="L22" s="1845"/>
      <c r="M22" s="1845"/>
      <c r="N22" s="1845"/>
      <c r="O22" s="1845"/>
      <c r="P22" s="1845"/>
      <c r="Q22" s="1061"/>
      <c r="R22" s="1061"/>
      <c r="S22" s="1061"/>
      <c r="T22" s="2059">
        <f t="shared" si="1"/>
        <v>0</v>
      </c>
    </row>
    <row r="23" spans="1:20" ht="22.15" hidden="1" customHeight="1">
      <c r="A23" s="59"/>
      <c r="B23" s="1586" t="s">
        <v>637</v>
      </c>
      <c r="C23" s="64" t="str">
        <f t="shared" si="0"/>
        <v xml:space="preserve"> </v>
      </c>
      <c r="D23" s="1543"/>
      <c r="E23" s="1047" t="str">
        <f>VLOOKUP($B23,DG!A:D,DG!$B$2,)</f>
        <v>02.1123</v>
      </c>
      <c r="F23" s="1052" t="str">
        <f>VLOOKUP($B23,DG!A:D,DG!$C$2,)</f>
        <v>Bốc dỡ đà cản, đế néo</v>
      </c>
      <c r="G23" s="1047" t="str">
        <f>VLOOKUP($B23,DG!A:D,DG!$D$2,)</f>
        <v>tấn</v>
      </c>
      <c r="H23" s="1845"/>
      <c r="I23" s="1845"/>
      <c r="J23" s="1845"/>
      <c r="K23" s="1845"/>
      <c r="L23" s="1845"/>
      <c r="M23" s="1845"/>
      <c r="N23" s="1845"/>
      <c r="O23" s="1845"/>
      <c r="P23" s="1845"/>
      <c r="Q23" s="1056"/>
      <c r="R23" s="1056"/>
      <c r="S23" s="1056"/>
      <c r="T23" s="2059">
        <f t="shared" si="1"/>
        <v>0</v>
      </c>
    </row>
    <row r="24" spans="1:20" ht="22.15" hidden="1" customHeight="1">
      <c r="A24" s="59"/>
      <c r="B24" s="1598" t="s">
        <v>2071</v>
      </c>
      <c r="C24" s="64" t="str">
        <f t="shared" si="0"/>
        <v xml:space="preserve"> </v>
      </c>
      <c r="D24" s="1543"/>
      <c r="E24" s="1047" t="str">
        <f>VLOOKUP($B24,DG!A:C,2,)</f>
        <v>02.1451</v>
      </c>
      <c r="F24" s="1052" t="str">
        <f>VLOOKUP($B24,DG!A:C,3,)</f>
        <v>V/c đà cản vào vị trí (cự ly &lt;=100m)</v>
      </c>
      <c r="G24" s="1047" t="str">
        <f>VLOOKUP($B24,DG!A:D,4,0)</f>
        <v>tấn</v>
      </c>
      <c r="H24" s="1845"/>
      <c r="I24" s="1845"/>
      <c r="J24" s="1845"/>
      <c r="K24" s="1845"/>
      <c r="L24" s="1845"/>
      <c r="M24" s="1845"/>
      <c r="N24" s="1845"/>
      <c r="O24" s="1845"/>
      <c r="P24" s="1845"/>
      <c r="Q24" s="1061"/>
      <c r="R24" s="1061"/>
      <c r="S24" s="1061"/>
      <c r="T24" s="2059">
        <f t="shared" si="1"/>
        <v>0</v>
      </c>
    </row>
    <row r="25" spans="1:20" ht="22.15" hidden="1" customHeight="1">
      <c r="A25" s="59"/>
      <c r="B25" s="1598" t="s">
        <v>674</v>
      </c>
      <c r="C25" s="64" t="str">
        <f t="shared" si="0"/>
        <v xml:space="preserve"> </v>
      </c>
      <c r="D25" s="1542"/>
      <c r="E25" s="1047" t="str">
        <f>VLOOKUP($B25,DG!A:C,2,)</f>
        <v>02.1241</v>
      </c>
      <c r="F25" s="1052" t="str">
        <f>VLOOKUP($B25,DG!A:C,3,)</f>
        <v>V/c đá dăm ( cự ly &lt;=100m)</v>
      </c>
      <c r="G25" s="1047" t="str">
        <f>VLOOKUP($B25,DG!A:D,4,0)</f>
        <v>m3</v>
      </c>
      <c r="H25" s="1845"/>
      <c r="I25" s="1845"/>
      <c r="J25" s="1845"/>
      <c r="K25" s="1845"/>
      <c r="L25" s="1845"/>
      <c r="M25" s="1845"/>
      <c r="N25" s="1845"/>
      <c r="O25" s="1845"/>
      <c r="P25" s="1845"/>
      <c r="Q25" s="1061"/>
      <c r="R25" s="1061"/>
      <c r="S25" s="1061"/>
      <c r="T25" s="2059">
        <f t="shared" si="1"/>
        <v>0</v>
      </c>
    </row>
    <row r="26" spans="1:20" ht="22.15" hidden="1" customHeight="1">
      <c r="A26" s="59"/>
      <c r="B26" s="1598" t="s">
        <v>635</v>
      </c>
      <c r="C26" s="64" t="str">
        <f t="shared" si="0"/>
        <v xml:space="preserve"> </v>
      </c>
      <c r="D26" s="1543"/>
      <c r="E26" s="1047" t="str">
        <f>VLOOKUP($B26,DG!A:C,2,)</f>
        <v>02.1482</v>
      </c>
      <c r="F26" s="1052" t="str">
        <f>VLOOKUP($B26,DG!A:C,3,)</f>
        <v>V/c dụng cụ thi công vào vị trí (cự ly &lt;=100m)</v>
      </c>
      <c r="G26" s="1047" t="str">
        <f>VLOOKUP($B26,DG!A:D,4,0)</f>
        <v>tấn</v>
      </c>
      <c r="H26" s="1845"/>
      <c r="I26" s="1845"/>
      <c r="J26" s="1845"/>
      <c r="K26" s="1845"/>
      <c r="L26" s="1845"/>
      <c r="M26" s="1845"/>
      <c r="N26" s="1845"/>
      <c r="O26" s="1845"/>
      <c r="P26" s="1845"/>
      <c r="Q26" s="1061"/>
      <c r="R26" s="1061"/>
      <c r="S26" s="1061"/>
      <c r="T26" s="2059">
        <f t="shared" si="1"/>
        <v>0</v>
      </c>
    </row>
    <row r="27" spans="1:20" ht="22.15" hidden="1" customHeight="1">
      <c r="A27" s="56" t="s">
        <v>764</v>
      </c>
      <c r="B27" s="1583" t="s">
        <v>764</v>
      </c>
      <c r="C27" s="62" t="str">
        <f t="shared" si="0"/>
        <v xml:space="preserve"> </v>
      </c>
      <c r="D27" s="1541"/>
      <c r="E27" s="1048"/>
      <c r="F27" s="1396" t="s">
        <v>2338</v>
      </c>
      <c r="G27" s="1049" t="s">
        <v>2336</v>
      </c>
      <c r="H27" s="1843">
        <f>SUM(I27:O27)</f>
        <v>0</v>
      </c>
      <c r="I27" s="1844"/>
      <c r="J27" s="1844"/>
      <c r="K27" s="1844">
        <f>IFERROR(HLOOKUP(B27,pp3p1m!$1:$3,3,0),0)</f>
        <v>0</v>
      </c>
      <c r="L27" s="1844">
        <f>IFERROR(HLOOKUP(chitiet!B27,pp1p!$1:$3,3,0),0)</f>
        <v>0</v>
      </c>
      <c r="M27" s="1844"/>
      <c r="N27" s="1844"/>
      <c r="O27" s="1844"/>
      <c r="P27" s="1844"/>
      <c r="Q27" s="1050"/>
      <c r="R27" s="1050"/>
      <c r="S27" s="1050"/>
      <c r="T27" s="2059">
        <f>IFERROR(HLOOKUP(B27,pp1p!$1:$3,3,0),0)+IFERROR(HLOOKUP(B27,pp3p1m!$1:$3,3,0),0)</f>
        <v>0</v>
      </c>
    </row>
    <row r="28" spans="1:20" ht="22.15" hidden="1" customHeight="1">
      <c r="A28" s="59"/>
      <c r="B28" s="1586" t="s">
        <v>1580</v>
      </c>
      <c r="C28" s="64" t="str">
        <f t="shared" si="0"/>
        <v xml:space="preserve"> </v>
      </c>
      <c r="D28" s="1544">
        <v>1</v>
      </c>
      <c r="E28" s="1047" t="str">
        <f>VLOOKUP($B28,DG!A:D,DG!$B$2,)</f>
        <v>04.3801</v>
      </c>
      <c r="F28" s="1059" t="str">
        <f>VLOOKUP($B28,DG!A:D,DG!$C$2,)</f>
        <v>Đà cản BTCT 1,5m</v>
      </c>
      <c r="G28" s="1047" t="str">
        <f>VLOOKUP($B28,DG!A:D,DG!$D$2,)</f>
        <v>cái</v>
      </c>
      <c r="H28" s="1845">
        <f t="shared" ref="H28:O29" si="3">H$27*$D28</f>
        <v>0</v>
      </c>
      <c r="I28" s="1845">
        <f t="shared" si="3"/>
        <v>0</v>
      </c>
      <c r="J28" s="1845">
        <f t="shared" si="3"/>
        <v>0</v>
      </c>
      <c r="K28" s="1845">
        <f t="shared" si="3"/>
        <v>0</v>
      </c>
      <c r="L28" s="1845">
        <f t="shared" si="3"/>
        <v>0</v>
      </c>
      <c r="M28" s="1845">
        <f t="shared" si="3"/>
        <v>0</v>
      </c>
      <c r="N28" s="1845">
        <f t="shared" si="3"/>
        <v>0</v>
      </c>
      <c r="O28" s="1845">
        <f t="shared" si="3"/>
        <v>0</v>
      </c>
      <c r="P28" s="1845"/>
      <c r="Q28" s="1056"/>
      <c r="R28" s="1056"/>
      <c r="S28" s="1056"/>
      <c r="T28" s="2059">
        <f t="shared" si="1"/>
        <v>0</v>
      </c>
    </row>
    <row r="29" spans="1:20" ht="22.15" hidden="1" customHeight="1">
      <c r="A29" s="59"/>
      <c r="B29" s="1586" t="s">
        <v>721</v>
      </c>
      <c r="C29" s="64" t="str">
        <f t="shared" si="0"/>
        <v xml:space="preserve"> </v>
      </c>
      <c r="D29" s="1544">
        <v>1</v>
      </c>
      <c r="E29" s="1047"/>
      <c r="F29" s="1059" t="str">
        <f>VLOOKUP($B29,DG!A:D,DG!$C$2,)</f>
        <v>Boulon 22x550/100+ 2 long đền vuông D24-50x50x3/Zn</v>
      </c>
      <c r="G29" s="1047" t="str">
        <f>VLOOKUP($B29,DG!A:D,DG!$D$2,)</f>
        <v>bộ</v>
      </c>
      <c r="H29" s="1845">
        <f t="shared" si="3"/>
        <v>0</v>
      </c>
      <c r="I29" s="1845">
        <f t="shared" si="3"/>
        <v>0</v>
      </c>
      <c r="J29" s="1845">
        <f t="shared" si="3"/>
        <v>0</v>
      </c>
      <c r="K29" s="1845">
        <f t="shared" si="3"/>
        <v>0</v>
      </c>
      <c r="L29" s="1845">
        <f t="shared" si="3"/>
        <v>0</v>
      </c>
      <c r="M29" s="1845">
        <f t="shared" si="3"/>
        <v>0</v>
      </c>
      <c r="N29" s="1845">
        <f t="shared" si="3"/>
        <v>0</v>
      </c>
      <c r="O29" s="1845">
        <f t="shared" si="3"/>
        <v>0</v>
      </c>
      <c r="P29" s="1845"/>
      <c r="Q29" s="1056"/>
      <c r="R29" s="1056"/>
      <c r="S29" s="1056"/>
      <c r="T29" s="2059">
        <f t="shared" si="1"/>
        <v>0</v>
      </c>
    </row>
    <row r="30" spans="1:20" ht="22.15" hidden="1" customHeight="1">
      <c r="A30" s="59"/>
      <c r="B30" s="1586" t="s">
        <v>1818</v>
      </c>
      <c r="C30" s="64" t="str">
        <f t="shared" si="0"/>
        <v xml:space="preserve"> </v>
      </c>
      <c r="D30" s="1542">
        <v>0.155</v>
      </c>
      <c r="E30" s="1047">
        <f>VLOOKUP($B30,DG!A:D,DG!$B$2,)</f>
        <v>0</v>
      </c>
      <c r="F30" s="1052" t="str">
        <f>VLOOKUP($B30,DG!A:D,DG!$C$2,)</f>
        <v>Đá 2x4</v>
      </c>
      <c r="G30" s="1047" t="str">
        <f>VLOOKUP($B30,DG!A:D,DG!$D$2,)</f>
        <v>m3</v>
      </c>
      <c r="H30" s="1845">
        <f t="shared" ref="H30:O30" si="4">H$18*$D30</f>
        <v>0</v>
      </c>
      <c r="I30" s="1845">
        <f t="shared" si="4"/>
        <v>0</v>
      </c>
      <c r="J30" s="1845">
        <f t="shared" si="4"/>
        <v>0</v>
      </c>
      <c r="K30" s="1845">
        <f t="shared" si="4"/>
        <v>0</v>
      </c>
      <c r="L30" s="1845">
        <f t="shared" si="4"/>
        <v>0</v>
      </c>
      <c r="M30" s="1845">
        <f t="shared" si="4"/>
        <v>0</v>
      </c>
      <c r="N30" s="1845">
        <f t="shared" si="4"/>
        <v>0</v>
      </c>
      <c r="O30" s="1845">
        <f t="shared" si="4"/>
        <v>0</v>
      </c>
      <c r="P30" s="1845"/>
      <c r="Q30" s="1056"/>
      <c r="R30" s="1056"/>
      <c r="S30" s="1056"/>
      <c r="T30" s="2059">
        <f t="shared" si="1"/>
        <v>0</v>
      </c>
    </row>
    <row r="31" spans="1:20" ht="22.15" hidden="1" customHeight="1">
      <c r="A31" s="59"/>
      <c r="B31" s="1586" t="s">
        <v>639</v>
      </c>
      <c r="C31" s="64" t="str">
        <f t="shared" si="0"/>
        <v xml:space="preserve"> </v>
      </c>
      <c r="D31" s="1543">
        <v>1.77</v>
      </c>
      <c r="E31" s="1047" t="str">
        <f>VLOOKUP($B31,DG!A:D,DG!$B$2,)</f>
        <v>03.1013</v>
      </c>
      <c r="F31" s="1052" t="str">
        <f>VLOOKUP($B31,DG!A:D,DG!$C$2,)</f>
        <v>Đào hố móng đất cấp 3 sâu &gt;1m</v>
      </c>
      <c r="G31" s="1047" t="str">
        <f>VLOOKUP($B31,DG!A:D,DG!$D$2,)</f>
        <v>m3</v>
      </c>
      <c r="H31" s="1845"/>
      <c r="I31" s="1845"/>
      <c r="J31" s="1845"/>
      <c r="K31" s="1845"/>
      <c r="L31" s="1845"/>
      <c r="M31" s="1845"/>
      <c r="N31" s="1845"/>
      <c r="O31" s="1845"/>
      <c r="P31" s="1845"/>
      <c r="Q31" s="1061"/>
      <c r="R31" s="1061"/>
      <c r="S31" s="1061"/>
      <c r="T31" s="2059">
        <f t="shared" si="1"/>
        <v>0</v>
      </c>
    </row>
    <row r="32" spans="1:20" ht="22.15" hidden="1" customHeight="1">
      <c r="A32" s="59"/>
      <c r="B32" s="1586" t="s">
        <v>21</v>
      </c>
      <c r="C32" s="64" t="str">
        <f t="shared" si="0"/>
        <v xml:space="preserve"> </v>
      </c>
      <c r="D32" s="1543">
        <v>2.0099999999999998</v>
      </c>
      <c r="E32" s="1047" t="str">
        <f>VLOOKUP($B32,DG!A:D,DG!$B$2,)</f>
        <v>03.4113</v>
      </c>
      <c r="F32" s="1052" t="str">
        <f>VLOOKUP($B32,DG!A:D,DG!$C$2,)</f>
        <v>Đắp đất hố móng, độ chặt k=0,95</v>
      </c>
      <c r="G32" s="1047" t="str">
        <f>VLOOKUP($B32,DG!A:D,DG!$D$2,)</f>
        <v>m3</v>
      </c>
      <c r="H32" s="1845"/>
      <c r="I32" s="1845"/>
      <c r="J32" s="1845"/>
      <c r="K32" s="1845"/>
      <c r="L32" s="1845"/>
      <c r="M32" s="1845"/>
      <c r="N32" s="1845"/>
      <c r="O32" s="1845"/>
      <c r="P32" s="1845"/>
      <c r="Q32" s="1061"/>
      <c r="R32" s="1061"/>
      <c r="S32" s="1061"/>
      <c r="T32" s="2059">
        <f t="shared" si="1"/>
        <v>0</v>
      </c>
    </row>
    <row r="33" spans="1:20" ht="22.15" hidden="1" customHeight="1">
      <c r="A33" s="59"/>
      <c r="B33" s="1586" t="s">
        <v>637</v>
      </c>
      <c r="C33" s="64" t="str">
        <f t="shared" si="0"/>
        <v xml:space="preserve"> </v>
      </c>
      <c r="D33" s="1543">
        <v>0.1</v>
      </c>
      <c r="E33" s="1047" t="str">
        <f>VLOOKUP($B33,DG!A:D,DG!$B$2,)</f>
        <v>02.1123</v>
      </c>
      <c r="F33" s="1052" t="str">
        <f>VLOOKUP($B33,DG!A:D,DG!$C$2,)</f>
        <v>Bốc dỡ đà cản, đế néo</v>
      </c>
      <c r="G33" s="1047" t="str">
        <f>VLOOKUP($B33,DG!A:D,DG!$D$2,)</f>
        <v>tấn</v>
      </c>
      <c r="H33" s="1845"/>
      <c r="I33" s="1845"/>
      <c r="J33" s="1845"/>
      <c r="K33" s="1845"/>
      <c r="L33" s="1845"/>
      <c r="M33" s="1845"/>
      <c r="N33" s="1845"/>
      <c r="O33" s="1845"/>
      <c r="P33" s="1845"/>
      <c r="Q33" s="1056"/>
      <c r="R33" s="1056"/>
      <c r="S33" s="1056"/>
      <c r="T33" s="2059">
        <f t="shared" si="1"/>
        <v>0</v>
      </c>
    </row>
    <row r="34" spans="1:20" ht="22.15" hidden="1" customHeight="1">
      <c r="A34" s="59"/>
      <c r="B34" s="1598" t="s">
        <v>2071</v>
      </c>
      <c r="C34" s="64" t="str">
        <f t="shared" si="0"/>
        <v xml:space="preserve"> </v>
      </c>
      <c r="D34" s="1543">
        <f>D33</f>
        <v>0.1</v>
      </c>
      <c r="E34" s="1047" t="str">
        <f>VLOOKUP($B34,DG!A:C,2,)</f>
        <v>02.1451</v>
      </c>
      <c r="F34" s="1052" t="str">
        <f>VLOOKUP($B34,DG!A:C,3,)</f>
        <v>V/c đà cản vào vị trí (cự ly &lt;=100m)</v>
      </c>
      <c r="G34" s="1047" t="str">
        <f>VLOOKUP($B34,DG!A:D,4,0)</f>
        <v>tấn</v>
      </c>
      <c r="H34" s="1845"/>
      <c r="I34" s="1845"/>
      <c r="J34" s="1845"/>
      <c r="K34" s="1845"/>
      <c r="L34" s="1845"/>
      <c r="M34" s="1845"/>
      <c r="N34" s="1845"/>
      <c r="O34" s="1845"/>
      <c r="P34" s="1845"/>
      <c r="Q34" s="1061"/>
      <c r="R34" s="1061"/>
      <c r="S34" s="1061"/>
      <c r="T34" s="2059">
        <f t="shared" si="1"/>
        <v>0</v>
      </c>
    </row>
    <row r="35" spans="1:20" ht="22.15" hidden="1" customHeight="1">
      <c r="A35" s="59"/>
      <c r="B35" s="1598" t="s">
        <v>674</v>
      </c>
      <c r="C35" s="64" t="str">
        <f t="shared" si="0"/>
        <v xml:space="preserve"> </v>
      </c>
      <c r="D35" s="1542">
        <f>D30</f>
        <v>0.155</v>
      </c>
      <c r="E35" s="1047" t="str">
        <f>VLOOKUP($B35,DG!A:C,2,)</f>
        <v>02.1241</v>
      </c>
      <c r="F35" s="1052" t="str">
        <f>VLOOKUP($B35,DG!A:C,3,)</f>
        <v>V/c đá dăm ( cự ly &lt;=100m)</v>
      </c>
      <c r="G35" s="1047" t="str">
        <f>VLOOKUP($B35,DG!A:D,4,0)</f>
        <v>m3</v>
      </c>
      <c r="H35" s="1845"/>
      <c r="I35" s="1845"/>
      <c r="J35" s="1845"/>
      <c r="K35" s="1845"/>
      <c r="L35" s="1845"/>
      <c r="M35" s="1845"/>
      <c r="N35" s="1845"/>
      <c r="O35" s="1845"/>
      <c r="P35" s="1845"/>
      <c r="Q35" s="1061"/>
      <c r="R35" s="1061"/>
      <c r="S35" s="1061"/>
      <c r="T35" s="2059">
        <f t="shared" si="1"/>
        <v>0</v>
      </c>
    </row>
    <row r="36" spans="1:20" ht="22.15" hidden="1" customHeight="1">
      <c r="A36" s="59"/>
      <c r="B36" s="1598" t="s">
        <v>635</v>
      </c>
      <c r="C36" s="64" t="str">
        <f t="shared" si="0"/>
        <v xml:space="preserve"> </v>
      </c>
      <c r="D36" s="1543">
        <v>0.2</v>
      </c>
      <c r="E36" s="1047" t="str">
        <f>VLOOKUP($B36,DG!A:C,2,)</f>
        <v>02.1482</v>
      </c>
      <c r="F36" s="1052" t="str">
        <f>VLOOKUP($B36,DG!A:C,3,)</f>
        <v>V/c dụng cụ thi công vào vị trí (cự ly &lt;=100m)</v>
      </c>
      <c r="G36" s="1047" t="str">
        <f>VLOOKUP($B36,DG!A:D,4,0)</f>
        <v>tấn</v>
      </c>
      <c r="H36" s="1845"/>
      <c r="I36" s="1845"/>
      <c r="J36" s="1845"/>
      <c r="K36" s="1845"/>
      <c r="L36" s="1845"/>
      <c r="M36" s="1845"/>
      <c r="N36" s="1845"/>
      <c r="O36" s="1845"/>
      <c r="P36" s="1845"/>
      <c r="Q36" s="1061"/>
      <c r="R36" s="1061"/>
      <c r="S36" s="1061"/>
      <c r="T36" s="2059">
        <f t="shared" si="1"/>
        <v>0</v>
      </c>
    </row>
    <row r="37" spans="1:20" ht="22.15" hidden="1" customHeight="1">
      <c r="A37" s="56" t="s">
        <v>763</v>
      </c>
      <c r="B37" s="1583" t="s">
        <v>763</v>
      </c>
      <c r="C37" s="62" t="str">
        <f t="shared" si="0"/>
        <v xml:space="preserve"> </v>
      </c>
      <c r="D37" s="1541"/>
      <c r="E37" s="1048"/>
      <c r="F37" s="1396" t="s">
        <v>2339</v>
      </c>
      <c r="G37" s="1049" t="s">
        <v>2336</v>
      </c>
      <c r="H37" s="1843">
        <f>SUM(I37:O37)</f>
        <v>0</v>
      </c>
      <c r="I37" s="1844"/>
      <c r="J37" s="1844"/>
      <c r="K37" s="1844">
        <f>IFERROR(HLOOKUP(B37,pp3p1m!$1:$3,3,0),0)</f>
        <v>0</v>
      </c>
      <c r="L37" s="1844">
        <f>IFERROR(HLOOKUP(chitiet!B37,pp1p!$1:$3,3,0),0)</f>
        <v>0</v>
      </c>
      <c r="M37" s="1844"/>
      <c r="N37" s="1844"/>
      <c r="O37" s="1844"/>
      <c r="P37" s="1844"/>
      <c r="Q37" s="1050"/>
      <c r="R37" s="1050"/>
      <c r="S37" s="1050"/>
      <c r="T37" s="2059">
        <f>IFERROR(HLOOKUP(B37,pp1p!$1:$3,3,0),0)+IFERROR(HLOOKUP(B37,pp3p1m!$1:$3,3,0),0)</f>
        <v>0</v>
      </c>
    </row>
    <row r="38" spans="1:20" ht="22.15" hidden="1" customHeight="1">
      <c r="A38" s="59"/>
      <c r="B38" s="1586" t="s">
        <v>636</v>
      </c>
      <c r="C38" s="64" t="str">
        <f t="shared" si="0"/>
        <v xml:space="preserve"> </v>
      </c>
      <c r="D38" s="1544">
        <v>2</v>
      </c>
      <c r="E38" s="1047" t="str">
        <f>VLOOKUP($B38,DG!A:D,DG!$B$2,)</f>
        <v>04.4001</v>
      </c>
      <c r="F38" s="1059" t="str">
        <f>VLOOKUP($B38,DG!A:D,DG!$C$2,)</f>
        <v>Đà cản BTCT 1,2m</v>
      </c>
      <c r="G38" s="1047" t="str">
        <f>VLOOKUP($B38,DG!A:D,DG!$D$2,)</f>
        <v>cái</v>
      </c>
      <c r="H38" s="1845">
        <f t="shared" ref="H38:N39" si="5">H$37*$D38</f>
        <v>0</v>
      </c>
      <c r="I38" s="1845">
        <f t="shared" si="5"/>
        <v>0</v>
      </c>
      <c r="J38" s="1845">
        <f t="shared" si="5"/>
        <v>0</v>
      </c>
      <c r="K38" s="1845">
        <f t="shared" si="5"/>
        <v>0</v>
      </c>
      <c r="L38" s="1845">
        <f t="shared" si="5"/>
        <v>0</v>
      </c>
      <c r="M38" s="1845">
        <f t="shared" si="5"/>
        <v>0</v>
      </c>
      <c r="N38" s="1845">
        <f t="shared" si="5"/>
        <v>0</v>
      </c>
      <c r="O38" s="1845"/>
      <c r="P38" s="1845"/>
      <c r="Q38" s="1056"/>
      <c r="R38" s="1056"/>
      <c r="S38" s="1056"/>
      <c r="T38" s="2059">
        <f t="shared" si="1"/>
        <v>0</v>
      </c>
    </row>
    <row r="39" spans="1:20" ht="22.15" hidden="1" customHeight="1">
      <c r="A39" s="59"/>
      <c r="B39" s="1586" t="s">
        <v>721</v>
      </c>
      <c r="C39" s="64" t="str">
        <f t="shared" si="0"/>
        <v xml:space="preserve"> </v>
      </c>
      <c r="D39" s="1544">
        <v>2</v>
      </c>
      <c r="E39" s="1047"/>
      <c r="F39" s="1059" t="str">
        <f>VLOOKUP($B39,DG!A:D,DG!$C$2,)</f>
        <v>Boulon 22x550/100+ 2 long đền vuông D24-50x50x3/Zn</v>
      </c>
      <c r="G39" s="1047" t="str">
        <f>VLOOKUP($B39,DG!A:D,DG!$D$2,)</f>
        <v>bộ</v>
      </c>
      <c r="H39" s="1845">
        <f t="shared" si="5"/>
        <v>0</v>
      </c>
      <c r="I39" s="1845">
        <f t="shared" si="5"/>
        <v>0</v>
      </c>
      <c r="J39" s="1845">
        <f t="shared" si="5"/>
        <v>0</v>
      </c>
      <c r="K39" s="1845">
        <f t="shared" si="5"/>
        <v>0</v>
      </c>
      <c r="L39" s="1845">
        <f t="shared" si="5"/>
        <v>0</v>
      </c>
      <c r="M39" s="1845">
        <f t="shared" si="5"/>
        <v>0</v>
      </c>
      <c r="N39" s="1845">
        <f t="shared" si="5"/>
        <v>0</v>
      </c>
      <c r="O39" s="1845"/>
      <c r="P39" s="1845"/>
      <c r="Q39" s="1056"/>
      <c r="R39" s="1056"/>
      <c r="S39" s="1056"/>
      <c r="T39" s="2059">
        <f t="shared" si="1"/>
        <v>0</v>
      </c>
    </row>
    <row r="40" spans="1:20" ht="22.15" hidden="1" customHeight="1">
      <c r="A40" s="59"/>
      <c r="B40" s="1586" t="s">
        <v>639</v>
      </c>
      <c r="C40" s="64" t="str">
        <f t="shared" si="0"/>
        <v xml:space="preserve"> </v>
      </c>
      <c r="D40" s="1543">
        <v>3.65</v>
      </c>
      <c r="E40" s="1047" t="str">
        <f>VLOOKUP($B40,DG!A:D,DG!$B$2,)</f>
        <v>03.1013</v>
      </c>
      <c r="F40" s="1052" t="str">
        <f>VLOOKUP($B40,DG!A:D,DG!$C$2,)</f>
        <v>Đào hố móng đất cấp 3 sâu &gt;1m</v>
      </c>
      <c r="G40" s="1047" t="str">
        <f>VLOOKUP($B40,DG!A:D,DG!$D$2,)</f>
        <v>m3</v>
      </c>
      <c r="H40" s="1845"/>
      <c r="I40" s="1845"/>
      <c r="J40" s="1845"/>
      <c r="K40" s="1845"/>
      <c r="L40" s="1845"/>
      <c r="M40" s="1845"/>
      <c r="N40" s="1845"/>
      <c r="O40" s="1845"/>
      <c r="P40" s="1845"/>
      <c r="Q40" s="1061"/>
      <c r="R40" s="1061"/>
      <c r="S40" s="1061"/>
      <c r="T40" s="2059">
        <f t="shared" si="1"/>
        <v>0</v>
      </c>
    </row>
    <row r="41" spans="1:20" ht="22.15" hidden="1" customHeight="1">
      <c r="A41" s="59"/>
      <c r="B41" s="1586" t="s">
        <v>21</v>
      </c>
      <c r="C41" s="64" t="str">
        <f t="shared" si="0"/>
        <v xml:space="preserve"> </v>
      </c>
      <c r="D41" s="1543">
        <v>4.41</v>
      </c>
      <c r="E41" s="1047" t="str">
        <f>VLOOKUP($B41,DG!A:D,DG!$B$2,)</f>
        <v>03.4113</v>
      </c>
      <c r="F41" s="1052" t="str">
        <f>VLOOKUP($B41,DG!A:D,DG!$C$2,)</f>
        <v>Đắp đất hố móng, độ chặt k=0,95</v>
      </c>
      <c r="G41" s="1047" t="str">
        <f>VLOOKUP($B41,DG!A:D,DG!$D$2,)</f>
        <v>m3</v>
      </c>
      <c r="H41" s="1845"/>
      <c r="I41" s="1845"/>
      <c r="J41" s="1845"/>
      <c r="K41" s="1845"/>
      <c r="L41" s="1845"/>
      <c r="M41" s="1845"/>
      <c r="N41" s="1845"/>
      <c r="O41" s="1845"/>
      <c r="P41" s="1845"/>
      <c r="Q41" s="1061"/>
      <c r="R41" s="1061"/>
      <c r="S41" s="1061"/>
      <c r="T41" s="2059">
        <f t="shared" si="1"/>
        <v>0</v>
      </c>
    </row>
    <row r="42" spans="1:20" ht="22.15" hidden="1" customHeight="1">
      <c r="A42" s="59"/>
      <c r="B42" s="1586" t="s">
        <v>637</v>
      </c>
      <c r="C42" s="64" t="str">
        <f t="shared" si="0"/>
        <v xml:space="preserve"> </v>
      </c>
      <c r="D42" s="1543">
        <f>0.1*D38</f>
        <v>0.2</v>
      </c>
      <c r="E42" s="1047" t="str">
        <f>VLOOKUP($B42,DG!A:D,DG!$B$2,)</f>
        <v>02.1123</v>
      </c>
      <c r="F42" s="1052" t="str">
        <f>VLOOKUP($B42,DG!A:D,DG!$C$2,)</f>
        <v>Bốc dỡ đà cản, đế néo</v>
      </c>
      <c r="G42" s="1047" t="str">
        <f>VLOOKUP($B42,DG!A:D,DG!$D$2,)</f>
        <v>tấn</v>
      </c>
      <c r="H42" s="1845"/>
      <c r="I42" s="1845"/>
      <c r="J42" s="1845"/>
      <c r="K42" s="1845"/>
      <c r="L42" s="1845"/>
      <c r="M42" s="1845"/>
      <c r="N42" s="1845"/>
      <c r="O42" s="1845"/>
      <c r="P42" s="1845"/>
      <c r="Q42" s="1056"/>
      <c r="R42" s="1056"/>
      <c r="S42" s="1056"/>
      <c r="T42" s="2059">
        <f t="shared" si="1"/>
        <v>0</v>
      </c>
    </row>
    <row r="43" spans="1:20" ht="22.15" hidden="1" customHeight="1">
      <c r="A43" s="59"/>
      <c r="B43" s="1598" t="s">
        <v>2071</v>
      </c>
      <c r="C43" s="64" t="str">
        <f t="shared" si="0"/>
        <v xml:space="preserve"> </v>
      </c>
      <c r="D43" s="1543">
        <f>D42</f>
        <v>0.2</v>
      </c>
      <c r="E43" s="1047" t="str">
        <f>VLOOKUP($B43,DG!A:C,2,)</f>
        <v>02.1451</v>
      </c>
      <c r="F43" s="1052" t="str">
        <f>VLOOKUP($B43,DG!A:C,3,)</f>
        <v>V/c đà cản vào vị trí (cự ly &lt;=100m)</v>
      </c>
      <c r="G43" s="1047" t="str">
        <f>VLOOKUP($B43,DG!A:D,4,0)</f>
        <v>tấn</v>
      </c>
      <c r="H43" s="1845"/>
      <c r="I43" s="1845"/>
      <c r="J43" s="1845"/>
      <c r="K43" s="1845"/>
      <c r="L43" s="1845"/>
      <c r="M43" s="1845"/>
      <c r="N43" s="1845"/>
      <c r="O43" s="1845"/>
      <c r="P43" s="1845"/>
      <c r="Q43" s="1061"/>
      <c r="R43" s="1061"/>
      <c r="S43" s="1061"/>
      <c r="T43" s="2059">
        <f t="shared" si="1"/>
        <v>0</v>
      </c>
    </row>
    <row r="44" spans="1:20" ht="22.15" hidden="1" customHeight="1">
      <c r="A44" s="59"/>
      <c r="B44" s="1598" t="s">
        <v>635</v>
      </c>
      <c r="C44" s="64" t="str">
        <f t="shared" si="0"/>
        <v xml:space="preserve"> </v>
      </c>
      <c r="D44" s="1543">
        <v>0.2</v>
      </c>
      <c r="E44" s="1047" t="str">
        <f>VLOOKUP($B44,DG!A:C,2,)</f>
        <v>02.1482</v>
      </c>
      <c r="F44" s="1052" t="str">
        <f>VLOOKUP($B44,DG!A:C,3,)</f>
        <v>V/c dụng cụ thi công vào vị trí (cự ly &lt;=100m)</v>
      </c>
      <c r="G44" s="1047" t="str">
        <f>VLOOKUP($B44,DG!A:D,4,0)</f>
        <v>tấn</v>
      </c>
      <c r="H44" s="1845"/>
      <c r="I44" s="1845"/>
      <c r="J44" s="1845"/>
      <c r="K44" s="1845"/>
      <c r="L44" s="1845"/>
      <c r="M44" s="1845"/>
      <c r="N44" s="1845"/>
      <c r="O44" s="1845"/>
      <c r="P44" s="1845"/>
      <c r="Q44" s="1061"/>
      <c r="R44" s="1061"/>
      <c r="S44" s="1061"/>
      <c r="T44" s="2059">
        <f t="shared" si="1"/>
        <v>0</v>
      </c>
    </row>
    <row r="45" spans="1:20" ht="22.15" hidden="1" customHeight="1">
      <c r="A45" s="56" t="s">
        <v>443</v>
      </c>
      <c r="B45" s="1583" t="s">
        <v>443</v>
      </c>
      <c r="C45" s="62" t="str">
        <f t="shared" si="0"/>
        <v xml:space="preserve"> </v>
      </c>
      <c r="D45" s="1541"/>
      <c r="E45" s="1048"/>
      <c r="F45" s="1396" t="s">
        <v>2340</v>
      </c>
      <c r="G45" s="1049" t="s">
        <v>2336</v>
      </c>
      <c r="H45" s="1843">
        <f>SUM(I45:O45)</f>
        <v>0</v>
      </c>
      <c r="I45" s="1844"/>
      <c r="J45" s="1844"/>
      <c r="K45" s="1844">
        <f>IFERROR(HLOOKUP(B45,pp3p1m!$1:$3,3,0),0)</f>
        <v>0</v>
      </c>
      <c r="L45" s="1844">
        <f>IFERROR(HLOOKUP(chitiet!B45,pp1p!$1:$3,3,0),0)</f>
        <v>0</v>
      </c>
      <c r="M45" s="1844"/>
      <c r="N45" s="1844"/>
      <c r="O45" s="1844"/>
      <c r="P45" s="1844"/>
      <c r="Q45" s="1050"/>
      <c r="R45" s="1050"/>
      <c r="S45" s="1050"/>
      <c r="T45" s="2059">
        <f>IFERROR(HLOOKUP(B45,pp1p!$1:$3,3,0),0)+IFERROR(HLOOKUP(B45,pp3p1m!$1:$3,3,0),0)</f>
        <v>0</v>
      </c>
    </row>
    <row r="46" spans="1:20" ht="22.15" hidden="1" customHeight="1">
      <c r="A46" s="59"/>
      <c r="B46" s="1586" t="s">
        <v>636</v>
      </c>
      <c r="C46" s="64" t="str">
        <f t="shared" si="0"/>
        <v xml:space="preserve"> </v>
      </c>
      <c r="D46" s="1544">
        <v>2</v>
      </c>
      <c r="E46" s="1047" t="str">
        <f>VLOOKUP($B46,DG!A:D,DG!$B$2,)</f>
        <v>04.4001</v>
      </c>
      <c r="F46" s="1059" t="str">
        <f>VLOOKUP($B46,DG!A:D,DG!$C$2,)</f>
        <v>Đà cản BTCT 1,2m</v>
      </c>
      <c r="G46" s="1047" t="str">
        <f>VLOOKUP($B46,DG!A:D,DG!$D$2,)</f>
        <v>cái</v>
      </c>
      <c r="H46" s="1845">
        <f t="shared" ref="H46:N47" si="6">H$45*$D46</f>
        <v>0</v>
      </c>
      <c r="I46" s="1845">
        <f t="shared" si="6"/>
        <v>0</v>
      </c>
      <c r="J46" s="1845">
        <f t="shared" si="6"/>
        <v>0</v>
      </c>
      <c r="K46" s="1845">
        <f t="shared" si="6"/>
        <v>0</v>
      </c>
      <c r="L46" s="1845">
        <f t="shared" si="6"/>
        <v>0</v>
      </c>
      <c r="M46" s="1845">
        <f t="shared" si="6"/>
        <v>0</v>
      </c>
      <c r="N46" s="1845">
        <f t="shared" si="6"/>
        <v>0</v>
      </c>
      <c r="O46" s="1845"/>
      <c r="P46" s="1845"/>
      <c r="Q46" s="1056"/>
      <c r="R46" s="1056"/>
      <c r="S46" s="1056"/>
      <c r="T46" s="2059">
        <f t="shared" si="1"/>
        <v>0</v>
      </c>
    </row>
    <row r="47" spans="1:20" ht="22.15" hidden="1" customHeight="1">
      <c r="A47" s="59"/>
      <c r="B47" s="1586" t="s">
        <v>721</v>
      </c>
      <c r="C47" s="64" t="str">
        <f t="shared" si="0"/>
        <v xml:space="preserve"> </v>
      </c>
      <c r="D47" s="1544">
        <v>2</v>
      </c>
      <c r="E47" s="1047"/>
      <c r="F47" s="1059" t="str">
        <f>VLOOKUP($B47,DG!A:D,DG!$C$2,)</f>
        <v>Boulon 22x550/100+ 2 long đền vuông D24-50x50x3/Zn</v>
      </c>
      <c r="G47" s="1047" t="str">
        <f>VLOOKUP($B47,DG!A:D,DG!$D$2,)</f>
        <v>bộ</v>
      </c>
      <c r="H47" s="1845">
        <f t="shared" si="6"/>
        <v>0</v>
      </c>
      <c r="I47" s="1845">
        <f t="shared" si="6"/>
        <v>0</v>
      </c>
      <c r="J47" s="1845">
        <f t="shared" si="6"/>
        <v>0</v>
      </c>
      <c r="K47" s="1845">
        <f t="shared" si="6"/>
        <v>0</v>
      </c>
      <c r="L47" s="1845">
        <f t="shared" si="6"/>
        <v>0</v>
      </c>
      <c r="M47" s="1845">
        <f t="shared" si="6"/>
        <v>0</v>
      </c>
      <c r="N47" s="1845">
        <f t="shared" si="6"/>
        <v>0</v>
      </c>
      <c r="O47" s="1845"/>
      <c r="P47" s="1845"/>
      <c r="Q47" s="1056"/>
      <c r="R47" s="1056"/>
      <c r="S47" s="1056"/>
      <c r="T47" s="2059">
        <f t="shared" si="1"/>
        <v>0</v>
      </c>
    </row>
    <row r="48" spans="1:20" ht="22.15" hidden="1" customHeight="1">
      <c r="A48" s="59"/>
      <c r="B48" s="1586" t="s">
        <v>639</v>
      </c>
      <c r="C48" s="64" t="str">
        <f t="shared" si="0"/>
        <v xml:space="preserve"> </v>
      </c>
      <c r="D48" s="1543">
        <v>3.81</v>
      </c>
      <c r="E48" s="1047" t="str">
        <f>VLOOKUP($B48,DG!A:D,DG!$B$2,)</f>
        <v>03.1013</v>
      </c>
      <c r="F48" s="1052" t="str">
        <f>VLOOKUP($B48,DG!A:D,DG!$C$2,)</f>
        <v>Đào hố móng đất cấp 3 sâu &gt;1m</v>
      </c>
      <c r="G48" s="1047" t="str">
        <f>VLOOKUP($B48,DG!A:D,DG!$D$2,)</f>
        <v>m3</v>
      </c>
      <c r="H48" s="1845"/>
      <c r="I48" s="1845"/>
      <c r="J48" s="1845"/>
      <c r="K48" s="1845"/>
      <c r="L48" s="1845"/>
      <c r="M48" s="1845"/>
      <c r="N48" s="1845"/>
      <c r="O48" s="1845"/>
      <c r="P48" s="1845"/>
      <c r="Q48" s="1061"/>
      <c r="R48" s="1061"/>
      <c r="S48" s="1061"/>
      <c r="T48" s="2059">
        <f t="shared" si="1"/>
        <v>0</v>
      </c>
    </row>
    <row r="49" spans="1:20" ht="22.15" hidden="1" customHeight="1">
      <c r="A49" s="59"/>
      <c r="B49" s="1586" t="s">
        <v>21</v>
      </c>
      <c r="C49" s="64" t="str">
        <f t="shared" si="0"/>
        <v xml:space="preserve"> </v>
      </c>
      <c r="D49" s="1543">
        <v>4.63</v>
      </c>
      <c r="E49" s="1047" t="str">
        <f>VLOOKUP($B49,DG!A:D,DG!$B$2,)</f>
        <v>03.4113</v>
      </c>
      <c r="F49" s="1052" t="str">
        <f>VLOOKUP($B49,DG!A:D,DG!$C$2,)</f>
        <v>Đắp đất hố móng, độ chặt k=0,95</v>
      </c>
      <c r="G49" s="1047" t="str">
        <f>VLOOKUP($B49,DG!A:D,DG!$D$2,)</f>
        <v>m3</v>
      </c>
      <c r="H49" s="1845"/>
      <c r="I49" s="1845"/>
      <c r="J49" s="1845"/>
      <c r="K49" s="1845"/>
      <c r="L49" s="1845"/>
      <c r="M49" s="1845"/>
      <c r="N49" s="1845"/>
      <c r="O49" s="1845"/>
      <c r="P49" s="1845"/>
      <c r="Q49" s="1061"/>
      <c r="R49" s="1061"/>
      <c r="S49" s="1061"/>
      <c r="T49" s="2059">
        <f t="shared" si="1"/>
        <v>0</v>
      </c>
    </row>
    <row r="50" spans="1:20" ht="22.15" hidden="1" customHeight="1">
      <c r="A50" s="59"/>
      <c r="B50" s="1586" t="s">
        <v>637</v>
      </c>
      <c r="C50" s="64" t="str">
        <f t="shared" si="0"/>
        <v xml:space="preserve"> </v>
      </c>
      <c r="D50" s="1543">
        <f>0.1*D46</f>
        <v>0.2</v>
      </c>
      <c r="E50" s="1047" t="str">
        <f>VLOOKUP($B50,DG!A:D,DG!$B$2,)</f>
        <v>02.1123</v>
      </c>
      <c r="F50" s="1052" t="str">
        <f>VLOOKUP($B50,DG!A:D,DG!$C$2,)</f>
        <v>Bốc dỡ đà cản, đế néo</v>
      </c>
      <c r="G50" s="1047" t="str">
        <f>VLOOKUP($B50,DG!A:D,DG!$D$2,)</f>
        <v>tấn</v>
      </c>
      <c r="H50" s="1845"/>
      <c r="I50" s="1845"/>
      <c r="J50" s="1845"/>
      <c r="K50" s="1845"/>
      <c r="L50" s="1845"/>
      <c r="M50" s="1845"/>
      <c r="N50" s="1845"/>
      <c r="O50" s="1845"/>
      <c r="P50" s="1845"/>
      <c r="Q50" s="1056"/>
      <c r="R50" s="1056"/>
      <c r="S50" s="1056"/>
      <c r="T50" s="2059">
        <f t="shared" si="1"/>
        <v>0</v>
      </c>
    </row>
    <row r="51" spans="1:20" ht="22.15" hidden="1" customHeight="1">
      <c r="A51" s="59"/>
      <c r="B51" s="1598" t="s">
        <v>2071</v>
      </c>
      <c r="C51" s="64" t="str">
        <f t="shared" si="0"/>
        <v xml:space="preserve"> </v>
      </c>
      <c r="D51" s="1543">
        <f>D50</f>
        <v>0.2</v>
      </c>
      <c r="E51" s="1047" t="str">
        <f>VLOOKUP($B51,DG!A:C,2,)</f>
        <v>02.1451</v>
      </c>
      <c r="F51" s="1052" t="str">
        <f>VLOOKUP($B51,DG!A:C,3,)</f>
        <v>V/c đà cản vào vị trí (cự ly &lt;=100m)</v>
      </c>
      <c r="G51" s="1047" t="str">
        <f>VLOOKUP($B51,DG!A:D,4,0)</f>
        <v>tấn</v>
      </c>
      <c r="H51" s="1845"/>
      <c r="I51" s="1845"/>
      <c r="J51" s="1845"/>
      <c r="K51" s="1845"/>
      <c r="L51" s="1845"/>
      <c r="M51" s="1845"/>
      <c r="N51" s="1845"/>
      <c r="O51" s="1845"/>
      <c r="P51" s="1845"/>
      <c r="Q51" s="1061"/>
      <c r="R51" s="1061"/>
      <c r="S51" s="1061"/>
      <c r="T51" s="2059">
        <f t="shared" si="1"/>
        <v>0</v>
      </c>
    </row>
    <row r="52" spans="1:20" ht="22.15" hidden="1" customHeight="1">
      <c r="A52" s="59"/>
      <c r="B52" s="1598" t="s">
        <v>635</v>
      </c>
      <c r="C52" s="64" t="str">
        <f t="shared" si="0"/>
        <v xml:space="preserve"> </v>
      </c>
      <c r="D52" s="1543">
        <v>0.2</v>
      </c>
      <c r="E52" s="1047" t="str">
        <f>VLOOKUP($B52,DG!A:C,2,)</f>
        <v>02.1482</v>
      </c>
      <c r="F52" s="1052" t="str">
        <f>VLOOKUP($B52,DG!A:C,3,)</f>
        <v>V/c dụng cụ thi công vào vị trí (cự ly &lt;=100m)</v>
      </c>
      <c r="G52" s="1047" t="str">
        <f>VLOOKUP($B52,DG!A:D,4,0)</f>
        <v>tấn</v>
      </c>
      <c r="H52" s="1845"/>
      <c r="I52" s="1845"/>
      <c r="J52" s="1845"/>
      <c r="K52" s="1845"/>
      <c r="L52" s="1845"/>
      <c r="M52" s="1845"/>
      <c r="N52" s="1845"/>
      <c r="O52" s="1845"/>
      <c r="P52" s="1845"/>
      <c r="Q52" s="1061"/>
      <c r="R52" s="1061"/>
      <c r="S52" s="1061"/>
      <c r="T52" s="2059">
        <f t="shared" si="1"/>
        <v>0</v>
      </c>
    </row>
    <row r="53" spans="1:20" ht="22.15" hidden="1" customHeight="1">
      <c r="A53" s="56" t="s">
        <v>444</v>
      </c>
      <c r="B53" s="1583" t="s">
        <v>444</v>
      </c>
      <c r="C53" s="62" t="str">
        <f t="shared" si="0"/>
        <v xml:space="preserve"> </v>
      </c>
      <c r="D53" s="1541"/>
      <c r="E53" s="1048"/>
      <c r="F53" s="1396" t="s">
        <v>2341</v>
      </c>
      <c r="G53" s="1049" t="s">
        <v>2336</v>
      </c>
      <c r="H53" s="1843">
        <f>SUM(I53:O53)</f>
        <v>0</v>
      </c>
      <c r="I53" s="1844"/>
      <c r="J53" s="1844"/>
      <c r="K53" s="1844">
        <f>IFERROR(HLOOKUP(B53,pp3p1m!$1:$3,3,0),0)</f>
        <v>0</v>
      </c>
      <c r="L53" s="1844">
        <f>IFERROR(HLOOKUP(chitiet!B53,pp1p!$1:$3,3,0),0)</f>
        <v>0</v>
      </c>
      <c r="M53" s="1844"/>
      <c r="N53" s="1844"/>
      <c r="O53" s="1844"/>
      <c r="P53" s="1844"/>
      <c r="Q53" s="1050"/>
      <c r="R53" s="1050"/>
      <c r="S53" s="1050"/>
      <c r="T53" s="2059">
        <f>IFERROR(HLOOKUP(B53,pp1p!$1:$3,3,0),0)+IFERROR(HLOOKUP(B53,pp3p1m!$1:$3,3,0),0)</f>
        <v>0</v>
      </c>
    </row>
    <row r="54" spans="1:20" ht="22.15" hidden="1" customHeight="1">
      <c r="A54" s="59"/>
      <c r="B54" s="1586" t="s">
        <v>636</v>
      </c>
      <c r="C54" s="64" t="str">
        <f t="shared" si="0"/>
        <v xml:space="preserve"> </v>
      </c>
      <c r="D54" s="1544">
        <v>2</v>
      </c>
      <c r="E54" s="1047" t="str">
        <f>VLOOKUP($B54,DG!A:D,DG!$B$2,)</f>
        <v>04.4001</v>
      </c>
      <c r="F54" s="1059" t="str">
        <f>VLOOKUP($B54,DG!A:D,DG!$C$2,)</f>
        <v>Đà cản BTCT 1,2m</v>
      </c>
      <c r="G54" s="1047" t="str">
        <f>VLOOKUP($B54,DG!A:D,DG!$D$2,)</f>
        <v>cái</v>
      </c>
      <c r="H54" s="1845">
        <f t="shared" ref="H54:N55" si="7">H$53*$D54</f>
        <v>0</v>
      </c>
      <c r="I54" s="1845">
        <f t="shared" si="7"/>
        <v>0</v>
      </c>
      <c r="J54" s="1845">
        <f t="shared" si="7"/>
        <v>0</v>
      </c>
      <c r="K54" s="1845">
        <f t="shared" si="7"/>
        <v>0</v>
      </c>
      <c r="L54" s="1845">
        <f t="shared" si="7"/>
        <v>0</v>
      </c>
      <c r="M54" s="1845">
        <f t="shared" si="7"/>
        <v>0</v>
      </c>
      <c r="N54" s="1845">
        <f t="shared" si="7"/>
        <v>0</v>
      </c>
      <c r="O54" s="1845"/>
      <c r="P54" s="1845"/>
      <c r="Q54" s="1056"/>
      <c r="R54" s="1056"/>
      <c r="S54" s="1056"/>
      <c r="T54" s="2059">
        <f t="shared" si="1"/>
        <v>0</v>
      </c>
    </row>
    <row r="55" spans="1:20" ht="22.15" hidden="1" customHeight="1">
      <c r="A55" s="59"/>
      <c r="B55" s="1586" t="s">
        <v>722</v>
      </c>
      <c r="C55" s="64" t="str">
        <f t="shared" si="0"/>
        <v xml:space="preserve"> </v>
      </c>
      <c r="D55" s="1544">
        <v>2</v>
      </c>
      <c r="E55" s="1047"/>
      <c r="F55" s="1059" t="str">
        <f>VLOOKUP($B55,DG!A:D,DG!$C$2,)</f>
        <v>Boulon 22x750+ 2 long đền vuông D24-50x50x3/Zn</v>
      </c>
      <c r="G55" s="1047" t="str">
        <f>VLOOKUP($B55,DG!A:D,DG!$D$2,)</f>
        <v>bộ</v>
      </c>
      <c r="H55" s="1845">
        <f t="shared" si="7"/>
        <v>0</v>
      </c>
      <c r="I55" s="1845">
        <f t="shared" si="7"/>
        <v>0</v>
      </c>
      <c r="J55" s="1845">
        <f t="shared" si="7"/>
        <v>0</v>
      </c>
      <c r="K55" s="1845">
        <f t="shared" si="7"/>
        <v>0</v>
      </c>
      <c r="L55" s="1845">
        <f t="shared" si="7"/>
        <v>0</v>
      </c>
      <c r="M55" s="1845">
        <f t="shared" si="7"/>
        <v>0</v>
      </c>
      <c r="N55" s="1845">
        <f t="shared" si="7"/>
        <v>0</v>
      </c>
      <c r="O55" s="1845"/>
      <c r="P55" s="1845"/>
      <c r="Q55" s="1056"/>
      <c r="R55" s="1056"/>
      <c r="S55" s="1056"/>
      <c r="T55" s="2059">
        <f t="shared" si="1"/>
        <v>0</v>
      </c>
    </row>
    <row r="56" spans="1:20" ht="22.15" hidden="1" customHeight="1">
      <c r="A56" s="59"/>
      <c r="B56" s="1586" t="s">
        <v>1818</v>
      </c>
      <c r="C56" s="64" t="str">
        <f t="shared" si="0"/>
        <v xml:space="preserve"> </v>
      </c>
      <c r="D56" s="1542">
        <v>0.155</v>
      </c>
      <c r="E56" s="1047">
        <f>VLOOKUP($B56,DG!A:D,DG!$B$2,)</f>
        <v>0</v>
      </c>
      <c r="F56" s="1052" t="str">
        <f>VLOOKUP($B56,DG!A:D,DG!$C$2,)</f>
        <v>Đá 2x4</v>
      </c>
      <c r="G56" s="1047" t="str">
        <f>VLOOKUP($B56,DG!A:D,DG!$D$2,)</f>
        <v>m3</v>
      </c>
      <c r="H56" s="1845">
        <f t="shared" ref="H56:N56" si="8">H$18*$D56</f>
        <v>0</v>
      </c>
      <c r="I56" s="1845">
        <f t="shared" si="8"/>
        <v>0</v>
      </c>
      <c r="J56" s="1845">
        <f t="shared" si="8"/>
        <v>0</v>
      </c>
      <c r="K56" s="1845">
        <f t="shared" si="8"/>
        <v>0</v>
      </c>
      <c r="L56" s="1845">
        <f t="shared" si="8"/>
        <v>0</v>
      </c>
      <c r="M56" s="1845">
        <f t="shared" si="8"/>
        <v>0</v>
      </c>
      <c r="N56" s="1845">
        <f t="shared" si="8"/>
        <v>0</v>
      </c>
      <c r="O56" s="1845"/>
      <c r="P56" s="1845"/>
      <c r="Q56" s="1056"/>
      <c r="R56" s="1056"/>
      <c r="S56" s="1056"/>
      <c r="T56" s="2059">
        <f t="shared" si="1"/>
        <v>0</v>
      </c>
    </row>
    <row r="57" spans="1:20" ht="22.15" hidden="1" customHeight="1">
      <c r="A57" s="59"/>
      <c r="B57" s="1586" t="s">
        <v>639</v>
      </c>
      <c r="C57" s="64" t="str">
        <f t="shared" si="0"/>
        <v xml:space="preserve"> </v>
      </c>
      <c r="D57" s="1543">
        <v>1.9</v>
      </c>
      <c r="E57" s="1047" t="str">
        <f>VLOOKUP($B57,DG!A:D,DG!$B$2,)</f>
        <v>03.1013</v>
      </c>
      <c r="F57" s="1052" t="str">
        <f>VLOOKUP($B57,DG!A:D,DG!$C$2,)</f>
        <v>Đào hố móng đất cấp 3 sâu &gt;1m</v>
      </c>
      <c r="G57" s="1047" t="str">
        <f>VLOOKUP($B57,DG!A:D,DG!$D$2,)</f>
        <v>m3</v>
      </c>
      <c r="H57" s="1845"/>
      <c r="I57" s="1845"/>
      <c r="J57" s="1845"/>
      <c r="K57" s="1845"/>
      <c r="L57" s="1845"/>
      <c r="M57" s="1845"/>
      <c r="N57" s="1845"/>
      <c r="O57" s="1845"/>
      <c r="P57" s="1845"/>
      <c r="Q57" s="1061"/>
      <c r="R57" s="1061"/>
      <c r="S57" s="1061"/>
      <c r="T57" s="2059">
        <f t="shared" si="1"/>
        <v>0</v>
      </c>
    </row>
    <row r="58" spans="1:20" ht="22.15" hidden="1" customHeight="1">
      <c r="A58" s="59"/>
      <c r="B58" s="1586" t="s">
        <v>21</v>
      </c>
      <c r="C58" s="64" t="str">
        <f t="shared" si="0"/>
        <v xml:space="preserve"> </v>
      </c>
      <c r="D58" s="1543">
        <v>2.4</v>
      </c>
      <c r="E58" s="1047" t="str">
        <f>VLOOKUP($B58,DG!A:D,DG!$B$2,)</f>
        <v>03.4113</v>
      </c>
      <c r="F58" s="1052" t="str">
        <f>VLOOKUP($B58,DG!A:D,DG!$C$2,)</f>
        <v>Đắp đất hố móng, độ chặt k=0,95</v>
      </c>
      <c r="G58" s="1047" t="str">
        <f>VLOOKUP($B58,DG!A:D,DG!$D$2,)</f>
        <v>m3</v>
      </c>
      <c r="H58" s="1845"/>
      <c r="I58" s="1845"/>
      <c r="J58" s="1845"/>
      <c r="K58" s="1845"/>
      <c r="L58" s="1845"/>
      <c r="M58" s="1845"/>
      <c r="N58" s="1845"/>
      <c r="O58" s="1845"/>
      <c r="P58" s="1845"/>
      <c r="Q58" s="1061"/>
      <c r="R58" s="1061"/>
      <c r="S58" s="1061"/>
      <c r="T58" s="2059">
        <f t="shared" si="1"/>
        <v>0</v>
      </c>
    </row>
    <row r="59" spans="1:20" ht="22.15" hidden="1" customHeight="1">
      <c r="A59" s="59"/>
      <c r="B59" s="1586" t="s">
        <v>637</v>
      </c>
      <c r="C59" s="64" t="str">
        <f t="shared" si="0"/>
        <v xml:space="preserve"> </v>
      </c>
      <c r="D59" s="1543">
        <f>0.1*D54</f>
        <v>0.2</v>
      </c>
      <c r="E59" s="1047" t="str">
        <f>VLOOKUP($B59,DG!A:D,DG!$B$2,)</f>
        <v>02.1123</v>
      </c>
      <c r="F59" s="1052" t="str">
        <f>VLOOKUP($B59,DG!A:D,DG!$C$2,)</f>
        <v>Bốc dỡ đà cản, đế néo</v>
      </c>
      <c r="G59" s="1047" t="str">
        <f>VLOOKUP($B59,DG!A:D,DG!$D$2,)</f>
        <v>tấn</v>
      </c>
      <c r="H59" s="1845"/>
      <c r="I59" s="1845"/>
      <c r="J59" s="1845"/>
      <c r="K59" s="1845"/>
      <c r="L59" s="1845"/>
      <c r="M59" s="1845"/>
      <c r="N59" s="1845"/>
      <c r="O59" s="1845"/>
      <c r="P59" s="1845"/>
      <c r="Q59" s="1056"/>
      <c r="R59" s="1056"/>
      <c r="S59" s="1056"/>
      <c r="T59" s="2059">
        <f t="shared" si="1"/>
        <v>0</v>
      </c>
    </row>
    <row r="60" spans="1:20" ht="22.15" hidden="1" customHeight="1">
      <c r="A60" s="59"/>
      <c r="B60" s="1598" t="s">
        <v>2071</v>
      </c>
      <c r="C60" s="64" t="str">
        <f t="shared" si="0"/>
        <v xml:space="preserve"> </v>
      </c>
      <c r="D60" s="1543">
        <f>D59</f>
        <v>0.2</v>
      </c>
      <c r="E60" s="1047" t="str">
        <f>VLOOKUP($B60,DG!A:C,2,)</f>
        <v>02.1451</v>
      </c>
      <c r="F60" s="1052" t="str">
        <f>VLOOKUP($B60,DG!A:C,3,)</f>
        <v>V/c đà cản vào vị trí (cự ly &lt;=100m)</v>
      </c>
      <c r="G60" s="1047" t="str">
        <f>VLOOKUP($B60,DG!A:D,4,0)</f>
        <v>tấn</v>
      </c>
      <c r="H60" s="1845"/>
      <c r="I60" s="1845"/>
      <c r="J60" s="1845"/>
      <c r="K60" s="1845"/>
      <c r="L60" s="1845"/>
      <c r="M60" s="1845"/>
      <c r="N60" s="1845"/>
      <c r="O60" s="1845"/>
      <c r="P60" s="1845"/>
      <c r="Q60" s="1061"/>
      <c r="R60" s="1061"/>
      <c r="S60" s="1061"/>
      <c r="T60" s="2059">
        <f t="shared" si="1"/>
        <v>0</v>
      </c>
    </row>
    <row r="61" spans="1:20" ht="22.15" hidden="1" customHeight="1">
      <c r="A61" s="59"/>
      <c r="B61" s="1598" t="s">
        <v>674</v>
      </c>
      <c r="C61" s="64" t="str">
        <f t="shared" si="0"/>
        <v xml:space="preserve"> </v>
      </c>
      <c r="D61" s="1542">
        <f>D56</f>
        <v>0.155</v>
      </c>
      <c r="E61" s="1047" t="str">
        <f>VLOOKUP($B61,DG!A:C,2,)</f>
        <v>02.1241</v>
      </c>
      <c r="F61" s="1052" t="str">
        <f>VLOOKUP($B61,DG!A:C,3,)</f>
        <v>V/c đá dăm ( cự ly &lt;=100m)</v>
      </c>
      <c r="G61" s="1047" t="str">
        <f>VLOOKUP($B61,DG!A:D,4,0)</f>
        <v>m3</v>
      </c>
      <c r="H61" s="1845"/>
      <c r="I61" s="1845"/>
      <c r="J61" s="1845"/>
      <c r="K61" s="1845"/>
      <c r="L61" s="1845"/>
      <c r="M61" s="1845"/>
      <c r="N61" s="1845"/>
      <c r="O61" s="1845"/>
      <c r="P61" s="1845"/>
      <c r="Q61" s="1061"/>
      <c r="R61" s="1061"/>
      <c r="S61" s="1061"/>
      <c r="T61" s="2059">
        <f t="shared" si="1"/>
        <v>0</v>
      </c>
    </row>
    <row r="62" spans="1:20" ht="22.15" hidden="1" customHeight="1">
      <c r="A62" s="59"/>
      <c r="B62" s="1598" t="s">
        <v>635</v>
      </c>
      <c r="C62" s="64" t="str">
        <f t="shared" si="0"/>
        <v xml:space="preserve"> </v>
      </c>
      <c r="D62" s="1543">
        <v>0.2</v>
      </c>
      <c r="E62" s="1047" t="str">
        <f>VLOOKUP($B62,DG!A:C,2,)</f>
        <v>02.1482</v>
      </c>
      <c r="F62" s="1052" t="str">
        <f>VLOOKUP($B62,DG!A:C,3,)</f>
        <v>V/c dụng cụ thi công vào vị trí (cự ly &lt;=100m)</v>
      </c>
      <c r="G62" s="1047" t="str">
        <f>VLOOKUP($B62,DG!A:D,4,0)</f>
        <v>tấn</v>
      </c>
      <c r="H62" s="1845"/>
      <c r="I62" s="1845"/>
      <c r="J62" s="1845"/>
      <c r="K62" s="1845"/>
      <c r="L62" s="1845"/>
      <c r="M62" s="1845"/>
      <c r="N62" s="1845"/>
      <c r="O62" s="1845"/>
      <c r="P62" s="1845"/>
      <c r="Q62" s="1061"/>
      <c r="R62" s="1061"/>
      <c r="S62" s="1061"/>
      <c r="T62" s="2059">
        <f t="shared" si="1"/>
        <v>0</v>
      </c>
    </row>
    <row r="63" spans="1:20" ht="22.15" hidden="1" customHeight="1">
      <c r="A63" s="56" t="s">
        <v>960</v>
      </c>
      <c r="B63" s="1583" t="s">
        <v>960</v>
      </c>
      <c r="C63" s="62" t="str">
        <f t="shared" si="0"/>
        <v xml:space="preserve"> </v>
      </c>
      <c r="D63" s="1541"/>
      <c r="E63" s="1048"/>
      <c r="F63" s="1396" t="s">
        <v>2342</v>
      </c>
      <c r="G63" s="1049" t="s">
        <v>2336</v>
      </c>
      <c r="H63" s="1843">
        <f>SUM(I63:O63)</f>
        <v>0</v>
      </c>
      <c r="I63" s="1844"/>
      <c r="J63" s="1844"/>
      <c r="K63" s="1844">
        <f>IFERROR(HLOOKUP(B63,pp3p1m!$1:$3,3,0),0)</f>
        <v>0</v>
      </c>
      <c r="L63" s="1844">
        <f>IFERROR(HLOOKUP(chitiet!B63,pp1p!$1:$3,3,0),0)</f>
        <v>0</v>
      </c>
      <c r="M63" s="1844"/>
      <c r="N63" s="1844"/>
      <c r="O63" s="1844"/>
      <c r="P63" s="1844">
        <f>H63+Q63-R63</f>
        <v>0</v>
      </c>
      <c r="Q63" s="1050"/>
      <c r="R63" s="1050"/>
      <c r="S63" s="1050"/>
      <c r="T63" s="2059">
        <f>IFERROR(HLOOKUP(B63,pp1p!$1:$3,3,0),0)+IFERROR(HLOOKUP(B63,pp3p1m!$1:$3,3,0),0)</f>
        <v>0</v>
      </c>
    </row>
    <row r="64" spans="1:20" ht="22.15" hidden="1" customHeight="1">
      <c r="A64" s="63"/>
      <c r="B64" s="1599" t="s">
        <v>639</v>
      </c>
      <c r="C64" s="64" t="str">
        <f t="shared" si="0"/>
        <v xml:space="preserve"> </v>
      </c>
      <c r="D64" s="1545">
        <v>0.13500000000000001</v>
      </c>
      <c r="E64" s="1051" t="str">
        <f>VLOOKUP($B64,DG!A:D,DG!$B$2,)</f>
        <v>03.1013</v>
      </c>
      <c r="F64" s="1052" t="str">
        <f>VLOOKUP($B64,DG!A:D,DG!$C$2,)</f>
        <v>Đào hố móng đất cấp 3 sâu &gt;1m</v>
      </c>
      <c r="G64" s="1051" t="str">
        <f>VLOOKUP($B64,DG!A:D,DG!$D$2,)</f>
        <v>m3</v>
      </c>
      <c r="H64" s="1846">
        <f>$H$63*D64</f>
        <v>0</v>
      </c>
      <c r="I64" s="1846"/>
      <c r="J64" s="1846"/>
      <c r="K64" s="1846"/>
      <c r="L64" s="1846"/>
      <c r="M64" s="1846"/>
      <c r="N64" s="1846"/>
      <c r="O64" s="1846"/>
      <c r="P64" s="1846">
        <f>$P$63*D64</f>
        <v>0</v>
      </c>
      <c r="Q64" s="1058"/>
      <c r="R64" s="1058"/>
      <c r="S64" s="1058"/>
      <c r="T64" s="2059">
        <f t="shared" si="1"/>
        <v>0</v>
      </c>
    </row>
    <row r="65" spans="1:20" ht="22.15" hidden="1" customHeight="1">
      <c r="A65" s="63"/>
      <c r="B65" s="1599" t="s">
        <v>21</v>
      </c>
      <c r="C65" s="64" t="str">
        <f t="shared" si="0"/>
        <v xml:space="preserve"> </v>
      </c>
      <c r="D65" s="1545">
        <f>D64</f>
        <v>0.13500000000000001</v>
      </c>
      <c r="E65" s="1051" t="str">
        <f>VLOOKUP($B65,DG!A:D,DG!$B$2,)</f>
        <v>03.4113</v>
      </c>
      <c r="F65" s="1052" t="str">
        <f>VLOOKUP($B65,DG!A:D,DG!$C$2,)</f>
        <v>Đắp đất hố móng, độ chặt k=0,95</v>
      </c>
      <c r="G65" s="1051" t="str">
        <f>VLOOKUP($B65,DG!A:D,DG!$D$2,)</f>
        <v>m3</v>
      </c>
      <c r="H65" s="1846">
        <f>$H$63*D65</f>
        <v>0</v>
      </c>
      <c r="I65" s="1846"/>
      <c r="J65" s="1846"/>
      <c r="K65" s="1846"/>
      <c r="L65" s="1846"/>
      <c r="M65" s="1846"/>
      <c r="N65" s="1846"/>
      <c r="O65" s="1846"/>
      <c r="P65" s="1846">
        <f>$P$63*D65</f>
        <v>0</v>
      </c>
      <c r="Q65" s="1058"/>
      <c r="R65" s="1058"/>
      <c r="S65" s="1058"/>
      <c r="T65" s="2059">
        <f t="shared" si="1"/>
        <v>0</v>
      </c>
    </row>
    <row r="66" spans="1:20" ht="22.15" hidden="1" customHeight="1">
      <c r="A66" s="63"/>
      <c r="B66" s="1584" t="s">
        <v>635</v>
      </c>
      <c r="C66" s="64" t="str">
        <f t="shared" si="0"/>
        <v xml:space="preserve"> </v>
      </c>
      <c r="D66" s="1546"/>
      <c r="E66" s="1051" t="str">
        <f>VLOOKUP($B66,DG!A:C,2,)</f>
        <v>02.1482</v>
      </c>
      <c r="F66" s="1052" t="str">
        <f>VLOOKUP($B66,DG!A:C,3,)</f>
        <v>V/c dụng cụ thi công vào vị trí (cự ly &lt;=100m)</v>
      </c>
      <c r="G66" s="1051" t="str">
        <f>VLOOKUP($B66,DG!A:D,4,0)</f>
        <v>tấn</v>
      </c>
      <c r="H66" s="1846"/>
      <c r="I66" s="1846"/>
      <c r="J66" s="1846"/>
      <c r="K66" s="1846"/>
      <c r="L66" s="1846"/>
      <c r="M66" s="1846"/>
      <c r="N66" s="1846"/>
      <c r="O66" s="1846"/>
      <c r="P66" s="1846"/>
      <c r="Q66" s="1058"/>
      <c r="R66" s="1058"/>
      <c r="S66" s="1058"/>
      <c r="T66" s="2059">
        <f t="shared" si="1"/>
        <v>0</v>
      </c>
    </row>
    <row r="67" spans="1:20" ht="22.15" hidden="1" customHeight="1">
      <c r="A67" s="56" t="s">
        <v>2184</v>
      </c>
      <c r="B67" s="1583" t="s">
        <v>2184</v>
      </c>
      <c r="C67" s="62" t="str">
        <f t="shared" si="0"/>
        <v xml:space="preserve"> </v>
      </c>
      <c r="D67" s="1541"/>
      <c r="E67" s="1048"/>
      <c r="F67" s="1396" t="s">
        <v>2343</v>
      </c>
      <c r="G67" s="1049" t="s">
        <v>2336</v>
      </c>
      <c r="H67" s="1843">
        <f>SUM(I67:O67)</f>
        <v>0</v>
      </c>
      <c r="I67" s="1844"/>
      <c r="J67" s="1844"/>
      <c r="K67" s="1844">
        <f>IFERROR(HLOOKUP(B67,pp3p1m!$1:$3,3,0),0)</f>
        <v>0</v>
      </c>
      <c r="L67" s="1844">
        <f>IFERROR(HLOOKUP(chitiet!B67,pp1p!$1:$3,3,0),0)</f>
        <v>0</v>
      </c>
      <c r="M67" s="1844"/>
      <c r="N67" s="1844"/>
      <c r="O67" s="1844"/>
      <c r="P67" s="1844"/>
      <c r="Q67" s="1050"/>
      <c r="R67" s="1050"/>
      <c r="S67" s="1050"/>
      <c r="T67" s="2059">
        <f>IFERROR(HLOOKUP(B67,pp1p!$1:$3,3,0),0)+IFERROR(HLOOKUP(B67,pp3p1m!$1:$3,3,0),0)</f>
        <v>0</v>
      </c>
    </row>
    <row r="68" spans="1:20" ht="22.15" hidden="1" customHeight="1">
      <c r="A68" s="63"/>
      <c r="B68" s="1599" t="s">
        <v>636</v>
      </c>
      <c r="C68" s="64" t="str">
        <f t="shared" si="0"/>
        <v xml:space="preserve"> </v>
      </c>
      <c r="D68" s="1547">
        <v>1</v>
      </c>
      <c r="E68" s="1047" t="str">
        <f>VLOOKUP($B68,DG!A:D,DG!$B$2,)</f>
        <v>04.4001</v>
      </c>
      <c r="F68" s="1057" t="str">
        <f>VLOOKUP($B68,DG!A:D,DG!$C$2,)</f>
        <v>Đà cản BTCT 1,2m</v>
      </c>
      <c r="G68" s="1051" t="str">
        <f>VLOOKUP($B68,DG!A:D,DG!$D$2,)</f>
        <v>cái</v>
      </c>
      <c r="H68" s="1846"/>
      <c r="I68" s="1846">
        <f t="shared" ref="I68:L69" si="9">I$63*$D68</f>
        <v>0</v>
      </c>
      <c r="J68" s="1846">
        <f t="shared" si="9"/>
        <v>0</v>
      </c>
      <c r="K68" s="1846">
        <f t="shared" si="9"/>
        <v>0</v>
      </c>
      <c r="L68" s="1846">
        <f t="shared" si="9"/>
        <v>0</v>
      </c>
      <c r="M68" s="1846">
        <f t="shared" ref="M68:O69" si="10">M$67*$D68</f>
        <v>0</v>
      </c>
      <c r="N68" s="1846">
        <f t="shared" si="10"/>
        <v>0</v>
      </c>
      <c r="O68" s="1846">
        <f t="shared" si="10"/>
        <v>0</v>
      </c>
      <c r="P68" s="1846"/>
      <c r="Q68" s="1055"/>
      <c r="R68" s="1055"/>
      <c r="S68" s="1055"/>
      <c r="T68" s="2059">
        <f t="shared" si="1"/>
        <v>0</v>
      </c>
    </row>
    <row r="69" spans="1:20" ht="22.15" hidden="1" customHeight="1">
      <c r="A69" s="63"/>
      <c r="B69" s="1599" t="s">
        <v>721</v>
      </c>
      <c r="C69" s="64" t="str">
        <f t="shared" si="0"/>
        <v xml:space="preserve"> </v>
      </c>
      <c r="D69" s="1547">
        <v>1</v>
      </c>
      <c r="E69" s="1051"/>
      <c r="F69" s="1057" t="str">
        <f>VLOOKUP($B69,DG!A:D,DG!$C$2,)</f>
        <v>Boulon 22x550/100+ 2 long đền vuông D24-50x50x3/Zn</v>
      </c>
      <c r="G69" s="1051" t="str">
        <f>VLOOKUP($B69,DG!A:D,DG!$D$2,)</f>
        <v>bộ</v>
      </c>
      <c r="H69" s="1846"/>
      <c r="I69" s="1846">
        <f t="shared" si="9"/>
        <v>0</v>
      </c>
      <c r="J69" s="1846">
        <f t="shared" si="9"/>
        <v>0</v>
      </c>
      <c r="K69" s="1846">
        <f t="shared" si="9"/>
        <v>0</v>
      </c>
      <c r="L69" s="1846">
        <f t="shared" si="9"/>
        <v>0</v>
      </c>
      <c r="M69" s="1846">
        <f t="shared" si="10"/>
        <v>0</v>
      </c>
      <c r="N69" s="1846">
        <f t="shared" si="10"/>
        <v>0</v>
      </c>
      <c r="O69" s="1846">
        <f t="shared" si="10"/>
        <v>0</v>
      </c>
      <c r="P69" s="1846"/>
      <c r="Q69" s="1055"/>
      <c r="R69" s="1055"/>
      <c r="S69" s="1055"/>
      <c r="T69" s="2059">
        <f t="shared" si="1"/>
        <v>0</v>
      </c>
    </row>
    <row r="70" spans="1:20" ht="22.15" hidden="1" customHeight="1">
      <c r="A70" s="63"/>
      <c r="B70" s="1599" t="s">
        <v>639</v>
      </c>
      <c r="C70" s="64" t="str">
        <f t="shared" si="0"/>
        <v xml:space="preserve"> </v>
      </c>
      <c r="D70" s="1546">
        <v>0.73</v>
      </c>
      <c r="E70" s="1051" t="str">
        <f>VLOOKUP($B70,DG!A:D,DG!$B$2,)</f>
        <v>03.1013</v>
      </c>
      <c r="F70" s="1052" t="str">
        <f>VLOOKUP($B70,DG!A:D,DG!$C$2,)</f>
        <v>Đào hố móng đất cấp 3 sâu &gt;1m</v>
      </c>
      <c r="G70" s="1051" t="str">
        <f>VLOOKUP($B70,DG!A:D,DG!$D$2,)</f>
        <v>m3</v>
      </c>
      <c r="H70" s="1846"/>
      <c r="I70" s="1846"/>
      <c r="J70" s="1846"/>
      <c r="K70" s="1846"/>
      <c r="L70" s="1846"/>
      <c r="M70" s="1846"/>
      <c r="N70" s="1846"/>
      <c r="O70" s="1846"/>
      <c r="P70" s="1846"/>
      <c r="Q70" s="1058"/>
      <c r="R70" s="1058"/>
      <c r="S70" s="1058"/>
      <c r="T70" s="2059">
        <f t="shared" si="1"/>
        <v>0</v>
      </c>
    </row>
    <row r="71" spans="1:20" ht="22.15" hidden="1" customHeight="1">
      <c r="A71" s="63"/>
      <c r="B71" s="1599" t="s">
        <v>21</v>
      </c>
      <c r="C71" s="64" t="str">
        <f t="shared" si="0"/>
        <v xml:space="preserve"> </v>
      </c>
      <c r="D71" s="1546">
        <f>+D70</f>
        <v>0.73</v>
      </c>
      <c r="E71" s="1051" t="str">
        <f>VLOOKUP($B71,DG!A:D,DG!$B$2,)</f>
        <v>03.4113</v>
      </c>
      <c r="F71" s="1052" t="str">
        <f>VLOOKUP($B71,DG!A:D,DG!$C$2,)</f>
        <v>Đắp đất hố móng, độ chặt k=0,95</v>
      </c>
      <c r="G71" s="1051" t="str">
        <f>VLOOKUP($B71,DG!A:D,DG!$D$2,)</f>
        <v>m3</v>
      </c>
      <c r="H71" s="1846"/>
      <c r="I71" s="1846"/>
      <c r="J71" s="1846"/>
      <c r="K71" s="1846"/>
      <c r="L71" s="1846"/>
      <c r="M71" s="1846"/>
      <c r="N71" s="1846"/>
      <c r="O71" s="1846"/>
      <c r="P71" s="1846"/>
      <c r="Q71" s="1058"/>
      <c r="R71" s="1058"/>
      <c r="S71" s="1058"/>
      <c r="T71" s="2059">
        <f t="shared" si="1"/>
        <v>0</v>
      </c>
    </row>
    <row r="72" spans="1:20" ht="22.15" hidden="1" customHeight="1">
      <c r="A72" s="63"/>
      <c r="B72" s="1599" t="s">
        <v>637</v>
      </c>
      <c r="C72" s="64" t="str">
        <f t="shared" si="0"/>
        <v xml:space="preserve"> </v>
      </c>
      <c r="D72" s="1546"/>
      <c r="E72" s="1051" t="str">
        <f>VLOOKUP($B72,DG!A:D,DG!$B$2,)</f>
        <v>02.1123</v>
      </c>
      <c r="F72" s="1052" t="str">
        <f>VLOOKUP($B72,DG!A:D,DG!$C$2,)</f>
        <v>Bốc dỡ đà cản, đế néo</v>
      </c>
      <c r="G72" s="1051" t="str">
        <f>VLOOKUP($B72,DG!A:D,DG!$D$2,)</f>
        <v>tấn</v>
      </c>
      <c r="H72" s="1846"/>
      <c r="I72" s="1846"/>
      <c r="J72" s="1846"/>
      <c r="K72" s="1846"/>
      <c r="L72" s="1846"/>
      <c r="M72" s="1846"/>
      <c r="N72" s="1846"/>
      <c r="O72" s="1846"/>
      <c r="P72" s="1846"/>
      <c r="Q72" s="1055"/>
      <c r="R72" s="1055"/>
      <c r="S72" s="1055"/>
      <c r="T72" s="2059">
        <f t="shared" si="1"/>
        <v>0</v>
      </c>
    </row>
    <row r="73" spans="1:20" ht="22.15" hidden="1" customHeight="1">
      <c r="A73" s="63"/>
      <c r="B73" s="1584" t="s">
        <v>2071</v>
      </c>
      <c r="C73" s="64" t="str">
        <f t="shared" si="0"/>
        <v xml:space="preserve"> </v>
      </c>
      <c r="D73" s="1546"/>
      <c r="E73" s="1051" t="str">
        <f>VLOOKUP($B73,DG!A:C,2,)</f>
        <v>02.1451</v>
      </c>
      <c r="F73" s="1052" t="str">
        <f>VLOOKUP($B73,DG!A:C,3,)</f>
        <v>V/c đà cản vào vị trí (cự ly &lt;=100m)</v>
      </c>
      <c r="G73" s="1051" t="str">
        <f>VLOOKUP($B73,DG!A:D,4,0)</f>
        <v>tấn</v>
      </c>
      <c r="H73" s="1846"/>
      <c r="I73" s="1846"/>
      <c r="J73" s="1846"/>
      <c r="K73" s="1846"/>
      <c r="L73" s="1846"/>
      <c r="M73" s="1846"/>
      <c r="N73" s="1846"/>
      <c r="O73" s="1846"/>
      <c r="P73" s="1846"/>
      <c r="Q73" s="1058"/>
      <c r="R73" s="1058"/>
      <c r="S73" s="1058"/>
      <c r="T73" s="2059">
        <f t="shared" si="1"/>
        <v>0</v>
      </c>
    </row>
    <row r="74" spans="1:20" ht="22.15" hidden="1" customHeight="1">
      <c r="A74" s="63"/>
      <c r="B74" s="1584" t="s">
        <v>635</v>
      </c>
      <c r="C74" s="64" t="str">
        <f t="shared" si="0"/>
        <v xml:space="preserve"> </v>
      </c>
      <c r="D74" s="1546"/>
      <c r="E74" s="1051" t="str">
        <f>VLOOKUP($B74,DG!A:C,2,)</f>
        <v>02.1482</v>
      </c>
      <c r="F74" s="1052" t="str">
        <f>VLOOKUP($B74,DG!A:C,3,)</f>
        <v>V/c dụng cụ thi công vào vị trí (cự ly &lt;=100m)</v>
      </c>
      <c r="G74" s="1051" t="str">
        <f>VLOOKUP($B74,DG!A:D,4,0)</f>
        <v>tấn</v>
      </c>
      <c r="H74" s="1846"/>
      <c r="I74" s="1846"/>
      <c r="J74" s="1846"/>
      <c r="K74" s="1846"/>
      <c r="L74" s="1846"/>
      <c r="M74" s="1846"/>
      <c r="N74" s="1846"/>
      <c r="O74" s="1846"/>
      <c r="P74" s="1846"/>
      <c r="Q74" s="1058"/>
      <c r="R74" s="1058"/>
      <c r="S74" s="1058"/>
      <c r="T74" s="2059">
        <f t="shared" si="1"/>
        <v>0</v>
      </c>
    </row>
    <row r="75" spans="1:20" ht="22.15" hidden="1" customHeight="1">
      <c r="A75" s="56" t="s">
        <v>2323</v>
      </c>
      <c r="B75" s="1583" t="s">
        <v>2323</v>
      </c>
      <c r="C75" s="62" t="str">
        <f t="shared" si="0"/>
        <v xml:space="preserve"> </v>
      </c>
      <c r="D75" s="1541"/>
      <c r="E75" s="1048"/>
      <c r="F75" s="1396" t="s">
        <v>2344</v>
      </c>
      <c r="G75" s="1049" t="s">
        <v>2336</v>
      </c>
      <c r="H75" s="1843">
        <f>SUM(I75:O75)</f>
        <v>0</v>
      </c>
      <c r="I75" s="1844"/>
      <c r="J75" s="1844"/>
      <c r="K75" s="1844">
        <f>IFERROR(HLOOKUP(B75,pp3p1m!$1:$3,3,0),0)</f>
        <v>0</v>
      </c>
      <c r="L75" s="1844">
        <f>IFERROR(HLOOKUP(chitiet!B75,pp1p!$1:$3,3,0),0)</f>
        <v>0</v>
      </c>
      <c r="M75" s="1844"/>
      <c r="N75" s="1844"/>
      <c r="O75" s="1844"/>
      <c r="P75" s="1844"/>
      <c r="Q75" s="1050"/>
      <c r="R75" s="1050"/>
      <c r="S75" s="1050"/>
      <c r="T75" s="2059">
        <f>IFERROR(HLOOKUP(B75,pp1p!$1:$3,3,0),0)+IFERROR(HLOOKUP(B75,pp3p1m!$1:$3,3,0),0)</f>
        <v>0</v>
      </c>
    </row>
    <row r="76" spans="1:20" ht="22.15" hidden="1" customHeight="1">
      <c r="A76" s="63"/>
      <c r="B76" s="1584" t="s">
        <v>753</v>
      </c>
      <c r="C76" s="64" t="str">
        <f t="shared" si="0"/>
        <v xml:space="preserve"> </v>
      </c>
      <c r="D76" s="1548">
        <v>116</v>
      </c>
      <c r="E76" s="1051">
        <f>VLOOKUP($B76,DG!A:D,DG!$B$2,)</f>
        <v>0</v>
      </c>
      <c r="F76" s="1052" t="str">
        <f>VLOOKUP($B76,DG!A:D,DG!$C$2,)</f>
        <v>Ximăng (PC40)</v>
      </c>
      <c r="G76" s="1051" t="str">
        <f>VLOOKUP($B76,DG!A:D,DG!$D$2,)</f>
        <v>kg</v>
      </c>
      <c r="H76" s="1846">
        <f t="shared" ref="H76:O80" si="11">H$75*$D76</f>
        <v>0</v>
      </c>
      <c r="I76" s="1846">
        <f t="shared" si="11"/>
        <v>0</v>
      </c>
      <c r="J76" s="1846">
        <f t="shared" si="11"/>
        <v>0</v>
      </c>
      <c r="K76" s="1846">
        <f t="shared" si="11"/>
        <v>0</v>
      </c>
      <c r="L76" s="1846">
        <f t="shared" si="11"/>
        <v>0</v>
      </c>
      <c r="M76" s="1846">
        <f t="shared" si="11"/>
        <v>0</v>
      </c>
      <c r="N76" s="1846">
        <f t="shared" si="11"/>
        <v>0</v>
      </c>
      <c r="O76" s="1846">
        <f t="shared" si="11"/>
        <v>0</v>
      </c>
      <c r="P76" s="1846"/>
      <c r="Q76" s="1055"/>
      <c r="R76" s="1055"/>
      <c r="S76" s="1055"/>
      <c r="T76" s="2059">
        <f t="shared" si="1"/>
        <v>0</v>
      </c>
    </row>
    <row r="77" spans="1:20" ht="22.15" hidden="1" customHeight="1">
      <c r="A77" s="63"/>
      <c r="B77" s="1585" t="s">
        <v>4447</v>
      </c>
      <c r="C77" s="64" t="str">
        <f t="shared" si="0"/>
        <v xml:space="preserve"> </v>
      </c>
      <c r="D77" s="1545">
        <v>0.186</v>
      </c>
      <c r="E77" s="1051">
        <f>VLOOKUP($B77,DG!A:D,DG!$B$2,)</f>
        <v>0</v>
      </c>
      <c r="F77" s="1052" t="str">
        <f>VLOOKUP($B77,DG!A:D,DG!$C$2,)</f>
        <v>Cát vàng</v>
      </c>
      <c r="G77" s="1051" t="str">
        <f>VLOOKUP($B77,DG!A:D,DG!$D$2,)</f>
        <v>m3</v>
      </c>
      <c r="H77" s="1846">
        <f t="shared" si="11"/>
        <v>0</v>
      </c>
      <c r="I77" s="1846">
        <f t="shared" si="11"/>
        <v>0</v>
      </c>
      <c r="J77" s="1846">
        <f t="shared" si="11"/>
        <v>0</v>
      </c>
      <c r="K77" s="1846">
        <f t="shared" si="11"/>
        <v>0</v>
      </c>
      <c r="L77" s="1846">
        <f t="shared" si="11"/>
        <v>0</v>
      </c>
      <c r="M77" s="1846">
        <f t="shared" si="11"/>
        <v>0</v>
      </c>
      <c r="N77" s="1846">
        <f t="shared" si="11"/>
        <v>0</v>
      </c>
      <c r="O77" s="1846">
        <f t="shared" si="11"/>
        <v>0</v>
      </c>
      <c r="P77" s="1846"/>
      <c r="Q77" s="1055"/>
      <c r="R77" s="1055"/>
      <c r="S77" s="1055"/>
      <c r="T77" s="2059">
        <f t="shared" si="1"/>
        <v>0</v>
      </c>
    </row>
    <row r="78" spans="1:20" ht="22.15" hidden="1" customHeight="1">
      <c r="A78" s="63" t="s">
        <v>1018</v>
      </c>
      <c r="B78" s="1584" t="s">
        <v>869</v>
      </c>
      <c r="C78" s="64" t="str">
        <f t="shared" si="0"/>
        <v xml:space="preserve"> </v>
      </c>
      <c r="D78" s="1549">
        <v>0.34399999999999997</v>
      </c>
      <c r="E78" s="1051">
        <f>VLOOKUP($B78,DG!A:D,DG!$B$2,)</f>
        <v>0</v>
      </c>
      <c r="F78" s="1052" t="str">
        <f>VLOOKUP($B78,DG!A:D,DG!$C$2,)</f>
        <v>Đá 1x2</v>
      </c>
      <c r="G78" s="1051" t="str">
        <f>VLOOKUP($B78,DG!A:D,DG!$D$2,)</f>
        <v>m3</v>
      </c>
      <c r="H78" s="1846">
        <f t="shared" si="11"/>
        <v>0</v>
      </c>
      <c r="I78" s="1846">
        <f t="shared" si="11"/>
        <v>0</v>
      </c>
      <c r="J78" s="1846">
        <f t="shared" si="11"/>
        <v>0</v>
      </c>
      <c r="K78" s="1846">
        <f t="shared" si="11"/>
        <v>0</v>
      </c>
      <c r="L78" s="1846">
        <f t="shared" si="11"/>
        <v>0</v>
      </c>
      <c r="M78" s="1846">
        <f t="shared" si="11"/>
        <v>0</v>
      </c>
      <c r="N78" s="1846">
        <f t="shared" si="11"/>
        <v>0</v>
      </c>
      <c r="O78" s="1846">
        <f t="shared" si="11"/>
        <v>0</v>
      </c>
      <c r="P78" s="1846"/>
      <c r="Q78" s="1055"/>
      <c r="R78" s="1055"/>
      <c r="S78" s="1055"/>
      <c r="T78" s="2059">
        <f t="shared" ref="T78:T141" si="12">IFERROR(HLOOKUP(B78,BangKeTru,3,0),0)</f>
        <v>0</v>
      </c>
    </row>
    <row r="79" spans="1:20" ht="22.15" hidden="1" customHeight="1">
      <c r="A79" s="63" t="s">
        <v>1018</v>
      </c>
      <c r="B79" s="1584" t="s">
        <v>1429</v>
      </c>
      <c r="C79" s="64" t="str">
        <f t="shared" ref="C79:C142" si="13">IF(OR(P79&lt;&gt;0,H79&lt;&gt;0),"x"," ")</f>
        <v xml:space="preserve"> </v>
      </c>
      <c r="D79" s="1549"/>
      <c r="E79" s="1051">
        <f>VLOOKUP($B79,DG!A:D,DG!$B$2,)</f>
        <v>0</v>
      </c>
      <c r="F79" s="1057" t="str">
        <f>VLOOKUP($B79,DG!A:D,DG!$C$2,)</f>
        <v>Sắt Ø8</v>
      </c>
      <c r="G79" s="1051" t="str">
        <f>VLOOKUP($B79,DG!A:D,DG!$D$2,)</f>
        <v>kg</v>
      </c>
      <c r="H79" s="1846">
        <f t="shared" si="11"/>
        <v>0</v>
      </c>
      <c r="I79" s="1846">
        <f t="shared" si="11"/>
        <v>0</v>
      </c>
      <c r="J79" s="1846">
        <f t="shared" si="11"/>
        <v>0</v>
      </c>
      <c r="K79" s="1846">
        <f t="shared" si="11"/>
        <v>0</v>
      </c>
      <c r="L79" s="1846">
        <f t="shared" si="11"/>
        <v>0</v>
      </c>
      <c r="M79" s="1846">
        <f t="shared" si="11"/>
        <v>0</v>
      </c>
      <c r="N79" s="1846">
        <f t="shared" si="11"/>
        <v>0</v>
      </c>
      <c r="O79" s="1846">
        <f t="shared" si="11"/>
        <v>0</v>
      </c>
      <c r="P79" s="1846"/>
      <c r="Q79" s="1055"/>
      <c r="R79" s="1055"/>
      <c r="S79" s="1055"/>
      <c r="T79" s="2059">
        <f t="shared" si="12"/>
        <v>0</v>
      </c>
    </row>
    <row r="80" spans="1:20" ht="22.15" hidden="1" customHeight="1">
      <c r="A80" s="63" t="s">
        <v>1018</v>
      </c>
      <c r="B80" s="1584" t="s">
        <v>1430</v>
      </c>
      <c r="C80" s="64" t="str">
        <f t="shared" si="13"/>
        <v xml:space="preserve"> </v>
      </c>
      <c r="D80" s="1545"/>
      <c r="E80" s="1051">
        <f>VLOOKUP($B80,DG!A:D,DG!$B$2,)</f>
        <v>0</v>
      </c>
      <c r="F80" s="1057" t="str">
        <f>VLOOKUP($B80,DG!A:D,DG!$C$2,)</f>
        <v>Kẽm</v>
      </c>
      <c r="G80" s="1051" t="str">
        <f>VLOOKUP($B80,DG!A:D,DG!$D$2,)</f>
        <v>kg</v>
      </c>
      <c r="H80" s="1846">
        <f t="shared" si="11"/>
        <v>0</v>
      </c>
      <c r="I80" s="1846">
        <f t="shared" si="11"/>
        <v>0</v>
      </c>
      <c r="J80" s="1846">
        <f t="shared" si="11"/>
        <v>0</v>
      </c>
      <c r="K80" s="1846">
        <f t="shared" si="11"/>
        <v>0</v>
      </c>
      <c r="L80" s="1846">
        <f t="shared" si="11"/>
        <v>0</v>
      </c>
      <c r="M80" s="1846">
        <f t="shared" si="11"/>
        <v>0</v>
      </c>
      <c r="N80" s="1846">
        <f t="shared" si="11"/>
        <v>0</v>
      </c>
      <c r="O80" s="1846">
        <f t="shared" si="11"/>
        <v>0</v>
      </c>
      <c r="P80" s="1846"/>
      <c r="Q80" s="1055"/>
      <c r="R80" s="1055"/>
      <c r="S80" s="1055"/>
      <c r="T80" s="2059">
        <f t="shared" si="12"/>
        <v>0</v>
      </c>
    </row>
    <row r="81" spans="1:20" ht="22.15" hidden="1" customHeight="1">
      <c r="A81" s="63"/>
      <c r="B81" s="1584" t="s">
        <v>639</v>
      </c>
      <c r="C81" s="64" t="str">
        <f t="shared" si="13"/>
        <v xml:space="preserve"> </v>
      </c>
      <c r="D81" s="1545">
        <v>0.46200000000000002</v>
      </c>
      <c r="E81" s="1051" t="str">
        <f>VLOOKUP($B81,DG!A:D,DG!$B$2,)</f>
        <v>03.1013</v>
      </c>
      <c r="F81" s="1052" t="str">
        <f>VLOOKUP($B81,DG!A:D,DG!$C$2,)</f>
        <v>Đào hố móng đất cấp 3 sâu &gt;1m</v>
      </c>
      <c r="G81" s="1051" t="str">
        <f>VLOOKUP($B81,DG!A:D,DG!$D$2,)</f>
        <v>m3</v>
      </c>
      <c r="H81" s="1846"/>
      <c r="I81" s="1846"/>
      <c r="J81" s="1846"/>
      <c r="K81" s="1846"/>
      <c r="L81" s="1846"/>
      <c r="M81" s="1846"/>
      <c r="N81" s="1846"/>
      <c r="O81" s="1846"/>
      <c r="P81" s="1846"/>
      <c r="Q81" s="1058"/>
      <c r="R81" s="1058"/>
      <c r="S81" s="1058"/>
      <c r="T81" s="2059">
        <f t="shared" si="12"/>
        <v>0</v>
      </c>
    </row>
    <row r="82" spans="1:20" ht="22.15" hidden="1" customHeight="1">
      <c r="A82" s="63"/>
      <c r="B82" s="1584" t="s">
        <v>21</v>
      </c>
      <c r="C82" s="64" t="str">
        <f t="shared" si="13"/>
        <v xml:space="preserve"> </v>
      </c>
      <c r="D82" s="1545"/>
      <c r="E82" s="1051" t="str">
        <f>VLOOKUP($B82,DG!A:D,DG!$B$2,)</f>
        <v>03.4113</v>
      </c>
      <c r="F82" s="1052" t="str">
        <f>VLOOKUP($B82,DG!A:D,DG!$C$2,)</f>
        <v>Đắp đất hố móng, độ chặt k=0,95</v>
      </c>
      <c r="G82" s="1051" t="str">
        <f>VLOOKUP($B82,DG!A:D,DG!$D$2,)</f>
        <v>m3</v>
      </c>
      <c r="H82" s="1846"/>
      <c r="I82" s="1846"/>
      <c r="J82" s="1846"/>
      <c r="K82" s="1846"/>
      <c r="L82" s="1846"/>
      <c r="M82" s="1846"/>
      <c r="N82" s="1846"/>
      <c r="O82" s="1846"/>
      <c r="P82" s="1846"/>
      <c r="Q82" s="1058"/>
      <c r="R82" s="1058"/>
      <c r="S82" s="1058"/>
      <c r="T82" s="2059">
        <f t="shared" si="12"/>
        <v>0</v>
      </c>
    </row>
    <row r="83" spans="1:20" ht="22.15" hidden="1" customHeight="1">
      <c r="A83" s="63"/>
      <c r="B83" s="1584" t="s">
        <v>1298</v>
      </c>
      <c r="C83" s="64" t="str">
        <f t="shared" si="13"/>
        <v xml:space="preserve"> </v>
      </c>
      <c r="D83" s="1545"/>
      <c r="E83" s="1051" t="str">
        <f>VLOOKUP($B83,DG!A:D,DG!$B$2,)</f>
        <v>02.1101</v>
      </c>
      <c r="F83" s="1052" t="str">
        <f>VLOOKUP($B83,DG!A:D,DG!$C$2,)</f>
        <v>Bốc dỡ xi măng</v>
      </c>
      <c r="G83" s="1051" t="str">
        <f>VLOOKUP($B83,DG!A:D,DG!$D$2,)</f>
        <v>tấn</v>
      </c>
      <c r="H83" s="1846"/>
      <c r="I83" s="1846"/>
      <c r="J83" s="1846"/>
      <c r="K83" s="1846"/>
      <c r="L83" s="1846"/>
      <c r="M83" s="1846"/>
      <c r="N83" s="1846"/>
      <c r="O83" s="1846"/>
      <c r="P83" s="1846"/>
      <c r="Q83" s="1058"/>
      <c r="R83" s="1058"/>
      <c r="S83" s="1058"/>
      <c r="T83" s="2059">
        <f t="shared" si="12"/>
        <v>0</v>
      </c>
    </row>
    <row r="84" spans="1:20" ht="22.15" hidden="1" customHeight="1">
      <c r="A84" s="63"/>
      <c r="B84" s="1584" t="s">
        <v>133</v>
      </c>
      <c r="C84" s="64" t="str">
        <f t="shared" si="13"/>
        <v xml:space="preserve"> </v>
      </c>
      <c r="D84" s="1545"/>
      <c r="E84" s="1051" t="str">
        <f>VLOOKUP($B84,DG!A:D,DG!$B$2,)</f>
        <v>02.1103</v>
      </c>
      <c r="F84" s="1052" t="str">
        <f>VLOOKUP($B84,DG!A:D,DG!$C$2,)</f>
        <v>Bốc dỡ cát</v>
      </c>
      <c r="G84" s="1051" t="str">
        <f>VLOOKUP($B84,DG!A:D,DG!$D$2,)</f>
        <v>m3</v>
      </c>
      <c r="H84" s="1846"/>
      <c r="I84" s="1846"/>
      <c r="J84" s="1846"/>
      <c r="K84" s="1846"/>
      <c r="L84" s="1846"/>
      <c r="M84" s="1846"/>
      <c r="N84" s="1846"/>
      <c r="O84" s="1846"/>
      <c r="P84" s="1846"/>
      <c r="Q84" s="1058"/>
      <c r="R84" s="1058"/>
      <c r="S84" s="1058"/>
      <c r="T84" s="2059">
        <f t="shared" si="12"/>
        <v>0</v>
      </c>
    </row>
    <row r="85" spans="1:20" ht="22.15" hidden="1" customHeight="1">
      <c r="A85" s="63"/>
      <c r="B85" s="1584" t="s">
        <v>135</v>
      </c>
      <c r="C85" s="64" t="str">
        <f t="shared" si="13"/>
        <v xml:space="preserve"> </v>
      </c>
      <c r="D85" s="1545"/>
      <c r="E85" s="1051" t="str">
        <f>VLOOKUP($B85,DG!A:D,DG!$B$2,)</f>
        <v>02.1104</v>
      </c>
      <c r="F85" s="1052" t="str">
        <f>VLOOKUP($B85,DG!A:D,DG!$C$2,)</f>
        <v>Bốc dỡ đá dăm</v>
      </c>
      <c r="G85" s="1051" t="str">
        <f>VLOOKUP($B85,DG!A:D,DG!$D$2,)</f>
        <v>m3</v>
      </c>
      <c r="H85" s="1846"/>
      <c r="I85" s="1846"/>
      <c r="J85" s="1846"/>
      <c r="K85" s="1846"/>
      <c r="L85" s="1846"/>
      <c r="M85" s="1846"/>
      <c r="N85" s="1846"/>
      <c r="O85" s="1846"/>
      <c r="P85" s="1846"/>
      <c r="Q85" s="1058"/>
      <c r="R85" s="1058"/>
      <c r="S85" s="1058"/>
      <c r="T85" s="2059">
        <f t="shared" si="12"/>
        <v>0</v>
      </c>
    </row>
    <row r="86" spans="1:20" ht="22.15" hidden="1" customHeight="1">
      <c r="A86" s="63"/>
      <c r="B86" s="1584" t="s">
        <v>9</v>
      </c>
      <c r="C86" s="64" t="str">
        <f t="shared" si="13"/>
        <v xml:space="preserve"> </v>
      </c>
      <c r="D86" s="1545"/>
      <c r="E86" s="1051" t="str">
        <f>VLOOKUP($B86,DG!A:D,DG!$B$2,)</f>
        <v>04.5101</v>
      </c>
      <c r="F86" s="1052" t="str">
        <f>VLOOKUP($B86,DG!A:D,DG!$C$2,)</f>
        <v>Gia công và lắp dựng cốt thép D&lt;=10</v>
      </c>
      <c r="G86" s="1051" t="str">
        <f>VLOOKUP($B86,DG!A:D,DG!$D$2,)</f>
        <v>kg</v>
      </c>
      <c r="H86" s="1846"/>
      <c r="I86" s="1846"/>
      <c r="J86" s="1846"/>
      <c r="K86" s="1846"/>
      <c r="L86" s="1846"/>
      <c r="M86" s="1846"/>
      <c r="N86" s="1846"/>
      <c r="O86" s="1846"/>
      <c r="P86" s="1846"/>
      <c r="Q86" s="1058"/>
      <c r="R86" s="1058"/>
      <c r="S86" s="1058"/>
      <c r="T86" s="2059">
        <f t="shared" si="12"/>
        <v>0</v>
      </c>
    </row>
    <row r="87" spans="1:20" ht="22.15" hidden="1" customHeight="1">
      <c r="A87" s="63"/>
      <c r="B87" s="1584" t="s">
        <v>495</v>
      </c>
      <c r="C87" s="64" t="str">
        <f t="shared" si="13"/>
        <v xml:space="preserve"> </v>
      </c>
      <c r="D87" s="1545"/>
      <c r="E87" s="1051" t="str">
        <f>VLOOKUP($B87,DG!A:D,DG!$B$2,)</f>
        <v>02.1211</v>
      </c>
      <c r="F87" s="1052" t="str">
        <f>VLOOKUP($B87,DG!A:D,DG!$C$2,)</f>
        <v>V/c xi măng ( cự ly &lt;=100m)</v>
      </c>
      <c r="G87" s="1051" t="str">
        <f>VLOOKUP($B87,DG!A:D,DG!$D$2,)</f>
        <v>tấn</v>
      </c>
      <c r="H87" s="1846"/>
      <c r="I87" s="1846"/>
      <c r="J87" s="1846"/>
      <c r="K87" s="1846"/>
      <c r="L87" s="1846"/>
      <c r="M87" s="1846"/>
      <c r="N87" s="1846"/>
      <c r="O87" s="1846"/>
      <c r="P87" s="1846"/>
      <c r="Q87" s="1058"/>
      <c r="R87" s="1058"/>
      <c r="S87" s="1058"/>
      <c r="T87" s="2059">
        <f t="shared" si="12"/>
        <v>0</v>
      </c>
    </row>
    <row r="88" spans="1:20" ht="22.15" hidden="1" customHeight="1">
      <c r="A88" s="63"/>
      <c r="B88" s="1584" t="s">
        <v>1616</v>
      </c>
      <c r="C88" s="64" t="str">
        <f t="shared" si="13"/>
        <v xml:space="preserve"> </v>
      </c>
      <c r="D88" s="1545"/>
      <c r="E88" s="1051" t="str">
        <f>VLOOKUP($B88,DG!A:D,DG!$B$2,)</f>
        <v>02.1231</v>
      </c>
      <c r="F88" s="1052" t="str">
        <f>VLOOKUP($B88,DG!A:D,DG!$C$2,)</f>
        <v>V/c cát vàng cự ly &lt;=100m</v>
      </c>
      <c r="G88" s="1051" t="str">
        <f>VLOOKUP($B88,DG!A:D,DG!$D$2,)</f>
        <v>m3</v>
      </c>
      <c r="H88" s="1846"/>
      <c r="I88" s="1846"/>
      <c r="J88" s="1846"/>
      <c r="K88" s="1846"/>
      <c r="L88" s="1846"/>
      <c r="M88" s="1846"/>
      <c r="N88" s="1846"/>
      <c r="O88" s="1846"/>
      <c r="P88" s="1846"/>
      <c r="Q88" s="1058"/>
      <c r="R88" s="1058"/>
      <c r="S88" s="1058"/>
      <c r="T88" s="2059">
        <f t="shared" si="12"/>
        <v>0</v>
      </c>
    </row>
    <row r="89" spans="1:20" ht="22.15" hidden="1" customHeight="1">
      <c r="A89" s="63"/>
      <c r="B89" s="1584" t="s">
        <v>521</v>
      </c>
      <c r="C89" s="64" t="str">
        <f t="shared" si="13"/>
        <v xml:space="preserve"> </v>
      </c>
      <c r="D89" s="1545"/>
      <c r="E89" s="1051" t="str">
        <f>VLOOKUP($B89,DG!A:D,DG!$B$2,)</f>
        <v>02.1241</v>
      </c>
      <c r="F89" s="1052" t="str">
        <f>VLOOKUP($B89,DG!A:D,DG!$C$2,)</f>
        <v>V/c đá dăm ( cự ly &lt;=100m)</v>
      </c>
      <c r="G89" s="1051" t="str">
        <f>VLOOKUP($B89,DG!A:D,DG!$D$2,)</f>
        <v>m3</v>
      </c>
      <c r="H89" s="1846"/>
      <c r="I89" s="1846"/>
      <c r="J89" s="1846"/>
      <c r="K89" s="1846"/>
      <c r="L89" s="1846"/>
      <c r="M89" s="1846"/>
      <c r="N89" s="1846"/>
      <c r="O89" s="1846"/>
      <c r="P89" s="1846"/>
      <c r="Q89" s="1058"/>
      <c r="R89" s="1058"/>
      <c r="S89" s="1058"/>
      <c r="T89" s="2059">
        <f t="shared" si="12"/>
        <v>0</v>
      </c>
    </row>
    <row r="90" spans="1:20" ht="22.15" hidden="1" customHeight="1">
      <c r="A90" s="63"/>
      <c r="B90" s="1584" t="s">
        <v>1987</v>
      </c>
      <c r="C90" s="64" t="str">
        <f t="shared" si="13"/>
        <v xml:space="preserve"> </v>
      </c>
      <c r="D90" s="1545"/>
      <c r="E90" s="1051" t="str">
        <f>VLOOKUP($B90,DG!A:D,DG!$B$2,)</f>
        <v>02.1482</v>
      </c>
      <c r="F90" s="1052" t="str">
        <f>VLOOKUP($B90,DG!A:D,DG!$C$2,)</f>
        <v>V/c dụng cụ thi công ( cự ly &lt;=100m)</v>
      </c>
      <c r="G90" s="1051" t="str">
        <f>VLOOKUP($B90,DG!A:D,DG!$D$2,)</f>
        <v>tấn</v>
      </c>
      <c r="H90" s="1846"/>
      <c r="I90" s="1846"/>
      <c r="J90" s="1846"/>
      <c r="K90" s="1846"/>
      <c r="L90" s="1846"/>
      <c r="M90" s="1846"/>
      <c r="N90" s="1846"/>
      <c r="O90" s="1846"/>
      <c r="P90" s="1846"/>
      <c r="Q90" s="1058"/>
      <c r="R90" s="1058"/>
      <c r="S90" s="1058"/>
      <c r="T90" s="2059">
        <f t="shared" si="12"/>
        <v>0</v>
      </c>
    </row>
    <row r="91" spans="1:20" ht="22.15" hidden="1" customHeight="1">
      <c r="A91" s="63"/>
      <c r="B91" s="1584" t="s">
        <v>1842</v>
      </c>
      <c r="C91" s="64" t="str">
        <f t="shared" si="13"/>
        <v xml:space="preserve"> </v>
      </c>
      <c r="D91" s="1545">
        <v>0.39</v>
      </c>
      <c r="E91" s="1051" t="str">
        <f>VLOOKUP($B91,DG!A:D,DG!$B$2,)</f>
        <v>04.1203c</v>
      </c>
      <c r="F91" s="1052" t="str">
        <f>VLOOKUP($B91,DG!A:D,DG!$C$2,)</f>
        <v>Đổ bê tông móng trụ &lt;=250cm-M200 đá 1x2</v>
      </c>
      <c r="G91" s="1051" t="str">
        <f>VLOOKUP($B91,DG!A:D,DG!$D$2,)</f>
        <v>m3</v>
      </c>
      <c r="H91" s="1846"/>
      <c r="I91" s="1846"/>
      <c r="J91" s="1846"/>
      <c r="K91" s="1846"/>
      <c r="L91" s="1846"/>
      <c r="M91" s="1846"/>
      <c r="N91" s="1846"/>
      <c r="O91" s="1846"/>
      <c r="P91" s="1846"/>
      <c r="Q91" s="1058"/>
      <c r="R91" s="1058"/>
      <c r="S91" s="1058"/>
      <c r="T91" s="2059">
        <f t="shared" si="12"/>
        <v>0</v>
      </c>
    </row>
    <row r="92" spans="1:20" ht="22.15" hidden="1" customHeight="1">
      <c r="A92" s="56" t="s">
        <v>4157</v>
      </c>
      <c r="B92" s="1583" t="s">
        <v>4157</v>
      </c>
      <c r="C92" s="62" t="str">
        <f t="shared" si="13"/>
        <v xml:space="preserve"> </v>
      </c>
      <c r="D92" s="1541"/>
      <c r="E92" s="1048"/>
      <c r="F92" s="1396" t="s">
        <v>4585</v>
      </c>
      <c r="G92" s="1049" t="s">
        <v>2336</v>
      </c>
      <c r="H92" s="1843">
        <f>SUM(I92:O92)</f>
        <v>0</v>
      </c>
      <c r="I92" s="1844"/>
      <c r="J92" s="1844"/>
      <c r="K92" s="1844">
        <f>IFERROR(HLOOKUP(B92,pp3p1m!$1:$3,3,0),0)</f>
        <v>0</v>
      </c>
      <c r="L92" s="1844">
        <f>IFERROR(HLOOKUP(chitiet!B92,pp1p!$1:$3,3,0),0)</f>
        <v>0</v>
      </c>
      <c r="M92" s="1844"/>
      <c r="N92" s="1844"/>
      <c r="O92" s="1844"/>
      <c r="P92" s="1844">
        <f>H92+Q92-R92</f>
        <v>0</v>
      </c>
      <c r="Q92" s="1050"/>
      <c r="R92" s="1050"/>
      <c r="S92" s="1050"/>
      <c r="T92" s="2059">
        <f>IFERROR(HLOOKUP(B92,pp1p!$1:$3,3,0),0)+IFERROR(HLOOKUP(B92,pp3p1m!$1:$3,3,0),0)</f>
        <v>0</v>
      </c>
    </row>
    <row r="93" spans="1:20" ht="22.15" hidden="1" customHeight="1">
      <c r="A93" s="63"/>
      <c r="B93" s="1584" t="s">
        <v>753</v>
      </c>
      <c r="C93" s="64" t="str">
        <f t="shared" si="13"/>
        <v xml:space="preserve"> </v>
      </c>
      <c r="D93" s="1548">
        <v>162</v>
      </c>
      <c r="E93" s="1051">
        <f>VLOOKUP($B93,DG!A:D,DG!$B$2,)</f>
        <v>0</v>
      </c>
      <c r="F93" s="1052" t="str">
        <f>VLOOKUP($B93,DG!A:D,DG!$C$2,)</f>
        <v>Ximăng (PC40)</v>
      </c>
      <c r="G93" s="1051" t="str">
        <f>VLOOKUP($B93,DG!A:D,DG!$D$2,)</f>
        <v>kg</v>
      </c>
      <c r="H93" s="1846">
        <f t="shared" ref="H93:H107" si="14">$H$92*D93</f>
        <v>0</v>
      </c>
      <c r="I93" s="1846">
        <f t="shared" ref="I93:O97" si="15">I$75*$D93</f>
        <v>0</v>
      </c>
      <c r="J93" s="1846">
        <f t="shared" si="15"/>
        <v>0</v>
      </c>
      <c r="K93" s="1846">
        <f t="shared" si="15"/>
        <v>0</v>
      </c>
      <c r="L93" s="1846">
        <f t="shared" si="15"/>
        <v>0</v>
      </c>
      <c r="M93" s="1846">
        <f t="shared" si="15"/>
        <v>0</v>
      </c>
      <c r="N93" s="1846">
        <f t="shared" si="15"/>
        <v>0</v>
      </c>
      <c r="O93" s="1846">
        <f t="shared" si="15"/>
        <v>0</v>
      </c>
      <c r="P93" s="1844">
        <f>H93+Q93-R93</f>
        <v>0</v>
      </c>
      <c r="Q93" s="1055"/>
      <c r="R93" s="1055"/>
      <c r="S93" s="1055"/>
      <c r="T93" s="2059">
        <f t="shared" si="12"/>
        <v>0</v>
      </c>
    </row>
    <row r="94" spans="1:20" ht="22.15" hidden="1" customHeight="1">
      <c r="A94" s="63"/>
      <c r="B94" s="1585" t="s">
        <v>4447</v>
      </c>
      <c r="C94" s="64" t="str">
        <f t="shared" si="13"/>
        <v xml:space="preserve"> </v>
      </c>
      <c r="D94" s="1545">
        <v>0.43</v>
      </c>
      <c r="E94" s="1051">
        <f>VLOOKUP($B94,DG!A:D,DG!$B$2,)</f>
        <v>0</v>
      </c>
      <c r="F94" s="1052" t="str">
        <f>VLOOKUP($B94,DG!A:D,DG!$C$2,)</f>
        <v>Cát vàng</v>
      </c>
      <c r="G94" s="1051" t="str">
        <f>VLOOKUP($B94,DG!A:D,DG!$D$2,)</f>
        <v>m3</v>
      </c>
      <c r="H94" s="1846">
        <f t="shared" si="14"/>
        <v>0</v>
      </c>
      <c r="I94" s="1846">
        <f t="shared" si="15"/>
        <v>0</v>
      </c>
      <c r="J94" s="1846">
        <f t="shared" si="15"/>
        <v>0</v>
      </c>
      <c r="K94" s="1846">
        <f t="shared" si="15"/>
        <v>0</v>
      </c>
      <c r="L94" s="1846">
        <f t="shared" si="15"/>
        <v>0</v>
      </c>
      <c r="M94" s="1846">
        <f t="shared" si="15"/>
        <v>0</v>
      </c>
      <c r="N94" s="1846">
        <f t="shared" si="15"/>
        <v>0</v>
      </c>
      <c r="O94" s="1846">
        <f t="shared" si="15"/>
        <v>0</v>
      </c>
      <c r="P94" s="1844">
        <f>H94+Q94-R94</f>
        <v>0</v>
      </c>
      <c r="Q94" s="1055"/>
      <c r="R94" s="1055"/>
      <c r="S94" s="1055"/>
      <c r="T94" s="2059">
        <f t="shared" si="12"/>
        <v>0</v>
      </c>
    </row>
    <row r="95" spans="1:20" ht="22.15" hidden="1" customHeight="1">
      <c r="A95" s="63" t="s">
        <v>1018</v>
      </c>
      <c r="B95" s="1584" t="s">
        <v>869</v>
      </c>
      <c r="C95" s="64" t="str">
        <f t="shared" si="13"/>
        <v xml:space="preserve"> </v>
      </c>
      <c r="D95" s="1545">
        <v>0.79</v>
      </c>
      <c r="E95" s="1051">
        <f>VLOOKUP($B95,DG!A:D,DG!$B$2,)</f>
        <v>0</v>
      </c>
      <c r="F95" s="1052" t="str">
        <f>VLOOKUP($B95,DG!A:D,DG!$C$2,)</f>
        <v>Đá 1x2</v>
      </c>
      <c r="G95" s="1051" t="str">
        <f>VLOOKUP($B95,DG!A:D,DG!$D$2,)</f>
        <v>m3</v>
      </c>
      <c r="H95" s="1846">
        <f t="shared" si="14"/>
        <v>0</v>
      </c>
      <c r="I95" s="1846">
        <f t="shared" si="15"/>
        <v>0</v>
      </c>
      <c r="J95" s="1846">
        <f t="shared" si="15"/>
        <v>0</v>
      </c>
      <c r="K95" s="1846">
        <f t="shared" si="15"/>
        <v>0</v>
      </c>
      <c r="L95" s="1846">
        <f t="shared" si="15"/>
        <v>0</v>
      </c>
      <c r="M95" s="1846">
        <f t="shared" si="15"/>
        <v>0</v>
      </c>
      <c r="N95" s="1846">
        <f t="shared" si="15"/>
        <v>0</v>
      </c>
      <c r="O95" s="1846">
        <f t="shared" si="15"/>
        <v>0</v>
      </c>
      <c r="P95" s="1844">
        <f>H95+Q95-R95</f>
        <v>0</v>
      </c>
      <c r="Q95" s="1406"/>
      <c r="R95" s="1406"/>
      <c r="S95" s="1406"/>
      <c r="T95" s="2059">
        <f t="shared" si="12"/>
        <v>0</v>
      </c>
    </row>
    <row r="96" spans="1:20" ht="22.15" hidden="1" customHeight="1">
      <c r="A96" s="63" t="s">
        <v>1018</v>
      </c>
      <c r="B96" s="1584" t="s">
        <v>2014</v>
      </c>
      <c r="C96" s="64" t="str">
        <f t="shared" si="13"/>
        <v xml:space="preserve"> </v>
      </c>
      <c r="D96" s="1545"/>
      <c r="E96" s="1051">
        <f>VLOOKUP($B96,DG!A:D,DG!$B$2,)</f>
        <v>0</v>
      </c>
      <c r="F96" s="1057" t="str">
        <f>VLOOKUP($B96,DG!A:D,DG!$C$2,)</f>
        <v>Sắt Ø10</v>
      </c>
      <c r="G96" s="1051" t="str">
        <f>VLOOKUP($B96,DG!A:D,DG!$D$2,)</f>
        <v>kg</v>
      </c>
      <c r="H96" s="1846">
        <f t="shared" si="14"/>
        <v>0</v>
      </c>
      <c r="I96" s="1846">
        <f t="shared" si="15"/>
        <v>0</v>
      </c>
      <c r="J96" s="1846">
        <f t="shared" si="15"/>
        <v>0</v>
      </c>
      <c r="K96" s="1846">
        <f t="shared" si="15"/>
        <v>0</v>
      </c>
      <c r="L96" s="1846">
        <f t="shared" si="15"/>
        <v>0</v>
      </c>
      <c r="M96" s="1846">
        <f t="shared" si="15"/>
        <v>0</v>
      </c>
      <c r="N96" s="1846">
        <f t="shared" si="15"/>
        <v>0</v>
      </c>
      <c r="O96" s="1846">
        <f t="shared" si="15"/>
        <v>0</v>
      </c>
      <c r="P96" s="1846"/>
      <c r="Q96" s="1055"/>
      <c r="R96" s="1055"/>
      <c r="S96" s="1055"/>
      <c r="T96" s="2059">
        <f t="shared" si="12"/>
        <v>0</v>
      </c>
    </row>
    <row r="97" spans="1:20" ht="22.15" hidden="1" customHeight="1">
      <c r="A97" s="63" t="s">
        <v>1018</v>
      </c>
      <c r="B97" s="1584" t="s">
        <v>1430</v>
      </c>
      <c r="C97" s="64" t="str">
        <f t="shared" si="13"/>
        <v xml:space="preserve"> </v>
      </c>
      <c r="D97" s="1545"/>
      <c r="E97" s="1051">
        <f>VLOOKUP($B97,DG!A:D,DG!$B$2,)</f>
        <v>0</v>
      </c>
      <c r="F97" s="1057" t="str">
        <f>VLOOKUP($B97,DG!A:D,DG!$C$2,)</f>
        <v>Kẽm</v>
      </c>
      <c r="G97" s="1051" t="str">
        <f>VLOOKUP($B97,DG!A:D,DG!$D$2,)</f>
        <v>kg</v>
      </c>
      <c r="H97" s="1846">
        <f t="shared" si="14"/>
        <v>0</v>
      </c>
      <c r="I97" s="1846">
        <f t="shared" si="15"/>
        <v>0</v>
      </c>
      <c r="J97" s="1846">
        <f t="shared" si="15"/>
        <v>0</v>
      </c>
      <c r="K97" s="1846">
        <f t="shared" si="15"/>
        <v>0</v>
      </c>
      <c r="L97" s="1846">
        <f t="shared" si="15"/>
        <v>0</v>
      </c>
      <c r="M97" s="1846">
        <f t="shared" si="15"/>
        <v>0</v>
      </c>
      <c r="N97" s="1846">
        <f t="shared" si="15"/>
        <v>0</v>
      </c>
      <c r="O97" s="1846">
        <f t="shared" si="15"/>
        <v>0</v>
      </c>
      <c r="P97" s="1846"/>
      <c r="Q97" s="1055"/>
      <c r="R97" s="1055"/>
      <c r="S97" s="1055"/>
      <c r="T97" s="2059">
        <f t="shared" si="12"/>
        <v>0</v>
      </c>
    </row>
    <row r="98" spans="1:20" ht="22.15" hidden="1" customHeight="1">
      <c r="A98" s="63"/>
      <c r="B98" s="1584" t="s">
        <v>639</v>
      </c>
      <c r="C98" s="64" t="str">
        <f t="shared" si="13"/>
        <v xml:space="preserve"> </v>
      </c>
      <c r="D98" s="1545">
        <v>1.02</v>
      </c>
      <c r="E98" s="1051" t="str">
        <f>VLOOKUP($B98,DG!A:D,DG!$B$2,)</f>
        <v>03.1013</v>
      </c>
      <c r="F98" s="1052" t="str">
        <f>VLOOKUP($B98,DG!A:D,DG!$C$2,)</f>
        <v>Đào hố móng đất cấp 3 sâu &gt;1m</v>
      </c>
      <c r="G98" s="1051" t="str">
        <f>VLOOKUP($B98,DG!A:D,DG!$D$2,)</f>
        <v>m3</v>
      </c>
      <c r="H98" s="1846">
        <f t="shared" si="14"/>
        <v>0</v>
      </c>
      <c r="I98" s="1846"/>
      <c r="J98" s="1846"/>
      <c r="K98" s="1846"/>
      <c r="L98" s="1846"/>
      <c r="M98" s="1846"/>
      <c r="N98" s="1846"/>
      <c r="O98" s="1846"/>
      <c r="P98" s="1844">
        <f>H98+Q98-R98</f>
        <v>0</v>
      </c>
      <c r="Q98" s="1406"/>
      <c r="R98" s="1406"/>
      <c r="S98" s="1406"/>
      <c r="T98" s="2059">
        <f t="shared" si="12"/>
        <v>0</v>
      </c>
    </row>
    <row r="99" spans="1:20" ht="22.15" hidden="1" customHeight="1">
      <c r="A99" s="63"/>
      <c r="B99" s="1584" t="s">
        <v>21</v>
      </c>
      <c r="C99" s="64" t="str">
        <f t="shared" si="13"/>
        <v xml:space="preserve"> </v>
      </c>
      <c r="D99" s="1545">
        <v>0.47</v>
      </c>
      <c r="E99" s="1051" t="str">
        <f>VLOOKUP($B99,DG!A:D,DG!$B$2,)</f>
        <v>03.4113</v>
      </c>
      <c r="F99" s="1052" t="str">
        <f>VLOOKUP($B99,DG!A:D,DG!$C$2,)</f>
        <v>Đắp đất hố móng, độ chặt k=0,95</v>
      </c>
      <c r="G99" s="1051" t="str">
        <f>VLOOKUP($B99,DG!A:D,DG!$D$2,)</f>
        <v>m3</v>
      </c>
      <c r="H99" s="1846">
        <f t="shared" si="14"/>
        <v>0</v>
      </c>
      <c r="I99" s="1846"/>
      <c r="J99" s="1846"/>
      <c r="K99" s="1846"/>
      <c r="L99" s="1846"/>
      <c r="M99" s="1846"/>
      <c r="N99" s="1846"/>
      <c r="O99" s="1846"/>
      <c r="P99" s="1844">
        <f>H99+Q99-R99</f>
        <v>0</v>
      </c>
      <c r="Q99" s="1055"/>
      <c r="R99" s="1055"/>
      <c r="S99" s="1055"/>
      <c r="T99" s="2059">
        <f t="shared" si="12"/>
        <v>0</v>
      </c>
    </row>
    <row r="100" spans="1:20" ht="22.15" hidden="1" customHeight="1">
      <c r="A100" s="63"/>
      <c r="B100" s="1584" t="s">
        <v>1298</v>
      </c>
      <c r="C100" s="64" t="str">
        <f t="shared" si="13"/>
        <v xml:space="preserve"> </v>
      </c>
      <c r="D100" s="1545"/>
      <c r="E100" s="1051" t="str">
        <f>VLOOKUP($B100,DG!A:D,DG!$B$2,)</f>
        <v>02.1101</v>
      </c>
      <c r="F100" s="1052" t="str">
        <f>VLOOKUP($B100,DG!A:D,DG!$C$2,)</f>
        <v>Bốc dỡ xi măng</v>
      </c>
      <c r="G100" s="1051" t="str">
        <f>VLOOKUP($B100,DG!A:D,DG!$D$2,)</f>
        <v>tấn</v>
      </c>
      <c r="H100" s="1846">
        <f t="shared" si="14"/>
        <v>0</v>
      </c>
      <c r="I100" s="1846"/>
      <c r="J100" s="1846"/>
      <c r="K100" s="1846"/>
      <c r="L100" s="1846"/>
      <c r="M100" s="1846"/>
      <c r="N100" s="1846"/>
      <c r="O100" s="1846"/>
      <c r="P100" s="1846"/>
      <c r="Q100" s="1055"/>
      <c r="R100" s="1055"/>
      <c r="S100" s="1055"/>
      <c r="T100" s="2059">
        <f t="shared" si="12"/>
        <v>0</v>
      </c>
    </row>
    <row r="101" spans="1:20" ht="22.15" hidden="1" customHeight="1">
      <c r="A101" s="63"/>
      <c r="B101" s="1584" t="s">
        <v>133</v>
      </c>
      <c r="C101" s="64" t="str">
        <f t="shared" si="13"/>
        <v xml:space="preserve"> </v>
      </c>
      <c r="D101" s="1545"/>
      <c r="E101" s="1051" t="str">
        <f>VLOOKUP($B101,DG!A:D,DG!$B$2,)</f>
        <v>02.1103</v>
      </c>
      <c r="F101" s="1052" t="str">
        <f>VLOOKUP($B101,DG!A:D,DG!$C$2,)</f>
        <v>Bốc dỡ cát</v>
      </c>
      <c r="G101" s="1051" t="str">
        <f>VLOOKUP($B101,DG!A:D,DG!$D$2,)</f>
        <v>m3</v>
      </c>
      <c r="H101" s="1846">
        <f t="shared" si="14"/>
        <v>0</v>
      </c>
      <c r="I101" s="1846"/>
      <c r="J101" s="1846"/>
      <c r="K101" s="1846"/>
      <c r="L101" s="1846"/>
      <c r="M101" s="1846"/>
      <c r="N101" s="1846"/>
      <c r="O101" s="1846"/>
      <c r="P101" s="1846"/>
      <c r="Q101" s="1055"/>
      <c r="R101" s="1055"/>
      <c r="S101" s="1055"/>
      <c r="T101" s="2059">
        <f t="shared" si="12"/>
        <v>0</v>
      </c>
    </row>
    <row r="102" spans="1:20" ht="22.15" hidden="1" customHeight="1">
      <c r="A102" s="63"/>
      <c r="B102" s="1584" t="s">
        <v>135</v>
      </c>
      <c r="C102" s="64" t="str">
        <f t="shared" si="13"/>
        <v xml:space="preserve"> </v>
      </c>
      <c r="D102" s="1545"/>
      <c r="E102" s="1051" t="str">
        <f>VLOOKUP($B102,DG!A:D,DG!$B$2,)</f>
        <v>02.1104</v>
      </c>
      <c r="F102" s="1052" t="str">
        <f>VLOOKUP($B102,DG!A:D,DG!$C$2,)</f>
        <v>Bốc dỡ đá dăm</v>
      </c>
      <c r="G102" s="1051" t="str">
        <f>VLOOKUP($B102,DG!A:D,DG!$D$2,)</f>
        <v>m3</v>
      </c>
      <c r="H102" s="1846">
        <f t="shared" si="14"/>
        <v>0</v>
      </c>
      <c r="I102" s="1846"/>
      <c r="J102" s="1846"/>
      <c r="K102" s="1846"/>
      <c r="L102" s="1846"/>
      <c r="M102" s="1846"/>
      <c r="N102" s="1846"/>
      <c r="O102" s="1846"/>
      <c r="P102" s="1846"/>
      <c r="Q102" s="1055"/>
      <c r="R102" s="1055"/>
      <c r="S102" s="1055"/>
      <c r="T102" s="2059">
        <f t="shared" si="12"/>
        <v>0</v>
      </c>
    </row>
    <row r="103" spans="1:20" ht="22.15" hidden="1" customHeight="1">
      <c r="A103" s="63"/>
      <c r="B103" s="1584" t="s">
        <v>9</v>
      </c>
      <c r="C103" s="64" t="str">
        <f t="shared" si="13"/>
        <v xml:space="preserve"> </v>
      </c>
      <c r="D103" s="1545">
        <f>D96</f>
        <v>0</v>
      </c>
      <c r="E103" s="1051" t="str">
        <f>VLOOKUP($B103,DG!A:D,DG!$B$2,)</f>
        <v>04.5101</v>
      </c>
      <c r="F103" s="1052" t="str">
        <f>VLOOKUP($B103,DG!A:D,DG!$C$2,)</f>
        <v>Gia công và lắp dựng cốt thép D&lt;=10</v>
      </c>
      <c r="G103" s="1051" t="str">
        <f>VLOOKUP($B103,DG!A:D,DG!$D$2,)</f>
        <v>kg</v>
      </c>
      <c r="H103" s="1846">
        <f t="shared" si="14"/>
        <v>0</v>
      </c>
      <c r="I103" s="1846"/>
      <c r="J103" s="1846"/>
      <c r="K103" s="1846"/>
      <c r="L103" s="1846"/>
      <c r="M103" s="1846"/>
      <c r="N103" s="1846"/>
      <c r="O103" s="1846"/>
      <c r="P103" s="1846"/>
      <c r="Q103" s="1055"/>
      <c r="R103" s="1055"/>
      <c r="S103" s="1055"/>
      <c r="T103" s="2059">
        <f t="shared" si="12"/>
        <v>0</v>
      </c>
    </row>
    <row r="104" spans="1:20" ht="22.15" hidden="1" customHeight="1">
      <c r="A104" s="63"/>
      <c r="B104" s="1584" t="s">
        <v>495</v>
      </c>
      <c r="C104" s="64" t="str">
        <f t="shared" si="13"/>
        <v xml:space="preserve"> </v>
      </c>
      <c r="D104" s="1545"/>
      <c r="E104" s="1051" t="str">
        <f>VLOOKUP($B104,DG!A:D,DG!$B$2,)</f>
        <v>02.1211</v>
      </c>
      <c r="F104" s="1052" t="str">
        <f>VLOOKUP($B104,DG!A:D,DG!$C$2,)</f>
        <v>V/c xi măng ( cự ly &lt;=100m)</v>
      </c>
      <c r="G104" s="1051" t="str">
        <f>VLOOKUP($B104,DG!A:D,DG!$D$2,)</f>
        <v>tấn</v>
      </c>
      <c r="H104" s="1846">
        <f t="shared" si="14"/>
        <v>0</v>
      </c>
      <c r="I104" s="1846"/>
      <c r="J104" s="1846"/>
      <c r="K104" s="1846"/>
      <c r="L104" s="1846"/>
      <c r="M104" s="1846"/>
      <c r="N104" s="1846"/>
      <c r="O104" s="1846"/>
      <c r="P104" s="1846"/>
      <c r="Q104" s="1055"/>
      <c r="R104" s="1055"/>
      <c r="S104" s="1055"/>
      <c r="T104" s="2059">
        <f t="shared" si="12"/>
        <v>0</v>
      </c>
    </row>
    <row r="105" spans="1:20" ht="22.15" hidden="1" customHeight="1">
      <c r="A105" s="63"/>
      <c r="B105" s="1584" t="s">
        <v>1616</v>
      </c>
      <c r="C105" s="64" t="str">
        <f t="shared" si="13"/>
        <v xml:space="preserve"> </v>
      </c>
      <c r="D105" s="1545"/>
      <c r="E105" s="1051" t="str">
        <f>VLOOKUP($B105,DG!A:D,DG!$B$2,)</f>
        <v>02.1231</v>
      </c>
      <c r="F105" s="1052" t="str">
        <f>VLOOKUP($B105,DG!A:D,DG!$C$2,)</f>
        <v>V/c cát vàng cự ly &lt;=100m</v>
      </c>
      <c r="G105" s="1051" t="str">
        <f>VLOOKUP($B105,DG!A:D,DG!$D$2,)</f>
        <v>m3</v>
      </c>
      <c r="H105" s="1846">
        <f t="shared" si="14"/>
        <v>0</v>
      </c>
      <c r="I105" s="1846"/>
      <c r="J105" s="1846"/>
      <c r="K105" s="1846"/>
      <c r="L105" s="1846"/>
      <c r="M105" s="1846"/>
      <c r="N105" s="1846"/>
      <c r="O105" s="1846"/>
      <c r="P105" s="1846"/>
      <c r="Q105" s="1055"/>
      <c r="R105" s="1055"/>
      <c r="S105" s="1055"/>
      <c r="T105" s="2059">
        <f t="shared" si="12"/>
        <v>0</v>
      </c>
    </row>
    <row r="106" spans="1:20" ht="22.15" hidden="1" customHeight="1">
      <c r="A106" s="63"/>
      <c r="B106" s="1584" t="s">
        <v>521</v>
      </c>
      <c r="C106" s="64" t="str">
        <f t="shared" si="13"/>
        <v xml:space="preserve"> </v>
      </c>
      <c r="D106" s="1545"/>
      <c r="E106" s="1051" t="str">
        <f>VLOOKUP($B106,DG!A:D,DG!$B$2,)</f>
        <v>02.1241</v>
      </c>
      <c r="F106" s="1052" t="str">
        <f>VLOOKUP($B106,DG!A:D,DG!$C$2,)</f>
        <v>V/c đá dăm ( cự ly &lt;=100m)</v>
      </c>
      <c r="G106" s="1051" t="str">
        <f>VLOOKUP($B106,DG!A:D,DG!$D$2,)</f>
        <v>m3</v>
      </c>
      <c r="H106" s="1846">
        <f t="shared" si="14"/>
        <v>0</v>
      </c>
      <c r="I106" s="1846"/>
      <c r="J106" s="1846"/>
      <c r="K106" s="1846"/>
      <c r="L106" s="1846"/>
      <c r="M106" s="1846"/>
      <c r="N106" s="1846"/>
      <c r="O106" s="1846"/>
      <c r="P106" s="1846"/>
      <c r="Q106" s="1055"/>
      <c r="R106" s="1055"/>
      <c r="S106" s="1055"/>
      <c r="T106" s="2059">
        <f t="shared" si="12"/>
        <v>0</v>
      </c>
    </row>
    <row r="107" spans="1:20" ht="22.15" hidden="1" customHeight="1">
      <c r="A107" s="63"/>
      <c r="B107" s="1584" t="s">
        <v>1987</v>
      </c>
      <c r="C107" s="64" t="str">
        <f t="shared" si="13"/>
        <v xml:space="preserve"> </v>
      </c>
      <c r="D107" s="1545"/>
      <c r="E107" s="1051" t="str">
        <f>VLOOKUP($B107,DG!A:D,DG!$B$2,)</f>
        <v>02.1482</v>
      </c>
      <c r="F107" s="1052" t="str">
        <f>VLOOKUP($B107,DG!A:D,DG!$C$2,)</f>
        <v>V/c dụng cụ thi công ( cự ly &lt;=100m)</v>
      </c>
      <c r="G107" s="1051" t="str">
        <f>VLOOKUP($B107,DG!A:D,DG!$D$2,)</f>
        <v>tấn</v>
      </c>
      <c r="H107" s="1846">
        <f t="shared" si="14"/>
        <v>0</v>
      </c>
      <c r="I107" s="1846"/>
      <c r="J107" s="1846"/>
      <c r="K107" s="1846"/>
      <c r="L107" s="1846"/>
      <c r="M107" s="1846"/>
      <c r="N107" s="1846"/>
      <c r="O107" s="1846"/>
      <c r="P107" s="1846"/>
      <c r="Q107" s="1055"/>
      <c r="R107" s="1055"/>
      <c r="S107" s="1055"/>
      <c r="T107" s="2059">
        <f t="shared" si="12"/>
        <v>0</v>
      </c>
    </row>
    <row r="108" spans="1:20" ht="22.15" hidden="1" customHeight="1">
      <c r="A108" s="63"/>
      <c r="B108" s="1584" t="s">
        <v>1842</v>
      </c>
      <c r="C108" s="64" t="str">
        <f t="shared" si="13"/>
        <v xml:space="preserve"> </v>
      </c>
      <c r="D108" s="1545">
        <v>0.55000000000000004</v>
      </c>
      <c r="E108" s="1051" t="str">
        <f>VLOOKUP($B108,DG!A:D,DG!$B$2,)</f>
        <v>04.1203c</v>
      </c>
      <c r="F108" s="1052" t="str">
        <f>VLOOKUP($B108,DG!A:D,DG!$C$2,)</f>
        <v>Đổ bê tông móng trụ &lt;=250cm-M200 đá 1x2</v>
      </c>
      <c r="G108" s="1051" t="str">
        <f>VLOOKUP($B108,DG!A:D,DG!$D$2,)</f>
        <v>m3</v>
      </c>
      <c r="H108" s="1846">
        <f>$H$92*D108*0</f>
        <v>0</v>
      </c>
      <c r="I108" s="1846"/>
      <c r="J108" s="1846"/>
      <c r="K108" s="1846"/>
      <c r="L108" s="1846"/>
      <c r="M108" s="1846"/>
      <c r="N108" s="1846"/>
      <c r="O108" s="1846"/>
      <c r="P108" s="1844">
        <f>H108+Q108-R108</f>
        <v>0</v>
      </c>
      <c r="Q108" s="1406"/>
      <c r="R108" s="1406"/>
      <c r="S108" s="1406"/>
      <c r="T108" s="2059">
        <f t="shared" si="12"/>
        <v>0</v>
      </c>
    </row>
    <row r="109" spans="1:20" ht="22.15" hidden="1" customHeight="1">
      <c r="A109" s="56" t="s">
        <v>234</v>
      </c>
      <c r="B109" s="1583" t="s">
        <v>234</v>
      </c>
      <c r="C109" s="62" t="str">
        <f t="shared" si="13"/>
        <v xml:space="preserve"> </v>
      </c>
      <c r="D109" s="1541"/>
      <c r="E109" s="1048"/>
      <c r="F109" s="1396" t="s">
        <v>2345</v>
      </c>
      <c r="G109" s="1049" t="s">
        <v>2336</v>
      </c>
      <c r="H109" s="1843">
        <f>SUM(I109:O109)</f>
        <v>0</v>
      </c>
      <c r="I109" s="1844"/>
      <c r="J109" s="1844"/>
      <c r="K109" s="1844">
        <f>IFERROR(HLOOKUP(B109,pp3p1m!$1:$3,3,0),0)</f>
        <v>0</v>
      </c>
      <c r="L109" s="1844">
        <f>IFERROR(HLOOKUP(chitiet!B109,pp1p!$1:$3,3,0),0)</f>
        <v>0</v>
      </c>
      <c r="M109" s="1844"/>
      <c r="N109" s="1844"/>
      <c r="O109" s="1844"/>
      <c r="P109" s="1844"/>
      <c r="Q109" s="1050"/>
      <c r="R109" s="1050"/>
      <c r="S109" s="1050"/>
      <c r="T109" s="2059">
        <f>IFERROR(HLOOKUP(B109,pp1p!$1:$3,3,0),0)+IFERROR(HLOOKUP(B109,pp3p1m!$1:$3,3,0),0)</f>
        <v>0</v>
      </c>
    </row>
    <row r="110" spans="1:20" ht="22.15" hidden="1" customHeight="1">
      <c r="A110" s="63"/>
      <c r="B110" s="1599" t="s">
        <v>1580</v>
      </c>
      <c r="C110" s="64" t="str">
        <f t="shared" si="13"/>
        <v xml:space="preserve"> </v>
      </c>
      <c r="D110" s="1547">
        <v>1</v>
      </c>
      <c r="E110" s="1047" t="str">
        <f>VLOOKUP($B110,DG!A:D,DG!$B$2,)</f>
        <v>04.3801</v>
      </c>
      <c r="F110" s="1057" t="str">
        <f>VLOOKUP($B110,DG!A:D,DG!$C$2,)</f>
        <v>Đà cản BTCT 1,5m</v>
      </c>
      <c r="G110" s="1051" t="str">
        <f>VLOOKUP($B110,DG!A:D,DG!$D$2,)</f>
        <v>cái</v>
      </c>
      <c r="H110" s="1846">
        <f t="shared" ref="H110:O111" si="16">H$109*$D110</f>
        <v>0</v>
      </c>
      <c r="I110" s="1846">
        <f t="shared" si="16"/>
        <v>0</v>
      </c>
      <c r="J110" s="1846">
        <f t="shared" si="16"/>
        <v>0</v>
      </c>
      <c r="K110" s="1846">
        <f t="shared" si="16"/>
        <v>0</v>
      </c>
      <c r="L110" s="1846">
        <f t="shared" si="16"/>
        <v>0</v>
      </c>
      <c r="M110" s="1846">
        <f t="shared" si="16"/>
        <v>0</v>
      </c>
      <c r="N110" s="1846">
        <f t="shared" si="16"/>
        <v>0</v>
      </c>
      <c r="O110" s="1846">
        <f t="shared" si="16"/>
        <v>0</v>
      </c>
      <c r="P110" s="1846"/>
      <c r="Q110" s="1055"/>
      <c r="R110" s="1055"/>
      <c r="S110" s="1055"/>
      <c r="T110" s="2059">
        <f t="shared" si="12"/>
        <v>0</v>
      </c>
    </row>
    <row r="111" spans="1:20" ht="22.15" hidden="1" customHeight="1">
      <c r="A111" s="63"/>
      <c r="B111" s="1599" t="s">
        <v>721</v>
      </c>
      <c r="C111" s="64" t="str">
        <f t="shared" si="13"/>
        <v xml:space="preserve"> </v>
      </c>
      <c r="D111" s="1547">
        <v>1</v>
      </c>
      <c r="E111" s="1051"/>
      <c r="F111" s="1057" t="str">
        <f>VLOOKUP($B111,DG!A:D,DG!$C$2,)</f>
        <v>Boulon 22x550/100+ 2 long đền vuông D24-50x50x3/Zn</v>
      </c>
      <c r="G111" s="1051" t="str">
        <f>VLOOKUP($B111,DG!A:D,DG!$D$2,)</f>
        <v>bộ</v>
      </c>
      <c r="H111" s="1846">
        <f t="shared" si="16"/>
        <v>0</v>
      </c>
      <c r="I111" s="1846">
        <f t="shared" si="16"/>
        <v>0</v>
      </c>
      <c r="J111" s="1846">
        <f t="shared" si="16"/>
        <v>0</v>
      </c>
      <c r="K111" s="1846">
        <f t="shared" si="16"/>
        <v>0</v>
      </c>
      <c r="L111" s="1846">
        <f t="shared" si="16"/>
        <v>0</v>
      </c>
      <c r="M111" s="1846">
        <f t="shared" si="16"/>
        <v>0</v>
      </c>
      <c r="N111" s="1846">
        <f t="shared" si="16"/>
        <v>0</v>
      </c>
      <c r="O111" s="1846">
        <f t="shared" si="16"/>
        <v>0</v>
      </c>
      <c r="P111" s="1846"/>
      <c r="Q111" s="1055"/>
      <c r="R111" s="1055"/>
      <c r="S111" s="1055"/>
      <c r="T111" s="2059">
        <f t="shared" si="12"/>
        <v>0</v>
      </c>
    </row>
    <row r="112" spans="1:20" ht="22.15" hidden="1" customHeight="1">
      <c r="A112" s="63"/>
      <c r="B112" s="1599" t="s">
        <v>639</v>
      </c>
      <c r="C112" s="64" t="str">
        <f t="shared" si="13"/>
        <v xml:space="preserve"> </v>
      </c>
      <c r="D112" s="1546">
        <v>1.17</v>
      </c>
      <c r="E112" s="1051" t="str">
        <f>VLOOKUP($B112,DG!A:D,DG!$B$2,)</f>
        <v>03.1013</v>
      </c>
      <c r="F112" s="1052" t="str">
        <f>VLOOKUP($B112,DG!A:D,DG!$C$2,)</f>
        <v>Đào hố móng đất cấp 3 sâu &gt;1m</v>
      </c>
      <c r="G112" s="1051" t="str">
        <f>VLOOKUP($B112,DG!A:D,DG!$D$2,)</f>
        <v>m3</v>
      </c>
      <c r="H112" s="1846"/>
      <c r="I112" s="1846"/>
      <c r="J112" s="1846"/>
      <c r="K112" s="1846"/>
      <c r="L112" s="1846"/>
      <c r="M112" s="1846"/>
      <c r="N112" s="1846"/>
      <c r="O112" s="1846"/>
      <c r="P112" s="1846"/>
      <c r="Q112" s="1058"/>
      <c r="R112" s="1058"/>
      <c r="S112" s="1058"/>
      <c r="T112" s="2059">
        <f t="shared" si="12"/>
        <v>0</v>
      </c>
    </row>
    <row r="113" spans="1:20" ht="22.15" hidden="1" customHeight="1">
      <c r="A113" s="63"/>
      <c r="B113" s="1599" t="s">
        <v>21</v>
      </c>
      <c r="C113" s="64" t="str">
        <f t="shared" si="13"/>
        <v xml:space="preserve"> </v>
      </c>
      <c r="D113" s="1546">
        <v>2.0099999999999998</v>
      </c>
      <c r="E113" s="1051" t="str">
        <f>VLOOKUP($B113,DG!A:D,DG!$B$2,)</f>
        <v>03.4113</v>
      </c>
      <c r="F113" s="1052" t="str">
        <f>VLOOKUP($B113,DG!A:D,DG!$C$2,)</f>
        <v>Đắp đất hố móng, độ chặt k=0,95</v>
      </c>
      <c r="G113" s="1051" t="str">
        <f>VLOOKUP($B113,DG!A:D,DG!$D$2,)</f>
        <v>m3</v>
      </c>
      <c r="H113" s="1846"/>
      <c r="I113" s="1846"/>
      <c r="J113" s="1846"/>
      <c r="K113" s="1846"/>
      <c r="L113" s="1846"/>
      <c r="M113" s="1846"/>
      <c r="N113" s="1846"/>
      <c r="O113" s="1846"/>
      <c r="P113" s="1846"/>
      <c r="Q113" s="1058"/>
      <c r="R113" s="1058"/>
      <c r="S113" s="1058"/>
      <c r="T113" s="2059">
        <f t="shared" si="12"/>
        <v>0</v>
      </c>
    </row>
    <row r="114" spans="1:20" ht="22.15" hidden="1" customHeight="1">
      <c r="A114" s="63"/>
      <c r="B114" s="1599" t="s">
        <v>637</v>
      </c>
      <c r="C114" s="64" t="str">
        <f t="shared" si="13"/>
        <v xml:space="preserve"> </v>
      </c>
      <c r="D114" s="1546">
        <v>0.255</v>
      </c>
      <c r="E114" s="1051" t="str">
        <f>VLOOKUP($B114,DG!A:D,DG!$B$2,)</f>
        <v>02.1123</v>
      </c>
      <c r="F114" s="1052" t="str">
        <f>VLOOKUP($B114,DG!A:D,DG!$C$2,)</f>
        <v>Bốc dỡ đà cản, đế néo</v>
      </c>
      <c r="G114" s="1051" t="str">
        <f>VLOOKUP($B114,DG!A:D,DG!$D$2,)</f>
        <v>tấn</v>
      </c>
      <c r="H114" s="1846"/>
      <c r="I114" s="1846"/>
      <c r="J114" s="1846"/>
      <c r="K114" s="1846"/>
      <c r="L114" s="1846"/>
      <c r="M114" s="1846"/>
      <c r="N114" s="1846"/>
      <c r="O114" s="1846"/>
      <c r="P114" s="1846"/>
      <c r="Q114" s="1055"/>
      <c r="R114" s="1055"/>
      <c r="S114" s="1055"/>
      <c r="T114" s="2059">
        <f t="shared" si="12"/>
        <v>0</v>
      </c>
    </row>
    <row r="115" spans="1:20" ht="22.15" hidden="1" customHeight="1">
      <c r="A115" s="63"/>
      <c r="B115" s="1584" t="s">
        <v>2071</v>
      </c>
      <c r="C115" s="64" t="str">
        <f t="shared" si="13"/>
        <v xml:space="preserve"> </v>
      </c>
      <c r="D115" s="1546">
        <f>D114</f>
        <v>0.255</v>
      </c>
      <c r="E115" s="1051" t="str">
        <f>VLOOKUP($B115,DG!A:C,2,)</f>
        <v>02.1451</v>
      </c>
      <c r="F115" s="1052" t="str">
        <f>VLOOKUP($B115,DG!A:C,3,)</f>
        <v>V/c đà cản vào vị trí (cự ly &lt;=100m)</v>
      </c>
      <c r="G115" s="1051" t="str">
        <f>VLOOKUP($B115,DG!A:D,4,0)</f>
        <v>tấn</v>
      </c>
      <c r="H115" s="1846"/>
      <c r="I115" s="1846"/>
      <c r="J115" s="1846"/>
      <c r="K115" s="1846"/>
      <c r="L115" s="1846"/>
      <c r="M115" s="1846"/>
      <c r="N115" s="1846"/>
      <c r="O115" s="1846"/>
      <c r="P115" s="1846"/>
      <c r="Q115" s="1058"/>
      <c r="R115" s="1058"/>
      <c r="S115" s="1058"/>
      <c r="T115" s="2059">
        <f t="shared" si="12"/>
        <v>0</v>
      </c>
    </row>
    <row r="116" spans="1:20" ht="22.15" hidden="1" customHeight="1">
      <c r="A116" s="63"/>
      <c r="B116" s="1584" t="s">
        <v>635</v>
      </c>
      <c r="C116" s="64" t="str">
        <f t="shared" si="13"/>
        <v xml:space="preserve"> </v>
      </c>
      <c r="D116" s="1546">
        <v>0.2</v>
      </c>
      <c r="E116" s="1051" t="str">
        <f>VLOOKUP($B116,DG!A:C,2,)</f>
        <v>02.1482</v>
      </c>
      <c r="F116" s="1052" t="str">
        <f>VLOOKUP($B116,DG!A:C,3,)</f>
        <v>V/c dụng cụ thi công vào vị trí (cự ly &lt;=100m)</v>
      </c>
      <c r="G116" s="1051" t="str">
        <f>VLOOKUP($B116,DG!A:D,4,0)</f>
        <v>tấn</v>
      </c>
      <c r="H116" s="1846"/>
      <c r="I116" s="1846"/>
      <c r="J116" s="1846"/>
      <c r="K116" s="1846"/>
      <c r="L116" s="1846"/>
      <c r="M116" s="1846"/>
      <c r="N116" s="1846"/>
      <c r="O116" s="1846"/>
      <c r="P116" s="1846"/>
      <c r="Q116" s="1058"/>
      <c r="R116" s="1058"/>
      <c r="S116" s="1058"/>
      <c r="T116" s="2059">
        <f t="shared" si="12"/>
        <v>0</v>
      </c>
    </row>
    <row r="117" spans="1:20" ht="22.15" hidden="1" customHeight="1">
      <c r="A117" s="56" t="s">
        <v>2185</v>
      </c>
      <c r="B117" s="1583" t="s">
        <v>2185</v>
      </c>
      <c r="C117" s="62" t="str">
        <f t="shared" si="13"/>
        <v xml:space="preserve"> </v>
      </c>
      <c r="D117" s="1541"/>
      <c r="E117" s="1048"/>
      <c r="F117" s="1396" t="s">
        <v>2346</v>
      </c>
      <c r="G117" s="1049" t="s">
        <v>2336</v>
      </c>
      <c r="H117" s="1843">
        <f>SUM(I117:O117)</f>
        <v>0</v>
      </c>
      <c r="I117" s="1844"/>
      <c r="J117" s="1844"/>
      <c r="K117" s="1844">
        <f>IFERROR(HLOOKUP(B117,pp3p1m!$1:$3,3,0),0)</f>
        <v>0</v>
      </c>
      <c r="L117" s="1844">
        <f>IFERROR(HLOOKUP(chitiet!B117,pp1p!$1:$3,3,0),0)</f>
        <v>0</v>
      </c>
      <c r="M117" s="1844"/>
      <c r="N117" s="1844"/>
      <c r="O117" s="1844"/>
      <c r="P117" s="1844"/>
      <c r="Q117" s="1050"/>
      <c r="R117" s="1050"/>
      <c r="S117" s="1050"/>
      <c r="T117" s="2059">
        <f>IFERROR(HLOOKUP(B117,pp1p!$1:$3,3,0),0)+IFERROR(HLOOKUP(B117,pp3p1m!$1:$3,3,0),0)</f>
        <v>0</v>
      </c>
    </row>
    <row r="118" spans="1:20" ht="22.15" hidden="1" customHeight="1">
      <c r="A118" s="63"/>
      <c r="B118" s="1599" t="s">
        <v>636</v>
      </c>
      <c r="C118" s="64" t="str">
        <f t="shared" si="13"/>
        <v xml:space="preserve"> </v>
      </c>
      <c r="D118" s="1547">
        <v>2</v>
      </c>
      <c r="E118" s="1047" t="str">
        <f>VLOOKUP($B118,DG!A:D,DG!$B$2,)</f>
        <v>04.4001</v>
      </c>
      <c r="F118" s="1057" t="str">
        <f>VLOOKUP($B118,DG!A:D,DG!$C$2,)</f>
        <v>Đà cản BTCT 1,2m</v>
      </c>
      <c r="G118" s="1051" t="str">
        <f>VLOOKUP($B118,DG!A:D,DG!$D$2,)</f>
        <v>cái</v>
      </c>
      <c r="H118" s="1846">
        <f t="shared" ref="H118:N119" si="17">H$117*$D118</f>
        <v>0</v>
      </c>
      <c r="I118" s="1846">
        <f t="shared" si="17"/>
        <v>0</v>
      </c>
      <c r="J118" s="1846">
        <f t="shared" si="17"/>
        <v>0</v>
      </c>
      <c r="K118" s="1846">
        <f t="shared" si="17"/>
        <v>0</v>
      </c>
      <c r="L118" s="1846">
        <f t="shared" si="17"/>
        <v>0</v>
      </c>
      <c r="M118" s="1846">
        <f t="shared" si="17"/>
        <v>0</v>
      </c>
      <c r="N118" s="1846">
        <f t="shared" si="17"/>
        <v>0</v>
      </c>
      <c r="O118" s="1846"/>
      <c r="P118" s="1846"/>
      <c r="Q118" s="1055"/>
      <c r="R118" s="1055"/>
      <c r="S118" s="1055"/>
      <c r="T118" s="2059">
        <f t="shared" si="12"/>
        <v>0</v>
      </c>
    </row>
    <row r="119" spans="1:20" ht="22.15" hidden="1" customHeight="1">
      <c r="A119" s="63"/>
      <c r="B119" s="1599" t="s">
        <v>721</v>
      </c>
      <c r="C119" s="64" t="str">
        <f t="shared" si="13"/>
        <v xml:space="preserve"> </v>
      </c>
      <c r="D119" s="1547">
        <v>2</v>
      </c>
      <c r="E119" s="1051"/>
      <c r="F119" s="1057" t="str">
        <f>VLOOKUP($B119,DG!A:D,DG!$C$2,)</f>
        <v>Boulon 22x550/100+ 2 long đền vuông D24-50x50x3/Zn</v>
      </c>
      <c r="G119" s="1051" t="str">
        <f>VLOOKUP($B119,DG!A:D,DG!$D$2,)</f>
        <v>bộ</v>
      </c>
      <c r="H119" s="1846">
        <f t="shared" si="17"/>
        <v>0</v>
      </c>
      <c r="I119" s="1846">
        <f t="shared" si="17"/>
        <v>0</v>
      </c>
      <c r="J119" s="1846">
        <f t="shared" si="17"/>
        <v>0</v>
      </c>
      <c r="K119" s="1846">
        <f t="shared" si="17"/>
        <v>0</v>
      </c>
      <c r="L119" s="1846">
        <f t="shared" si="17"/>
        <v>0</v>
      </c>
      <c r="M119" s="1846">
        <f t="shared" si="17"/>
        <v>0</v>
      </c>
      <c r="N119" s="1846">
        <f t="shared" si="17"/>
        <v>0</v>
      </c>
      <c r="O119" s="1846"/>
      <c r="P119" s="1846"/>
      <c r="Q119" s="1055"/>
      <c r="R119" s="1055"/>
      <c r="S119" s="1055"/>
      <c r="T119" s="2059">
        <f t="shared" si="12"/>
        <v>0</v>
      </c>
    </row>
    <row r="120" spans="1:20" ht="22.15" hidden="1" customHeight="1">
      <c r="A120" s="63"/>
      <c r="B120" s="1599" t="s">
        <v>639</v>
      </c>
      <c r="C120" s="64" t="str">
        <f t="shared" si="13"/>
        <v xml:space="preserve"> </v>
      </c>
      <c r="D120" s="1546">
        <v>3.65</v>
      </c>
      <c r="E120" s="1051" t="str">
        <f>VLOOKUP($B120,DG!A:D,DG!$B$2,)</f>
        <v>03.1013</v>
      </c>
      <c r="F120" s="1052" t="str">
        <f>VLOOKUP($B120,DG!A:D,DG!$C$2,)</f>
        <v>Đào hố móng đất cấp 3 sâu &gt;1m</v>
      </c>
      <c r="G120" s="1051" t="str">
        <f>VLOOKUP($B120,DG!A:D,DG!$D$2,)</f>
        <v>m3</v>
      </c>
      <c r="H120" s="1846"/>
      <c r="I120" s="1846"/>
      <c r="J120" s="1846"/>
      <c r="K120" s="1846"/>
      <c r="L120" s="1846"/>
      <c r="M120" s="1846"/>
      <c r="N120" s="1846"/>
      <c r="O120" s="1846"/>
      <c r="P120" s="1846"/>
      <c r="Q120" s="1058"/>
      <c r="R120" s="1058"/>
      <c r="S120" s="1058"/>
      <c r="T120" s="2059">
        <f t="shared" si="12"/>
        <v>0</v>
      </c>
    </row>
    <row r="121" spans="1:20" ht="22.15" hidden="1" customHeight="1">
      <c r="A121" s="63"/>
      <c r="B121" s="1599" t="s">
        <v>21</v>
      </c>
      <c r="C121" s="64" t="str">
        <f t="shared" si="13"/>
        <v xml:space="preserve"> </v>
      </c>
      <c r="D121" s="1546">
        <v>4.41</v>
      </c>
      <c r="E121" s="1051" t="str">
        <f>VLOOKUP($B121,DG!A:D,DG!$B$2,)</f>
        <v>03.4113</v>
      </c>
      <c r="F121" s="1052" t="str">
        <f>VLOOKUP($B121,DG!A:D,DG!$C$2,)</f>
        <v>Đắp đất hố móng, độ chặt k=0,95</v>
      </c>
      <c r="G121" s="1051" t="str">
        <f>VLOOKUP($B121,DG!A:D,DG!$D$2,)</f>
        <v>m3</v>
      </c>
      <c r="H121" s="1846"/>
      <c r="I121" s="1846"/>
      <c r="J121" s="1846"/>
      <c r="K121" s="1846"/>
      <c r="L121" s="1846"/>
      <c r="M121" s="1846"/>
      <c r="N121" s="1846"/>
      <c r="O121" s="1846"/>
      <c r="P121" s="1846"/>
      <c r="Q121" s="1058"/>
      <c r="R121" s="1058"/>
      <c r="S121" s="1058"/>
      <c r="T121" s="2059">
        <f t="shared" si="12"/>
        <v>0</v>
      </c>
    </row>
    <row r="122" spans="1:20" ht="22.15" hidden="1" customHeight="1">
      <c r="A122" s="63"/>
      <c r="B122" s="1599" t="s">
        <v>637</v>
      </c>
      <c r="C122" s="64" t="str">
        <f t="shared" si="13"/>
        <v xml:space="preserve"> </v>
      </c>
      <c r="D122" s="1546">
        <f>0.1*D118</f>
        <v>0.2</v>
      </c>
      <c r="E122" s="1051" t="str">
        <f>VLOOKUP($B122,DG!A:D,DG!$B$2,)</f>
        <v>02.1123</v>
      </c>
      <c r="F122" s="1052" t="str">
        <f>VLOOKUP($B122,DG!A:D,DG!$C$2,)</f>
        <v>Bốc dỡ đà cản, đế néo</v>
      </c>
      <c r="G122" s="1051" t="str">
        <f>VLOOKUP($B122,DG!A:D,DG!$D$2,)</f>
        <v>tấn</v>
      </c>
      <c r="H122" s="1846"/>
      <c r="I122" s="1846"/>
      <c r="J122" s="1846"/>
      <c r="K122" s="1846"/>
      <c r="L122" s="1846"/>
      <c r="M122" s="1846"/>
      <c r="N122" s="1846"/>
      <c r="O122" s="1846"/>
      <c r="P122" s="1846"/>
      <c r="Q122" s="1055"/>
      <c r="R122" s="1055"/>
      <c r="S122" s="1055"/>
      <c r="T122" s="2059">
        <f t="shared" si="12"/>
        <v>0</v>
      </c>
    </row>
    <row r="123" spans="1:20" ht="22.15" hidden="1" customHeight="1">
      <c r="A123" s="63"/>
      <c r="B123" s="1584" t="s">
        <v>2071</v>
      </c>
      <c r="C123" s="64" t="str">
        <f t="shared" si="13"/>
        <v xml:space="preserve"> </v>
      </c>
      <c r="D123" s="1546">
        <f>D122</f>
        <v>0.2</v>
      </c>
      <c r="E123" s="1051" t="str">
        <f>VLOOKUP($B123,DG!A:C,2,)</f>
        <v>02.1451</v>
      </c>
      <c r="F123" s="1052" t="str">
        <f>VLOOKUP($B123,DG!A:C,3,)</f>
        <v>V/c đà cản vào vị trí (cự ly &lt;=100m)</v>
      </c>
      <c r="G123" s="1051" t="str">
        <f>VLOOKUP($B123,DG!A:D,4,0)</f>
        <v>tấn</v>
      </c>
      <c r="H123" s="1846"/>
      <c r="I123" s="1846"/>
      <c r="J123" s="1846"/>
      <c r="K123" s="1846"/>
      <c r="L123" s="1846"/>
      <c r="M123" s="1846"/>
      <c r="N123" s="1846"/>
      <c r="O123" s="1846"/>
      <c r="P123" s="1846"/>
      <c r="Q123" s="1058"/>
      <c r="R123" s="1058"/>
      <c r="S123" s="1058"/>
      <c r="T123" s="2059">
        <f t="shared" si="12"/>
        <v>0</v>
      </c>
    </row>
    <row r="124" spans="1:20" ht="22.15" hidden="1" customHeight="1">
      <c r="A124" s="63"/>
      <c r="B124" s="1584" t="s">
        <v>635</v>
      </c>
      <c r="C124" s="64" t="str">
        <f t="shared" si="13"/>
        <v xml:space="preserve"> </v>
      </c>
      <c r="D124" s="1546">
        <f>D123</f>
        <v>0.2</v>
      </c>
      <c r="E124" s="1051" t="str">
        <f>VLOOKUP($B124,DG!A:C,2,)</f>
        <v>02.1482</v>
      </c>
      <c r="F124" s="1052" t="str">
        <f>VLOOKUP($B124,DG!A:C,3,)</f>
        <v>V/c dụng cụ thi công vào vị trí (cự ly &lt;=100m)</v>
      </c>
      <c r="G124" s="1051" t="str">
        <f>VLOOKUP($B124,DG!A:D,4,0)</f>
        <v>tấn</v>
      </c>
      <c r="H124" s="1846"/>
      <c r="I124" s="1846"/>
      <c r="J124" s="1846"/>
      <c r="K124" s="1846"/>
      <c r="L124" s="1846"/>
      <c r="M124" s="1846"/>
      <c r="N124" s="1846"/>
      <c r="O124" s="1846"/>
      <c r="P124" s="1846"/>
      <c r="Q124" s="1058"/>
      <c r="R124" s="1058"/>
      <c r="S124" s="1058"/>
      <c r="T124" s="2059">
        <f t="shared" si="12"/>
        <v>0</v>
      </c>
    </row>
    <row r="125" spans="1:20" ht="22.15" hidden="1" customHeight="1">
      <c r="A125" s="56" t="s">
        <v>934</v>
      </c>
      <c r="B125" s="1583" t="s">
        <v>934</v>
      </c>
      <c r="C125" s="62" t="str">
        <f t="shared" si="13"/>
        <v xml:space="preserve"> </v>
      </c>
      <c r="D125" s="1541"/>
      <c r="E125" s="1048"/>
      <c r="F125" s="1396" t="s">
        <v>2347</v>
      </c>
      <c r="G125" s="1049" t="s">
        <v>2336</v>
      </c>
      <c r="H125" s="1843">
        <f>SUM(I125:O125)</f>
        <v>0</v>
      </c>
      <c r="I125" s="1844"/>
      <c r="J125" s="1844"/>
      <c r="K125" s="1844">
        <f>IFERROR(HLOOKUP(B125,pp3p1m!$1:$3,3,0),0)</f>
        <v>0</v>
      </c>
      <c r="L125" s="1844">
        <f>IFERROR(HLOOKUP(chitiet!B125,pp1p!$1:$3,3,0),0)</f>
        <v>0</v>
      </c>
      <c r="M125" s="1844"/>
      <c r="N125" s="1844"/>
      <c r="O125" s="1844"/>
      <c r="P125" s="1844"/>
      <c r="Q125" s="1050"/>
      <c r="R125" s="1050"/>
      <c r="S125" s="1050"/>
      <c r="T125" s="2059">
        <f>IFERROR(HLOOKUP(B125,pp1p!$1:$3,3,0),0)+IFERROR(HLOOKUP(B125,pp3p1m!$1:$3,3,0),0)</f>
        <v>0</v>
      </c>
    </row>
    <row r="126" spans="1:20" ht="22.15" hidden="1" customHeight="1">
      <c r="A126" s="63"/>
      <c r="B126" s="1599" t="s">
        <v>1580</v>
      </c>
      <c r="C126" s="64" t="str">
        <f t="shared" si="13"/>
        <v xml:space="preserve"> </v>
      </c>
      <c r="D126" s="1547">
        <v>1</v>
      </c>
      <c r="E126" s="1047" t="str">
        <f>VLOOKUP($B126,DG!A:D,DG!$B$2,)</f>
        <v>04.3801</v>
      </c>
      <c r="F126" s="1057" t="str">
        <f>VLOOKUP($B126,DG!A:D,DG!$C$2,)</f>
        <v>Đà cản BTCT 1,5m</v>
      </c>
      <c r="G126" s="1051" t="str">
        <f>VLOOKUP($B126,DG!A:D,DG!$D$2,)</f>
        <v>cái</v>
      </c>
      <c r="H126" s="1846">
        <f t="shared" ref="H126:N128" si="18">H$125*$D126</f>
        <v>0</v>
      </c>
      <c r="I126" s="1846">
        <f t="shared" si="18"/>
        <v>0</v>
      </c>
      <c r="J126" s="1846">
        <f t="shared" si="18"/>
        <v>0</v>
      </c>
      <c r="K126" s="1846">
        <f t="shared" si="18"/>
        <v>0</v>
      </c>
      <c r="L126" s="1846">
        <f t="shared" si="18"/>
        <v>0</v>
      </c>
      <c r="M126" s="1846">
        <f t="shared" si="18"/>
        <v>0</v>
      </c>
      <c r="N126" s="1846">
        <f t="shared" si="18"/>
        <v>0</v>
      </c>
      <c r="O126" s="1846"/>
      <c r="P126" s="1846"/>
      <c r="Q126" s="1055"/>
      <c r="R126" s="1055"/>
      <c r="S126" s="1055"/>
      <c r="T126" s="2059">
        <f t="shared" si="12"/>
        <v>0</v>
      </c>
    </row>
    <row r="127" spans="1:20" ht="22.15" hidden="1" customHeight="1">
      <c r="A127" s="63"/>
      <c r="B127" s="1599" t="s">
        <v>636</v>
      </c>
      <c r="C127" s="64" t="str">
        <f t="shared" si="13"/>
        <v xml:space="preserve"> </v>
      </c>
      <c r="D127" s="1547">
        <v>1</v>
      </c>
      <c r="E127" s="1047" t="str">
        <f>VLOOKUP($B127,DG!A:D,DG!$B$2,)</f>
        <v>04.4001</v>
      </c>
      <c r="F127" s="1057" t="str">
        <f>VLOOKUP($B127,DG!A:D,DG!$C$2,)</f>
        <v>Đà cản BTCT 1,2m</v>
      </c>
      <c r="G127" s="1051" t="str">
        <f>VLOOKUP($B127,DG!A:D,DG!$D$2,)</f>
        <v>cái</v>
      </c>
      <c r="H127" s="1846">
        <f t="shared" si="18"/>
        <v>0</v>
      </c>
      <c r="I127" s="1846">
        <f t="shared" si="18"/>
        <v>0</v>
      </c>
      <c r="J127" s="1846">
        <f t="shared" si="18"/>
        <v>0</v>
      </c>
      <c r="K127" s="1846">
        <f t="shared" si="18"/>
        <v>0</v>
      </c>
      <c r="L127" s="1846">
        <f t="shared" si="18"/>
        <v>0</v>
      </c>
      <c r="M127" s="1846">
        <f t="shared" si="18"/>
        <v>0</v>
      </c>
      <c r="N127" s="1846">
        <f t="shared" si="18"/>
        <v>0</v>
      </c>
      <c r="O127" s="1846"/>
      <c r="P127" s="1846"/>
      <c r="Q127" s="1055"/>
      <c r="R127" s="1055"/>
      <c r="S127" s="1055"/>
      <c r="T127" s="2059">
        <f t="shared" si="12"/>
        <v>0</v>
      </c>
    </row>
    <row r="128" spans="1:20" ht="22.15" hidden="1" customHeight="1">
      <c r="A128" s="63"/>
      <c r="B128" s="1599" t="s">
        <v>721</v>
      </c>
      <c r="C128" s="64" t="str">
        <f t="shared" si="13"/>
        <v xml:space="preserve"> </v>
      </c>
      <c r="D128" s="1547">
        <v>2</v>
      </c>
      <c r="E128" s="1051"/>
      <c r="F128" s="1057" t="str">
        <f>VLOOKUP($B128,DG!A:D,DG!$C$2,)</f>
        <v>Boulon 22x550/100+ 2 long đền vuông D24-50x50x3/Zn</v>
      </c>
      <c r="G128" s="1051" t="str">
        <f>VLOOKUP($B128,DG!A:D,DG!$D$2,)</f>
        <v>bộ</v>
      </c>
      <c r="H128" s="1846">
        <f t="shared" si="18"/>
        <v>0</v>
      </c>
      <c r="I128" s="1846">
        <f t="shared" si="18"/>
        <v>0</v>
      </c>
      <c r="J128" s="1846">
        <f t="shared" si="18"/>
        <v>0</v>
      </c>
      <c r="K128" s="1846">
        <f t="shared" si="18"/>
        <v>0</v>
      </c>
      <c r="L128" s="1846">
        <f t="shared" si="18"/>
        <v>0</v>
      </c>
      <c r="M128" s="1846">
        <f t="shared" si="18"/>
        <v>0</v>
      </c>
      <c r="N128" s="1846">
        <f t="shared" si="18"/>
        <v>0</v>
      </c>
      <c r="O128" s="1846"/>
      <c r="P128" s="1846"/>
      <c r="Q128" s="1055"/>
      <c r="R128" s="1055"/>
      <c r="S128" s="1055"/>
      <c r="T128" s="2059">
        <f t="shared" si="12"/>
        <v>0</v>
      </c>
    </row>
    <row r="129" spans="1:20" ht="22.15" hidden="1" customHeight="1">
      <c r="A129" s="63"/>
      <c r="B129" s="1599" t="s">
        <v>639</v>
      </c>
      <c r="C129" s="64" t="str">
        <f t="shared" si="13"/>
        <v xml:space="preserve"> </v>
      </c>
      <c r="D129" s="1543">
        <v>3.81</v>
      </c>
      <c r="E129" s="1051" t="str">
        <f>VLOOKUP($B129,DG!A:D,DG!$B$2,)</f>
        <v>03.1013</v>
      </c>
      <c r="F129" s="1052" t="str">
        <f>VLOOKUP($B129,DG!A:D,DG!$C$2,)</f>
        <v>Đào hố móng đất cấp 3 sâu &gt;1m</v>
      </c>
      <c r="G129" s="1051" t="str">
        <f>VLOOKUP($B129,DG!A:D,DG!$D$2,)</f>
        <v>m3</v>
      </c>
      <c r="H129" s="1846"/>
      <c r="I129" s="1846"/>
      <c r="J129" s="1846"/>
      <c r="K129" s="1846"/>
      <c r="L129" s="1846"/>
      <c r="M129" s="1846"/>
      <c r="N129" s="1846"/>
      <c r="O129" s="1846"/>
      <c r="P129" s="1846"/>
      <c r="Q129" s="1058"/>
      <c r="R129" s="1058"/>
      <c r="S129" s="1058"/>
      <c r="T129" s="2059">
        <f t="shared" si="12"/>
        <v>0</v>
      </c>
    </row>
    <row r="130" spans="1:20" ht="22.15" hidden="1" customHeight="1">
      <c r="A130" s="63"/>
      <c r="B130" s="1599" t="s">
        <v>21</v>
      </c>
      <c r="C130" s="64" t="str">
        <f t="shared" si="13"/>
        <v xml:space="preserve"> </v>
      </c>
      <c r="D130" s="1543">
        <v>4.63</v>
      </c>
      <c r="E130" s="1051" t="str">
        <f>VLOOKUP($B130,DG!A:D,DG!$B$2,)</f>
        <v>03.4113</v>
      </c>
      <c r="F130" s="1052" t="str">
        <f>VLOOKUP($B130,DG!A:D,DG!$C$2,)</f>
        <v>Đắp đất hố móng, độ chặt k=0,95</v>
      </c>
      <c r="G130" s="1051" t="str">
        <f>VLOOKUP($B130,DG!A:D,DG!$D$2,)</f>
        <v>m3</v>
      </c>
      <c r="H130" s="1846"/>
      <c r="I130" s="1846"/>
      <c r="J130" s="1846"/>
      <c r="K130" s="1846"/>
      <c r="L130" s="1846"/>
      <c r="M130" s="1846"/>
      <c r="N130" s="1846"/>
      <c r="O130" s="1846"/>
      <c r="P130" s="1846"/>
      <c r="Q130" s="1058"/>
      <c r="R130" s="1058"/>
      <c r="S130" s="1058"/>
      <c r="T130" s="2059">
        <f t="shared" si="12"/>
        <v>0</v>
      </c>
    </row>
    <row r="131" spans="1:20" ht="22.15" hidden="1" customHeight="1">
      <c r="A131" s="63"/>
      <c r="B131" s="1599" t="s">
        <v>637</v>
      </c>
      <c r="C131" s="64" t="str">
        <f t="shared" si="13"/>
        <v xml:space="preserve"> </v>
      </c>
      <c r="D131" s="1546">
        <f>0.1+0.255</f>
        <v>0.35499999999999998</v>
      </c>
      <c r="E131" s="1051" t="str">
        <f>VLOOKUP($B131,DG!A:D,DG!$B$2,)</f>
        <v>02.1123</v>
      </c>
      <c r="F131" s="1052" t="str">
        <f>VLOOKUP($B131,DG!A:D,DG!$C$2,)</f>
        <v>Bốc dỡ đà cản, đế néo</v>
      </c>
      <c r="G131" s="1051" t="str">
        <f>VLOOKUP($B131,DG!A:D,DG!$D$2,)</f>
        <v>tấn</v>
      </c>
      <c r="H131" s="1846"/>
      <c r="I131" s="1846"/>
      <c r="J131" s="1846"/>
      <c r="K131" s="1846"/>
      <c r="L131" s="1846"/>
      <c r="M131" s="1846"/>
      <c r="N131" s="1846"/>
      <c r="O131" s="1846"/>
      <c r="P131" s="1846"/>
      <c r="Q131" s="1055"/>
      <c r="R131" s="1055"/>
      <c r="S131" s="1055"/>
      <c r="T131" s="2059">
        <f t="shared" si="12"/>
        <v>0</v>
      </c>
    </row>
    <row r="132" spans="1:20" ht="22.15" hidden="1" customHeight="1">
      <c r="A132" s="63"/>
      <c r="B132" s="1584" t="s">
        <v>2071</v>
      </c>
      <c r="C132" s="64" t="str">
        <f t="shared" si="13"/>
        <v xml:space="preserve"> </v>
      </c>
      <c r="D132" s="1546">
        <f>D131</f>
        <v>0.35499999999999998</v>
      </c>
      <c r="E132" s="1051" t="str">
        <f>VLOOKUP($B132,DG!A:C,2,)</f>
        <v>02.1451</v>
      </c>
      <c r="F132" s="1052" t="str">
        <f>VLOOKUP($B132,DG!A:C,3,)</f>
        <v>V/c đà cản vào vị trí (cự ly &lt;=100m)</v>
      </c>
      <c r="G132" s="1051" t="str">
        <f>VLOOKUP($B132,DG!A:D,4,0)</f>
        <v>tấn</v>
      </c>
      <c r="H132" s="1846"/>
      <c r="I132" s="1846"/>
      <c r="J132" s="1846"/>
      <c r="K132" s="1846"/>
      <c r="L132" s="1846"/>
      <c r="M132" s="1846"/>
      <c r="N132" s="1846"/>
      <c r="O132" s="1846"/>
      <c r="P132" s="1846"/>
      <c r="Q132" s="1058"/>
      <c r="R132" s="1058"/>
      <c r="S132" s="1058"/>
      <c r="T132" s="2059">
        <f t="shared" si="12"/>
        <v>0</v>
      </c>
    </row>
    <row r="133" spans="1:20" ht="22.15" hidden="1" customHeight="1">
      <c r="A133" s="63"/>
      <c r="B133" s="1584" t="s">
        <v>635</v>
      </c>
      <c r="C133" s="64" t="str">
        <f t="shared" si="13"/>
        <v xml:space="preserve"> </v>
      </c>
      <c r="D133" s="1546">
        <v>0.2</v>
      </c>
      <c r="E133" s="1051" t="str">
        <f>VLOOKUP($B133,DG!A:C,2,)</f>
        <v>02.1482</v>
      </c>
      <c r="F133" s="1052" t="str">
        <f>VLOOKUP($B133,DG!A:C,3,)</f>
        <v>V/c dụng cụ thi công vào vị trí (cự ly &lt;=100m)</v>
      </c>
      <c r="G133" s="1051" t="str">
        <f>VLOOKUP($B133,DG!A:D,4,0)</f>
        <v>tấn</v>
      </c>
      <c r="H133" s="1846"/>
      <c r="I133" s="1846"/>
      <c r="J133" s="1846"/>
      <c r="K133" s="1846"/>
      <c r="L133" s="1846"/>
      <c r="M133" s="1846"/>
      <c r="N133" s="1846"/>
      <c r="O133" s="1846"/>
      <c r="P133" s="1846"/>
      <c r="Q133" s="1058"/>
      <c r="R133" s="1058"/>
      <c r="S133" s="1058"/>
      <c r="T133" s="2059">
        <f t="shared" si="12"/>
        <v>0</v>
      </c>
    </row>
    <row r="134" spans="1:20" ht="22.15" hidden="1" customHeight="1">
      <c r="A134" s="56" t="s">
        <v>935</v>
      </c>
      <c r="B134" s="1583" t="s">
        <v>935</v>
      </c>
      <c r="C134" s="62" t="str">
        <f t="shared" si="13"/>
        <v xml:space="preserve"> </v>
      </c>
      <c r="D134" s="1541"/>
      <c r="E134" s="1048"/>
      <c r="F134" s="1396" t="s">
        <v>2348</v>
      </c>
      <c r="G134" s="1049" t="s">
        <v>2336</v>
      </c>
      <c r="H134" s="1843">
        <f>SUM(I134:O134)</f>
        <v>0</v>
      </c>
      <c r="I134" s="1844"/>
      <c r="J134" s="1844"/>
      <c r="K134" s="1844">
        <f>IFERROR(HLOOKUP(B134,pp3p1m!$1:$3,3,0),0)</f>
        <v>0</v>
      </c>
      <c r="L134" s="1844">
        <f>IFERROR(HLOOKUP(chitiet!B134,pp1p!$1:$3,3,0),0)</f>
        <v>0</v>
      </c>
      <c r="M134" s="1844"/>
      <c r="N134" s="1844"/>
      <c r="O134" s="1844"/>
      <c r="P134" s="1844"/>
      <c r="Q134" s="1050"/>
      <c r="R134" s="1050"/>
      <c r="S134" s="1050"/>
      <c r="T134" s="2059">
        <f>IFERROR(HLOOKUP(B134,pp1p!$1:$3,3,0),0)+IFERROR(HLOOKUP(B134,pp3p1m!$1:$3,3,0),0)</f>
        <v>0</v>
      </c>
    </row>
    <row r="135" spans="1:20" ht="22.15" hidden="1" customHeight="1">
      <c r="A135" s="63"/>
      <c r="B135" s="1599" t="s">
        <v>1580</v>
      </c>
      <c r="C135" s="64" t="str">
        <f t="shared" si="13"/>
        <v xml:space="preserve"> </v>
      </c>
      <c r="D135" s="1547">
        <v>2</v>
      </c>
      <c r="E135" s="1047" t="str">
        <f>VLOOKUP($B135,DG!A:D,DG!$B$2,)</f>
        <v>04.3801</v>
      </c>
      <c r="F135" s="1057" t="str">
        <f>VLOOKUP($B135,DG!A:D,DG!$C$2,)</f>
        <v>Đà cản BTCT 1,5m</v>
      </c>
      <c r="G135" s="1051" t="str">
        <f>VLOOKUP($B135,DG!A:D,DG!$D$2,)</f>
        <v>cái</v>
      </c>
      <c r="H135" s="1846">
        <f t="shared" ref="H135:N136" si="19">H$134*$D135</f>
        <v>0</v>
      </c>
      <c r="I135" s="1846">
        <f t="shared" si="19"/>
        <v>0</v>
      </c>
      <c r="J135" s="1846">
        <f t="shared" si="19"/>
        <v>0</v>
      </c>
      <c r="K135" s="1846">
        <f t="shared" si="19"/>
        <v>0</v>
      </c>
      <c r="L135" s="1846">
        <f t="shared" si="19"/>
        <v>0</v>
      </c>
      <c r="M135" s="1846">
        <f t="shared" si="19"/>
        <v>0</v>
      </c>
      <c r="N135" s="1846">
        <f t="shared" si="19"/>
        <v>0</v>
      </c>
      <c r="O135" s="1846"/>
      <c r="P135" s="1846"/>
      <c r="Q135" s="1055"/>
      <c r="R135" s="1055"/>
      <c r="S135" s="1055"/>
      <c r="T135" s="2059">
        <f t="shared" si="12"/>
        <v>0</v>
      </c>
    </row>
    <row r="136" spans="1:20" ht="22.15" hidden="1" customHeight="1">
      <c r="A136" s="63"/>
      <c r="B136" s="1599" t="s">
        <v>721</v>
      </c>
      <c r="C136" s="64" t="str">
        <f t="shared" si="13"/>
        <v xml:space="preserve"> </v>
      </c>
      <c r="D136" s="1547">
        <v>2</v>
      </c>
      <c r="E136" s="1051"/>
      <c r="F136" s="1057" t="str">
        <f>VLOOKUP($B136,DG!A:D,DG!$C$2,)</f>
        <v>Boulon 22x550/100+ 2 long đền vuông D24-50x50x3/Zn</v>
      </c>
      <c r="G136" s="1051" t="str">
        <f>VLOOKUP($B136,DG!A:D,DG!$D$2,)</f>
        <v>bộ</v>
      </c>
      <c r="H136" s="1846">
        <f t="shared" si="19"/>
        <v>0</v>
      </c>
      <c r="I136" s="1846">
        <f t="shared" si="19"/>
        <v>0</v>
      </c>
      <c r="J136" s="1846">
        <f t="shared" si="19"/>
        <v>0</v>
      </c>
      <c r="K136" s="1846">
        <f t="shared" si="19"/>
        <v>0</v>
      </c>
      <c r="L136" s="1846">
        <f t="shared" si="19"/>
        <v>0</v>
      </c>
      <c r="M136" s="1846">
        <f t="shared" si="19"/>
        <v>0</v>
      </c>
      <c r="N136" s="1846">
        <f t="shared" si="19"/>
        <v>0</v>
      </c>
      <c r="O136" s="1846"/>
      <c r="P136" s="1846"/>
      <c r="Q136" s="1055"/>
      <c r="R136" s="1055"/>
      <c r="S136" s="1055"/>
      <c r="T136" s="2059">
        <f t="shared" si="12"/>
        <v>0</v>
      </c>
    </row>
    <row r="137" spans="1:20" ht="22.15" hidden="1" customHeight="1">
      <c r="A137" s="63"/>
      <c r="B137" s="1599" t="s">
        <v>639</v>
      </c>
      <c r="C137" s="64" t="str">
        <f t="shared" si="13"/>
        <v xml:space="preserve"> </v>
      </c>
      <c r="D137" s="1546">
        <v>2.8</v>
      </c>
      <c r="E137" s="1051" t="str">
        <f>VLOOKUP($B137,DG!A:D,DG!$B$2,)</f>
        <v>03.1013</v>
      </c>
      <c r="F137" s="1052" t="str">
        <f>VLOOKUP($B137,DG!A:D,DG!$C$2,)</f>
        <v>Đào hố móng đất cấp 3 sâu &gt;1m</v>
      </c>
      <c r="G137" s="1051" t="str">
        <f>VLOOKUP($B137,DG!A:D,DG!$D$2,)</f>
        <v>m3</v>
      </c>
      <c r="H137" s="1846"/>
      <c r="I137" s="1846"/>
      <c r="J137" s="1846"/>
      <c r="K137" s="1846"/>
      <c r="L137" s="1846"/>
      <c r="M137" s="1846"/>
      <c r="N137" s="1846"/>
      <c r="O137" s="1846"/>
      <c r="P137" s="1846"/>
      <c r="Q137" s="1058"/>
      <c r="R137" s="1058"/>
      <c r="S137" s="1058"/>
      <c r="T137" s="2059">
        <f t="shared" si="12"/>
        <v>0</v>
      </c>
    </row>
    <row r="138" spans="1:20" ht="22.15" hidden="1" customHeight="1">
      <c r="A138" s="63"/>
      <c r="B138" s="1599" t="s">
        <v>21</v>
      </c>
      <c r="C138" s="64" t="str">
        <f t="shared" si="13"/>
        <v xml:space="preserve"> </v>
      </c>
      <c r="D138" s="1546">
        <v>3.25</v>
      </c>
      <c r="E138" s="1051" t="str">
        <f>VLOOKUP($B138,DG!A:D,DG!$B$2,)</f>
        <v>03.4113</v>
      </c>
      <c r="F138" s="1052" t="str">
        <f>VLOOKUP($B138,DG!A:D,DG!$C$2,)</f>
        <v>Đắp đất hố móng, độ chặt k=0,95</v>
      </c>
      <c r="G138" s="1051" t="str">
        <f>VLOOKUP($B138,DG!A:D,DG!$D$2,)</f>
        <v>m3</v>
      </c>
      <c r="H138" s="1846"/>
      <c r="I138" s="1846"/>
      <c r="J138" s="1846"/>
      <c r="K138" s="1846"/>
      <c r="L138" s="1846"/>
      <c r="M138" s="1846"/>
      <c r="N138" s="1846"/>
      <c r="O138" s="1846"/>
      <c r="P138" s="1846"/>
      <c r="Q138" s="1058"/>
      <c r="R138" s="1058"/>
      <c r="S138" s="1058"/>
      <c r="T138" s="2059">
        <f t="shared" si="12"/>
        <v>0</v>
      </c>
    </row>
    <row r="139" spans="1:20" ht="22.15" hidden="1" customHeight="1">
      <c r="A139" s="63"/>
      <c r="B139" s="1599" t="s">
        <v>637</v>
      </c>
      <c r="C139" s="64" t="str">
        <f t="shared" si="13"/>
        <v xml:space="preserve"> </v>
      </c>
      <c r="D139" s="1546">
        <f>0.255*2</f>
        <v>0.51</v>
      </c>
      <c r="E139" s="1051" t="str">
        <f>VLOOKUP($B139,DG!A:D,DG!$B$2,)</f>
        <v>02.1123</v>
      </c>
      <c r="F139" s="1052" t="str">
        <f>VLOOKUP($B139,DG!A:D,DG!$C$2,)</f>
        <v>Bốc dỡ đà cản, đế néo</v>
      </c>
      <c r="G139" s="1051" t="str">
        <f>VLOOKUP($B139,DG!A:D,DG!$D$2,)</f>
        <v>tấn</v>
      </c>
      <c r="H139" s="1846"/>
      <c r="I139" s="1846"/>
      <c r="J139" s="1846"/>
      <c r="K139" s="1846"/>
      <c r="L139" s="1846"/>
      <c r="M139" s="1846"/>
      <c r="N139" s="1846"/>
      <c r="O139" s="1846"/>
      <c r="P139" s="1846"/>
      <c r="Q139" s="1055"/>
      <c r="R139" s="1055"/>
      <c r="S139" s="1055"/>
      <c r="T139" s="2059">
        <f t="shared" si="12"/>
        <v>0</v>
      </c>
    </row>
    <row r="140" spans="1:20" ht="22.15" hidden="1" customHeight="1">
      <c r="A140" s="63"/>
      <c r="B140" s="1584" t="s">
        <v>2071</v>
      </c>
      <c r="C140" s="64" t="str">
        <f t="shared" si="13"/>
        <v xml:space="preserve"> </v>
      </c>
      <c r="D140" s="1546">
        <f>D139</f>
        <v>0.51</v>
      </c>
      <c r="E140" s="1051" t="str">
        <f>VLOOKUP($B140,DG!A:C,2,)</f>
        <v>02.1451</v>
      </c>
      <c r="F140" s="1052" t="str">
        <f>VLOOKUP($B140,DG!A:C,3,)</f>
        <v>V/c đà cản vào vị trí (cự ly &lt;=100m)</v>
      </c>
      <c r="G140" s="1051" t="str">
        <f>VLOOKUP($B140,DG!A:D,4,0)</f>
        <v>tấn</v>
      </c>
      <c r="H140" s="1846"/>
      <c r="I140" s="1846"/>
      <c r="J140" s="1846"/>
      <c r="K140" s="1846"/>
      <c r="L140" s="1846"/>
      <c r="M140" s="1846"/>
      <c r="N140" s="1846"/>
      <c r="O140" s="1846"/>
      <c r="P140" s="1846"/>
      <c r="Q140" s="1058"/>
      <c r="R140" s="1058"/>
      <c r="S140" s="1058"/>
      <c r="T140" s="2059">
        <f t="shared" si="12"/>
        <v>0</v>
      </c>
    </row>
    <row r="141" spans="1:20" ht="22.15" hidden="1" customHeight="1">
      <c r="A141" s="63"/>
      <c r="B141" s="1598" t="s">
        <v>635</v>
      </c>
      <c r="C141" s="64" t="str">
        <f t="shared" si="13"/>
        <v xml:space="preserve"> </v>
      </c>
      <c r="D141" s="1546">
        <f>D140</f>
        <v>0.51</v>
      </c>
      <c r="E141" s="1051" t="str">
        <f>VLOOKUP($B141,DG!A:C,2,)</f>
        <v>02.1482</v>
      </c>
      <c r="F141" s="1052" t="str">
        <f>VLOOKUP($B141,DG!A:C,3,)</f>
        <v>V/c dụng cụ thi công vào vị trí (cự ly &lt;=100m)</v>
      </c>
      <c r="G141" s="1051" t="str">
        <f>VLOOKUP($B141,DG!A:D,4,0)</f>
        <v>tấn</v>
      </c>
      <c r="H141" s="1846"/>
      <c r="I141" s="1846"/>
      <c r="J141" s="1846"/>
      <c r="K141" s="1846"/>
      <c r="L141" s="1846"/>
      <c r="M141" s="1846"/>
      <c r="N141" s="1846"/>
      <c r="O141" s="1846"/>
      <c r="P141" s="1846"/>
      <c r="Q141" s="1058"/>
      <c r="R141" s="1058"/>
      <c r="S141" s="1058"/>
      <c r="T141" s="2059">
        <f t="shared" si="12"/>
        <v>0</v>
      </c>
    </row>
    <row r="142" spans="1:20" ht="22.15" hidden="1" customHeight="1">
      <c r="A142" s="56" t="s">
        <v>2186</v>
      </c>
      <c r="B142" s="1583" t="s">
        <v>2186</v>
      </c>
      <c r="C142" s="62" t="str">
        <f t="shared" si="13"/>
        <v xml:space="preserve"> </v>
      </c>
      <c r="D142" s="1541"/>
      <c r="E142" s="1048"/>
      <c r="F142" s="1396" t="s">
        <v>2349</v>
      </c>
      <c r="G142" s="1049" t="s">
        <v>2336</v>
      </c>
      <c r="H142" s="1843">
        <f>SUM(I142:O142)</f>
        <v>0</v>
      </c>
      <c r="I142" s="1844"/>
      <c r="J142" s="1844"/>
      <c r="K142" s="1844">
        <f>IFERROR(HLOOKUP(B142,pp3p1m!$1:$3,3,0),0)</f>
        <v>0</v>
      </c>
      <c r="L142" s="1844">
        <f>IFERROR(HLOOKUP(chitiet!B142,pp1p!$1:$3,3,0),0)</f>
        <v>0</v>
      </c>
      <c r="M142" s="1844"/>
      <c r="N142" s="1844"/>
      <c r="O142" s="1844"/>
      <c r="P142" s="1844"/>
      <c r="Q142" s="1050"/>
      <c r="R142" s="1050"/>
      <c r="S142" s="1050"/>
      <c r="T142" s="2059">
        <f>IFERROR(HLOOKUP(B142,pp1p!$1:$3,3,0),0)+IFERROR(HLOOKUP(B142,pp3p1m!$1:$3,3,0),0)</f>
        <v>0</v>
      </c>
    </row>
    <row r="143" spans="1:20" ht="22.15" hidden="1" customHeight="1">
      <c r="A143" s="63"/>
      <c r="B143" s="1599" t="s">
        <v>636</v>
      </c>
      <c r="C143" s="64" t="str">
        <f t="shared" ref="C143:C206" si="20">IF(OR(P143&lt;&gt;0,H143&lt;&gt;0),"x"," ")</f>
        <v xml:space="preserve"> </v>
      </c>
      <c r="D143" s="1547">
        <v>2</v>
      </c>
      <c r="E143" s="1047" t="str">
        <f>VLOOKUP($B143,DG!A:D,DG!$B$2,)</f>
        <v>04.4001</v>
      </c>
      <c r="F143" s="1057" t="str">
        <f>VLOOKUP($B143,DG!A:D,DG!$C$2,)</f>
        <v>Đà cản BTCT 1,2m</v>
      </c>
      <c r="G143" s="1051" t="str">
        <f>VLOOKUP($B143,DG!A:D,DG!$D$2,)</f>
        <v>cái</v>
      </c>
      <c r="H143" s="1846">
        <f t="shared" ref="H143:N144" si="21">H$142*$D143</f>
        <v>0</v>
      </c>
      <c r="I143" s="1846">
        <f t="shared" si="21"/>
        <v>0</v>
      </c>
      <c r="J143" s="1846">
        <f t="shared" si="21"/>
        <v>0</v>
      </c>
      <c r="K143" s="1846">
        <f t="shared" si="21"/>
        <v>0</v>
      </c>
      <c r="L143" s="1846">
        <f t="shared" si="21"/>
        <v>0</v>
      </c>
      <c r="M143" s="1846">
        <f t="shared" si="21"/>
        <v>0</v>
      </c>
      <c r="N143" s="1846">
        <f t="shared" si="21"/>
        <v>0</v>
      </c>
      <c r="O143" s="1846"/>
      <c r="P143" s="1846"/>
      <c r="Q143" s="1055"/>
      <c r="R143" s="1055"/>
      <c r="S143" s="1055"/>
      <c r="T143" s="2059">
        <f t="shared" ref="T143:T204" si="22">IFERROR(HLOOKUP(B143,BangKeTru,3,0),0)</f>
        <v>0</v>
      </c>
    </row>
    <row r="144" spans="1:20" ht="22.15" hidden="1" customHeight="1">
      <c r="A144" s="63"/>
      <c r="B144" s="1586" t="s">
        <v>722</v>
      </c>
      <c r="C144" s="64" t="str">
        <f t="shared" si="20"/>
        <v xml:space="preserve"> </v>
      </c>
      <c r="D144" s="1547">
        <v>1</v>
      </c>
      <c r="E144" s="1051"/>
      <c r="F144" s="1057" t="str">
        <f>VLOOKUP($B144,DG!A:D,DG!$C$2,)</f>
        <v>Boulon 22x750+ 2 long đền vuông D24-50x50x3/Zn</v>
      </c>
      <c r="G144" s="1051" t="str">
        <f>VLOOKUP($B144,DG!A:D,DG!$D$2,)</f>
        <v>bộ</v>
      </c>
      <c r="H144" s="1846">
        <f t="shared" si="21"/>
        <v>0</v>
      </c>
      <c r="I144" s="1846">
        <f t="shared" si="21"/>
        <v>0</v>
      </c>
      <c r="J144" s="1846">
        <f t="shared" si="21"/>
        <v>0</v>
      </c>
      <c r="K144" s="1846">
        <f t="shared" si="21"/>
        <v>0</v>
      </c>
      <c r="L144" s="1846">
        <f t="shared" si="21"/>
        <v>0</v>
      </c>
      <c r="M144" s="1846">
        <f t="shared" si="21"/>
        <v>0</v>
      </c>
      <c r="N144" s="1846">
        <f t="shared" si="21"/>
        <v>0</v>
      </c>
      <c r="O144" s="1846"/>
      <c r="P144" s="1846"/>
      <c r="Q144" s="1055"/>
      <c r="R144" s="1055"/>
      <c r="S144" s="1055"/>
      <c r="T144" s="2059">
        <f t="shared" si="22"/>
        <v>0</v>
      </c>
    </row>
    <row r="145" spans="1:20" ht="22.15" hidden="1" customHeight="1">
      <c r="A145" s="59"/>
      <c r="B145" s="1586" t="s">
        <v>1818</v>
      </c>
      <c r="C145" s="64" t="str">
        <f t="shared" si="20"/>
        <v xml:space="preserve"> </v>
      </c>
      <c r="D145" s="1542">
        <v>0.155</v>
      </c>
      <c r="E145" s="1047">
        <f>VLOOKUP($B145,DG!A:D,DG!$B$2,)</f>
        <v>0</v>
      </c>
      <c r="F145" s="1052" t="str">
        <f>VLOOKUP($B145,DG!A:D,DG!$C$2,)</f>
        <v>Đá 2x4</v>
      </c>
      <c r="G145" s="1047" t="str">
        <f>VLOOKUP($B145,DG!A:D,DG!$D$2,)</f>
        <v>m3</v>
      </c>
      <c r="H145" s="1845">
        <f t="shared" ref="H145:N145" si="23">H$18*$D145</f>
        <v>0</v>
      </c>
      <c r="I145" s="1845">
        <f t="shared" si="23"/>
        <v>0</v>
      </c>
      <c r="J145" s="1845">
        <f t="shared" si="23"/>
        <v>0</v>
      </c>
      <c r="K145" s="1845">
        <f t="shared" si="23"/>
        <v>0</v>
      </c>
      <c r="L145" s="1845">
        <f t="shared" si="23"/>
        <v>0</v>
      </c>
      <c r="M145" s="1845">
        <f t="shared" si="23"/>
        <v>0</v>
      </c>
      <c r="N145" s="1845">
        <f t="shared" si="23"/>
        <v>0</v>
      </c>
      <c r="O145" s="1845"/>
      <c r="P145" s="1845"/>
      <c r="Q145" s="1056"/>
      <c r="R145" s="1056"/>
      <c r="S145" s="1056"/>
      <c r="T145" s="2059">
        <f t="shared" si="22"/>
        <v>0</v>
      </c>
    </row>
    <row r="146" spans="1:20" ht="22.15" hidden="1" customHeight="1">
      <c r="A146" s="63"/>
      <c r="B146" s="1599" t="s">
        <v>639</v>
      </c>
      <c r="C146" s="64" t="str">
        <f t="shared" si="20"/>
        <v xml:space="preserve"> </v>
      </c>
      <c r="D146" s="1546">
        <v>2.8</v>
      </c>
      <c r="E146" s="1051" t="str">
        <f>VLOOKUP($B146,DG!A:D,DG!$B$2,)</f>
        <v>03.1013</v>
      </c>
      <c r="F146" s="1052" t="str">
        <f>VLOOKUP($B146,DG!A:D,DG!$C$2,)</f>
        <v>Đào hố móng đất cấp 3 sâu &gt;1m</v>
      </c>
      <c r="G146" s="1051" t="str">
        <f>VLOOKUP($B146,DG!A:D,DG!$D$2,)</f>
        <v>m3</v>
      </c>
      <c r="H146" s="1846"/>
      <c r="I146" s="1846"/>
      <c r="J146" s="1846"/>
      <c r="K146" s="1846"/>
      <c r="L146" s="1846"/>
      <c r="M146" s="1846"/>
      <c r="N146" s="1846"/>
      <c r="O146" s="1846"/>
      <c r="P146" s="1846"/>
      <c r="Q146" s="1058"/>
      <c r="R146" s="1058"/>
      <c r="S146" s="1058"/>
      <c r="T146" s="2059">
        <f t="shared" si="22"/>
        <v>0</v>
      </c>
    </row>
    <row r="147" spans="1:20" ht="22.15" hidden="1" customHeight="1">
      <c r="A147" s="63"/>
      <c r="B147" s="1599" t="s">
        <v>21</v>
      </c>
      <c r="C147" s="64" t="str">
        <f t="shared" si="20"/>
        <v xml:space="preserve"> </v>
      </c>
      <c r="D147" s="1546">
        <v>3.25</v>
      </c>
      <c r="E147" s="1051" t="str">
        <f>VLOOKUP($B147,DG!A:D,DG!$B$2,)</f>
        <v>03.4113</v>
      </c>
      <c r="F147" s="1052" t="str">
        <f>VLOOKUP($B147,DG!A:D,DG!$C$2,)</f>
        <v>Đắp đất hố móng, độ chặt k=0,95</v>
      </c>
      <c r="G147" s="1051" t="str">
        <f>VLOOKUP($B147,DG!A:D,DG!$D$2,)</f>
        <v>m3</v>
      </c>
      <c r="H147" s="1846"/>
      <c r="I147" s="1846"/>
      <c r="J147" s="1846"/>
      <c r="K147" s="1846"/>
      <c r="L147" s="1846"/>
      <c r="M147" s="1846"/>
      <c r="N147" s="1846"/>
      <c r="O147" s="1846"/>
      <c r="P147" s="1846"/>
      <c r="Q147" s="1058"/>
      <c r="R147" s="1058"/>
      <c r="S147" s="1058"/>
      <c r="T147" s="2059">
        <f t="shared" si="22"/>
        <v>0</v>
      </c>
    </row>
    <row r="148" spans="1:20" ht="22.15" hidden="1" customHeight="1">
      <c r="A148" s="63"/>
      <c r="B148" s="1599" t="s">
        <v>637</v>
      </c>
      <c r="C148" s="64" t="str">
        <f t="shared" si="20"/>
        <v xml:space="preserve"> </v>
      </c>
      <c r="D148" s="1546">
        <f>0.1*D143</f>
        <v>0.2</v>
      </c>
      <c r="E148" s="1051" t="str">
        <f>VLOOKUP($B148,DG!A:D,DG!$B$2,)</f>
        <v>02.1123</v>
      </c>
      <c r="F148" s="1052" t="str">
        <f>VLOOKUP($B148,DG!A:D,DG!$C$2,)</f>
        <v>Bốc dỡ đà cản, đế néo</v>
      </c>
      <c r="G148" s="1051" t="str">
        <f>VLOOKUP($B148,DG!A:D,DG!$D$2,)</f>
        <v>tấn</v>
      </c>
      <c r="H148" s="1846"/>
      <c r="I148" s="1846"/>
      <c r="J148" s="1846"/>
      <c r="K148" s="1846"/>
      <c r="L148" s="1846"/>
      <c r="M148" s="1846"/>
      <c r="N148" s="1846"/>
      <c r="O148" s="1846"/>
      <c r="P148" s="1846"/>
      <c r="Q148" s="1055"/>
      <c r="R148" s="1055"/>
      <c r="S148" s="1055"/>
      <c r="T148" s="2059">
        <f t="shared" si="22"/>
        <v>0</v>
      </c>
    </row>
    <row r="149" spans="1:20" ht="22.15" hidden="1" customHeight="1">
      <c r="A149" s="63"/>
      <c r="B149" s="1584" t="s">
        <v>2071</v>
      </c>
      <c r="C149" s="64" t="str">
        <f t="shared" si="20"/>
        <v xml:space="preserve"> </v>
      </c>
      <c r="D149" s="1546">
        <f>D148</f>
        <v>0.2</v>
      </c>
      <c r="E149" s="1051" t="str">
        <f>VLOOKUP($B149,DG!A:C,2,)</f>
        <v>02.1451</v>
      </c>
      <c r="F149" s="1052" t="str">
        <f>VLOOKUP($B149,DG!A:C,3,)</f>
        <v>V/c đà cản vào vị trí (cự ly &lt;=100m)</v>
      </c>
      <c r="G149" s="1051" t="str">
        <f>VLOOKUP($B149,DG!A:D,4,0)</f>
        <v>tấn</v>
      </c>
      <c r="H149" s="1846"/>
      <c r="I149" s="1846"/>
      <c r="J149" s="1846"/>
      <c r="K149" s="1846"/>
      <c r="L149" s="1846"/>
      <c r="M149" s="1846"/>
      <c r="N149" s="1846"/>
      <c r="O149" s="1846"/>
      <c r="P149" s="1846"/>
      <c r="Q149" s="1058"/>
      <c r="R149" s="1058"/>
      <c r="S149" s="1058"/>
      <c r="T149" s="2059">
        <f t="shared" si="22"/>
        <v>0</v>
      </c>
    </row>
    <row r="150" spans="1:20" ht="22.15" hidden="1" customHeight="1">
      <c r="A150" s="59"/>
      <c r="B150" s="1598" t="s">
        <v>674</v>
      </c>
      <c r="C150" s="64" t="str">
        <f t="shared" si="20"/>
        <v xml:space="preserve"> </v>
      </c>
      <c r="D150" s="1542">
        <f>D145</f>
        <v>0.155</v>
      </c>
      <c r="E150" s="1047" t="str">
        <f>VLOOKUP($B150,DG!A:C,2,)</f>
        <v>02.1241</v>
      </c>
      <c r="F150" s="1052" t="str">
        <f>VLOOKUP($B150,DG!A:C,3,)</f>
        <v>V/c đá dăm ( cự ly &lt;=100m)</v>
      </c>
      <c r="G150" s="1047" t="str">
        <f>VLOOKUP($B150,DG!A:D,4,0)</f>
        <v>m3</v>
      </c>
      <c r="H150" s="1845"/>
      <c r="I150" s="1845"/>
      <c r="J150" s="1845"/>
      <c r="K150" s="1845"/>
      <c r="L150" s="1845"/>
      <c r="M150" s="1845"/>
      <c r="N150" s="1845"/>
      <c r="O150" s="1845"/>
      <c r="P150" s="1845"/>
      <c r="Q150" s="1061"/>
      <c r="R150" s="1061"/>
      <c r="S150" s="1061"/>
      <c r="T150" s="2059">
        <f t="shared" si="22"/>
        <v>0</v>
      </c>
    </row>
    <row r="151" spans="1:20" ht="22.15" hidden="1" customHeight="1">
      <c r="A151" s="63"/>
      <c r="B151" s="1584" t="s">
        <v>635</v>
      </c>
      <c r="C151" s="64" t="str">
        <f t="shared" si="20"/>
        <v xml:space="preserve"> </v>
      </c>
      <c r="D151" s="1546">
        <f>D149</f>
        <v>0.2</v>
      </c>
      <c r="E151" s="1051" t="str">
        <f>VLOOKUP($B151,DG!A:C,2,)</f>
        <v>02.1482</v>
      </c>
      <c r="F151" s="1052" t="str">
        <f>VLOOKUP($B151,DG!A:C,3,)</f>
        <v>V/c dụng cụ thi công vào vị trí (cự ly &lt;=100m)</v>
      </c>
      <c r="G151" s="1051" t="str">
        <f>VLOOKUP($B151,DG!A:D,4,0)</f>
        <v>tấn</v>
      </c>
      <c r="H151" s="1846"/>
      <c r="I151" s="1846"/>
      <c r="J151" s="1846"/>
      <c r="K151" s="1846"/>
      <c r="L151" s="1846"/>
      <c r="M151" s="1846"/>
      <c r="N151" s="1846"/>
      <c r="O151" s="1846"/>
      <c r="P151" s="1846"/>
      <c r="Q151" s="1058"/>
      <c r="R151" s="1058"/>
      <c r="S151" s="1058"/>
      <c r="T151" s="2059">
        <f t="shared" si="22"/>
        <v>0</v>
      </c>
    </row>
    <row r="152" spans="1:20" ht="22.15" hidden="1" customHeight="1">
      <c r="A152" s="56" t="s">
        <v>12</v>
      </c>
      <c r="B152" s="1583" t="s">
        <v>12</v>
      </c>
      <c r="C152" s="62" t="str">
        <f t="shared" si="20"/>
        <v xml:space="preserve"> </v>
      </c>
      <c r="D152" s="1541"/>
      <c r="E152" s="1048"/>
      <c r="F152" s="1396" t="s">
        <v>2350</v>
      </c>
      <c r="G152" s="1049" t="s">
        <v>2336</v>
      </c>
      <c r="H152" s="1843">
        <f>SUM(I152:O152)</f>
        <v>0</v>
      </c>
      <c r="I152" s="1844"/>
      <c r="J152" s="1844"/>
      <c r="K152" s="1844">
        <f>IFERROR(HLOOKUP(B152,pp3p1m!$1:$3,3,0),0)</f>
        <v>0</v>
      </c>
      <c r="L152" s="1844">
        <f>IFERROR(HLOOKUP(chitiet!B152,pp1p!$1:$3,3,0),0)</f>
        <v>0</v>
      </c>
      <c r="M152" s="1844"/>
      <c r="N152" s="1844"/>
      <c r="O152" s="1844"/>
      <c r="P152" s="1844"/>
      <c r="Q152" s="1050"/>
      <c r="R152" s="1050"/>
      <c r="S152" s="1050"/>
      <c r="T152" s="2059">
        <f>IFERROR(HLOOKUP(B152,pp1p!$1:$3,3,0),0)+IFERROR(HLOOKUP(B152,pp3p1m!$1:$3,3,0),0)</f>
        <v>0</v>
      </c>
    </row>
    <row r="153" spans="1:20" ht="22.15" hidden="1" customHeight="1">
      <c r="A153" s="63"/>
      <c r="B153" s="1599" t="s">
        <v>639</v>
      </c>
      <c r="C153" s="64" t="str">
        <f t="shared" si="20"/>
        <v xml:space="preserve"> </v>
      </c>
      <c r="D153" s="1545">
        <v>0.20100000000000001</v>
      </c>
      <c r="E153" s="1051"/>
      <c r="F153" s="1052" t="str">
        <f>VLOOKUP($B153,DG!A:D,DG!$C$2,)</f>
        <v>Đào hố móng đất cấp 3 sâu &gt;1m</v>
      </c>
      <c r="G153" s="1051" t="str">
        <f>VLOOKUP($B153,DG!A:D,DG!$D$2,)</f>
        <v>m3</v>
      </c>
      <c r="H153" s="1846">
        <f>$H$152*$D153</f>
        <v>0</v>
      </c>
      <c r="I153" s="1846">
        <f t="shared" ref="I153:O153" si="24">I$244*$D153</f>
        <v>0</v>
      </c>
      <c r="J153" s="1846">
        <f t="shared" si="24"/>
        <v>0</v>
      </c>
      <c r="K153" s="1846">
        <f t="shared" si="24"/>
        <v>3.0150000000000001</v>
      </c>
      <c r="L153" s="1846">
        <f t="shared" si="24"/>
        <v>0</v>
      </c>
      <c r="M153" s="1846">
        <f t="shared" si="24"/>
        <v>0</v>
      </c>
      <c r="N153" s="1846">
        <f t="shared" si="24"/>
        <v>0</v>
      </c>
      <c r="O153" s="1846">
        <f t="shared" si="24"/>
        <v>0</v>
      </c>
      <c r="P153" s="1846"/>
      <c r="Q153" s="1055"/>
      <c r="R153" s="1055"/>
      <c r="S153" s="1055"/>
      <c r="T153" s="2059">
        <f t="shared" si="22"/>
        <v>0</v>
      </c>
    </row>
    <row r="154" spans="1:20" ht="22.15" hidden="1" customHeight="1">
      <c r="A154" s="59"/>
      <c r="B154" s="1586" t="s">
        <v>21</v>
      </c>
      <c r="C154" s="64" t="str">
        <f t="shared" si="20"/>
        <v xml:space="preserve"> </v>
      </c>
      <c r="D154" s="1542">
        <v>0.182</v>
      </c>
      <c r="E154" s="1047" t="str">
        <f>VLOOKUP($B154,DG!A:D,DG!$B$2,)</f>
        <v>03.4113</v>
      </c>
      <c r="F154" s="1052" t="str">
        <f>VLOOKUP($B154,DG!A:D,DG!$C$2,)</f>
        <v>Đắp đất hố móng, độ chặt k=0,95</v>
      </c>
      <c r="G154" s="1047" t="str">
        <f>VLOOKUP($B154,DG!A:D,DG!$D$2,)</f>
        <v>m3</v>
      </c>
      <c r="H154" s="1846">
        <f>$H$152*$D154</f>
        <v>0</v>
      </c>
      <c r="I154" s="1845">
        <f t="shared" ref="I154:O154" si="25">I$18*$D154</f>
        <v>0</v>
      </c>
      <c r="J154" s="1845">
        <f t="shared" si="25"/>
        <v>0</v>
      </c>
      <c r="K154" s="1845">
        <f t="shared" si="25"/>
        <v>0</v>
      </c>
      <c r="L154" s="1845">
        <f t="shared" si="25"/>
        <v>0</v>
      </c>
      <c r="M154" s="1845">
        <f t="shared" si="25"/>
        <v>0</v>
      </c>
      <c r="N154" s="1845">
        <f t="shared" si="25"/>
        <v>0</v>
      </c>
      <c r="O154" s="1845">
        <f t="shared" si="25"/>
        <v>0</v>
      </c>
      <c r="P154" s="1845"/>
      <c r="Q154" s="1056"/>
      <c r="R154" s="1056"/>
      <c r="S154" s="1056"/>
      <c r="T154" s="2059">
        <f t="shared" si="22"/>
        <v>0</v>
      </c>
    </row>
    <row r="155" spans="1:20" ht="22.15" hidden="1" customHeight="1">
      <c r="A155" s="63"/>
      <c r="B155" s="1584" t="s">
        <v>635</v>
      </c>
      <c r="C155" s="64" t="str">
        <f t="shared" si="20"/>
        <v xml:space="preserve"> </v>
      </c>
      <c r="D155" s="1545"/>
      <c r="E155" s="1051" t="str">
        <f>VLOOKUP($B155,DG!A:C,2,)</f>
        <v>02.1482</v>
      </c>
      <c r="F155" s="1052" t="str">
        <f>VLOOKUP($B155,DG!A:C,3,)</f>
        <v>V/c dụng cụ thi công vào vị trí (cự ly &lt;=100m)</v>
      </c>
      <c r="G155" s="1051" t="str">
        <f>VLOOKUP($B155,DG!A:D,4,0)</f>
        <v>tấn</v>
      </c>
      <c r="H155" s="1846"/>
      <c r="I155" s="1846"/>
      <c r="J155" s="1846"/>
      <c r="K155" s="1846"/>
      <c r="L155" s="1846"/>
      <c r="M155" s="1846"/>
      <c r="N155" s="1846"/>
      <c r="O155" s="1846"/>
      <c r="P155" s="1846"/>
      <c r="Q155" s="1058"/>
      <c r="R155" s="1058"/>
      <c r="S155" s="1058"/>
      <c r="T155" s="2059">
        <f t="shared" si="22"/>
        <v>0</v>
      </c>
    </row>
    <row r="156" spans="1:20" ht="22.15" hidden="1" customHeight="1">
      <c r="A156" s="56" t="s">
        <v>697</v>
      </c>
      <c r="B156" s="1583" t="s">
        <v>697</v>
      </c>
      <c r="C156" s="62" t="str">
        <f t="shared" si="20"/>
        <v xml:space="preserve"> </v>
      </c>
      <c r="D156" s="1541"/>
      <c r="E156" s="1048"/>
      <c r="F156" s="1396" t="s">
        <v>2351</v>
      </c>
      <c r="G156" s="1049" t="s">
        <v>2336</v>
      </c>
      <c r="H156" s="1843">
        <f>SUM(I156:O156)</f>
        <v>0</v>
      </c>
      <c r="I156" s="1844"/>
      <c r="J156" s="1844"/>
      <c r="K156" s="1844">
        <f>IFERROR(HLOOKUP(B156,pp3p1m!$1:$3,3,0),0)</f>
        <v>0</v>
      </c>
      <c r="L156" s="1844">
        <f>IFERROR(HLOOKUP(chitiet!B156,pp1p!$1:$3,3,0),0)</f>
        <v>0</v>
      </c>
      <c r="M156" s="1844"/>
      <c r="N156" s="1844"/>
      <c r="O156" s="1844"/>
      <c r="P156" s="1844"/>
      <c r="Q156" s="1050"/>
      <c r="R156" s="1050"/>
      <c r="S156" s="1050"/>
      <c r="T156" s="2059">
        <f>IFERROR(HLOOKUP(B156,pp1p!$1:$3,3,0),0)+IFERROR(HLOOKUP(B156,pp3p1m!$1:$3,3,0),0)</f>
        <v>0</v>
      </c>
    </row>
    <row r="157" spans="1:20" ht="22.15" hidden="1" customHeight="1">
      <c r="A157" s="59"/>
      <c r="B157" s="1586" t="s">
        <v>636</v>
      </c>
      <c r="C157" s="64" t="str">
        <f t="shared" si="20"/>
        <v xml:space="preserve"> </v>
      </c>
      <c r="D157" s="1544">
        <v>1</v>
      </c>
      <c r="E157" s="1047" t="str">
        <f>VLOOKUP($B157,DG!A:D,DG!$B$2,)</f>
        <v>04.4001</v>
      </c>
      <c r="F157" s="1059" t="str">
        <f>VLOOKUP($B157,DG!A:D,DG!$C$2,)</f>
        <v>Đà cản BTCT 1,2m</v>
      </c>
      <c r="G157" s="1047" t="str">
        <f>VLOOKUP($B157,DG!A:D,DG!$D$2,)</f>
        <v>cái</v>
      </c>
      <c r="H157" s="1845">
        <f t="shared" ref="H157:O158" si="26">H156*$D157</f>
        <v>0</v>
      </c>
      <c r="I157" s="1845">
        <f t="shared" si="26"/>
        <v>0</v>
      </c>
      <c r="J157" s="1845">
        <f t="shared" si="26"/>
        <v>0</v>
      </c>
      <c r="K157" s="1845">
        <f t="shared" si="26"/>
        <v>0</v>
      </c>
      <c r="L157" s="1845">
        <f t="shared" si="26"/>
        <v>0</v>
      </c>
      <c r="M157" s="1845">
        <f t="shared" si="26"/>
        <v>0</v>
      </c>
      <c r="N157" s="1845">
        <f t="shared" si="26"/>
        <v>0</v>
      </c>
      <c r="O157" s="1845">
        <f t="shared" si="26"/>
        <v>0</v>
      </c>
      <c r="P157" s="1845"/>
      <c r="Q157" s="1056"/>
      <c r="R157" s="1056"/>
      <c r="S157" s="1056"/>
      <c r="T157" s="2059">
        <f t="shared" si="22"/>
        <v>0</v>
      </c>
    </row>
    <row r="158" spans="1:20" ht="22.15" hidden="1" customHeight="1">
      <c r="A158" s="59"/>
      <c r="B158" s="1586" t="s">
        <v>566</v>
      </c>
      <c r="C158" s="64" t="str">
        <f t="shared" si="20"/>
        <v xml:space="preserve"> </v>
      </c>
      <c r="D158" s="1544">
        <v>1</v>
      </c>
      <c r="E158" s="1047"/>
      <c r="F158" s="1059" t="str">
        <f>VLOOKUP($B158,DG!A:D,DG!$C$2,)</f>
        <v>Boulon 22x650+ 2 long đền vuông D24-50x50x3/Zn</v>
      </c>
      <c r="G158" s="1047" t="str">
        <f>VLOOKUP($B158,DG!A:D,DG!$D$2,)</f>
        <v>bộ</v>
      </c>
      <c r="H158" s="1845">
        <f t="shared" si="26"/>
        <v>0</v>
      </c>
      <c r="I158" s="1845">
        <f t="shared" si="26"/>
        <v>0</v>
      </c>
      <c r="J158" s="1845">
        <f t="shared" si="26"/>
        <v>0</v>
      </c>
      <c r="K158" s="1845">
        <f t="shared" si="26"/>
        <v>0</v>
      </c>
      <c r="L158" s="1845">
        <f t="shared" si="26"/>
        <v>0</v>
      </c>
      <c r="M158" s="1845">
        <f t="shared" si="26"/>
        <v>0</v>
      </c>
      <c r="N158" s="1845">
        <f t="shared" si="26"/>
        <v>0</v>
      </c>
      <c r="O158" s="1845">
        <f t="shared" si="26"/>
        <v>0</v>
      </c>
      <c r="P158" s="1845"/>
      <c r="Q158" s="1056"/>
      <c r="R158" s="1056"/>
      <c r="S158" s="1056"/>
      <c r="T158" s="2059">
        <f t="shared" si="22"/>
        <v>0</v>
      </c>
    </row>
    <row r="159" spans="1:20" ht="22.15" hidden="1" customHeight="1">
      <c r="A159" s="59"/>
      <c r="B159" s="1586" t="s">
        <v>639</v>
      </c>
      <c r="C159" s="64" t="str">
        <f t="shared" si="20"/>
        <v xml:space="preserve"> </v>
      </c>
      <c r="D159" s="1543">
        <v>0.78</v>
      </c>
      <c r="E159" s="1047" t="str">
        <f>VLOOKUP($B159,DG!A:D,DG!$B$2,)</f>
        <v>03.1013</v>
      </c>
      <c r="F159" s="1052" t="str">
        <f>VLOOKUP($B159,DG!A:D,DG!$C$2,)</f>
        <v>Đào hố móng đất cấp 3 sâu &gt;1m</v>
      </c>
      <c r="G159" s="1047" t="str">
        <f>VLOOKUP($B159,DG!A:D,DG!$D$2,)</f>
        <v>m3</v>
      </c>
      <c r="H159" s="1845"/>
      <c r="I159" s="1845"/>
      <c r="J159" s="1845"/>
      <c r="K159" s="1845"/>
      <c r="L159" s="1845"/>
      <c r="M159" s="1845"/>
      <c r="N159" s="1845"/>
      <c r="O159" s="1845"/>
      <c r="P159" s="1845"/>
      <c r="Q159" s="1061"/>
      <c r="R159" s="1061"/>
      <c r="S159" s="1061"/>
      <c r="T159" s="2059">
        <f t="shared" si="22"/>
        <v>0</v>
      </c>
    </row>
    <row r="160" spans="1:20" ht="22.15" hidden="1" customHeight="1">
      <c r="A160" s="59"/>
      <c r="B160" s="1586" t="s">
        <v>21</v>
      </c>
      <c r="C160" s="64" t="str">
        <f t="shared" si="20"/>
        <v xml:space="preserve"> </v>
      </c>
      <c r="D160" s="1543">
        <f>+D159</f>
        <v>0.78</v>
      </c>
      <c r="E160" s="1047" t="str">
        <f>VLOOKUP($B160,DG!A:D,DG!$B$2,)</f>
        <v>03.4113</v>
      </c>
      <c r="F160" s="1052" t="str">
        <f>VLOOKUP($B160,DG!A:D,DG!$C$2,)</f>
        <v>Đắp đất hố móng, độ chặt k=0,95</v>
      </c>
      <c r="G160" s="1047" t="str">
        <f>VLOOKUP($B160,DG!A:D,DG!$D$2,)</f>
        <v>m3</v>
      </c>
      <c r="H160" s="1845"/>
      <c r="I160" s="1845"/>
      <c r="J160" s="1845"/>
      <c r="K160" s="1845"/>
      <c r="L160" s="1845"/>
      <c r="M160" s="1845"/>
      <c r="N160" s="1845"/>
      <c r="O160" s="1845"/>
      <c r="P160" s="1845"/>
      <c r="Q160" s="1061"/>
      <c r="R160" s="1061"/>
      <c r="S160" s="1061"/>
      <c r="T160" s="2059">
        <f t="shared" si="22"/>
        <v>0</v>
      </c>
    </row>
    <row r="161" spans="1:20" ht="22.15" hidden="1" customHeight="1">
      <c r="A161" s="59"/>
      <c r="B161" s="1586" t="s">
        <v>637</v>
      </c>
      <c r="C161" s="64" t="str">
        <f t="shared" si="20"/>
        <v xml:space="preserve"> </v>
      </c>
      <c r="D161" s="1543"/>
      <c r="E161" s="1047" t="str">
        <f>VLOOKUP($B161,DG!A:D,DG!$B$2,)</f>
        <v>02.1123</v>
      </c>
      <c r="F161" s="1052" t="str">
        <f>VLOOKUP($B161,DG!A:D,DG!$C$2,)</f>
        <v>Bốc dỡ đà cản, đế néo</v>
      </c>
      <c r="G161" s="1047" t="str">
        <f>VLOOKUP($B161,DG!A:D,DG!$D$2,)</f>
        <v>tấn</v>
      </c>
      <c r="H161" s="1845"/>
      <c r="I161" s="1845"/>
      <c r="J161" s="1845"/>
      <c r="K161" s="1845"/>
      <c r="L161" s="1845"/>
      <c r="M161" s="1845"/>
      <c r="N161" s="1845"/>
      <c r="O161" s="1845"/>
      <c r="P161" s="1845"/>
      <c r="Q161" s="1056"/>
      <c r="R161" s="1056"/>
      <c r="S161" s="1056"/>
      <c r="T161" s="2059">
        <f t="shared" si="22"/>
        <v>0</v>
      </c>
    </row>
    <row r="162" spans="1:20" ht="22.15" hidden="1" customHeight="1">
      <c r="A162" s="59"/>
      <c r="B162" s="1598" t="s">
        <v>2071</v>
      </c>
      <c r="C162" s="64" t="str">
        <f t="shared" si="20"/>
        <v xml:space="preserve"> </v>
      </c>
      <c r="D162" s="1543"/>
      <c r="E162" s="1047" t="str">
        <f>VLOOKUP($B162,DG!A:C,2,)</f>
        <v>02.1451</v>
      </c>
      <c r="F162" s="1052" t="str">
        <f>VLOOKUP($B162,DG!A:C,3,)</f>
        <v>V/c đà cản vào vị trí (cự ly &lt;=100m)</v>
      </c>
      <c r="G162" s="1047" t="str">
        <f>VLOOKUP($B162,DG!A:D,4,0)</f>
        <v>tấn</v>
      </c>
      <c r="H162" s="1845"/>
      <c r="I162" s="1845"/>
      <c r="J162" s="1845"/>
      <c r="K162" s="1845"/>
      <c r="L162" s="1845"/>
      <c r="M162" s="1845"/>
      <c r="N162" s="1845"/>
      <c r="O162" s="1845"/>
      <c r="P162" s="1845"/>
      <c r="Q162" s="1061"/>
      <c r="R162" s="1061"/>
      <c r="S162" s="1061"/>
      <c r="T162" s="2059">
        <f t="shared" si="22"/>
        <v>0</v>
      </c>
    </row>
    <row r="163" spans="1:20" ht="22.15" hidden="1" customHeight="1">
      <c r="A163" s="59"/>
      <c r="B163" s="1598" t="s">
        <v>635</v>
      </c>
      <c r="C163" s="64" t="str">
        <f t="shared" si="20"/>
        <v xml:space="preserve"> </v>
      </c>
      <c r="D163" s="1543"/>
      <c r="E163" s="1047" t="str">
        <f>VLOOKUP($B163,DG!A:C,2,)</f>
        <v>02.1482</v>
      </c>
      <c r="F163" s="1052" t="str">
        <f>VLOOKUP($B163,DG!A:C,3,)</f>
        <v>V/c dụng cụ thi công vào vị trí (cự ly &lt;=100m)</v>
      </c>
      <c r="G163" s="1047" t="str">
        <f>VLOOKUP($B163,DG!A:D,4,0)</f>
        <v>tấn</v>
      </c>
      <c r="H163" s="1845"/>
      <c r="I163" s="1845"/>
      <c r="J163" s="1845"/>
      <c r="K163" s="1845"/>
      <c r="L163" s="1845"/>
      <c r="M163" s="1845"/>
      <c r="N163" s="1845"/>
      <c r="O163" s="1845"/>
      <c r="P163" s="1845"/>
      <c r="Q163" s="1061"/>
      <c r="R163" s="1061"/>
      <c r="S163" s="1061"/>
      <c r="T163" s="2059">
        <f t="shared" si="22"/>
        <v>0</v>
      </c>
    </row>
    <row r="164" spans="1:20" ht="22.15" hidden="1" customHeight="1">
      <c r="A164" s="56" t="s">
        <v>996</v>
      </c>
      <c r="B164" s="1583" t="s">
        <v>996</v>
      </c>
      <c r="C164" s="62" t="str">
        <f t="shared" si="20"/>
        <v xml:space="preserve"> </v>
      </c>
      <c r="D164" s="1541"/>
      <c r="E164" s="1048"/>
      <c r="F164" s="1396" t="s">
        <v>2352</v>
      </c>
      <c r="G164" s="1049" t="s">
        <v>2336</v>
      </c>
      <c r="H164" s="1843">
        <f>SUM(I164:O164)</f>
        <v>0</v>
      </c>
      <c r="I164" s="1844"/>
      <c r="J164" s="1844"/>
      <c r="K164" s="1844">
        <f>IFERROR(HLOOKUP(B164,pp3p1m!$1:$3,3,0),0)</f>
        <v>0</v>
      </c>
      <c r="L164" s="1844">
        <f>IFERROR(HLOOKUP(chitiet!B164,pp1p!$1:$3,3,0),0)</f>
        <v>0</v>
      </c>
      <c r="M164" s="1844"/>
      <c r="N164" s="1844"/>
      <c r="O164" s="1844"/>
      <c r="P164" s="1844"/>
      <c r="Q164" s="1050"/>
      <c r="R164" s="1050"/>
      <c r="S164" s="1050"/>
      <c r="T164" s="2059">
        <f>IFERROR(HLOOKUP(B164,pp1p!$1:$3,3,0),0)+IFERROR(HLOOKUP(B164,pp3p1m!$1:$3,3,0),0)</f>
        <v>0</v>
      </c>
    </row>
    <row r="165" spans="1:20" ht="22.15" hidden="1" customHeight="1">
      <c r="A165" s="59"/>
      <c r="B165" s="1586" t="s">
        <v>1580</v>
      </c>
      <c r="C165" s="64" t="str">
        <f t="shared" si="20"/>
        <v xml:space="preserve"> </v>
      </c>
      <c r="D165" s="1544">
        <v>1</v>
      </c>
      <c r="E165" s="1047" t="str">
        <f>VLOOKUP($B165,DG!A:D,DG!$B$2,)</f>
        <v>04.3801</v>
      </c>
      <c r="F165" s="1059" t="str">
        <f>VLOOKUP($B165,DG!A:D,DG!$C$2,)</f>
        <v>Đà cản BTCT 1,5m</v>
      </c>
      <c r="G165" s="1047" t="str">
        <f>VLOOKUP($B165,DG!A:D,DG!$D$2,)</f>
        <v>cái</v>
      </c>
      <c r="H165" s="1845">
        <f t="shared" ref="H165:N166" si="27">H$164*$D165</f>
        <v>0</v>
      </c>
      <c r="I165" s="1845">
        <f t="shared" si="27"/>
        <v>0</v>
      </c>
      <c r="J165" s="1845">
        <f t="shared" si="27"/>
        <v>0</v>
      </c>
      <c r="K165" s="1845">
        <f t="shared" si="27"/>
        <v>0</v>
      </c>
      <c r="L165" s="1845">
        <f t="shared" si="27"/>
        <v>0</v>
      </c>
      <c r="M165" s="1845">
        <f t="shared" si="27"/>
        <v>0</v>
      </c>
      <c r="N165" s="1845">
        <f t="shared" si="27"/>
        <v>0</v>
      </c>
      <c r="O165" s="1845"/>
      <c r="P165" s="1845"/>
      <c r="Q165" s="1056"/>
      <c r="R165" s="1056"/>
      <c r="S165" s="1056"/>
      <c r="T165" s="2059">
        <f t="shared" si="22"/>
        <v>0</v>
      </c>
    </row>
    <row r="166" spans="1:20" ht="22.15" hidden="1" customHeight="1">
      <c r="A166" s="59"/>
      <c r="B166" s="1586" t="s">
        <v>566</v>
      </c>
      <c r="C166" s="64" t="str">
        <f t="shared" si="20"/>
        <v xml:space="preserve"> </v>
      </c>
      <c r="D166" s="1544">
        <v>1</v>
      </c>
      <c r="E166" s="1047"/>
      <c r="F166" s="1059" t="str">
        <f>VLOOKUP($B166,DG!A:D,DG!$C$2,)</f>
        <v>Boulon 22x650+ 2 long đền vuông D24-50x50x3/Zn</v>
      </c>
      <c r="G166" s="1047" t="str">
        <f>VLOOKUP($B166,DG!A:D,DG!$D$2,)</f>
        <v>bộ</v>
      </c>
      <c r="H166" s="1845">
        <f t="shared" si="27"/>
        <v>0</v>
      </c>
      <c r="I166" s="1845">
        <f t="shared" si="27"/>
        <v>0</v>
      </c>
      <c r="J166" s="1845">
        <f t="shared" si="27"/>
        <v>0</v>
      </c>
      <c r="K166" s="1845">
        <f t="shared" si="27"/>
        <v>0</v>
      </c>
      <c r="L166" s="1845">
        <f t="shared" si="27"/>
        <v>0</v>
      </c>
      <c r="M166" s="1845">
        <f t="shared" si="27"/>
        <v>0</v>
      </c>
      <c r="N166" s="1845">
        <f t="shared" si="27"/>
        <v>0</v>
      </c>
      <c r="O166" s="1845"/>
      <c r="P166" s="1845"/>
      <c r="Q166" s="1056"/>
      <c r="R166" s="1056"/>
      <c r="S166" s="1056"/>
      <c r="T166" s="2059">
        <f t="shared" si="22"/>
        <v>0</v>
      </c>
    </row>
    <row r="167" spans="1:20" ht="22.15" hidden="1" customHeight="1">
      <c r="A167" s="59"/>
      <c r="B167" s="1586" t="s">
        <v>1818</v>
      </c>
      <c r="C167" s="64" t="str">
        <f t="shared" si="20"/>
        <v xml:space="preserve"> </v>
      </c>
      <c r="D167" s="1542">
        <v>0.2</v>
      </c>
      <c r="E167" s="1047">
        <f>VLOOKUP($B167,DG!A:D,DG!$B$2,)</f>
        <v>0</v>
      </c>
      <c r="F167" s="1052" t="str">
        <f>VLOOKUP($B167,DG!A:D,DG!$C$2,)</f>
        <v>Đá 2x4</v>
      </c>
      <c r="G167" s="1047" t="str">
        <f>VLOOKUP($B167,DG!A:D,DG!$D$2,)</f>
        <v>m3</v>
      </c>
      <c r="H167" s="1845">
        <f t="shared" ref="H167:N167" si="28">H$18*$D167</f>
        <v>0</v>
      </c>
      <c r="I167" s="1845">
        <f t="shared" si="28"/>
        <v>0</v>
      </c>
      <c r="J167" s="1845">
        <f t="shared" si="28"/>
        <v>0</v>
      </c>
      <c r="K167" s="1845">
        <f t="shared" si="28"/>
        <v>0</v>
      </c>
      <c r="L167" s="1845">
        <f t="shared" si="28"/>
        <v>0</v>
      </c>
      <c r="M167" s="1845">
        <f t="shared" si="28"/>
        <v>0</v>
      </c>
      <c r="N167" s="1845">
        <f t="shared" si="28"/>
        <v>0</v>
      </c>
      <c r="O167" s="1845"/>
      <c r="P167" s="1845"/>
      <c r="Q167" s="1056"/>
      <c r="R167" s="1056"/>
      <c r="S167" s="1056"/>
      <c r="T167" s="2059">
        <f t="shared" si="22"/>
        <v>0</v>
      </c>
    </row>
    <row r="168" spans="1:20" ht="22.15" hidden="1" customHeight="1">
      <c r="A168" s="59"/>
      <c r="B168" s="1586" t="s">
        <v>639</v>
      </c>
      <c r="C168" s="64" t="str">
        <f t="shared" si="20"/>
        <v xml:space="preserve"> </v>
      </c>
      <c r="D168" s="1543">
        <v>1.77</v>
      </c>
      <c r="E168" s="1047" t="str">
        <f>VLOOKUP($B168,DG!A:D,DG!$B$2,)</f>
        <v>03.1013</v>
      </c>
      <c r="F168" s="1052" t="str">
        <f>VLOOKUP($B168,DG!A:D,DG!$C$2,)</f>
        <v>Đào hố móng đất cấp 3 sâu &gt;1m</v>
      </c>
      <c r="G168" s="1047" t="str">
        <f>VLOOKUP($B168,DG!A:D,DG!$D$2,)</f>
        <v>m3</v>
      </c>
      <c r="H168" s="1845"/>
      <c r="I168" s="1845"/>
      <c r="J168" s="1845"/>
      <c r="K168" s="1845"/>
      <c r="L168" s="1845"/>
      <c r="M168" s="1845"/>
      <c r="N168" s="1845"/>
      <c r="O168" s="1845"/>
      <c r="P168" s="1845"/>
      <c r="Q168" s="1061"/>
      <c r="R168" s="1061"/>
      <c r="S168" s="1061"/>
      <c r="T168" s="2059">
        <f t="shared" si="22"/>
        <v>0</v>
      </c>
    </row>
    <row r="169" spans="1:20" ht="22.15" hidden="1" customHeight="1">
      <c r="A169" s="59"/>
      <c r="B169" s="1586" t="s">
        <v>21</v>
      </c>
      <c r="C169" s="64" t="str">
        <f t="shared" si="20"/>
        <v xml:space="preserve"> </v>
      </c>
      <c r="D169" s="1543">
        <v>1.9319999999999999</v>
      </c>
      <c r="E169" s="1047" t="str">
        <f>VLOOKUP($B169,DG!A:D,DG!$B$2,)</f>
        <v>03.4113</v>
      </c>
      <c r="F169" s="1052" t="str">
        <f>VLOOKUP($B169,DG!A:D,DG!$C$2,)</f>
        <v>Đắp đất hố móng, độ chặt k=0,95</v>
      </c>
      <c r="G169" s="1047" t="str">
        <f>VLOOKUP($B169,DG!A:D,DG!$D$2,)</f>
        <v>m3</v>
      </c>
      <c r="H169" s="1845"/>
      <c r="I169" s="1845"/>
      <c r="J169" s="1845"/>
      <c r="K169" s="1845"/>
      <c r="L169" s="1845"/>
      <c r="M169" s="1845"/>
      <c r="N169" s="1845"/>
      <c r="O169" s="1845"/>
      <c r="P169" s="1845"/>
      <c r="Q169" s="1061"/>
      <c r="R169" s="1061"/>
      <c r="S169" s="1061"/>
      <c r="T169" s="2059">
        <f t="shared" si="22"/>
        <v>0</v>
      </c>
    </row>
    <row r="170" spans="1:20" ht="22.15" hidden="1" customHeight="1">
      <c r="A170" s="59"/>
      <c r="B170" s="1586" t="s">
        <v>637</v>
      </c>
      <c r="C170" s="64" t="str">
        <f t="shared" si="20"/>
        <v xml:space="preserve"> </v>
      </c>
      <c r="D170" s="1543">
        <v>0.255</v>
      </c>
      <c r="E170" s="1047" t="str">
        <f>VLOOKUP($B170,DG!A:D,DG!$B$2,)</f>
        <v>02.1123</v>
      </c>
      <c r="F170" s="1052" t="str">
        <f>VLOOKUP($B170,DG!A:D,DG!$C$2,)</f>
        <v>Bốc dỡ đà cản, đế néo</v>
      </c>
      <c r="G170" s="1047" t="str">
        <f>VLOOKUP($B170,DG!A:D,DG!$D$2,)</f>
        <v>tấn</v>
      </c>
      <c r="H170" s="1845"/>
      <c r="I170" s="1845"/>
      <c r="J170" s="1845"/>
      <c r="K170" s="1845"/>
      <c r="L170" s="1845"/>
      <c r="M170" s="1845"/>
      <c r="N170" s="1845"/>
      <c r="O170" s="1845"/>
      <c r="P170" s="1845"/>
      <c r="Q170" s="1056"/>
      <c r="R170" s="1056"/>
      <c r="S170" s="1056"/>
      <c r="T170" s="2059">
        <f t="shared" si="22"/>
        <v>0</v>
      </c>
    </row>
    <row r="171" spans="1:20" ht="22.15" hidden="1" customHeight="1">
      <c r="A171" s="59"/>
      <c r="B171" s="1598" t="s">
        <v>2071</v>
      </c>
      <c r="C171" s="64" t="str">
        <f t="shared" si="20"/>
        <v xml:space="preserve"> </v>
      </c>
      <c r="D171" s="1543"/>
      <c r="E171" s="1047" t="str">
        <f>VLOOKUP($B171,DG!A:C,2,)</f>
        <v>02.1451</v>
      </c>
      <c r="F171" s="1052" t="str">
        <f>VLOOKUP($B171,DG!A:C,3,)</f>
        <v>V/c đà cản vào vị trí (cự ly &lt;=100m)</v>
      </c>
      <c r="G171" s="1047" t="str">
        <f>VLOOKUP($B171,DG!A:D,4,0)</f>
        <v>tấn</v>
      </c>
      <c r="H171" s="1845"/>
      <c r="I171" s="1845"/>
      <c r="J171" s="1845"/>
      <c r="K171" s="1845"/>
      <c r="L171" s="1845"/>
      <c r="M171" s="1845"/>
      <c r="N171" s="1845"/>
      <c r="O171" s="1845"/>
      <c r="P171" s="1845"/>
      <c r="Q171" s="1061"/>
      <c r="R171" s="1061"/>
      <c r="S171" s="1061"/>
      <c r="T171" s="2059">
        <f t="shared" si="22"/>
        <v>0</v>
      </c>
    </row>
    <row r="172" spans="1:20" ht="22.15" hidden="1" customHeight="1">
      <c r="A172" s="59"/>
      <c r="B172" s="1598" t="s">
        <v>674</v>
      </c>
      <c r="C172" s="64" t="str">
        <f t="shared" si="20"/>
        <v xml:space="preserve"> </v>
      </c>
      <c r="D172" s="1542"/>
      <c r="E172" s="1047" t="str">
        <f>VLOOKUP($B172,DG!A:C,2,)</f>
        <v>02.1241</v>
      </c>
      <c r="F172" s="1052" t="str">
        <f>VLOOKUP($B172,DG!A:C,3,)</f>
        <v>V/c đá dăm ( cự ly &lt;=100m)</v>
      </c>
      <c r="G172" s="1047" t="str">
        <f>VLOOKUP($B172,DG!A:D,4,0)</f>
        <v>m3</v>
      </c>
      <c r="H172" s="1845"/>
      <c r="I172" s="1845"/>
      <c r="J172" s="1845"/>
      <c r="K172" s="1845"/>
      <c r="L172" s="1845"/>
      <c r="M172" s="1845"/>
      <c r="N172" s="1845"/>
      <c r="O172" s="1845"/>
      <c r="P172" s="1845"/>
      <c r="Q172" s="1061"/>
      <c r="R172" s="1061"/>
      <c r="S172" s="1061"/>
      <c r="T172" s="2059">
        <f t="shared" si="22"/>
        <v>0</v>
      </c>
    </row>
    <row r="173" spans="1:20" ht="22.15" hidden="1" customHeight="1">
      <c r="A173" s="59"/>
      <c r="B173" s="1598" t="s">
        <v>635</v>
      </c>
      <c r="C173" s="64" t="str">
        <f t="shared" si="20"/>
        <v xml:space="preserve"> </v>
      </c>
      <c r="D173" s="1543"/>
      <c r="E173" s="1047" t="str">
        <f>VLOOKUP($B173,DG!A:C,2,)</f>
        <v>02.1482</v>
      </c>
      <c r="F173" s="1052" t="str">
        <f>VLOOKUP($B173,DG!A:C,3,)</f>
        <v>V/c dụng cụ thi công vào vị trí (cự ly &lt;=100m)</v>
      </c>
      <c r="G173" s="1047" t="str">
        <f>VLOOKUP($B173,DG!A:D,4,0)</f>
        <v>tấn</v>
      </c>
      <c r="H173" s="1845"/>
      <c r="I173" s="1845"/>
      <c r="J173" s="1845"/>
      <c r="K173" s="1845"/>
      <c r="L173" s="1845"/>
      <c r="M173" s="1845"/>
      <c r="N173" s="1845"/>
      <c r="O173" s="1845"/>
      <c r="P173" s="1845"/>
      <c r="Q173" s="1061"/>
      <c r="R173" s="1061"/>
      <c r="S173" s="1061"/>
      <c r="T173" s="2059">
        <f t="shared" si="22"/>
        <v>0</v>
      </c>
    </row>
    <row r="174" spans="1:20" ht="22.15" hidden="1" customHeight="1">
      <c r="A174" s="56" t="s">
        <v>2311</v>
      </c>
      <c r="B174" s="1583" t="s">
        <v>2311</v>
      </c>
      <c r="C174" s="62" t="str">
        <f t="shared" si="20"/>
        <v xml:space="preserve"> </v>
      </c>
      <c r="D174" s="1541"/>
      <c r="E174" s="1048"/>
      <c r="F174" s="1396" t="s">
        <v>2353</v>
      </c>
      <c r="G174" s="1049" t="s">
        <v>2336</v>
      </c>
      <c r="H174" s="1843">
        <f>SUM(I174:O174)</f>
        <v>0</v>
      </c>
      <c r="I174" s="1844"/>
      <c r="J174" s="1844"/>
      <c r="K174" s="1844">
        <f>IFERROR(HLOOKUP(B174,pp3p1m!$1:$3,3,0),0)</f>
        <v>0</v>
      </c>
      <c r="L174" s="1844">
        <f>IFERROR(HLOOKUP(chitiet!B174,pp1p!$1:$3,3,0),0)</f>
        <v>0</v>
      </c>
      <c r="M174" s="1844"/>
      <c r="N174" s="1844"/>
      <c r="O174" s="1844"/>
      <c r="P174" s="1844"/>
      <c r="Q174" s="1050"/>
      <c r="R174" s="1050"/>
      <c r="S174" s="1050"/>
      <c r="T174" s="2059">
        <f>IFERROR(HLOOKUP(B174,pp1p!$1:$3,3,0),0)+IFERROR(HLOOKUP(B174,pp3p1m!$1:$3,3,0),0)</f>
        <v>0</v>
      </c>
    </row>
    <row r="175" spans="1:20" ht="22.15" hidden="1" customHeight="1">
      <c r="A175" s="63"/>
      <c r="B175" s="1584" t="s">
        <v>753</v>
      </c>
      <c r="C175" s="64" t="str">
        <f t="shared" si="20"/>
        <v xml:space="preserve"> </v>
      </c>
      <c r="D175" s="1548">
        <v>4.5999999999999996</v>
      </c>
      <c r="E175" s="1051">
        <f>VLOOKUP($B175,DG!A:D,DG!$B$2,)</f>
        <v>0</v>
      </c>
      <c r="F175" s="1052" t="str">
        <f>VLOOKUP($B175,DG!A:D,DG!$C$2,)</f>
        <v>Ximăng (PC40)</v>
      </c>
      <c r="G175" s="1051" t="str">
        <f>VLOOKUP($B175,DG!A:D,DG!$D$2,)</f>
        <v>kg</v>
      </c>
      <c r="H175" s="1846">
        <f>$H$174*$D175</f>
        <v>0</v>
      </c>
      <c r="I175" s="1846">
        <f>I$494*$D175</f>
        <v>0</v>
      </c>
      <c r="J175" s="1846">
        <f>J$494*$D175</f>
        <v>0</v>
      </c>
      <c r="K175" s="1846">
        <f>K$339*$D175</f>
        <v>0</v>
      </c>
      <c r="L175" s="1846">
        <f>L$494*$D175</f>
        <v>0</v>
      </c>
      <c r="M175" s="1846">
        <f>M$494*$D175</f>
        <v>0</v>
      </c>
      <c r="N175" s="1846">
        <f>N$494*$D175</f>
        <v>0</v>
      </c>
      <c r="O175" s="1846"/>
      <c r="P175" s="1846"/>
      <c r="Q175" s="1055"/>
      <c r="R175" s="1055"/>
      <c r="S175" s="1055"/>
      <c r="T175" s="2059">
        <f t="shared" si="22"/>
        <v>0</v>
      </c>
    </row>
    <row r="176" spans="1:20" ht="22.15" hidden="1" customHeight="1">
      <c r="A176" s="63"/>
      <c r="B176" s="1585" t="s">
        <v>4447</v>
      </c>
      <c r="C176" s="64" t="str">
        <f>IF(OR(P176&lt;&gt;0,H176&lt;&gt;0),"x"," ")</f>
        <v xml:space="preserve"> </v>
      </c>
      <c r="D176" s="1545">
        <v>8.0000000000000002E-3</v>
      </c>
      <c r="E176" s="1051">
        <f>VLOOKUP($B176,DG!A:D,DG!$B$2,)</f>
        <v>0</v>
      </c>
      <c r="F176" s="1052" t="str">
        <f>VLOOKUP($B176,DG!A:D,DG!$C$2,)</f>
        <v>Cát vàng</v>
      </c>
      <c r="G176" s="1051" t="str">
        <f>VLOOKUP($B176,DG!A:D,DG!$D$2,)</f>
        <v>m3</v>
      </c>
      <c r="H176" s="1846">
        <f>$H$174*$D176</f>
        <v>0</v>
      </c>
      <c r="I176" s="1846"/>
      <c r="J176" s="1846"/>
      <c r="K176" s="1846">
        <f>K$339*$D176</f>
        <v>0</v>
      </c>
      <c r="L176" s="1846"/>
      <c r="M176" s="1846"/>
      <c r="N176" s="1846"/>
      <c r="O176" s="1846"/>
      <c r="P176" s="1846"/>
      <c r="Q176" s="1053"/>
      <c r="R176" s="1053"/>
      <c r="S176" s="1053"/>
      <c r="T176" s="2059">
        <f t="shared" si="22"/>
        <v>0</v>
      </c>
    </row>
    <row r="177" spans="1:20" ht="22.15" hidden="1" customHeight="1">
      <c r="A177" s="63" t="s">
        <v>1018</v>
      </c>
      <c r="B177" s="1584" t="s">
        <v>869</v>
      </c>
      <c r="C177" s="64" t="str">
        <f t="shared" si="20"/>
        <v xml:space="preserve"> </v>
      </c>
      <c r="D177" s="1545">
        <v>1.2999999999999999E-2</v>
      </c>
      <c r="E177" s="1051">
        <f>VLOOKUP($B177,DG!A:D,DG!$B$2,)</f>
        <v>0</v>
      </c>
      <c r="F177" s="1052" t="str">
        <f>VLOOKUP($B177,DG!A:D,DG!$C$2,)</f>
        <v>Đá 1x2</v>
      </c>
      <c r="G177" s="1051" t="str">
        <f>VLOOKUP($B177,DG!A:D,DG!$D$2,)</f>
        <v>m3</v>
      </c>
      <c r="H177" s="1846">
        <f>$H$174*$D177</f>
        <v>0</v>
      </c>
      <c r="I177" s="1846"/>
      <c r="J177" s="1846"/>
      <c r="K177" s="1846">
        <f>K$339*$D177</f>
        <v>0</v>
      </c>
      <c r="L177" s="1846"/>
      <c r="M177" s="1846"/>
      <c r="N177" s="1846"/>
      <c r="O177" s="1846"/>
      <c r="P177" s="1846"/>
      <c r="Q177" s="1053"/>
      <c r="R177" s="1053"/>
      <c r="S177" s="1053"/>
      <c r="T177" s="2059">
        <f t="shared" si="22"/>
        <v>0</v>
      </c>
    </row>
    <row r="178" spans="1:20" ht="22.15" hidden="1" customHeight="1">
      <c r="A178" s="63"/>
      <c r="B178" s="1584" t="s">
        <v>2014</v>
      </c>
      <c r="C178" s="64" t="str">
        <f t="shared" si="20"/>
        <v xml:space="preserve"> </v>
      </c>
      <c r="D178" s="1545">
        <v>30</v>
      </c>
      <c r="E178" s="1051">
        <f>VLOOKUP($B178,DG!A:D,DG!$B$2,)</f>
        <v>0</v>
      </c>
      <c r="F178" s="1057" t="str">
        <f>VLOOKUP($B178,DG!A:D,DG!$C$2,)</f>
        <v>Sắt Ø10</v>
      </c>
      <c r="G178" s="1051" t="str">
        <f>VLOOKUP($B178,DG!A:D,DG!$D$2,)</f>
        <v>kg</v>
      </c>
      <c r="H178" s="1846">
        <f>$H$174*$D178</f>
        <v>0</v>
      </c>
      <c r="I178" s="1846"/>
      <c r="J178" s="1846"/>
      <c r="K178" s="1846">
        <f>K$339*$D178</f>
        <v>0</v>
      </c>
      <c r="L178" s="1846"/>
      <c r="M178" s="1846"/>
      <c r="N178" s="1846"/>
      <c r="O178" s="1846"/>
      <c r="P178" s="1846"/>
      <c r="Q178" s="1053"/>
      <c r="R178" s="1053"/>
      <c r="S178" s="1053"/>
      <c r="T178" s="2059">
        <f t="shared" si="22"/>
        <v>0</v>
      </c>
    </row>
    <row r="179" spans="1:20" ht="22.15" hidden="1" customHeight="1">
      <c r="A179" s="63" t="s">
        <v>1018</v>
      </c>
      <c r="B179" s="1584" t="s">
        <v>1430</v>
      </c>
      <c r="C179" s="64" t="str">
        <f t="shared" si="20"/>
        <v xml:space="preserve"> </v>
      </c>
      <c r="D179" s="1545">
        <v>0.65</v>
      </c>
      <c r="E179" s="1051">
        <f>VLOOKUP($B179,DG!A:D,DG!$B$2,)</f>
        <v>0</v>
      </c>
      <c r="F179" s="1057" t="str">
        <f>VLOOKUP($B179,DG!A:D,DG!$C$2,)</f>
        <v>Kẽm</v>
      </c>
      <c r="G179" s="1051" t="str">
        <f>VLOOKUP($B179,DG!A:D,DG!$D$2,)</f>
        <v>kg</v>
      </c>
      <c r="H179" s="1846">
        <f>$H$174*$D179</f>
        <v>0</v>
      </c>
      <c r="I179" s="1846"/>
      <c r="J179" s="1846"/>
      <c r="K179" s="1846">
        <f>K$339*$D179</f>
        <v>0</v>
      </c>
      <c r="L179" s="1846"/>
      <c r="M179" s="1846"/>
      <c r="N179" s="1846"/>
      <c r="O179" s="1846"/>
      <c r="P179" s="1846"/>
      <c r="Q179" s="1053"/>
      <c r="R179" s="1053"/>
      <c r="S179" s="1053"/>
      <c r="T179" s="2059">
        <f t="shared" si="22"/>
        <v>0</v>
      </c>
    </row>
    <row r="180" spans="1:20" ht="22.15" hidden="1" customHeight="1">
      <c r="A180" s="63" t="s">
        <v>1018</v>
      </c>
      <c r="B180" s="1584" t="s">
        <v>1231</v>
      </c>
      <c r="C180" s="64" t="str">
        <f t="shared" si="20"/>
        <v xml:space="preserve"> </v>
      </c>
      <c r="D180" s="1545">
        <v>2.5000000000000001E-2</v>
      </c>
      <c r="E180" s="1051" t="str">
        <f>VLOOKUP($B180,DG!A:D,DG!$B$2,)</f>
        <v>03.1113</v>
      </c>
      <c r="F180" s="1057" t="str">
        <f>VLOOKUP($B180,DG!A:D,DG!$C$2,)</f>
        <v>Khoan cắt BT bằng máy khoan cằm tay</v>
      </c>
      <c r="G180" s="1051" t="str">
        <f>VLOOKUP($B180,DG!A:D,DG!$D$2,)</f>
        <v>m3</v>
      </c>
      <c r="H180" s="1846"/>
      <c r="I180" s="1846"/>
      <c r="J180" s="1846"/>
      <c r="K180" s="1846"/>
      <c r="L180" s="1846"/>
      <c r="M180" s="1846"/>
      <c r="N180" s="1846"/>
      <c r="O180" s="1846"/>
      <c r="P180" s="1846"/>
      <c r="Q180" s="1053"/>
      <c r="R180" s="1053"/>
      <c r="S180" s="1053"/>
      <c r="T180" s="2059">
        <f t="shared" si="22"/>
        <v>0</v>
      </c>
    </row>
    <row r="181" spans="1:20" ht="22.15" hidden="1" customHeight="1">
      <c r="A181" s="63"/>
      <c r="B181" s="1584" t="s">
        <v>639</v>
      </c>
      <c r="C181" s="64" t="str">
        <f t="shared" si="20"/>
        <v xml:space="preserve"> </v>
      </c>
      <c r="D181" s="1545">
        <v>0.29399999999999998</v>
      </c>
      <c r="E181" s="1051" t="str">
        <f>VLOOKUP($B181,DG!A:D,DG!$B$2,)</f>
        <v>03.1013</v>
      </c>
      <c r="F181" s="1052" t="str">
        <f>VLOOKUP($B181,DG!A:D,DG!$C$2,)</f>
        <v>Đào hố móng đất cấp 3 sâu &gt;1m</v>
      </c>
      <c r="G181" s="1051" t="str">
        <f>VLOOKUP($B181,DG!A:D,DG!$D$2,)</f>
        <v>m3</v>
      </c>
      <c r="H181" s="1846"/>
      <c r="I181" s="1846"/>
      <c r="J181" s="1846"/>
      <c r="K181" s="1846"/>
      <c r="L181" s="1846"/>
      <c r="M181" s="1846"/>
      <c r="N181" s="1846"/>
      <c r="O181" s="1846"/>
      <c r="P181" s="1846"/>
      <c r="Q181" s="1058"/>
      <c r="R181" s="1058"/>
      <c r="S181" s="1058"/>
      <c r="T181" s="2059">
        <f t="shared" si="22"/>
        <v>0</v>
      </c>
    </row>
    <row r="182" spans="1:20" ht="22.15" hidden="1" customHeight="1">
      <c r="A182" s="63"/>
      <c r="B182" s="1584" t="s">
        <v>21</v>
      </c>
      <c r="C182" s="64" t="str">
        <f t="shared" si="20"/>
        <v xml:space="preserve"> </v>
      </c>
      <c r="D182" s="1545">
        <v>0.15</v>
      </c>
      <c r="E182" s="1051" t="str">
        <f>VLOOKUP($B182,DG!A:D,DG!$B$2,)</f>
        <v>03.4113</v>
      </c>
      <c r="F182" s="1052" t="str">
        <f>VLOOKUP($B182,DG!A:D,DG!$C$2,)</f>
        <v>Đắp đất hố móng, độ chặt k=0,95</v>
      </c>
      <c r="G182" s="1051" t="str">
        <f>VLOOKUP($B182,DG!A:D,DG!$D$2,)</f>
        <v>m3</v>
      </c>
      <c r="H182" s="1846"/>
      <c r="I182" s="1846"/>
      <c r="J182" s="1846"/>
      <c r="K182" s="1846"/>
      <c r="L182" s="1846"/>
      <c r="M182" s="1846"/>
      <c r="N182" s="1846"/>
      <c r="O182" s="1846"/>
      <c r="P182" s="1846"/>
      <c r="Q182" s="1058"/>
      <c r="R182" s="1058"/>
      <c r="S182" s="1058"/>
      <c r="T182" s="2059">
        <f t="shared" si="22"/>
        <v>0</v>
      </c>
    </row>
    <row r="183" spans="1:20" ht="22.15" hidden="1" customHeight="1">
      <c r="A183" s="63"/>
      <c r="B183" s="1584" t="s">
        <v>1298</v>
      </c>
      <c r="C183" s="64" t="str">
        <f t="shared" si="20"/>
        <v xml:space="preserve"> </v>
      </c>
      <c r="D183" s="1545"/>
      <c r="E183" s="1051" t="str">
        <f>VLOOKUP($B183,DG!A:D,DG!$B$2,)</f>
        <v>02.1101</v>
      </c>
      <c r="F183" s="1052" t="str">
        <f>VLOOKUP($B183,DG!A:D,DG!$C$2,)</f>
        <v>Bốc dỡ xi măng</v>
      </c>
      <c r="G183" s="1051" t="str">
        <f>VLOOKUP($B183,DG!A:D,DG!$D$2,)</f>
        <v>tấn</v>
      </c>
      <c r="H183" s="1846"/>
      <c r="I183" s="1846"/>
      <c r="J183" s="1846"/>
      <c r="K183" s="1846"/>
      <c r="L183" s="1846"/>
      <c r="M183" s="1846"/>
      <c r="N183" s="1846"/>
      <c r="O183" s="1846"/>
      <c r="P183" s="1846"/>
      <c r="Q183" s="1058"/>
      <c r="R183" s="1058"/>
      <c r="S183" s="1058"/>
      <c r="T183" s="2059">
        <f t="shared" si="22"/>
        <v>0</v>
      </c>
    </row>
    <row r="184" spans="1:20" ht="22.15" hidden="1" customHeight="1">
      <c r="A184" s="63"/>
      <c r="B184" s="1584" t="s">
        <v>133</v>
      </c>
      <c r="C184" s="64" t="str">
        <f t="shared" si="20"/>
        <v xml:space="preserve"> </v>
      </c>
      <c r="D184" s="1545"/>
      <c r="E184" s="1051" t="str">
        <f>VLOOKUP($B184,DG!A:D,DG!$B$2,)</f>
        <v>02.1103</v>
      </c>
      <c r="F184" s="1052" t="str">
        <f>VLOOKUP($B184,DG!A:D,DG!$C$2,)</f>
        <v>Bốc dỡ cát</v>
      </c>
      <c r="G184" s="1051" t="str">
        <f>VLOOKUP($B184,DG!A:D,DG!$D$2,)</f>
        <v>m3</v>
      </c>
      <c r="H184" s="1846"/>
      <c r="I184" s="1846"/>
      <c r="J184" s="1846"/>
      <c r="K184" s="1846"/>
      <c r="L184" s="1846"/>
      <c r="M184" s="1846"/>
      <c r="N184" s="1846"/>
      <c r="O184" s="1846"/>
      <c r="P184" s="1846"/>
      <c r="Q184" s="1058"/>
      <c r="R184" s="1058"/>
      <c r="S184" s="1058"/>
      <c r="T184" s="2059">
        <f t="shared" si="22"/>
        <v>0</v>
      </c>
    </row>
    <row r="185" spans="1:20" ht="22.15" hidden="1" customHeight="1">
      <c r="A185" s="63"/>
      <c r="B185" s="1584" t="s">
        <v>135</v>
      </c>
      <c r="C185" s="64" t="str">
        <f t="shared" si="20"/>
        <v xml:space="preserve"> </v>
      </c>
      <c r="D185" s="1545"/>
      <c r="E185" s="1051" t="str">
        <f>VLOOKUP($B185,DG!A:D,DG!$B$2,)</f>
        <v>02.1104</v>
      </c>
      <c r="F185" s="1052" t="str">
        <f>VLOOKUP($B185,DG!A:D,DG!$C$2,)</f>
        <v>Bốc dỡ đá dăm</v>
      </c>
      <c r="G185" s="1051" t="str">
        <f>VLOOKUP($B185,DG!A:D,DG!$D$2,)</f>
        <v>m3</v>
      </c>
      <c r="H185" s="1846"/>
      <c r="I185" s="1846"/>
      <c r="J185" s="1846"/>
      <c r="K185" s="1846"/>
      <c r="L185" s="1846"/>
      <c r="M185" s="1846"/>
      <c r="N185" s="1846"/>
      <c r="O185" s="1846"/>
      <c r="P185" s="1846"/>
      <c r="Q185" s="1058"/>
      <c r="R185" s="1058"/>
      <c r="S185" s="1058"/>
      <c r="T185" s="2059">
        <f t="shared" si="22"/>
        <v>0</v>
      </c>
    </row>
    <row r="186" spans="1:20" ht="22.15" hidden="1" customHeight="1">
      <c r="A186" s="63"/>
      <c r="B186" s="1584" t="s">
        <v>9</v>
      </c>
      <c r="C186" s="64" t="str">
        <f t="shared" si="20"/>
        <v xml:space="preserve"> </v>
      </c>
      <c r="D186" s="1545">
        <f>D178</f>
        <v>30</v>
      </c>
      <c r="E186" s="1051" t="str">
        <f>VLOOKUP($B186,DG!A:D,DG!$B$2,)</f>
        <v>04.5101</v>
      </c>
      <c r="F186" s="1052" t="str">
        <f>VLOOKUP($B186,DG!A:D,DG!$C$2,)</f>
        <v>Gia công và lắp dựng cốt thép D&lt;=10</v>
      </c>
      <c r="G186" s="1051" t="str">
        <f>VLOOKUP($B186,DG!A:D,DG!$D$2,)</f>
        <v>kg</v>
      </c>
      <c r="H186" s="1846"/>
      <c r="I186" s="1846"/>
      <c r="J186" s="1846"/>
      <c r="K186" s="1846"/>
      <c r="L186" s="1846"/>
      <c r="M186" s="1846"/>
      <c r="N186" s="1846"/>
      <c r="O186" s="1846"/>
      <c r="P186" s="1846"/>
      <c r="Q186" s="1058"/>
      <c r="R186" s="1058"/>
      <c r="S186" s="1058"/>
      <c r="T186" s="2059">
        <f t="shared" si="22"/>
        <v>0</v>
      </c>
    </row>
    <row r="187" spans="1:20" ht="22.15" hidden="1" customHeight="1">
      <c r="A187" s="63"/>
      <c r="B187" s="1584" t="s">
        <v>1841</v>
      </c>
      <c r="C187" s="64" t="str">
        <f t="shared" si="20"/>
        <v xml:space="preserve"> </v>
      </c>
      <c r="D187" s="1545">
        <v>1.4999999999999999E-2</v>
      </c>
      <c r="E187" s="1051" t="str">
        <f>VLOOKUP($B187,DG!A:D,DG!$B$2,)</f>
        <v>04.1203b</v>
      </c>
      <c r="F187" s="1052" t="str">
        <f>VLOOKUP($B187,DG!A:D,DG!$C$2,)&amp; ": Taùi laäp laïi neàn"</f>
        <v>Đổ bê tông mác M150 đá 1x2: Taùi laäp laïi neàn</v>
      </c>
      <c r="G187" s="1051" t="str">
        <f>VLOOKUP($B187,DG!A:D,DG!$D$2,)</f>
        <v>m3</v>
      </c>
      <c r="H187" s="1846"/>
      <c r="I187" s="1846"/>
      <c r="J187" s="1846"/>
      <c r="K187" s="1846"/>
      <c r="L187" s="1846"/>
      <c r="M187" s="1846"/>
      <c r="N187" s="1846"/>
      <c r="O187" s="1846"/>
      <c r="P187" s="1846"/>
      <c r="Q187" s="1058"/>
      <c r="R187" s="1058"/>
      <c r="S187" s="1058"/>
      <c r="T187" s="2059">
        <f t="shared" si="22"/>
        <v>0</v>
      </c>
    </row>
    <row r="188" spans="1:20" ht="22.15" hidden="1" customHeight="1">
      <c r="A188" s="56" t="s">
        <v>100</v>
      </c>
      <c r="B188" s="1583" t="s">
        <v>100</v>
      </c>
      <c r="C188" s="62" t="str">
        <f t="shared" si="20"/>
        <v xml:space="preserve"> </v>
      </c>
      <c r="D188" s="1541"/>
      <c r="E188" s="1048"/>
      <c r="F188" s="1396" t="s">
        <v>2354</v>
      </c>
      <c r="G188" s="1049" t="s">
        <v>2336</v>
      </c>
      <c r="H188" s="1843">
        <f>SUM(I188:O188)</f>
        <v>0</v>
      </c>
      <c r="I188" s="1844"/>
      <c r="J188" s="1844"/>
      <c r="K188" s="1844">
        <f>IFERROR(HLOOKUP(B188,pp3p1m!$1:$3,3,0),0)</f>
        <v>0</v>
      </c>
      <c r="L188" s="1844">
        <f>IFERROR(HLOOKUP(chitiet!B188,pp1p!$1:$3,3,0),0)</f>
        <v>0</v>
      </c>
      <c r="M188" s="1844"/>
      <c r="N188" s="1844"/>
      <c r="O188" s="1844"/>
      <c r="P188" s="1844"/>
      <c r="Q188" s="1050"/>
      <c r="R188" s="1050"/>
      <c r="S188" s="1050"/>
      <c r="T188" s="2059">
        <f>IFERROR(HLOOKUP(B188,pp1p!$1:$3,3,0),0)+IFERROR(HLOOKUP(B188,pp3p1m!$1:$3,3,0),0)</f>
        <v>0</v>
      </c>
    </row>
    <row r="189" spans="1:20" ht="22.15" hidden="1" customHeight="1">
      <c r="A189" s="59"/>
      <c r="B189" s="1586" t="s">
        <v>636</v>
      </c>
      <c r="C189" s="64" t="str">
        <f t="shared" si="20"/>
        <v xml:space="preserve"> </v>
      </c>
      <c r="D189" s="1544">
        <v>2</v>
      </c>
      <c r="E189" s="1047" t="str">
        <f>VLOOKUP($B189,DG!A:D,DG!$B$2,)</f>
        <v>04.4001</v>
      </c>
      <c r="F189" s="1059" t="str">
        <f>VLOOKUP($B189,DG!A:D,DG!$C$2,)</f>
        <v>Đà cản BTCT 1,2m</v>
      </c>
      <c r="G189" s="1047" t="str">
        <f>VLOOKUP($B189,DG!A:D,DG!$D$2,)</f>
        <v>cái</v>
      </c>
      <c r="H189" s="1845">
        <f t="shared" ref="H189:N190" si="29">H$188*$D189</f>
        <v>0</v>
      </c>
      <c r="I189" s="1845">
        <f t="shared" si="29"/>
        <v>0</v>
      </c>
      <c r="J189" s="1845">
        <f t="shared" si="29"/>
        <v>0</v>
      </c>
      <c r="K189" s="1845">
        <f t="shared" si="29"/>
        <v>0</v>
      </c>
      <c r="L189" s="1845">
        <f t="shared" si="29"/>
        <v>0</v>
      </c>
      <c r="M189" s="1845">
        <f t="shared" si="29"/>
        <v>0</v>
      </c>
      <c r="N189" s="1845">
        <f t="shared" si="29"/>
        <v>0</v>
      </c>
      <c r="O189" s="1845"/>
      <c r="P189" s="1845"/>
      <c r="Q189" s="1056"/>
      <c r="R189" s="1056"/>
      <c r="S189" s="1056"/>
      <c r="T189" s="2059">
        <f t="shared" si="22"/>
        <v>0</v>
      </c>
    </row>
    <row r="190" spans="1:20" ht="22.15" hidden="1" customHeight="1">
      <c r="A190" s="59"/>
      <c r="B190" s="1586" t="s">
        <v>566</v>
      </c>
      <c r="C190" s="64" t="str">
        <f t="shared" si="20"/>
        <v xml:space="preserve"> </v>
      </c>
      <c r="D190" s="1544">
        <v>2</v>
      </c>
      <c r="E190" s="1047"/>
      <c r="F190" s="1059" t="str">
        <f>VLOOKUP($B190,DG!A:D,DG!$C$2,)</f>
        <v>Boulon 22x650+ 2 long đền vuông D24-50x50x3/Zn</v>
      </c>
      <c r="G190" s="1047" t="str">
        <f>VLOOKUP($B190,DG!A:D,DG!$D$2,)</f>
        <v>bộ</v>
      </c>
      <c r="H190" s="1845">
        <f t="shared" si="29"/>
        <v>0</v>
      </c>
      <c r="I190" s="1845">
        <f t="shared" si="29"/>
        <v>0</v>
      </c>
      <c r="J190" s="1845">
        <f t="shared" si="29"/>
        <v>0</v>
      </c>
      <c r="K190" s="1845">
        <f t="shared" si="29"/>
        <v>0</v>
      </c>
      <c r="L190" s="1845">
        <f t="shared" si="29"/>
        <v>0</v>
      </c>
      <c r="M190" s="1845">
        <f t="shared" si="29"/>
        <v>0</v>
      </c>
      <c r="N190" s="1845">
        <f t="shared" si="29"/>
        <v>0</v>
      </c>
      <c r="O190" s="1845"/>
      <c r="P190" s="1845"/>
      <c r="Q190" s="1056"/>
      <c r="R190" s="1056"/>
      <c r="S190" s="1056"/>
      <c r="T190" s="2059">
        <f t="shared" si="22"/>
        <v>0</v>
      </c>
    </row>
    <row r="191" spans="1:20" ht="22.15" hidden="1" customHeight="1">
      <c r="A191" s="59"/>
      <c r="B191" s="1586" t="s">
        <v>639</v>
      </c>
      <c r="C191" s="64" t="str">
        <f t="shared" si="20"/>
        <v xml:space="preserve"> </v>
      </c>
      <c r="D191" s="1543">
        <v>5.39</v>
      </c>
      <c r="E191" s="1047" t="str">
        <f>VLOOKUP($B191,DG!A:D,DG!$B$2,)</f>
        <v>03.1013</v>
      </c>
      <c r="F191" s="1052" t="str">
        <f>VLOOKUP($B191,DG!A:D,DG!$C$2,)</f>
        <v>Đào hố móng đất cấp 3 sâu &gt;1m</v>
      </c>
      <c r="G191" s="1047" t="str">
        <f>VLOOKUP($B191,DG!A:D,DG!$D$2,)</f>
        <v>m3</v>
      </c>
      <c r="H191" s="1845"/>
      <c r="I191" s="1845"/>
      <c r="J191" s="1845"/>
      <c r="K191" s="1845"/>
      <c r="L191" s="1845"/>
      <c r="M191" s="1845"/>
      <c r="N191" s="1845"/>
      <c r="O191" s="1845"/>
      <c r="P191" s="1845"/>
      <c r="Q191" s="1061"/>
      <c r="R191" s="1061"/>
      <c r="S191" s="1061"/>
      <c r="T191" s="2059">
        <f t="shared" si="22"/>
        <v>0</v>
      </c>
    </row>
    <row r="192" spans="1:20" ht="22.15" hidden="1" customHeight="1">
      <c r="A192" s="59"/>
      <c r="B192" s="1586" t="s">
        <v>21</v>
      </c>
      <c r="C192" s="64" t="str">
        <f t="shared" si="20"/>
        <v xml:space="preserve"> </v>
      </c>
      <c r="D192" s="1543">
        <v>6.37</v>
      </c>
      <c r="E192" s="1047" t="str">
        <f>VLOOKUP($B192,DG!A:D,DG!$B$2,)</f>
        <v>03.4113</v>
      </c>
      <c r="F192" s="1052" t="str">
        <f>VLOOKUP($B192,DG!A:D,DG!$C$2,)</f>
        <v>Đắp đất hố móng, độ chặt k=0,95</v>
      </c>
      <c r="G192" s="1047" t="str">
        <f>VLOOKUP($B192,DG!A:D,DG!$D$2,)</f>
        <v>m3</v>
      </c>
      <c r="H192" s="1845"/>
      <c r="I192" s="1845"/>
      <c r="J192" s="1845"/>
      <c r="K192" s="1845"/>
      <c r="L192" s="1845"/>
      <c r="M192" s="1845"/>
      <c r="N192" s="1845"/>
      <c r="O192" s="1845"/>
      <c r="P192" s="1845"/>
      <c r="Q192" s="1061"/>
      <c r="R192" s="1061"/>
      <c r="S192" s="1061"/>
      <c r="T192" s="2059">
        <f t="shared" si="22"/>
        <v>0</v>
      </c>
    </row>
    <row r="193" spans="1:20" ht="22.15" hidden="1" customHeight="1">
      <c r="A193" s="59"/>
      <c r="B193" s="1586" t="s">
        <v>637</v>
      </c>
      <c r="C193" s="64" t="str">
        <f t="shared" si="20"/>
        <v xml:space="preserve"> </v>
      </c>
      <c r="D193" s="1543"/>
      <c r="E193" s="1047" t="str">
        <f>VLOOKUP($B193,DG!A:D,DG!$B$2,)</f>
        <v>02.1123</v>
      </c>
      <c r="F193" s="1052" t="str">
        <f>VLOOKUP($B193,DG!A:D,DG!$C$2,)</f>
        <v>Bốc dỡ đà cản, đế néo</v>
      </c>
      <c r="G193" s="1047" t="str">
        <f>VLOOKUP($B193,DG!A:D,DG!$D$2,)</f>
        <v>tấn</v>
      </c>
      <c r="H193" s="1845"/>
      <c r="I193" s="1845"/>
      <c r="J193" s="1845"/>
      <c r="K193" s="1845"/>
      <c r="L193" s="1845"/>
      <c r="M193" s="1845"/>
      <c r="N193" s="1845"/>
      <c r="O193" s="1845"/>
      <c r="P193" s="1845"/>
      <c r="Q193" s="1056"/>
      <c r="R193" s="1056"/>
      <c r="S193" s="1056"/>
      <c r="T193" s="2059">
        <f t="shared" si="22"/>
        <v>0</v>
      </c>
    </row>
    <row r="194" spans="1:20" ht="22.15" hidden="1" customHeight="1">
      <c r="A194" s="59"/>
      <c r="B194" s="1598" t="s">
        <v>2071</v>
      </c>
      <c r="C194" s="64" t="str">
        <f t="shared" si="20"/>
        <v xml:space="preserve"> </v>
      </c>
      <c r="D194" s="1543"/>
      <c r="E194" s="1047" t="str">
        <f>VLOOKUP($B194,DG!A:C,2,)</f>
        <v>02.1451</v>
      </c>
      <c r="F194" s="1052" t="str">
        <f>VLOOKUP($B194,DG!A:C,3,)</f>
        <v>V/c đà cản vào vị trí (cự ly &lt;=100m)</v>
      </c>
      <c r="G194" s="1047" t="str">
        <f>VLOOKUP($B194,DG!A:D,4,0)</f>
        <v>tấn</v>
      </c>
      <c r="H194" s="1845"/>
      <c r="I194" s="1845"/>
      <c r="J194" s="1845"/>
      <c r="K194" s="1845"/>
      <c r="L194" s="1845"/>
      <c r="M194" s="1845"/>
      <c r="N194" s="1845"/>
      <c r="O194" s="1845"/>
      <c r="P194" s="1845"/>
      <c r="Q194" s="1061"/>
      <c r="R194" s="1061"/>
      <c r="S194" s="1061"/>
      <c r="T194" s="2059">
        <f t="shared" si="22"/>
        <v>0</v>
      </c>
    </row>
    <row r="195" spans="1:20" ht="22.15" hidden="1" customHeight="1">
      <c r="A195" s="59"/>
      <c r="B195" s="1598" t="s">
        <v>635</v>
      </c>
      <c r="C195" s="64" t="str">
        <f t="shared" si="20"/>
        <v xml:space="preserve"> </v>
      </c>
      <c r="D195" s="1543"/>
      <c r="E195" s="1047" t="str">
        <f>VLOOKUP($B195,DG!A:C,2,)</f>
        <v>02.1482</v>
      </c>
      <c r="F195" s="1052" t="str">
        <f>VLOOKUP($B195,DG!A:C,3,)</f>
        <v>V/c dụng cụ thi công vào vị trí (cự ly &lt;=100m)</v>
      </c>
      <c r="G195" s="1047" t="str">
        <f>VLOOKUP($B195,DG!A:D,4,0)</f>
        <v>tấn</v>
      </c>
      <c r="H195" s="1845"/>
      <c r="I195" s="1845"/>
      <c r="J195" s="1845"/>
      <c r="K195" s="1845"/>
      <c r="L195" s="1845"/>
      <c r="M195" s="1845"/>
      <c r="N195" s="1845"/>
      <c r="O195" s="1845"/>
      <c r="P195" s="1845"/>
      <c r="Q195" s="1061"/>
      <c r="R195" s="1061"/>
      <c r="S195" s="1061"/>
      <c r="T195" s="2059">
        <f t="shared" si="22"/>
        <v>0</v>
      </c>
    </row>
    <row r="196" spans="1:20" ht="22.15" hidden="1" customHeight="1">
      <c r="A196" s="56" t="s">
        <v>835</v>
      </c>
      <c r="B196" s="1583" t="s">
        <v>835</v>
      </c>
      <c r="C196" s="62" t="str">
        <f t="shared" si="20"/>
        <v xml:space="preserve"> </v>
      </c>
      <c r="D196" s="1541"/>
      <c r="E196" s="1048"/>
      <c r="F196" s="1396" t="s">
        <v>2355</v>
      </c>
      <c r="G196" s="1049" t="s">
        <v>2336</v>
      </c>
      <c r="H196" s="1843">
        <f>SUM(I196:O196)</f>
        <v>0</v>
      </c>
      <c r="I196" s="1844"/>
      <c r="J196" s="1844"/>
      <c r="K196" s="1844">
        <f>IFERROR(HLOOKUP(B196,pp3p1m!$1:$3,3,0),0)</f>
        <v>0</v>
      </c>
      <c r="L196" s="1844">
        <f>IFERROR(HLOOKUP(chitiet!B196,pp1p!$1:$3,3,0),0)</f>
        <v>0</v>
      </c>
      <c r="M196" s="1844"/>
      <c r="N196" s="1844"/>
      <c r="O196" s="1844"/>
      <c r="P196" s="1844"/>
      <c r="Q196" s="1050"/>
      <c r="R196" s="1050"/>
      <c r="S196" s="1050"/>
      <c r="T196" s="2059">
        <f>IFERROR(HLOOKUP(B196,pp1p!$1:$3,3,0),0)+IFERROR(HLOOKUP(B196,pp3p1m!$1:$3,3,0),0)</f>
        <v>0</v>
      </c>
    </row>
    <row r="197" spans="1:20" ht="22.15" hidden="1" customHeight="1">
      <c r="A197" s="59"/>
      <c r="B197" s="1586" t="s">
        <v>636</v>
      </c>
      <c r="C197" s="64" t="str">
        <f t="shared" si="20"/>
        <v xml:space="preserve"> </v>
      </c>
      <c r="D197" s="1544">
        <v>1</v>
      </c>
      <c r="E197" s="1047" t="str">
        <f>VLOOKUP($B197,DG!A:D,DG!$B$2,)</f>
        <v>04.4001</v>
      </c>
      <c r="F197" s="1059" t="str">
        <f>VLOOKUP($B197,DG!A:D,DG!$C$2,)</f>
        <v>Đà cản BTCT 1,2m</v>
      </c>
      <c r="G197" s="1047" t="str">
        <f>VLOOKUP($B197,DG!A:D,DG!$D$2,)</f>
        <v>cái</v>
      </c>
      <c r="H197" s="1845">
        <f t="shared" ref="H197:N199" si="30">H$196*$D197</f>
        <v>0</v>
      </c>
      <c r="I197" s="1845">
        <f t="shared" si="30"/>
        <v>0</v>
      </c>
      <c r="J197" s="1845">
        <f t="shared" si="30"/>
        <v>0</v>
      </c>
      <c r="K197" s="1845">
        <f t="shared" si="30"/>
        <v>0</v>
      </c>
      <c r="L197" s="1845">
        <f t="shared" si="30"/>
        <v>0</v>
      </c>
      <c r="M197" s="1845">
        <f t="shared" si="30"/>
        <v>0</v>
      </c>
      <c r="N197" s="1845">
        <f t="shared" si="30"/>
        <v>0</v>
      </c>
      <c r="O197" s="1845"/>
      <c r="P197" s="1845"/>
      <c r="Q197" s="1056"/>
      <c r="R197" s="1056"/>
      <c r="S197" s="1056"/>
      <c r="T197" s="2059">
        <f t="shared" si="22"/>
        <v>0</v>
      </c>
    </row>
    <row r="198" spans="1:20" ht="22.15" hidden="1" customHeight="1">
      <c r="A198" s="59"/>
      <c r="B198" s="1586" t="s">
        <v>1580</v>
      </c>
      <c r="C198" s="64" t="str">
        <f t="shared" si="20"/>
        <v xml:space="preserve"> </v>
      </c>
      <c r="D198" s="1544">
        <v>1</v>
      </c>
      <c r="E198" s="1047" t="str">
        <f>VLOOKUP($B198,DG!A:D,DG!$B$2,)</f>
        <v>04.3801</v>
      </c>
      <c r="F198" s="1059" t="str">
        <f>VLOOKUP($B198,DG!A:D,DG!$C$2,)</f>
        <v>Đà cản BTCT 1,5m</v>
      </c>
      <c r="G198" s="1047" t="str">
        <f>VLOOKUP($B198,DG!A:D,DG!$D$2,)</f>
        <v>cái</v>
      </c>
      <c r="H198" s="1845">
        <f t="shared" si="30"/>
        <v>0</v>
      </c>
      <c r="I198" s="1845">
        <f t="shared" si="30"/>
        <v>0</v>
      </c>
      <c r="J198" s="1845">
        <f t="shared" si="30"/>
        <v>0</v>
      </c>
      <c r="K198" s="1845">
        <f t="shared" si="30"/>
        <v>0</v>
      </c>
      <c r="L198" s="1845">
        <f t="shared" si="30"/>
        <v>0</v>
      </c>
      <c r="M198" s="1845">
        <f t="shared" si="30"/>
        <v>0</v>
      </c>
      <c r="N198" s="1845">
        <f t="shared" si="30"/>
        <v>0</v>
      </c>
      <c r="O198" s="1845"/>
      <c r="P198" s="1845"/>
      <c r="Q198" s="1056"/>
      <c r="R198" s="1056"/>
      <c r="S198" s="1056"/>
      <c r="T198" s="2059">
        <f t="shared" si="22"/>
        <v>0</v>
      </c>
    </row>
    <row r="199" spans="1:20" ht="22.15" hidden="1" customHeight="1">
      <c r="A199" s="59"/>
      <c r="B199" s="1586" t="s">
        <v>566</v>
      </c>
      <c r="C199" s="64" t="str">
        <f t="shared" si="20"/>
        <v xml:space="preserve"> </v>
      </c>
      <c r="D199" s="1544">
        <v>2</v>
      </c>
      <c r="E199" s="1047"/>
      <c r="F199" s="1059" t="str">
        <f>VLOOKUP($B199,DG!A:D,DG!$C$2,)</f>
        <v>Boulon 22x650+ 2 long đền vuông D24-50x50x3/Zn</v>
      </c>
      <c r="G199" s="1047" t="str">
        <f>VLOOKUP($B199,DG!A:D,DG!$D$2,)</f>
        <v>bộ</v>
      </c>
      <c r="H199" s="1845">
        <f t="shared" si="30"/>
        <v>0</v>
      </c>
      <c r="I199" s="1845">
        <f t="shared" si="30"/>
        <v>0</v>
      </c>
      <c r="J199" s="1845">
        <f t="shared" si="30"/>
        <v>0</v>
      </c>
      <c r="K199" s="1845">
        <f t="shared" si="30"/>
        <v>0</v>
      </c>
      <c r="L199" s="1845">
        <f t="shared" si="30"/>
        <v>0</v>
      </c>
      <c r="M199" s="1845">
        <f t="shared" si="30"/>
        <v>0</v>
      </c>
      <c r="N199" s="1845">
        <f t="shared" si="30"/>
        <v>0</v>
      </c>
      <c r="O199" s="1845"/>
      <c r="P199" s="1845"/>
      <c r="Q199" s="1056"/>
      <c r="R199" s="1056"/>
      <c r="S199" s="1056"/>
      <c r="T199" s="2059">
        <f t="shared" si="22"/>
        <v>0</v>
      </c>
    </row>
    <row r="200" spans="1:20" ht="22.15" hidden="1" customHeight="1">
      <c r="A200" s="59"/>
      <c r="B200" s="1586" t="s">
        <v>639</v>
      </c>
      <c r="C200" s="64" t="str">
        <f t="shared" si="20"/>
        <v xml:space="preserve"> </v>
      </c>
      <c r="D200" s="1543">
        <v>5.56</v>
      </c>
      <c r="E200" s="1047" t="str">
        <f>VLOOKUP($B200,DG!A:D,DG!$B$2,)</f>
        <v>03.1013</v>
      </c>
      <c r="F200" s="1052" t="str">
        <f>VLOOKUP($B200,DG!A:D,DG!$C$2,)</f>
        <v>Đào hố móng đất cấp 3 sâu &gt;1m</v>
      </c>
      <c r="G200" s="1047" t="str">
        <f>VLOOKUP($B200,DG!A:D,DG!$D$2,)</f>
        <v>m3</v>
      </c>
      <c r="H200" s="1845"/>
      <c r="I200" s="1845"/>
      <c r="J200" s="1845"/>
      <c r="K200" s="1845"/>
      <c r="L200" s="1845"/>
      <c r="M200" s="1845"/>
      <c r="N200" s="1845"/>
      <c r="O200" s="1845"/>
      <c r="P200" s="1845"/>
      <c r="Q200" s="1061"/>
      <c r="R200" s="1061"/>
      <c r="S200" s="1061"/>
      <c r="T200" s="2059">
        <f t="shared" si="22"/>
        <v>0</v>
      </c>
    </row>
    <row r="201" spans="1:20" ht="22.15" hidden="1" customHeight="1">
      <c r="A201" s="59"/>
      <c r="B201" s="1586" t="s">
        <v>21</v>
      </c>
      <c r="C201" s="64" t="str">
        <f t="shared" si="20"/>
        <v xml:space="preserve"> </v>
      </c>
      <c r="D201" s="1543">
        <v>6.54</v>
      </c>
      <c r="E201" s="1047" t="str">
        <f>VLOOKUP($B201,DG!A:D,DG!$B$2,)</f>
        <v>03.4113</v>
      </c>
      <c r="F201" s="1052" t="str">
        <f>VLOOKUP($B201,DG!A:D,DG!$C$2,)</f>
        <v>Đắp đất hố móng, độ chặt k=0,95</v>
      </c>
      <c r="G201" s="1047" t="str">
        <f>VLOOKUP($B201,DG!A:D,DG!$D$2,)</f>
        <v>m3</v>
      </c>
      <c r="H201" s="1845"/>
      <c r="I201" s="1845"/>
      <c r="J201" s="1845"/>
      <c r="K201" s="1845"/>
      <c r="L201" s="1845"/>
      <c r="M201" s="1845"/>
      <c r="N201" s="1845"/>
      <c r="O201" s="1845"/>
      <c r="P201" s="1845"/>
      <c r="Q201" s="1061"/>
      <c r="R201" s="1061"/>
      <c r="S201" s="1061"/>
      <c r="T201" s="2059">
        <f t="shared" si="22"/>
        <v>0</v>
      </c>
    </row>
    <row r="202" spans="1:20" ht="22.15" hidden="1" customHeight="1">
      <c r="A202" s="59"/>
      <c r="B202" s="1586" t="s">
        <v>1581</v>
      </c>
      <c r="C202" s="64" t="str">
        <f t="shared" si="20"/>
        <v xml:space="preserve"> </v>
      </c>
      <c r="D202" s="1543"/>
      <c r="E202" s="1047" t="str">
        <f>VLOOKUP($B202,DG!A:D,DG!$B$2,)</f>
        <v>02.1123</v>
      </c>
      <c r="F202" s="1052" t="str">
        <f>VLOOKUP($B202,DG!A:D,DG!$C$2,)</f>
        <v>Bốc dỡ đà cản, đế néo</v>
      </c>
      <c r="G202" s="1047" t="str">
        <f>VLOOKUP($B202,DG!A:D,DG!$D$2,)</f>
        <v>tấn</v>
      </c>
      <c r="H202" s="1845"/>
      <c r="I202" s="1845"/>
      <c r="J202" s="1845"/>
      <c r="K202" s="1845"/>
      <c r="L202" s="1845"/>
      <c r="M202" s="1845"/>
      <c r="N202" s="1845"/>
      <c r="O202" s="1845"/>
      <c r="P202" s="1845"/>
      <c r="Q202" s="1056"/>
      <c r="R202" s="1056"/>
      <c r="S202" s="1056"/>
      <c r="T202" s="2059">
        <f t="shared" si="22"/>
        <v>0</v>
      </c>
    </row>
    <row r="203" spans="1:20" ht="22.15" hidden="1" customHeight="1">
      <c r="A203" s="59"/>
      <c r="B203" s="1598" t="s">
        <v>2071</v>
      </c>
      <c r="C203" s="64" t="str">
        <f t="shared" si="20"/>
        <v xml:space="preserve"> </v>
      </c>
      <c r="D203" s="1543"/>
      <c r="E203" s="1047" t="str">
        <f>VLOOKUP($B203,DG!A:C,2,)</f>
        <v>02.1451</v>
      </c>
      <c r="F203" s="1052" t="str">
        <f>VLOOKUP($B203,DG!A:C,3,)</f>
        <v>V/c đà cản vào vị trí (cự ly &lt;=100m)</v>
      </c>
      <c r="G203" s="1047" t="str">
        <f>VLOOKUP($B203,DG!A:D,4,0)</f>
        <v>tấn</v>
      </c>
      <c r="H203" s="1845"/>
      <c r="I203" s="1845"/>
      <c r="J203" s="1845"/>
      <c r="K203" s="1845"/>
      <c r="L203" s="1845"/>
      <c r="M203" s="1845"/>
      <c r="N203" s="1845"/>
      <c r="O203" s="1845"/>
      <c r="P203" s="1845"/>
      <c r="Q203" s="1061"/>
      <c r="R203" s="1061"/>
      <c r="S203" s="1061"/>
      <c r="T203" s="2059">
        <f t="shared" si="22"/>
        <v>0</v>
      </c>
    </row>
    <row r="204" spans="1:20" ht="22.15" hidden="1" customHeight="1">
      <c r="A204" s="59"/>
      <c r="B204" s="1598" t="s">
        <v>635</v>
      </c>
      <c r="C204" s="64" t="str">
        <f t="shared" si="20"/>
        <v xml:space="preserve"> </v>
      </c>
      <c r="D204" s="1543"/>
      <c r="E204" s="1047" t="str">
        <f>VLOOKUP($B204,DG!A:C,2,)</f>
        <v>02.1482</v>
      </c>
      <c r="F204" s="1052" t="str">
        <f>VLOOKUP($B204,DG!A:C,3,)</f>
        <v>V/c dụng cụ thi công vào vị trí (cự ly &lt;=100m)</v>
      </c>
      <c r="G204" s="1047" t="str">
        <f>VLOOKUP($B204,DG!A:D,4,0)</f>
        <v>tấn</v>
      </c>
      <c r="H204" s="1845"/>
      <c r="I204" s="1845"/>
      <c r="J204" s="1845"/>
      <c r="K204" s="1845"/>
      <c r="L204" s="1845"/>
      <c r="M204" s="1845"/>
      <c r="N204" s="1845"/>
      <c r="O204" s="1845"/>
      <c r="P204" s="1845"/>
      <c r="Q204" s="1061"/>
      <c r="R204" s="1061"/>
      <c r="S204" s="1061"/>
      <c r="T204" s="2059">
        <f t="shared" si="22"/>
        <v>0</v>
      </c>
    </row>
    <row r="205" spans="1:20" ht="22.15" hidden="1" customHeight="1">
      <c r="A205" s="56" t="s">
        <v>836</v>
      </c>
      <c r="B205" s="1583" t="s">
        <v>836</v>
      </c>
      <c r="C205" s="62" t="str">
        <f t="shared" si="20"/>
        <v xml:space="preserve"> </v>
      </c>
      <c r="D205" s="1541"/>
      <c r="E205" s="1048"/>
      <c r="F205" s="1396" t="s">
        <v>2356</v>
      </c>
      <c r="G205" s="1049" t="s">
        <v>2336</v>
      </c>
      <c r="H205" s="1843">
        <f>SUM(I205:O205)</f>
        <v>0</v>
      </c>
      <c r="I205" s="1844"/>
      <c r="J205" s="1844"/>
      <c r="K205" s="1844">
        <f>IFERROR(HLOOKUP(B205,pp3p1m!$1:$3,3,0),0)</f>
        <v>0</v>
      </c>
      <c r="L205" s="1844">
        <f>IFERROR(HLOOKUP(chitiet!B205,pp1p!$1:$3,3,0),0)</f>
        <v>0</v>
      </c>
      <c r="M205" s="1844"/>
      <c r="N205" s="1844"/>
      <c r="O205" s="1844"/>
      <c r="P205" s="1844"/>
      <c r="Q205" s="1050"/>
      <c r="R205" s="1050"/>
      <c r="S205" s="1050"/>
      <c r="T205" s="2059">
        <f>IFERROR(HLOOKUP(B205,pp1p!$1:$3,3,0),0)+IFERROR(HLOOKUP(B205,pp3p1m!$1:$3,3,0),0)</f>
        <v>0</v>
      </c>
    </row>
    <row r="206" spans="1:20" ht="22.15" hidden="1" customHeight="1">
      <c r="A206" s="59"/>
      <c r="B206" s="1586" t="s">
        <v>1580</v>
      </c>
      <c r="C206" s="64" t="str">
        <f t="shared" si="20"/>
        <v xml:space="preserve"> </v>
      </c>
      <c r="D206" s="1544">
        <v>2</v>
      </c>
      <c r="E206" s="1047" t="str">
        <f>VLOOKUP($B206,DG!A:D,DG!$B$2,)</f>
        <v>04.3801</v>
      </c>
      <c r="F206" s="1059" t="str">
        <f>VLOOKUP($B206,DG!A:D,DG!$C$2,)</f>
        <v>Đà cản BTCT 1,5m</v>
      </c>
      <c r="G206" s="1047" t="str">
        <f>VLOOKUP($B206,DG!A:D,DG!$D$2,)</f>
        <v>cái</v>
      </c>
      <c r="H206" s="1845">
        <f t="shared" ref="H206:N207" si="31">H$205*$D206</f>
        <v>0</v>
      </c>
      <c r="I206" s="1845">
        <f t="shared" si="31"/>
        <v>0</v>
      </c>
      <c r="J206" s="1845">
        <f t="shared" si="31"/>
        <v>0</v>
      </c>
      <c r="K206" s="1845">
        <f t="shared" si="31"/>
        <v>0</v>
      </c>
      <c r="L206" s="1845">
        <f t="shared" si="31"/>
        <v>0</v>
      </c>
      <c r="M206" s="1845">
        <f t="shared" si="31"/>
        <v>0</v>
      </c>
      <c r="N206" s="1845">
        <f t="shared" si="31"/>
        <v>0</v>
      </c>
      <c r="O206" s="1845"/>
      <c r="P206" s="1845"/>
      <c r="Q206" s="1056"/>
      <c r="R206" s="1056"/>
      <c r="S206" s="1056"/>
      <c r="T206" s="2059">
        <f t="shared" ref="T206:T269" si="32">IFERROR(HLOOKUP(B206,BangKeTru,3,0),0)</f>
        <v>0</v>
      </c>
    </row>
    <row r="207" spans="1:20" ht="22.15" hidden="1" customHeight="1">
      <c r="A207" s="59"/>
      <c r="B207" s="1586" t="s">
        <v>566</v>
      </c>
      <c r="C207" s="64" t="str">
        <f t="shared" ref="C207:C270" si="33">IF(OR(P207&lt;&gt;0,H207&lt;&gt;0),"x"," ")</f>
        <v xml:space="preserve"> </v>
      </c>
      <c r="D207" s="1544">
        <v>2</v>
      </c>
      <c r="E207" s="1047"/>
      <c r="F207" s="1059" t="str">
        <f>VLOOKUP($B207,DG!A:D,DG!$C$2,)</f>
        <v>Boulon 22x650+ 2 long đền vuông D24-50x50x3/Zn</v>
      </c>
      <c r="G207" s="1047" t="str">
        <f>VLOOKUP($B207,DG!A:D,DG!$D$2,)</f>
        <v>bộ</v>
      </c>
      <c r="H207" s="1845">
        <f t="shared" si="31"/>
        <v>0</v>
      </c>
      <c r="I207" s="1845">
        <f t="shared" si="31"/>
        <v>0</v>
      </c>
      <c r="J207" s="1845">
        <f t="shared" si="31"/>
        <v>0</v>
      </c>
      <c r="K207" s="1845">
        <f t="shared" si="31"/>
        <v>0</v>
      </c>
      <c r="L207" s="1845">
        <f t="shared" si="31"/>
        <v>0</v>
      </c>
      <c r="M207" s="1845">
        <f t="shared" si="31"/>
        <v>0</v>
      </c>
      <c r="N207" s="1845">
        <f t="shared" si="31"/>
        <v>0</v>
      </c>
      <c r="O207" s="1845"/>
      <c r="P207" s="1845"/>
      <c r="Q207" s="1056"/>
      <c r="R207" s="1056"/>
      <c r="S207" s="1056"/>
      <c r="T207" s="2059">
        <f t="shared" si="32"/>
        <v>0</v>
      </c>
    </row>
    <row r="208" spans="1:20" ht="22.15" hidden="1" customHeight="1">
      <c r="A208" s="59"/>
      <c r="B208" s="1586" t="s">
        <v>639</v>
      </c>
      <c r="C208" s="64" t="str">
        <f t="shared" si="33"/>
        <v xml:space="preserve"> </v>
      </c>
      <c r="D208" s="1543">
        <v>7.4</v>
      </c>
      <c r="E208" s="1047" t="str">
        <f>VLOOKUP($B208,DG!A:D,DG!$B$2,)</f>
        <v>03.1013</v>
      </c>
      <c r="F208" s="1052" t="str">
        <f>VLOOKUP($B208,DG!A:D,DG!$C$2,)</f>
        <v>Đào hố móng đất cấp 3 sâu &gt;1m</v>
      </c>
      <c r="G208" s="1047" t="str">
        <f>VLOOKUP($B208,DG!A:D,DG!$D$2,)</f>
        <v>m3</v>
      </c>
      <c r="H208" s="1845"/>
      <c r="I208" s="1845"/>
      <c r="J208" s="1845"/>
      <c r="K208" s="1845"/>
      <c r="L208" s="1845"/>
      <c r="M208" s="1845"/>
      <c r="N208" s="1845"/>
      <c r="O208" s="1845"/>
      <c r="P208" s="1845"/>
      <c r="Q208" s="1061"/>
      <c r="R208" s="1061"/>
      <c r="S208" s="1061"/>
      <c r="T208" s="2059">
        <f t="shared" si="32"/>
        <v>0</v>
      </c>
    </row>
    <row r="209" spans="1:20" ht="22.15" hidden="1" customHeight="1">
      <c r="A209" s="59"/>
      <c r="B209" s="1586" t="s">
        <v>21</v>
      </c>
      <c r="C209" s="64" t="str">
        <f t="shared" si="33"/>
        <v xml:space="preserve"> </v>
      </c>
      <c r="D209" s="1543">
        <v>8.67</v>
      </c>
      <c r="E209" s="1047" t="str">
        <f>VLOOKUP($B209,DG!A:D,DG!$B$2,)</f>
        <v>03.4113</v>
      </c>
      <c r="F209" s="1052" t="str">
        <f>VLOOKUP($B209,DG!A:D,DG!$C$2,)</f>
        <v>Đắp đất hố móng, độ chặt k=0,95</v>
      </c>
      <c r="G209" s="1047" t="str">
        <f>VLOOKUP($B209,DG!A:D,DG!$D$2,)</f>
        <v>m3</v>
      </c>
      <c r="H209" s="1845"/>
      <c r="I209" s="1845"/>
      <c r="J209" s="1845"/>
      <c r="K209" s="1845"/>
      <c r="L209" s="1845"/>
      <c r="M209" s="1845"/>
      <c r="N209" s="1845"/>
      <c r="O209" s="1845"/>
      <c r="P209" s="1845"/>
      <c r="Q209" s="1061"/>
      <c r="R209" s="1061"/>
      <c r="S209" s="1061"/>
      <c r="T209" s="2059">
        <f t="shared" si="32"/>
        <v>0</v>
      </c>
    </row>
    <row r="210" spans="1:20" ht="22.15" hidden="1" customHeight="1">
      <c r="A210" s="59"/>
      <c r="B210" s="1586" t="s">
        <v>1581</v>
      </c>
      <c r="C210" s="64" t="str">
        <f t="shared" si="33"/>
        <v xml:space="preserve"> </v>
      </c>
      <c r="D210" s="1543"/>
      <c r="E210" s="1047" t="str">
        <f>VLOOKUP($B210,DG!A:D,DG!$B$2,)</f>
        <v>02.1123</v>
      </c>
      <c r="F210" s="1052" t="str">
        <f>VLOOKUP($B210,DG!A:D,DG!$C$2,)</f>
        <v>Bốc dỡ đà cản, đế néo</v>
      </c>
      <c r="G210" s="1047" t="str">
        <f>VLOOKUP($B210,DG!A:D,DG!$D$2,)</f>
        <v>tấn</v>
      </c>
      <c r="H210" s="1845"/>
      <c r="I210" s="1845"/>
      <c r="J210" s="1845"/>
      <c r="K210" s="1845"/>
      <c r="L210" s="1845"/>
      <c r="M210" s="1845"/>
      <c r="N210" s="1845"/>
      <c r="O210" s="1845"/>
      <c r="P210" s="1845"/>
      <c r="Q210" s="1056"/>
      <c r="R210" s="1056"/>
      <c r="S210" s="1056"/>
      <c r="T210" s="2059">
        <f t="shared" si="32"/>
        <v>0</v>
      </c>
    </row>
    <row r="211" spans="1:20" ht="22.15" hidden="1" customHeight="1">
      <c r="A211" s="59"/>
      <c r="B211" s="1598" t="s">
        <v>2071</v>
      </c>
      <c r="C211" s="64" t="str">
        <f t="shared" si="33"/>
        <v xml:space="preserve"> </v>
      </c>
      <c r="D211" s="1543"/>
      <c r="E211" s="1047" t="str">
        <f>VLOOKUP($B211,DG!A:C,2,)</f>
        <v>02.1451</v>
      </c>
      <c r="F211" s="1052" t="str">
        <f>VLOOKUP($B211,DG!A:C,3,)</f>
        <v>V/c đà cản vào vị trí (cự ly &lt;=100m)</v>
      </c>
      <c r="G211" s="1047" t="str">
        <f>VLOOKUP($B211,DG!A:D,4,0)</f>
        <v>tấn</v>
      </c>
      <c r="H211" s="1845"/>
      <c r="I211" s="1845"/>
      <c r="J211" s="1845"/>
      <c r="K211" s="1845"/>
      <c r="L211" s="1845"/>
      <c r="M211" s="1845"/>
      <c r="N211" s="1845"/>
      <c r="O211" s="1845"/>
      <c r="P211" s="1845"/>
      <c r="Q211" s="1061"/>
      <c r="R211" s="1061"/>
      <c r="S211" s="1061"/>
      <c r="T211" s="2059">
        <f t="shared" si="32"/>
        <v>0</v>
      </c>
    </row>
    <row r="212" spans="1:20" ht="22.15" hidden="1" customHeight="1">
      <c r="A212" s="59"/>
      <c r="B212" s="1598" t="s">
        <v>635</v>
      </c>
      <c r="C212" s="64" t="str">
        <f t="shared" si="33"/>
        <v xml:space="preserve"> </v>
      </c>
      <c r="D212" s="1543"/>
      <c r="E212" s="1047" t="str">
        <f>VLOOKUP($B212,DG!A:C,2,)</f>
        <v>02.1482</v>
      </c>
      <c r="F212" s="1052" t="str">
        <f>VLOOKUP($B212,DG!A:C,3,)</f>
        <v>V/c dụng cụ thi công vào vị trí (cự ly &lt;=100m)</v>
      </c>
      <c r="G212" s="1047" t="str">
        <f>VLOOKUP($B212,DG!A:D,4,0)</f>
        <v>tấn</v>
      </c>
      <c r="H212" s="1845"/>
      <c r="I212" s="1845"/>
      <c r="J212" s="1845"/>
      <c r="K212" s="1845"/>
      <c r="L212" s="1845"/>
      <c r="M212" s="1845"/>
      <c r="N212" s="1845"/>
      <c r="O212" s="1845"/>
      <c r="P212" s="1845"/>
      <c r="Q212" s="1061"/>
      <c r="R212" s="1061"/>
      <c r="S212" s="1061"/>
      <c r="T212" s="2059">
        <f t="shared" si="32"/>
        <v>0</v>
      </c>
    </row>
    <row r="213" spans="1:20" ht="22.15" hidden="1" customHeight="1">
      <c r="A213" s="56" t="s">
        <v>286</v>
      </c>
      <c r="B213" s="1583" t="s">
        <v>286</v>
      </c>
      <c r="C213" s="62" t="str">
        <f t="shared" si="33"/>
        <v xml:space="preserve"> </v>
      </c>
      <c r="D213" s="1541"/>
      <c r="E213" s="1048"/>
      <c r="F213" s="1396" t="s">
        <v>2357</v>
      </c>
      <c r="G213" s="1049" t="s">
        <v>2336</v>
      </c>
      <c r="H213" s="1843">
        <f>SUM(I213:O213)</f>
        <v>0</v>
      </c>
      <c r="I213" s="1844"/>
      <c r="J213" s="1844"/>
      <c r="K213" s="1844">
        <f>IFERROR(HLOOKUP(B213,pp3p1m!$1:$3,3,0),0)</f>
        <v>0</v>
      </c>
      <c r="L213" s="1844">
        <f>IFERROR(HLOOKUP(chitiet!B213,pp1p!$1:$3,3,0),0)</f>
        <v>0</v>
      </c>
      <c r="M213" s="1844"/>
      <c r="N213" s="1844"/>
      <c r="O213" s="1844"/>
      <c r="P213" s="1844"/>
      <c r="Q213" s="1050"/>
      <c r="R213" s="1050"/>
      <c r="S213" s="1050"/>
      <c r="T213" s="2059">
        <f>IFERROR(HLOOKUP(B213,pp1p!$1:$3,3,0),0)+IFERROR(HLOOKUP(B213,pp3p1m!$1:$3,3,0),0)</f>
        <v>0</v>
      </c>
    </row>
    <row r="214" spans="1:20" ht="22.15" hidden="1" customHeight="1">
      <c r="A214" s="59"/>
      <c r="B214" s="1586" t="s">
        <v>224</v>
      </c>
      <c r="C214" s="64" t="str">
        <f t="shared" si="33"/>
        <v xml:space="preserve"> </v>
      </c>
      <c r="D214" s="1544">
        <v>42</v>
      </c>
      <c r="E214" s="1047" t="str">
        <f>VLOOKUP($B214,DG!A:D,DG!$B$2,)</f>
        <v>04.5142</v>
      </c>
      <c r="F214" s="1059" t="str">
        <f>VLOOKUP($B214,DG!A:D,DG!$C$2,)</f>
        <v>Cừ tràm 5m</v>
      </c>
      <c r="G214" s="1047" t="str">
        <f>VLOOKUP($B214,DG!A:D,DG!$D$2,)</f>
        <v>cây</v>
      </c>
      <c r="H214" s="1845">
        <f t="shared" ref="H214:N216" si="34">H$213*$D214</f>
        <v>0</v>
      </c>
      <c r="I214" s="1845">
        <f t="shared" si="34"/>
        <v>0</v>
      </c>
      <c r="J214" s="1845">
        <f t="shared" si="34"/>
        <v>0</v>
      </c>
      <c r="K214" s="1845">
        <f t="shared" si="34"/>
        <v>0</v>
      </c>
      <c r="L214" s="1845">
        <f t="shared" si="34"/>
        <v>0</v>
      </c>
      <c r="M214" s="1845">
        <f t="shared" si="34"/>
        <v>0</v>
      </c>
      <c r="N214" s="1845">
        <f t="shared" si="34"/>
        <v>0</v>
      </c>
      <c r="O214" s="1845"/>
      <c r="P214" s="1845"/>
      <c r="Q214" s="1056"/>
      <c r="R214" s="1056"/>
      <c r="S214" s="1056"/>
      <c r="T214" s="2059">
        <f t="shared" si="32"/>
        <v>0</v>
      </c>
    </row>
    <row r="215" spans="1:20" ht="22.15" hidden="1" customHeight="1">
      <c r="A215" s="59"/>
      <c r="B215" s="1586" t="s">
        <v>1580</v>
      </c>
      <c r="C215" s="64" t="str">
        <f t="shared" si="33"/>
        <v xml:space="preserve"> </v>
      </c>
      <c r="D215" s="1544">
        <v>2</v>
      </c>
      <c r="E215" s="1047" t="str">
        <f>VLOOKUP($B215,DG!A:D,DG!$B$2,)</f>
        <v>04.3801</v>
      </c>
      <c r="F215" s="1059" t="str">
        <f>VLOOKUP($B215,DG!A:D,DG!$C$2,)</f>
        <v>Đà cản BTCT 1,5m</v>
      </c>
      <c r="G215" s="1047" t="str">
        <f>VLOOKUP($B215,DG!A:D,DG!$D$2,)</f>
        <v>cái</v>
      </c>
      <c r="H215" s="1845">
        <f t="shared" si="34"/>
        <v>0</v>
      </c>
      <c r="I215" s="1845">
        <f t="shared" si="34"/>
        <v>0</v>
      </c>
      <c r="J215" s="1845">
        <f t="shared" si="34"/>
        <v>0</v>
      </c>
      <c r="K215" s="1845">
        <f t="shared" si="34"/>
        <v>0</v>
      </c>
      <c r="L215" s="1845">
        <f t="shared" si="34"/>
        <v>0</v>
      </c>
      <c r="M215" s="1845">
        <f t="shared" si="34"/>
        <v>0</v>
      </c>
      <c r="N215" s="1845">
        <f t="shared" si="34"/>
        <v>0</v>
      </c>
      <c r="O215" s="1845"/>
      <c r="P215" s="1845"/>
      <c r="Q215" s="1056"/>
      <c r="R215" s="1056"/>
      <c r="S215" s="1056"/>
      <c r="T215" s="2059">
        <f t="shared" si="32"/>
        <v>0</v>
      </c>
    </row>
    <row r="216" spans="1:20" ht="22.15" hidden="1" customHeight="1">
      <c r="A216" s="59"/>
      <c r="B216" s="1599" t="s">
        <v>416</v>
      </c>
      <c r="C216" s="64" t="str">
        <f t="shared" si="33"/>
        <v xml:space="preserve"> </v>
      </c>
      <c r="D216" s="1544">
        <v>1</v>
      </c>
      <c r="E216" s="1047"/>
      <c r="F216" s="1059" t="str">
        <f>VLOOKUP($B216,DG!A:D,DG!$C$2,)</f>
        <v>Boulon 22x800+ 2 long đền vuông D24-50x50x3/Zn</v>
      </c>
      <c r="G216" s="1047" t="str">
        <f>VLOOKUP($B216,DG!A:D,DG!$D$2,)</f>
        <v>bộ</v>
      </c>
      <c r="H216" s="1845">
        <f t="shared" si="34"/>
        <v>0</v>
      </c>
      <c r="I216" s="1845">
        <f t="shared" si="34"/>
        <v>0</v>
      </c>
      <c r="J216" s="1845">
        <f t="shared" si="34"/>
        <v>0</v>
      </c>
      <c r="K216" s="1845">
        <f t="shared" si="34"/>
        <v>0</v>
      </c>
      <c r="L216" s="1845">
        <f t="shared" si="34"/>
        <v>0</v>
      </c>
      <c r="M216" s="1845">
        <f t="shared" si="34"/>
        <v>0</v>
      </c>
      <c r="N216" s="1845">
        <f t="shared" si="34"/>
        <v>0</v>
      </c>
      <c r="O216" s="1845"/>
      <c r="P216" s="1845"/>
      <c r="Q216" s="1056"/>
      <c r="R216" s="1056"/>
      <c r="S216" s="1056"/>
      <c r="T216" s="2059">
        <f t="shared" si="32"/>
        <v>0</v>
      </c>
    </row>
    <row r="217" spans="1:20" ht="22.15" hidden="1" customHeight="1">
      <c r="A217" s="59"/>
      <c r="B217" s="1586" t="s">
        <v>639</v>
      </c>
      <c r="C217" s="64" t="str">
        <f t="shared" si="33"/>
        <v xml:space="preserve"> </v>
      </c>
      <c r="D217" s="1546">
        <v>2.2530000000000001</v>
      </c>
      <c r="E217" s="1047" t="str">
        <f>VLOOKUP($B217,DG!A:D,DG!$B$2,)</f>
        <v>03.1013</v>
      </c>
      <c r="F217" s="1052" t="str">
        <f>VLOOKUP($B217,DG!A:D,DG!$C$2,)</f>
        <v>Đào hố móng đất cấp 3 sâu &gt;1m</v>
      </c>
      <c r="G217" s="1047" t="str">
        <f>VLOOKUP($B217,DG!A:D,DG!$D$2,)</f>
        <v>m3</v>
      </c>
      <c r="H217" s="1845"/>
      <c r="I217" s="1845"/>
      <c r="J217" s="1845"/>
      <c r="K217" s="1845"/>
      <c r="L217" s="1845"/>
      <c r="M217" s="1845"/>
      <c r="N217" s="1845"/>
      <c r="O217" s="1845"/>
      <c r="P217" s="1845"/>
      <c r="Q217" s="1061"/>
      <c r="R217" s="1061"/>
      <c r="S217" s="1061"/>
      <c r="T217" s="2059">
        <f t="shared" si="32"/>
        <v>0</v>
      </c>
    </row>
    <row r="218" spans="1:20" ht="22.15" hidden="1" customHeight="1">
      <c r="A218" s="59"/>
      <c r="B218" s="1586" t="s">
        <v>21</v>
      </c>
      <c r="C218" s="64" t="str">
        <f t="shared" si="33"/>
        <v xml:space="preserve"> </v>
      </c>
      <c r="D218" s="1546">
        <v>2.48</v>
      </c>
      <c r="E218" s="1047" t="str">
        <f>VLOOKUP($B218,DG!A:D,DG!$B$2,)</f>
        <v>03.4113</v>
      </c>
      <c r="F218" s="1052" t="str">
        <f>VLOOKUP($B218,DG!A:D,DG!$C$2,)</f>
        <v>Đắp đất hố móng, độ chặt k=0,95</v>
      </c>
      <c r="G218" s="1047" t="str">
        <f>VLOOKUP($B218,DG!A:D,DG!$D$2,)</f>
        <v>m3</v>
      </c>
      <c r="H218" s="1845"/>
      <c r="I218" s="1845"/>
      <c r="J218" s="1845"/>
      <c r="K218" s="1845"/>
      <c r="L218" s="1845"/>
      <c r="M218" s="1845"/>
      <c r="N218" s="1845"/>
      <c r="O218" s="1845"/>
      <c r="P218" s="1845"/>
      <c r="Q218" s="1061"/>
      <c r="R218" s="1061"/>
      <c r="S218" s="1061"/>
      <c r="T218" s="2059">
        <f t="shared" si="32"/>
        <v>0</v>
      </c>
    </row>
    <row r="219" spans="1:20" ht="22.15" hidden="1" customHeight="1">
      <c r="A219" s="59"/>
      <c r="B219" s="1586" t="s">
        <v>1581</v>
      </c>
      <c r="C219" s="64" t="str">
        <f t="shared" si="33"/>
        <v xml:space="preserve"> </v>
      </c>
      <c r="D219" s="1543">
        <f>0.255*2</f>
        <v>0.51</v>
      </c>
      <c r="E219" s="1047" t="str">
        <f>VLOOKUP($B219,DG!A:D,DG!$B$2,)</f>
        <v>02.1123</v>
      </c>
      <c r="F219" s="1052" t="str">
        <f>VLOOKUP($B219,DG!A:D,DG!$C$2,)</f>
        <v>Bốc dỡ đà cản, đế néo</v>
      </c>
      <c r="G219" s="1047" t="str">
        <f>VLOOKUP($B219,DG!A:D,DG!$D$2,)</f>
        <v>tấn</v>
      </c>
      <c r="H219" s="1845"/>
      <c r="I219" s="1845"/>
      <c r="J219" s="1845"/>
      <c r="K219" s="1845"/>
      <c r="L219" s="1845"/>
      <c r="M219" s="1845"/>
      <c r="N219" s="1845"/>
      <c r="O219" s="1845"/>
      <c r="P219" s="1845"/>
      <c r="Q219" s="1056"/>
      <c r="R219" s="1056"/>
      <c r="S219" s="1056"/>
      <c r="T219" s="2059">
        <f t="shared" si="32"/>
        <v>0</v>
      </c>
    </row>
    <row r="220" spans="1:20" ht="22.15" hidden="1" customHeight="1">
      <c r="A220" s="59"/>
      <c r="B220" s="1586" t="s">
        <v>1582</v>
      </c>
      <c r="C220" s="64" t="str">
        <f t="shared" si="33"/>
        <v xml:space="preserve"> </v>
      </c>
      <c r="D220" s="1544">
        <f>D214</f>
        <v>42</v>
      </c>
      <c r="E220" s="1047" t="str">
        <f>VLOOKUP($B220,DG!A:D,DG!$B$2,)</f>
        <v>02.1119</v>
      </c>
      <c r="F220" s="1052" t="str">
        <f>VLOOKUP($B220,DG!A:D,DG!$C$2,)</f>
        <v>Bốc dỡ cừ tràm 5m</v>
      </c>
      <c r="G220" s="1047" t="str">
        <f>VLOOKUP($B220,DG!A:D,DG!$D$2,)</f>
        <v>cây</v>
      </c>
      <c r="H220" s="1845"/>
      <c r="I220" s="1845"/>
      <c r="J220" s="1845"/>
      <c r="K220" s="1845"/>
      <c r="L220" s="1845"/>
      <c r="M220" s="1845"/>
      <c r="N220" s="1845"/>
      <c r="O220" s="1845"/>
      <c r="P220" s="1845"/>
      <c r="Q220" s="1056"/>
      <c r="R220" s="1056"/>
      <c r="S220" s="1056"/>
      <c r="T220" s="2059">
        <f t="shared" si="32"/>
        <v>0</v>
      </c>
    </row>
    <row r="221" spans="1:20" ht="22.15" hidden="1" customHeight="1">
      <c r="A221" s="59"/>
      <c r="B221" s="1598" t="s">
        <v>2071</v>
      </c>
      <c r="C221" s="64" t="str">
        <f t="shared" si="33"/>
        <v xml:space="preserve"> </v>
      </c>
      <c r="D221" s="1543">
        <f>D219</f>
        <v>0.51</v>
      </c>
      <c r="E221" s="1047" t="str">
        <f>VLOOKUP($B221,DG!A:C,2,)</f>
        <v>02.1451</v>
      </c>
      <c r="F221" s="1052" t="str">
        <f>VLOOKUP($B221,DG!A:C,3,)</f>
        <v>V/c đà cản vào vị trí (cự ly &lt;=100m)</v>
      </c>
      <c r="G221" s="1047" t="str">
        <f>VLOOKUP($B221,DG!A:D,4,0)</f>
        <v>tấn</v>
      </c>
      <c r="H221" s="1845"/>
      <c r="I221" s="1845"/>
      <c r="J221" s="1845"/>
      <c r="K221" s="1845"/>
      <c r="L221" s="1845"/>
      <c r="M221" s="1845"/>
      <c r="N221" s="1845"/>
      <c r="O221" s="1845"/>
      <c r="P221" s="1845"/>
      <c r="Q221" s="1061"/>
      <c r="R221" s="1061"/>
      <c r="S221" s="1061"/>
      <c r="T221" s="2059">
        <f t="shared" si="32"/>
        <v>0</v>
      </c>
    </row>
    <row r="222" spans="1:20" ht="22.15" hidden="1" customHeight="1">
      <c r="A222" s="59"/>
      <c r="B222" s="1600" t="s">
        <v>634</v>
      </c>
      <c r="C222" s="64" t="str">
        <f t="shared" si="33"/>
        <v xml:space="preserve"> </v>
      </c>
      <c r="D222" s="1544">
        <f>D214</f>
        <v>42</v>
      </c>
      <c r="E222" s="1047" t="str">
        <f>VLOOKUP($B222,DG!A:C,2,)</f>
        <v>02.1411</v>
      </c>
      <c r="F222" s="1052" t="str">
        <f>VLOOKUP($B222,DG!A:C,3,)</f>
        <v>V/c cừ tràm 5m ( cự ly &lt;=100m)</v>
      </c>
      <c r="G222" s="1047" t="str">
        <f>VLOOKUP($B222,DG!A:D,4,0)</f>
        <v>cây</v>
      </c>
      <c r="H222" s="1845"/>
      <c r="I222" s="1845"/>
      <c r="J222" s="1845"/>
      <c r="K222" s="1845"/>
      <c r="L222" s="1845"/>
      <c r="M222" s="1845"/>
      <c r="N222" s="1845"/>
      <c r="O222" s="1845"/>
      <c r="P222" s="1845"/>
      <c r="Q222" s="1061"/>
      <c r="R222" s="1061"/>
      <c r="S222" s="1061"/>
      <c r="T222" s="2059">
        <f t="shared" si="32"/>
        <v>0</v>
      </c>
    </row>
    <row r="223" spans="1:20" ht="22.15" hidden="1" customHeight="1">
      <c r="A223" s="59"/>
      <c r="B223" s="1598" t="s">
        <v>635</v>
      </c>
      <c r="C223" s="64" t="str">
        <f t="shared" si="33"/>
        <v xml:space="preserve"> </v>
      </c>
      <c r="D223" s="1543">
        <v>0.2</v>
      </c>
      <c r="E223" s="1047" t="str">
        <f>VLOOKUP($B223,DG!A:C,2,)</f>
        <v>02.1482</v>
      </c>
      <c r="F223" s="1052" t="str">
        <f>VLOOKUP($B223,DG!A:C,3,)</f>
        <v>V/c dụng cụ thi công vào vị trí (cự ly &lt;=100m)</v>
      </c>
      <c r="G223" s="1047" t="str">
        <f>VLOOKUP($B223,DG!A:D,4,0)</f>
        <v>tấn</v>
      </c>
      <c r="H223" s="1845"/>
      <c r="I223" s="1845"/>
      <c r="J223" s="1845"/>
      <c r="K223" s="1845"/>
      <c r="L223" s="1845"/>
      <c r="M223" s="1845"/>
      <c r="N223" s="1845"/>
      <c r="O223" s="1845"/>
      <c r="P223" s="1845"/>
      <c r="Q223" s="1061"/>
      <c r="R223" s="1061"/>
      <c r="S223" s="1061"/>
      <c r="T223" s="2059">
        <f t="shared" si="32"/>
        <v>0</v>
      </c>
    </row>
    <row r="224" spans="1:20" ht="22.15" hidden="1" customHeight="1">
      <c r="A224" s="56" t="s">
        <v>834</v>
      </c>
      <c r="B224" s="1583" t="s">
        <v>834</v>
      </c>
      <c r="C224" s="62" t="str">
        <f t="shared" si="33"/>
        <v xml:space="preserve"> </v>
      </c>
      <c r="D224" s="1541"/>
      <c r="E224" s="1048"/>
      <c r="F224" s="1396" t="s">
        <v>2358</v>
      </c>
      <c r="G224" s="1049" t="s">
        <v>2336</v>
      </c>
      <c r="H224" s="1843">
        <f>SUM(I224:O224)</f>
        <v>0</v>
      </c>
      <c r="I224" s="1844"/>
      <c r="J224" s="1844"/>
      <c r="K224" s="1844">
        <f>IFERROR(HLOOKUP(B224,pp3p1m!$1:$3,3,0),0)</f>
        <v>0</v>
      </c>
      <c r="L224" s="1844">
        <f>IFERROR(HLOOKUP(chitiet!B224,pp1p!$1:$3,3,0),0)</f>
        <v>0</v>
      </c>
      <c r="M224" s="1844"/>
      <c r="N224" s="1844"/>
      <c r="O224" s="1844"/>
      <c r="P224" s="1844"/>
      <c r="Q224" s="1050"/>
      <c r="R224" s="1050"/>
      <c r="S224" s="1050"/>
      <c r="T224" s="2059">
        <f>IFERROR(HLOOKUP(B224,pp1p!$1:$3,3,0),0)+IFERROR(HLOOKUP(B224,pp3p1m!$1:$3,3,0),0)</f>
        <v>0</v>
      </c>
    </row>
    <row r="225" spans="1:20" ht="22.15" hidden="1" customHeight="1">
      <c r="A225" s="63"/>
      <c r="B225" s="1599" t="s">
        <v>636</v>
      </c>
      <c r="C225" s="64" t="str">
        <f t="shared" si="33"/>
        <v xml:space="preserve"> </v>
      </c>
      <c r="D225" s="1547">
        <v>2</v>
      </c>
      <c r="E225" s="1047" t="str">
        <f>VLOOKUP($B225,DG!A:D,DG!$B$2,)</f>
        <v>04.4001</v>
      </c>
      <c r="F225" s="1057" t="str">
        <f>VLOOKUP($B225,DG!A:D,DG!$C$2,)</f>
        <v>Đà cản BTCT 1,2m</v>
      </c>
      <c r="G225" s="1051" t="str">
        <f>VLOOKUP($B225,DG!A:D,DG!$D$2,)</f>
        <v>cái</v>
      </c>
      <c r="H225" s="1846">
        <f t="shared" ref="H225:N226" si="35">H$224*$D225</f>
        <v>0</v>
      </c>
      <c r="I225" s="1846">
        <f t="shared" si="35"/>
        <v>0</v>
      </c>
      <c r="J225" s="1846">
        <f t="shared" si="35"/>
        <v>0</v>
      </c>
      <c r="K225" s="1846">
        <f t="shared" si="35"/>
        <v>0</v>
      </c>
      <c r="L225" s="1846">
        <f t="shared" si="35"/>
        <v>0</v>
      </c>
      <c r="M225" s="1846">
        <f t="shared" si="35"/>
        <v>0</v>
      </c>
      <c r="N225" s="1846">
        <f t="shared" si="35"/>
        <v>0</v>
      </c>
      <c r="O225" s="1846"/>
      <c r="P225" s="1846"/>
      <c r="Q225" s="1055"/>
      <c r="R225" s="1055"/>
      <c r="S225" s="1055"/>
      <c r="T225" s="2059">
        <f t="shared" si="32"/>
        <v>0</v>
      </c>
    </row>
    <row r="226" spans="1:20" ht="22.15" hidden="1" customHeight="1">
      <c r="A226" s="63"/>
      <c r="B226" s="1599" t="s">
        <v>416</v>
      </c>
      <c r="C226" s="64" t="str">
        <f t="shared" si="33"/>
        <v xml:space="preserve"> </v>
      </c>
      <c r="D226" s="1547">
        <v>1</v>
      </c>
      <c r="E226" s="1051"/>
      <c r="F226" s="1057" t="str">
        <f>VLOOKUP($B226,DG!A:D,DG!$C$2,)</f>
        <v>Boulon 22x800+ 2 long đền vuông D24-50x50x3/Zn</v>
      </c>
      <c r="G226" s="1051" t="str">
        <f>VLOOKUP($B226,DG!A:D,DG!$D$2,)</f>
        <v>bộ</v>
      </c>
      <c r="H226" s="1846">
        <f t="shared" si="35"/>
        <v>0</v>
      </c>
      <c r="I226" s="1846">
        <f t="shared" si="35"/>
        <v>0</v>
      </c>
      <c r="J226" s="1846">
        <f t="shared" si="35"/>
        <v>0</v>
      </c>
      <c r="K226" s="1846">
        <f t="shared" si="35"/>
        <v>0</v>
      </c>
      <c r="L226" s="1846">
        <f t="shared" si="35"/>
        <v>0</v>
      </c>
      <c r="M226" s="1846">
        <f t="shared" si="35"/>
        <v>0</v>
      </c>
      <c r="N226" s="1846">
        <f t="shared" si="35"/>
        <v>0</v>
      </c>
      <c r="O226" s="1846"/>
      <c r="P226" s="1846"/>
      <c r="Q226" s="1055"/>
      <c r="R226" s="1055"/>
      <c r="S226" s="1055"/>
      <c r="T226" s="2059">
        <f t="shared" si="32"/>
        <v>0</v>
      </c>
    </row>
    <row r="227" spans="1:20" ht="22.15" hidden="1" customHeight="1">
      <c r="A227" s="59"/>
      <c r="B227" s="1586" t="s">
        <v>1818</v>
      </c>
      <c r="C227" s="64" t="str">
        <f t="shared" si="33"/>
        <v xml:space="preserve"> </v>
      </c>
      <c r="D227" s="1542">
        <v>0.2</v>
      </c>
      <c r="E227" s="1047">
        <f>VLOOKUP($B227,DG!A:D,DG!$B$2,)</f>
        <v>0</v>
      </c>
      <c r="F227" s="1052" t="str">
        <f>VLOOKUP($B227,DG!A:D,DG!$C$2,)</f>
        <v>Đá 2x4</v>
      </c>
      <c r="G227" s="1047" t="str">
        <f>VLOOKUP($B227,DG!A:D,DG!$D$2,)</f>
        <v>m3</v>
      </c>
      <c r="H227" s="1845">
        <f t="shared" ref="H227:N227" si="36">H$18*$D227</f>
        <v>0</v>
      </c>
      <c r="I227" s="1845">
        <f t="shared" si="36"/>
        <v>0</v>
      </c>
      <c r="J227" s="1845">
        <f t="shared" si="36"/>
        <v>0</v>
      </c>
      <c r="K227" s="1845">
        <f t="shared" si="36"/>
        <v>0</v>
      </c>
      <c r="L227" s="1845">
        <f t="shared" si="36"/>
        <v>0</v>
      </c>
      <c r="M227" s="1845">
        <f t="shared" si="36"/>
        <v>0</v>
      </c>
      <c r="N227" s="1845">
        <f t="shared" si="36"/>
        <v>0</v>
      </c>
      <c r="O227" s="1845"/>
      <c r="P227" s="1845"/>
      <c r="Q227" s="1056"/>
      <c r="R227" s="1056"/>
      <c r="S227" s="1056"/>
      <c r="T227" s="2059">
        <f t="shared" si="32"/>
        <v>0</v>
      </c>
    </row>
    <row r="228" spans="1:20" ht="22.15" hidden="1" customHeight="1">
      <c r="A228" s="63"/>
      <c r="B228" s="1599" t="s">
        <v>639</v>
      </c>
      <c r="C228" s="64" t="str">
        <f t="shared" si="33"/>
        <v xml:space="preserve"> </v>
      </c>
      <c r="D228" s="1546">
        <v>1.76</v>
      </c>
      <c r="E228" s="1051" t="str">
        <f>VLOOKUP($B228,DG!A:D,DG!$B$2,)</f>
        <v>03.1013</v>
      </c>
      <c r="F228" s="1052" t="str">
        <f>VLOOKUP($B228,DG!A:D,DG!$C$2,)</f>
        <v>Đào hố móng đất cấp 3 sâu &gt;1m</v>
      </c>
      <c r="G228" s="1051" t="str">
        <f>VLOOKUP($B228,DG!A:D,DG!$D$2,)</f>
        <v>m3</v>
      </c>
      <c r="H228" s="1846"/>
      <c r="I228" s="1846"/>
      <c r="J228" s="1846"/>
      <c r="K228" s="1846"/>
      <c r="L228" s="1846"/>
      <c r="M228" s="1846"/>
      <c r="N228" s="1846"/>
      <c r="O228" s="1846"/>
      <c r="P228" s="1846"/>
      <c r="Q228" s="1058"/>
      <c r="R228" s="1058"/>
      <c r="S228" s="1058"/>
      <c r="T228" s="2059">
        <f t="shared" si="32"/>
        <v>0</v>
      </c>
    </row>
    <row r="229" spans="1:20" ht="22.15" hidden="1" customHeight="1">
      <c r="A229" s="63"/>
      <c r="B229" s="1599" t="s">
        <v>21</v>
      </c>
      <c r="C229" s="64" t="str">
        <f t="shared" si="33"/>
        <v xml:space="preserve"> </v>
      </c>
      <c r="D229" s="1546">
        <v>1.94</v>
      </c>
      <c r="E229" s="1051" t="str">
        <f>VLOOKUP($B229,DG!A:D,DG!$B$2,)</f>
        <v>03.4113</v>
      </c>
      <c r="F229" s="1052" t="str">
        <f>VLOOKUP($B229,DG!A:D,DG!$C$2,)</f>
        <v>Đắp đất hố móng, độ chặt k=0,95</v>
      </c>
      <c r="G229" s="1051" t="str">
        <f>VLOOKUP($B229,DG!A:D,DG!$D$2,)</f>
        <v>m3</v>
      </c>
      <c r="H229" s="1846"/>
      <c r="I229" s="1846"/>
      <c r="J229" s="1846"/>
      <c r="K229" s="1846"/>
      <c r="L229" s="1846"/>
      <c r="M229" s="1846"/>
      <c r="N229" s="1846"/>
      <c r="O229" s="1846"/>
      <c r="P229" s="1846"/>
      <c r="Q229" s="1058"/>
      <c r="R229" s="1058"/>
      <c r="S229" s="1058"/>
      <c r="T229" s="2059">
        <f t="shared" si="32"/>
        <v>0</v>
      </c>
    </row>
    <row r="230" spans="1:20" ht="22.15" hidden="1" customHeight="1">
      <c r="A230" s="63"/>
      <c r="B230" s="1599" t="s">
        <v>637</v>
      </c>
      <c r="C230" s="64" t="str">
        <f t="shared" si="33"/>
        <v xml:space="preserve"> </v>
      </c>
      <c r="D230" s="1546">
        <f>0.1*2</f>
        <v>0.2</v>
      </c>
      <c r="E230" s="1051" t="str">
        <f>VLOOKUP($B230,DG!A:D,DG!$B$2,)</f>
        <v>02.1123</v>
      </c>
      <c r="F230" s="1052" t="str">
        <f>VLOOKUP($B230,DG!A:D,DG!$C$2,)</f>
        <v>Bốc dỡ đà cản, đế néo</v>
      </c>
      <c r="G230" s="1051" t="str">
        <f>VLOOKUP($B230,DG!A:D,DG!$D$2,)</f>
        <v>tấn</v>
      </c>
      <c r="H230" s="1846"/>
      <c r="I230" s="1846"/>
      <c r="J230" s="1846"/>
      <c r="K230" s="1846"/>
      <c r="L230" s="1846"/>
      <c r="M230" s="1846"/>
      <c r="N230" s="1846"/>
      <c r="O230" s="1846"/>
      <c r="P230" s="1846"/>
      <c r="Q230" s="1055"/>
      <c r="R230" s="1055"/>
      <c r="S230" s="1055"/>
      <c r="T230" s="2059">
        <f t="shared" si="32"/>
        <v>0</v>
      </c>
    </row>
    <row r="231" spans="1:20" ht="22.15" hidden="1" customHeight="1">
      <c r="A231" s="63"/>
      <c r="B231" s="1584" t="s">
        <v>2071</v>
      </c>
      <c r="C231" s="64" t="str">
        <f t="shared" si="33"/>
        <v xml:space="preserve"> </v>
      </c>
      <c r="D231" s="1546">
        <f>D230</f>
        <v>0.2</v>
      </c>
      <c r="E231" s="1051" t="str">
        <f>VLOOKUP($B231,DG!A:C,2,)</f>
        <v>02.1451</v>
      </c>
      <c r="F231" s="1052" t="str">
        <f>VLOOKUP($B231,DG!A:C,3,)</f>
        <v>V/c đà cản vào vị trí (cự ly &lt;=100m)</v>
      </c>
      <c r="G231" s="1051" t="str">
        <f>VLOOKUP($B231,DG!A:D,4,0)</f>
        <v>tấn</v>
      </c>
      <c r="H231" s="1846"/>
      <c r="I231" s="1846"/>
      <c r="J231" s="1846"/>
      <c r="K231" s="1846"/>
      <c r="L231" s="1846"/>
      <c r="M231" s="1846"/>
      <c r="N231" s="1846"/>
      <c r="O231" s="1846"/>
      <c r="P231" s="1846"/>
      <c r="Q231" s="1058"/>
      <c r="R231" s="1058"/>
      <c r="S231" s="1058"/>
      <c r="T231" s="2059">
        <f t="shared" si="32"/>
        <v>0</v>
      </c>
    </row>
    <row r="232" spans="1:20" ht="22.15" hidden="1" customHeight="1">
      <c r="A232" s="59"/>
      <c r="B232" s="1598" t="s">
        <v>674</v>
      </c>
      <c r="C232" s="64" t="str">
        <f t="shared" si="33"/>
        <v xml:space="preserve"> </v>
      </c>
      <c r="D232" s="1542">
        <f>D227</f>
        <v>0.2</v>
      </c>
      <c r="E232" s="1047" t="str">
        <f>VLOOKUP($B232,DG!A:C,2,)</f>
        <v>02.1241</v>
      </c>
      <c r="F232" s="1052" t="str">
        <f>VLOOKUP($B232,DG!A:C,3,)</f>
        <v>V/c đá dăm ( cự ly &lt;=100m)</v>
      </c>
      <c r="G232" s="1047" t="str">
        <f>VLOOKUP($B232,DG!A:D,4,0)</f>
        <v>m3</v>
      </c>
      <c r="H232" s="1845"/>
      <c r="I232" s="1845"/>
      <c r="J232" s="1845"/>
      <c r="K232" s="1845"/>
      <c r="L232" s="1845"/>
      <c r="M232" s="1845"/>
      <c r="N232" s="1845"/>
      <c r="O232" s="1845"/>
      <c r="P232" s="1845"/>
      <c r="Q232" s="1061"/>
      <c r="R232" s="1061"/>
      <c r="S232" s="1061"/>
      <c r="T232" s="2059">
        <f t="shared" si="32"/>
        <v>0</v>
      </c>
    </row>
    <row r="233" spans="1:20" ht="22.15" hidden="1" customHeight="1">
      <c r="A233" s="63"/>
      <c r="B233" s="1584" t="s">
        <v>635</v>
      </c>
      <c r="C233" s="64" t="str">
        <f t="shared" si="33"/>
        <v xml:space="preserve"> </v>
      </c>
      <c r="D233" s="1546">
        <v>0.2</v>
      </c>
      <c r="E233" s="1051" t="str">
        <f>VLOOKUP($B233,DG!A:C,2,)</f>
        <v>02.1482</v>
      </c>
      <c r="F233" s="1052" t="str">
        <f>VLOOKUP($B233,DG!A:C,3,)</f>
        <v>V/c dụng cụ thi công vào vị trí (cự ly &lt;=100m)</v>
      </c>
      <c r="G233" s="1051" t="str">
        <f>VLOOKUP($B233,DG!A:D,4,0)</f>
        <v>tấn</v>
      </c>
      <c r="H233" s="1846"/>
      <c r="I233" s="1846"/>
      <c r="J233" s="1846"/>
      <c r="K233" s="1846"/>
      <c r="L233" s="1846"/>
      <c r="M233" s="1846"/>
      <c r="N233" s="1846"/>
      <c r="O233" s="1846"/>
      <c r="P233" s="1846"/>
      <c r="Q233" s="1058"/>
      <c r="R233" s="1058"/>
      <c r="S233" s="1058"/>
      <c r="T233" s="2059">
        <f t="shared" si="32"/>
        <v>0</v>
      </c>
    </row>
    <row r="234" spans="1:20" ht="22.15" hidden="1" customHeight="1">
      <c r="A234" s="56" t="s">
        <v>762</v>
      </c>
      <c r="B234" s="1583" t="s">
        <v>762</v>
      </c>
      <c r="C234" s="62" t="str">
        <f t="shared" si="33"/>
        <v xml:space="preserve"> </v>
      </c>
      <c r="D234" s="1541"/>
      <c r="E234" s="1048"/>
      <c r="F234" s="1396" t="s">
        <v>2359</v>
      </c>
      <c r="G234" s="1049" t="s">
        <v>2336</v>
      </c>
      <c r="H234" s="1843">
        <f>SUM(I234:O234)</f>
        <v>0</v>
      </c>
      <c r="I234" s="1844"/>
      <c r="J234" s="1844"/>
      <c r="K234" s="1844">
        <f>IFERROR(HLOOKUP(B234,pp3p1m!$1:$3,3,0),0)</f>
        <v>0</v>
      </c>
      <c r="L234" s="1844">
        <f>IFERROR(HLOOKUP(chitiet!B234,pp1p!$1:$3,3,0),0)</f>
        <v>0</v>
      </c>
      <c r="M234" s="1844"/>
      <c r="N234" s="1844"/>
      <c r="O234" s="1844"/>
      <c r="P234" s="1844"/>
      <c r="Q234" s="1050"/>
      <c r="R234" s="1050"/>
      <c r="S234" s="1050"/>
      <c r="T234" s="2059">
        <f>IFERROR(HLOOKUP(B234,pp1p!$1:$3,3,0),0)+IFERROR(HLOOKUP(B234,pp3p1m!$1:$3,3,0),0)</f>
        <v>0</v>
      </c>
    </row>
    <row r="235" spans="1:20" ht="22.15" hidden="1" customHeight="1">
      <c r="A235" s="63"/>
      <c r="B235" s="1599" t="s">
        <v>1580</v>
      </c>
      <c r="C235" s="64" t="str">
        <f t="shared" si="33"/>
        <v xml:space="preserve"> </v>
      </c>
      <c r="D235" s="1547">
        <v>2</v>
      </c>
      <c r="E235" s="1047" t="str">
        <f>VLOOKUP($B235,DG!A:D,DG!$B$2,)</f>
        <v>04.3801</v>
      </c>
      <c r="F235" s="1057" t="str">
        <f>VLOOKUP($B235,DG!A:D,DG!$C$2,)</f>
        <v>Đà cản BTCT 1,5m</v>
      </c>
      <c r="G235" s="1051" t="str">
        <f>VLOOKUP($B235,DG!A:D,DG!$D$2,)</f>
        <v>cái</v>
      </c>
      <c r="H235" s="1846">
        <f t="shared" ref="H235:N236" si="37">H$234*$D235</f>
        <v>0</v>
      </c>
      <c r="I235" s="1846">
        <f t="shared" si="37"/>
        <v>0</v>
      </c>
      <c r="J235" s="1846">
        <f t="shared" si="37"/>
        <v>0</v>
      </c>
      <c r="K235" s="1846">
        <f t="shared" si="37"/>
        <v>0</v>
      </c>
      <c r="L235" s="1846">
        <f t="shared" si="37"/>
        <v>0</v>
      </c>
      <c r="M235" s="1846">
        <f t="shared" si="37"/>
        <v>0</v>
      </c>
      <c r="N235" s="1846">
        <f t="shared" si="37"/>
        <v>0</v>
      </c>
      <c r="O235" s="1846"/>
      <c r="P235" s="1846"/>
      <c r="Q235" s="1055"/>
      <c r="R235" s="1055"/>
      <c r="S235" s="1055"/>
      <c r="T235" s="2059">
        <f t="shared" si="32"/>
        <v>0</v>
      </c>
    </row>
    <row r="236" spans="1:20" ht="22.15" hidden="1" customHeight="1">
      <c r="A236" s="63"/>
      <c r="B236" s="1599" t="s">
        <v>416</v>
      </c>
      <c r="C236" s="64" t="str">
        <f t="shared" si="33"/>
        <v xml:space="preserve"> </v>
      </c>
      <c r="D236" s="1547">
        <v>1</v>
      </c>
      <c r="E236" s="1051"/>
      <c r="F236" s="1057" t="str">
        <f>VLOOKUP($B236,DG!A:D,DG!$C$2,)</f>
        <v>Boulon 22x800+ 2 long đền vuông D24-50x50x3/Zn</v>
      </c>
      <c r="G236" s="1051" t="str">
        <f>VLOOKUP($B236,DG!A:D,DG!$D$2,)</f>
        <v>bộ</v>
      </c>
      <c r="H236" s="1846">
        <f t="shared" si="37"/>
        <v>0</v>
      </c>
      <c r="I236" s="1846">
        <f t="shared" si="37"/>
        <v>0</v>
      </c>
      <c r="J236" s="1846">
        <f t="shared" si="37"/>
        <v>0</v>
      </c>
      <c r="K236" s="1846">
        <f t="shared" si="37"/>
        <v>0</v>
      </c>
      <c r="L236" s="1846">
        <f t="shared" si="37"/>
        <v>0</v>
      </c>
      <c r="M236" s="1846">
        <f t="shared" si="37"/>
        <v>0</v>
      </c>
      <c r="N236" s="1846">
        <f t="shared" si="37"/>
        <v>0</v>
      </c>
      <c r="O236" s="1846"/>
      <c r="P236" s="1846"/>
      <c r="Q236" s="1055"/>
      <c r="R236" s="1055"/>
      <c r="S236" s="1055"/>
      <c r="T236" s="2059">
        <f t="shared" si="32"/>
        <v>0</v>
      </c>
    </row>
    <row r="237" spans="1:20" ht="22.15" hidden="1" customHeight="1">
      <c r="A237" s="59"/>
      <c r="B237" s="1586" t="s">
        <v>1818</v>
      </c>
      <c r="C237" s="64" t="str">
        <f t="shared" si="33"/>
        <v xml:space="preserve"> </v>
      </c>
      <c r="D237" s="1542">
        <v>0.2</v>
      </c>
      <c r="E237" s="1047">
        <f>VLOOKUP($B237,DG!A:D,DG!$B$2,)</f>
        <v>0</v>
      </c>
      <c r="F237" s="1052" t="str">
        <f>VLOOKUP($B237,DG!A:D,DG!$C$2,)</f>
        <v>Đá 2x4</v>
      </c>
      <c r="G237" s="1047" t="str">
        <f>VLOOKUP($B237,DG!A:D,DG!$D$2,)</f>
        <v>m3</v>
      </c>
      <c r="H237" s="1845">
        <f t="shared" ref="H237:N237" si="38">H$18*$D237</f>
        <v>0</v>
      </c>
      <c r="I237" s="1845">
        <f t="shared" si="38"/>
        <v>0</v>
      </c>
      <c r="J237" s="1845">
        <f t="shared" si="38"/>
        <v>0</v>
      </c>
      <c r="K237" s="1845">
        <f t="shared" si="38"/>
        <v>0</v>
      </c>
      <c r="L237" s="1845">
        <f t="shared" si="38"/>
        <v>0</v>
      </c>
      <c r="M237" s="1845">
        <f t="shared" si="38"/>
        <v>0</v>
      </c>
      <c r="N237" s="1845">
        <f t="shared" si="38"/>
        <v>0</v>
      </c>
      <c r="O237" s="1845"/>
      <c r="P237" s="1845"/>
      <c r="Q237" s="1056"/>
      <c r="R237" s="1056"/>
      <c r="S237" s="1056"/>
      <c r="T237" s="2059">
        <f t="shared" si="32"/>
        <v>0</v>
      </c>
    </row>
    <row r="238" spans="1:20" ht="22.15" hidden="1" customHeight="1">
      <c r="A238" s="63"/>
      <c r="B238" s="1599" t="s">
        <v>639</v>
      </c>
      <c r="C238" s="64" t="str">
        <f t="shared" si="33"/>
        <v xml:space="preserve"> </v>
      </c>
      <c r="D238" s="1546">
        <v>2.2530000000000001</v>
      </c>
      <c r="E238" s="1051" t="str">
        <f>VLOOKUP($B238,DG!A:D,DG!$B$2,)</f>
        <v>03.1013</v>
      </c>
      <c r="F238" s="1052" t="str">
        <f>VLOOKUP($B238,DG!A:D,DG!$C$2,)</f>
        <v>Đào hố móng đất cấp 3 sâu &gt;1m</v>
      </c>
      <c r="G238" s="1051" t="str">
        <f>VLOOKUP($B238,DG!A:D,DG!$D$2,)</f>
        <v>m3</v>
      </c>
      <c r="H238" s="1846"/>
      <c r="I238" s="1846"/>
      <c r="J238" s="1846"/>
      <c r="K238" s="1846"/>
      <c r="L238" s="1846"/>
      <c r="M238" s="1846"/>
      <c r="N238" s="1846"/>
      <c r="O238" s="1846"/>
      <c r="P238" s="1846"/>
      <c r="Q238" s="1058"/>
      <c r="R238" s="1058"/>
      <c r="S238" s="1058"/>
      <c r="T238" s="2059">
        <f t="shared" si="32"/>
        <v>0</v>
      </c>
    </row>
    <row r="239" spans="1:20" ht="22.15" hidden="1" customHeight="1">
      <c r="A239" s="63"/>
      <c r="B239" s="1599" t="s">
        <v>21</v>
      </c>
      <c r="C239" s="64" t="str">
        <f t="shared" si="33"/>
        <v xml:space="preserve"> </v>
      </c>
      <c r="D239" s="1546">
        <v>2.48</v>
      </c>
      <c r="E239" s="1051" t="str">
        <f>VLOOKUP($B239,DG!A:D,DG!$B$2,)</f>
        <v>03.4113</v>
      </c>
      <c r="F239" s="1052" t="str">
        <f>VLOOKUP($B239,DG!A:D,DG!$C$2,)</f>
        <v>Đắp đất hố móng, độ chặt k=0,95</v>
      </c>
      <c r="G239" s="1051" t="str">
        <f>VLOOKUP($B239,DG!A:D,DG!$D$2,)</f>
        <v>m3</v>
      </c>
      <c r="H239" s="1846"/>
      <c r="I239" s="1846"/>
      <c r="J239" s="1846"/>
      <c r="K239" s="1846"/>
      <c r="L239" s="1846"/>
      <c r="M239" s="1846"/>
      <c r="N239" s="1846"/>
      <c r="O239" s="1846"/>
      <c r="P239" s="1846"/>
      <c r="Q239" s="1058"/>
      <c r="R239" s="1058"/>
      <c r="S239" s="1058"/>
      <c r="T239" s="2059">
        <f t="shared" si="32"/>
        <v>0</v>
      </c>
    </row>
    <row r="240" spans="1:20" ht="22.15" hidden="1" customHeight="1">
      <c r="A240" s="63"/>
      <c r="B240" s="1599" t="s">
        <v>637</v>
      </c>
      <c r="C240" s="64" t="str">
        <f t="shared" si="33"/>
        <v xml:space="preserve"> </v>
      </c>
      <c r="D240" s="1546">
        <f>0.1*2</f>
        <v>0.2</v>
      </c>
      <c r="E240" s="1051" t="str">
        <f>VLOOKUP($B240,DG!A:D,DG!$B$2,)</f>
        <v>02.1123</v>
      </c>
      <c r="F240" s="1052" t="str">
        <f>VLOOKUP($B240,DG!A:D,DG!$C$2,)</f>
        <v>Bốc dỡ đà cản, đế néo</v>
      </c>
      <c r="G240" s="1051" t="str">
        <f>VLOOKUP($B240,DG!A:D,DG!$D$2,)</f>
        <v>tấn</v>
      </c>
      <c r="H240" s="1846"/>
      <c r="I240" s="1846"/>
      <c r="J240" s="1846"/>
      <c r="K240" s="1846"/>
      <c r="L240" s="1846"/>
      <c r="M240" s="1846"/>
      <c r="N240" s="1846"/>
      <c r="O240" s="1846"/>
      <c r="P240" s="1846"/>
      <c r="Q240" s="1055"/>
      <c r="R240" s="1055"/>
      <c r="S240" s="1055"/>
      <c r="T240" s="2059">
        <f t="shared" si="32"/>
        <v>0</v>
      </c>
    </row>
    <row r="241" spans="1:20" ht="22.15" hidden="1" customHeight="1">
      <c r="A241" s="63"/>
      <c r="B241" s="1584" t="s">
        <v>2071</v>
      </c>
      <c r="C241" s="64" t="str">
        <f t="shared" si="33"/>
        <v xml:space="preserve"> </v>
      </c>
      <c r="D241" s="1546">
        <f>D240</f>
        <v>0.2</v>
      </c>
      <c r="E241" s="1051" t="str">
        <f>VLOOKUP($B241,DG!A:C,2,)</f>
        <v>02.1451</v>
      </c>
      <c r="F241" s="1052" t="str">
        <f>VLOOKUP($B241,DG!A:C,3,)</f>
        <v>V/c đà cản vào vị trí (cự ly &lt;=100m)</v>
      </c>
      <c r="G241" s="1051" t="str">
        <f>VLOOKUP($B241,DG!A:D,4,0)</f>
        <v>tấn</v>
      </c>
      <c r="H241" s="1846"/>
      <c r="I241" s="1846"/>
      <c r="J241" s="1846"/>
      <c r="K241" s="1846"/>
      <c r="L241" s="1846"/>
      <c r="M241" s="1846"/>
      <c r="N241" s="1846"/>
      <c r="O241" s="1846"/>
      <c r="P241" s="1846"/>
      <c r="Q241" s="1058"/>
      <c r="R241" s="1058"/>
      <c r="S241" s="1058"/>
      <c r="T241" s="2059">
        <f t="shared" si="32"/>
        <v>0</v>
      </c>
    </row>
    <row r="242" spans="1:20" ht="22.15" hidden="1" customHeight="1">
      <c r="A242" s="59"/>
      <c r="B242" s="1598" t="s">
        <v>674</v>
      </c>
      <c r="C242" s="64" t="str">
        <f t="shared" si="33"/>
        <v xml:space="preserve"> </v>
      </c>
      <c r="D242" s="1542">
        <f>D237</f>
        <v>0.2</v>
      </c>
      <c r="E242" s="1047" t="str">
        <f>VLOOKUP($B242,DG!A:C,2,)</f>
        <v>02.1241</v>
      </c>
      <c r="F242" s="1052" t="str">
        <f>VLOOKUP($B242,DG!A:C,3,)</f>
        <v>V/c đá dăm ( cự ly &lt;=100m)</v>
      </c>
      <c r="G242" s="1047" t="str">
        <f>VLOOKUP($B242,DG!A:D,4,0)</f>
        <v>m3</v>
      </c>
      <c r="H242" s="1845"/>
      <c r="I242" s="1845"/>
      <c r="J242" s="1845"/>
      <c r="K242" s="1845"/>
      <c r="L242" s="1845"/>
      <c r="M242" s="1845"/>
      <c r="N242" s="1845"/>
      <c r="O242" s="1845"/>
      <c r="P242" s="1845"/>
      <c r="Q242" s="1061"/>
      <c r="R242" s="1061"/>
      <c r="S242" s="1061"/>
      <c r="T242" s="2059">
        <f t="shared" si="32"/>
        <v>0</v>
      </c>
    </row>
    <row r="243" spans="1:20" ht="22.15" hidden="1" customHeight="1">
      <c r="A243" s="63"/>
      <c r="B243" s="1584" t="s">
        <v>635</v>
      </c>
      <c r="C243" s="64" t="str">
        <f t="shared" si="33"/>
        <v xml:space="preserve"> </v>
      </c>
      <c r="D243" s="1546">
        <v>0.2</v>
      </c>
      <c r="E243" s="1051" t="str">
        <f>VLOOKUP($B243,DG!A:C,2,)</f>
        <v>02.1482</v>
      </c>
      <c r="F243" s="1052" t="str">
        <f>VLOOKUP($B243,DG!A:C,3,)</f>
        <v>V/c dụng cụ thi công vào vị trí (cự ly &lt;=100m)</v>
      </c>
      <c r="G243" s="1051" t="str">
        <f>VLOOKUP($B243,DG!A:D,4,0)</f>
        <v>tấn</v>
      </c>
      <c r="H243" s="1846"/>
      <c r="I243" s="1846"/>
      <c r="J243" s="1846"/>
      <c r="K243" s="1846"/>
      <c r="L243" s="1846"/>
      <c r="M243" s="1846"/>
      <c r="N243" s="1846"/>
      <c r="O243" s="1846"/>
      <c r="P243" s="1846"/>
      <c r="Q243" s="1058"/>
      <c r="R243" s="1058"/>
      <c r="S243" s="1058"/>
      <c r="T243" s="2059">
        <f t="shared" si="32"/>
        <v>0</v>
      </c>
    </row>
    <row r="244" spans="1:20" ht="22.15" customHeight="1">
      <c r="A244" s="1581" t="s">
        <v>219</v>
      </c>
      <c r="B244" s="1583" t="s">
        <v>219</v>
      </c>
      <c r="C244" s="1020" t="str">
        <f t="shared" si="33"/>
        <v>x</v>
      </c>
      <c r="D244" s="1541"/>
      <c r="E244" s="1048"/>
      <c r="F244" s="1396" t="s">
        <v>2360</v>
      </c>
      <c r="G244" s="1049" t="s">
        <v>2336</v>
      </c>
      <c r="H244" s="1843">
        <f>SUM(I244:O244)</f>
        <v>15</v>
      </c>
      <c r="I244" s="1844"/>
      <c r="J244" s="1844"/>
      <c r="K244" s="1844">
        <f>IFERROR(HLOOKUP(B244,pp3p1m!$1:$3,3,0),0)</f>
        <v>15</v>
      </c>
      <c r="L244" s="1844">
        <f>IFERROR(HLOOKUP(chitiet!B244,pp1p!$1:$3,3,0),0)</f>
        <v>0</v>
      </c>
      <c r="M244" s="1844"/>
      <c r="N244" s="1844"/>
      <c r="O244" s="1844"/>
      <c r="P244" s="1843">
        <f>H244+Q244-R244</f>
        <v>15</v>
      </c>
      <c r="Q244" s="1050"/>
      <c r="R244" s="1050"/>
      <c r="S244" s="1050"/>
      <c r="T244" s="2059">
        <f>IFERROR(HLOOKUP(B244,pp1p!$1:$3,3,0),0)+IFERROR(HLOOKUP(B244,pp3p1m!$1:$3,3,0),0)</f>
        <v>15</v>
      </c>
    </row>
    <row r="245" spans="1:20" ht="22.15" customHeight="1">
      <c r="A245" s="1582"/>
      <c r="B245" s="1580" t="s">
        <v>639</v>
      </c>
      <c r="C245" s="1020" t="str">
        <f t="shared" si="33"/>
        <v>x</v>
      </c>
      <c r="D245" s="1545">
        <v>0.35299999999999998</v>
      </c>
      <c r="E245" s="1051"/>
      <c r="F245" s="1052" t="str">
        <f>VLOOKUP($B245,DG!A:D,DG!$C$2,)</f>
        <v>Đào hố móng đất cấp 3 sâu &gt;1m</v>
      </c>
      <c r="G245" s="1051" t="str">
        <f>VLOOKUP($B245,DG!A:D,DG!$D$2,)</f>
        <v>m3</v>
      </c>
      <c r="H245" s="1846">
        <f t="shared" ref="H245:N245" si="39">H$244*$D245</f>
        <v>5.2949999999999999</v>
      </c>
      <c r="I245" s="1846">
        <f t="shared" si="39"/>
        <v>0</v>
      </c>
      <c r="J245" s="1846">
        <f t="shared" si="39"/>
        <v>0</v>
      </c>
      <c r="K245" s="1846">
        <f t="shared" si="39"/>
        <v>5.2949999999999999</v>
      </c>
      <c r="L245" s="1846">
        <f t="shared" si="39"/>
        <v>0</v>
      </c>
      <c r="M245" s="1846">
        <f t="shared" si="39"/>
        <v>0</v>
      </c>
      <c r="N245" s="1846">
        <f t="shared" si="39"/>
        <v>0</v>
      </c>
      <c r="O245" s="1846"/>
      <c r="P245" s="1846">
        <f>$P$244*D245</f>
        <v>5.2949999999999999</v>
      </c>
      <c r="Q245" s="1054">
        <f>$Q$244*D245</f>
        <v>0</v>
      </c>
      <c r="R245" s="1053">
        <f>$R$244*D245</f>
        <v>0</v>
      </c>
      <c r="S245" s="1055"/>
      <c r="T245" s="2059">
        <f t="shared" si="32"/>
        <v>0</v>
      </c>
    </row>
    <row r="246" spans="1:20" ht="22.15" customHeight="1">
      <c r="B246" s="1580" t="s">
        <v>21</v>
      </c>
      <c r="C246" s="1020" t="str">
        <f t="shared" si="33"/>
        <v>x</v>
      </c>
      <c r="D246" s="1545">
        <v>0.18</v>
      </c>
      <c r="E246" s="1047" t="str">
        <f>VLOOKUP($B246,DG!A:D,DG!$B$2,)</f>
        <v>03.4113</v>
      </c>
      <c r="F246" s="1052" t="str">
        <f>VLOOKUP($B246,DG!A:D,DG!$C$2,)</f>
        <v>Đắp đất hố móng, độ chặt k=0,95</v>
      </c>
      <c r="G246" s="1047" t="str">
        <f>VLOOKUP($B246,DG!A:D,DG!$D$2,)</f>
        <v>m3</v>
      </c>
      <c r="H246" s="1846">
        <f>H$244*$D246</f>
        <v>2.6999999999999997</v>
      </c>
      <c r="I246" s="1845">
        <f t="shared" ref="I246:N246" si="40">I$18*$D246</f>
        <v>0</v>
      </c>
      <c r="J246" s="1845">
        <f t="shared" si="40"/>
        <v>0</v>
      </c>
      <c r="K246" s="1845">
        <f t="shared" si="40"/>
        <v>0</v>
      </c>
      <c r="L246" s="1845">
        <f t="shared" si="40"/>
        <v>0</v>
      </c>
      <c r="M246" s="1845">
        <f t="shared" si="40"/>
        <v>0</v>
      </c>
      <c r="N246" s="1845">
        <f t="shared" si="40"/>
        <v>0</v>
      </c>
      <c r="O246" s="1845"/>
      <c r="P246" s="1846">
        <f>$P$244*D246</f>
        <v>2.6999999999999997</v>
      </c>
      <c r="Q246" s="1054">
        <f>$Q$244*D246</f>
        <v>0</v>
      </c>
      <c r="R246" s="1053">
        <f>$R$244*D246</f>
        <v>0</v>
      </c>
      <c r="S246" s="1056"/>
      <c r="T246" s="2059">
        <f t="shared" si="32"/>
        <v>0</v>
      </c>
    </row>
    <row r="247" spans="1:20" ht="22.15" hidden="1" customHeight="1">
      <c r="A247" s="63"/>
      <c r="B247" s="1584" t="s">
        <v>635</v>
      </c>
      <c r="C247" s="64" t="str">
        <f t="shared" si="33"/>
        <v xml:space="preserve"> </v>
      </c>
      <c r="D247" s="1546"/>
      <c r="E247" s="1051" t="str">
        <f>VLOOKUP($B247,DG!A:C,2,)</f>
        <v>02.1482</v>
      </c>
      <c r="F247" s="1052" t="str">
        <f>VLOOKUP($B247,DG!A:C,3,)</f>
        <v>V/c dụng cụ thi công vào vị trí (cự ly &lt;=100m)</v>
      </c>
      <c r="G247" s="1051" t="str">
        <f>VLOOKUP($B247,DG!A:D,4,0)</f>
        <v>tấn</v>
      </c>
      <c r="H247" s="1846"/>
      <c r="I247" s="1846"/>
      <c r="J247" s="1846"/>
      <c r="K247" s="1846"/>
      <c r="L247" s="1846"/>
      <c r="M247" s="1846"/>
      <c r="N247" s="1846"/>
      <c r="O247" s="1846"/>
      <c r="P247" s="1846"/>
      <c r="Q247" s="1058"/>
      <c r="R247" s="1058"/>
      <c r="S247" s="1058"/>
      <c r="T247" s="2059">
        <f t="shared" si="32"/>
        <v>0</v>
      </c>
    </row>
    <row r="248" spans="1:20" ht="22.15" hidden="1" customHeight="1">
      <c r="A248" s="56" t="s">
        <v>303</v>
      </c>
      <c r="B248" s="1583" t="s">
        <v>303</v>
      </c>
      <c r="C248" s="62" t="str">
        <f t="shared" si="33"/>
        <v xml:space="preserve"> </v>
      </c>
      <c r="D248" s="1541"/>
      <c r="E248" s="1048"/>
      <c r="F248" s="1396" t="s">
        <v>2361</v>
      </c>
      <c r="G248" s="1049" t="s">
        <v>2336</v>
      </c>
      <c r="H248" s="1843">
        <f>SUM(I248:O248)</f>
        <v>0</v>
      </c>
      <c r="I248" s="1844"/>
      <c r="J248" s="1844"/>
      <c r="K248" s="1844">
        <f>IFERROR(HLOOKUP(B248,pp3p1m!$1:$3,3,0),0)</f>
        <v>0</v>
      </c>
      <c r="L248" s="1844">
        <f>IFERROR(HLOOKUP(chitiet!B248,pp1p!$1:$3,3,0),0)</f>
        <v>0</v>
      </c>
      <c r="M248" s="1844"/>
      <c r="N248" s="1844"/>
      <c r="O248" s="1844"/>
      <c r="P248" s="1843">
        <f>H248+Q248-R248</f>
        <v>0</v>
      </c>
      <c r="Q248" s="1050"/>
      <c r="R248" s="1050"/>
      <c r="S248" s="1050"/>
      <c r="T248" s="2059">
        <f>IFERROR(HLOOKUP(B248,pp1p!$1:$3,3,0),0)+IFERROR(HLOOKUP(B248,pp3p1m!$1:$3,3,0),0)</f>
        <v>0</v>
      </c>
    </row>
    <row r="249" spans="1:20" ht="22.15" hidden="1" customHeight="1">
      <c r="A249" s="63"/>
      <c r="B249" s="1599" t="s">
        <v>636</v>
      </c>
      <c r="C249" s="64" t="str">
        <f t="shared" si="33"/>
        <v xml:space="preserve"> </v>
      </c>
      <c r="D249" s="1547">
        <v>1</v>
      </c>
      <c r="E249" s="1047" t="str">
        <f>VLOOKUP($B249,DG!A:D,DG!$B$2,)</f>
        <v>04.4001</v>
      </c>
      <c r="F249" s="1057" t="str">
        <f>VLOOKUP($B249,DG!A:D,DG!$C$2,)</f>
        <v>Đà cản BTCT 1,2m</v>
      </c>
      <c r="G249" s="1051" t="str">
        <f>VLOOKUP($B249,DG!A:D,DG!$D$2,)</f>
        <v>cái</v>
      </c>
      <c r="H249" s="1846">
        <f>H$248*$D249</f>
        <v>0</v>
      </c>
      <c r="I249" s="1846">
        <f>I$244*$D249</f>
        <v>0</v>
      </c>
      <c r="J249" s="1846">
        <f>J$244*$D249</f>
        <v>0</v>
      </c>
      <c r="K249" s="1846">
        <f>K$248*$D249</f>
        <v>0</v>
      </c>
      <c r="L249" s="1846">
        <f>L$248*$D249</f>
        <v>0</v>
      </c>
      <c r="M249" s="1846">
        <f t="shared" ref="M249:O250" si="41">M$244*$D249</f>
        <v>0</v>
      </c>
      <c r="N249" s="1846">
        <f t="shared" si="41"/>
        <v>0</v>
      </c>
      <c r="O249" s="1846">
        <f t="shared" si="41"/>
        <v>0</v>
      </c>
      <c r="P249" s="1845">
        <f>$P$248*D249</f>
        <v>0</v>
      </c>
      <c r="Q249" s="1055"/>
      <c r="R249" s="1055"/>
      <c r="S249" s="1055"/>
      <c r="T249" s="2059">
        <f t="shared" si="32"/>
        <v>0</v>
      </c>
    </row>
    <row r="250" spans="1:20" ht="22.15" hidden="1" customHeight="1">
      <c r="A250" s="63"/>
      <c r="B250" s="1599" t="s">
        <v>1816</v>
      </c>
      <c r="C250" s="64" t="str">
        <f t="shared" si="33"/>
        <v xml:space="preserve"> </v>
      </c>
      <c r="D250" s="1547">
        <v>1</v>
      </c>
      <c r="E250" s="1051"/>
      <c r="F250" s="1057" t="str">
        <f>VLOOKUP($B250,DG!A:D,DG!$C$2,)</f>
        <v>Boulon 22x600+ 2 long đền vuông D24-50x50x3/Zn</v>
      </c>
      <c r="G250" s="1051" t="str">
        <f>VLOOKUP($B250,DG!A:D,DG!$D$2,)</f>
        <v>bộ</v>
      </c>
      <c r="H250" s="1846">
        <f>H$248*$D250</f>
        <v>0</v>
      </c>
      <c r="I250" s="1846">
        <f>I$244*$D250</f>
        <v>0</v>
      </c>
      <c r="J250" s="1846">
        <f>J$244*$D250</f>
        <v>0</v>
      </c>
      <c r="K250" s="1846">
        <f>K$248*$D250</f>
        <v>0</v>
      </c>
      <c r="L250" s="1846">
        <f>L$248*$D250</f>
        <v>0</v>
      </c>
      <c r="M250" s="1846">
        <f t="shared" si="41"/>
        <v>0</v>
      </c>
      <c r="N250" s="1846">
        <f t="shared" si="41"/>
        <v>0</v>
      </c>
      <c r="O250" s="1846">
        <f t="shared" si="41"/>
        <v>0</v>
      </c>
      <c r="P250" s="1845">
        <f>$P$248*D250</f>
        <v>0</v>
      </c>
      <c r="Q250" s="1055"/>
      <c r="R250" s="1055"/>
      <c r="S250" s="1055"/>
      <c r="T250" s="2059">
        <f t="shared" si="32"/>
        <v>0</v>
      </c>
    </row>
    <row r="251" spans="1:20" ht="22.15" hidden="1" customHeight="1">
      <c r="A251" s="63"/>
      <c r="B251" s="1599" t="s">
        <v>639</v>
      </c>
      <c r="C251" s="64" t="str">
        <f t="shared" si="33"/>
        <v xml:space="preserve"> </v>
      </c>
      <c r="D251" s="1546">
        <v>0.87</v>
      </c>
      <c r="E251" s="1051" t="str">
        <f>VLOOKUP($B251,DG!A:D,DG!$B$2,)</f>
        <v>03.1013</v>
      </c>
      <c r="F251" s="1052" t="str">
        <f>VLOOKUP($B251,DG!A:D,DG!$C$2,)</f>
        <v>Đào hố móng đất cấp 3 sâu &gt;1m</v>
      </c>
      <c r="G251" s="1051" t="str">
        <f>VLOOKUP($B251,DG!A:D,DG!$D$2,)</f>
        <v>m3</v>
      </c>
      <c r="H251" s="1846">
        <f>H$248*$D251</f>
        <v>0</v>
      </c>
      <c r="I251" s="1846"/>
      <c r="J251" s="1846"/>
      <c r="K251" s="1846"/>
      <c r="L251" s="1846"/>
      <c r="M251" s="1846"/>
      <c r="N251" s="1846"/>
      <c r="O251" s="1846"/>
      <c r="P251" s="1845">
        <f>$P$248*D251</f>
        <v>0</v>
      </c>
      <c r="Q251" s="1058"/>
      <c r="R251" s="1058"/>
      <c r="S251" s="1058"/>
      <c r="T251" s="2059">
        <f t="shared" si="32"/>
        <v>0</v>
      </c>
    </row>
    <row r="252" spans="1:20" ht="22.15" hidden="1" customHeight="1">
      <c r="A252" s="63"/>
      <c r="B252" s="1599" t="s">
        <v>21</v>
      </c>
      <c r="C252" s="64" t="str">
        <f t="shared" si="33"/>
        <v xml:space="preserve"> </v>
      </c>
      <c r="D252" s="1546">
        <v>0.79</v>
      </c>
      <c r="E252" s="1051" t="str">
        <f>VLOOKUP($B252,DG!A:D,DG!$B$2,)</f>
        <v>03.4113</v>
      </c>
      <c r="F252" s="1052" t="str">
        <f>VLOOKUP($B252,DG!A:D,DG!$C$2,)</f>
        <v>Đắp đất hố móng, độ chặt k=0,95</v>
      </c>
      <c r="G252" s="1051" t="str">
        <f>VLOOKUP($B252,DG!A:D,DG!$D$2,)</f>
        <v>m3</v>
      </c>
      <c r="H252" s="1846">
        <f>H$248*$D252</f>
        <v>0</v>
      </c>
      <c r="I252" s="1846"/>
      <c r="J252" s="1846"/>
      <c r="K252" s="1846"/>
      <c r="L252" s="1846"/>
      <c r="M252" s="1846"/>
      <c r="N252" s="1846"/>
      <c r="O252" s="1846"/>
      <c r="P252" s="1845">
        <f>$P$248*D252</f>
        <v>0</v>
      </c>
      <c r="Q252" s="1058"/>
      <c r="R252" s="1058"/>
      <c r="S252" s="1058"/>
      <c r="T252" s="2059">
        <f t="shared" si="32"/>
        <v>0</v>
      </c>
    </row>
    <row r="253" spans="1:20" ht="22.15" hidden="1" customHeight="1">
      <c r="A253" s="63"/>
      <c r="B253" s="1599" t="s">
        <v>637</v>
      </c>
      <c r="C253" s="64" t="str">
        <f t="shared" si="33"/>
        <v xml:space="preserve"> </v>
      </c>
      <c r="D253" s="1546">
        <f>0.1*0</f>
        <v>0</v>
      </c>
      <c r="E253" s="1051" t="str">
        <f>VLOOKUP($B253,DG!A:D,DG!$B$2,)</f>
        <v>02.1123</v>
      </c>
      <c r="F253" s="1052" t="str">
        <f>VLOOKUP($B253,DG!A:D,DG!$C$2,)</f>
        <v>Bốc dỡ đà cản, đế néo</v>
      </c>
      <c r="G253" s="1051" t="str">
        <f>VLOOKUP($B253,DG!A:D,DG!$D$2,)</f>
        <v>tấn</v>
      </c>
      <c r="H253" s="1846"/>
      <c r="I253" s="1846"/>
      <c r="J253" s="1846"/>
      <c r="K253" s="1846"/>
      <c r="L253" s="1846"/>
      <c r="M253" s="1846"/>
      <c r="N253" s="1846"/>
      <c r="O253" s="1846"/>
      <c r="P253" s="1846"/>
      <c r="Q253" s="1055"/>
      <c r="R253" s="1055"/>
      <c r="S253" s="1055"/>
      <c r="T253" s="2059">
        <f t="shared" si="32"/>
        <v>0</v>
      </c>
    </row>
    <row r="254" spans="1:20" ht="22.15" hidden="1" customHeight="1">
      <c r="A254" s="63"/>
      <c r="B254" s="1584" t="s">
        <v>2071</v>
      </c>
      <c r="C254" s="64" t="str">
        <f t="shared" si="33"/>
        <v xml:space="preserve"> </v>
      </c>
      <c r="D254" s="1546">
        <f>D253</f>
        <v>0</v>
      </c>
      <c r="E254" s="1051" t="str">
        <f>VLOOKUP($B254,DG!A:C,2,)</f>
        <v>02.1451</v>
      </c>
      <c r="F254" s="1052" t="str">
        <f>VLOOKUP($B254,DG!A:C,3,)</f>
        <v>V/c đà cản vào vị trí (cự ly &lt;=100m)</v>
      </c>
      <c r="G254" s="1051" t="str">
        <f>VLOOKUP($B254,DG!A:D,4,0)</f>
        <v>tấn</v>
      </c>
      <c r="H254" s="1846"/>
      <c r="I254" s="1846"/>
      <c r="J254" s="1846"/>
      <c r="K254" s="1846"/>
      <c r="L254" s="1846"/>
      <c r="M254" s="1846"/>
      <c r="N254" s="1846"/>
      <c r="O254" s="1846"/>
      <c r="P254" s="1846"/>
      <c r="Q254" s="1058"/>
      <c r="R254" s="1058"/>
      <c r="S254" s="1058"/>
      <c r="T254" s="2059">
        <f t="shared" si="32"/>
        <v>0</v>
      </c>
    </row>
    <row r="255" spans="1:20" ht="22.15" hidden="1" customHeight="1">
      <c r="A255" s="63"/>
      <c r="B255" s="1584" t="s">
        <v>635</v>
      </c>
      <c r="C255" s="64" t="str">
        <f t="shared" si="33"/>
        <v xml:space="preserve"> </v>
      </c>
      <c r="D255" s="1546">
        <f>0.2*0</f>
        <v>0</v>
      </c>
      <c r="E255" s="1051" t="str">
        <f>VLOOKUP($B255,DG!A:C,2,)</f>
        <v>02.1482</v>
      </c>
      <c r="F255" s="1052" t="str">
        <f>VLOOKUP($B255,DG!A:C,3,)</f>
        <v>V/c dụng cụ thi công vào vị trí (cự ly &lt;=100m)</v>
      </c>
      <c r="G255" s="1051" t="str">
        <f>VLOOKUP($B255,DG!A:D,4,0)</f>
        <v>tấn</v>
      </c>
      <c r="H255" s="1846"/>
      <c r="I255" s="1846"/>
      <c r="J255" s="1846"/>
      <c r="K255" s="1846"/>
      <c r="L255" s="1846"/>
      <c r="M255" s="1846"/>
      <c r="N255" s="1846"/>
      <c r="O255" s="1846"/>
      <c r="P255" s="1846"/>
      <c r="Q255" s="1058"/>
      <c r="R255" s="1058"/>
      <c r="S255" s="1058"/>
      <c r="T255" s="2059">
        <f t="shared" si="32"/>
        <v>0</v>
      </c>
    </row>
    <row r="256" spans="1:20" ht="22.15" hidden="1" customHeight="1">
      <c r="A256" s="56" t="s">
        <v>2271</v>
      </c>
      <c r="B256" s="1583" t="s">
        <v>2271</v>
      </c>
      <c r="C256" s="62" t="str">
        <f t="shared" si="33"/>
        <v xml:space="preserve"> </v>
      </c>
      <c r="D256" s="1541"/>
      <c r="E256" s="1048"/>
      <c r="F256" s="1396" t="s">
        <v>2362</v>
      </c>
      <c r="G256" s="1049" t="s">
        <v>2336</v>
      </c>
      <c r="H256" s="1843">
        <f>SUM(I256:O256)</f>
        <v>0</v>
      </c>
      <c r="I256" s="1844"/>
      <c r="J256" s="1844"/>
      <c r="K256" s="1844">
        <f>IFERROR(HLOOKUP(B256,pp3p1m!$1:$3,3,0),0)</f>
        <v>0</v>
      </c>
      <c r="L256" s="1844">
        <f>IFERROR(HLOOKUP(chitiet!B256,pp1p!$1:$3,3,0),0)</f>
        <v>0</v>
      </c>
      <c r="M256" s="1844"/>
      <c r="N256" s="1844"/>
      <c r="O256" s="1844"/>
      <c r="P256" s="1844"/>
      <c r="Q256" s="1050"/>
      <c r="R256" s="1050"/>
      <c r="S256" s="1050"/>
      <c r="T256" s="2059">
        <f>IFERROR(HLOOKUP(B256,pp1p!$1:$3,3,0),0)+IFERROR(HLOOKUP(B256,pp3p1m!$1:$3,3,0),0)</f>
        <v>0</v>
      </c>
    </row>
    <row r="257" spans="1:20" ht="22.15" hidden="1" customHeight="1">
      <c r="A257" s="63"/>
      <c r="B257" s="1599" t="s">
        <v>1580</v>
      </c>
      <c r="C257" s="64" t="str">
        <f t="shared" si="33"/>
        <v xml:space="preserve"> </v>
      </c>
      <c r="D257" s="1547">
        <v>1</v>
      </c>
      <c r="E257" s="1047" t="str">
        <f>VLOOKUP($B257,DG!A:D,DG!$B$2,)</f>
        <v>04.3801</v>
      </c>
      <c r="F257" s="1057" t="str">
        <f>VLOOKUP($B257,DG!A:D,DG!$C$2,)</f>
        <v>Đà cản BTCT 1,5m</v>
      </c>
      <c r="G257" s="1051" t="str">
        <f>VLOOKUP($B257,DG!A:D,DG!$D$2,)</f>
        <v>cái</v>
      </c>
      <c r="H257" s="1846">
        <f t="shared" ref="H257:N258" si="42">H$256*$D257</f>
        <v>0</v>
      </c>
      <c r="I257" s="1846">
        <f t="shared" si="42"/>
        <v>0</v>
      </c>
      <c r="J257" s="1846">
        <f t="shared" si="42"/>
        <v>0</v>
      </c>
      <c r="K257" s="1846">
        <f t="shared" si="42"/>
        <v>0</v>
      </c>
      <c r="L257" s="1846">
        <f t="shared" si="42"/>
        <v>0</v>
      </c>
      <c r="M257" s="1846">
        <f t="shared" si="42"/>
        <v>0</v>
      </c>
      <c r="N257" s="1846">
        <f t="shared" si="42"/>
        <v>0</v>
      </c>
      <c r="O257" s="1846"/>
      <c r="P257" s="1846"/>
      <c r="Q257" s="1055"/>
      <c r="R257" s="1055"/>
      <c r="S257" s="1055"/>
      <c r="T257" s="2059">
        <f t="shared" si="32"/>
        <v>0</v>
      </c>
    </row>
    <row r="258" spans="1:20" ht="22.15" hidden="1" customHeight="1">
      <c r="A258" s="63"/>
      <c r="B258" s="1599" t="s">
        <v>566</v>
      </c>
      <c r="C258" s="64" t="str">
        <f t="shared" si="33"/>
        <v xml:space="preserve"> </v>
      </c>
      <c r="D258" s="1547">
        <v>1</v>
      </c>
      <c r="E258" s="1051"/>
      <c r="F258" s="1057" t="str">
        <f>VLOOKUP($B258,DG!A:D,DG!$C$2,)</f>
        <v>Boulon 22x650+ 2 long đền vuông D24-50x50x3/Zn</v>
      </c>
      <c r="G258" s="1051" t="str">
        <f>VLOOKUP($B258,DG!A:D,DG!$D$2,)</f>
        <v>bộ</v>
      </c>
      <c r="H258" s="1846">
        <f t="shared" si="42"/>
        <v>0</v>
      </c>
      <c r="I258" s="1846">
        <f t="shared" si="42"/>
        <v>0</v>
      </c>
      <c r="J258" s="1846">
        <f t="shared" si="42"/>
        <v>0</v>
      </c>
      <c r="K258" s="1846">
        <f t="shared" si="42"/>
        <v>0</v>
      </c>
      <c r="L258" s="1846">
        <f t="shared" si="42"/>
        <v>0</v>
      </c>
      <c r="M258" s="1846">
        <f t="shared" si="42"/>
        <v>0</v>
      </c>
      <c r="N258" s="1846">
        <f t="shared" si="42"/>
        <v>0</v>
      </c>
      <c r="O258" s="1846"/>
      <c r="P258" s="1846"/>
      <c r="Q258" s="1055"/>
      <c r="R258" s="1055"/>
      <c r="S258" s="1055"/>
      <c r="T258" s="2059">
        <f t="shared" si="32"/>
        <v>0</v>
      </c>
    </row>
    <row r="259" spans="1:20" ht="22.15" hidden="1" customHeight="1">
      <c r="A259" s="59"/>
      <c r="B259" s="1586" t="s">
        <v>1818</v>
      </c>
      <c r="C259" s="64" t="str">
        <f t="shared" si="33"/>
        <v xml:space="preserve"> </v>
      </c>
      <c r="D259" s="1542">
        <v>0.23200000000000001</v>
      </c>
      <c r="E259" s="1047">
        <f>VLOOKUP($B259,DG!A:D,DG!$B$2,)</f>
        <v>0</v>
      </c>
      <c r="F259" s="1052" t="str">
        <f>VLOOKUP($B259,DG!A:D,DG!$C$2,)</f>
        <v>Đá 2x4</v>
      </c>
      <c r="G259" s="1047" t="str">
        <f>VLOOKUP($B259,DG!A:D,DG!$D$2,)</f>
        <v>m3</v>
      </c>
      <c r="H259" s="1845">
        <f t="shared" ref="H259:N259" si="43">H$18*$D259</f>
        <v>0</v>
      </c>
      <c r="I259" s="1845">
        <f t="shared" si="43"/>
        <v>0</v>
      </c>
      <c r="J259" s="1845">
        <f t="shared" si="43"/>
        <v>0</v>
      </c>
      <c r="K259" s="1845">
        <f t="shared" si="43"/>
        <v>0</v>
      </c>
      <c r="L259" s="1845">
        <f t="shared" si="43"/>
        <v>0</v>
      </c>
      <c r="M259" s="1845">
        <f t="shared" si="43"/>
        <v>0</v>
      </c>
      <c r="N259" s="1845">
        <f t="shared" si="43"/>
        <v>0</v>
      </c>
      <c r="O259" s="1845"/>
      <c r="P259" s="1845"/>
      <c r="Q259" s="1056"/>
      <c r="R259" s="1056"/>
      <c r="S259" s="1056"/>
      <c r="T259" s="2059">
        <f t="shared" si="32"/>
        <v>0</v>
      </c>
    </row>
    <row r="260" spans="1:20" ht="22.15" hidden="1" customHeight="1">
      <c r="A260" s="63"/>
      <c r="B260" s="1599" t="s">
        <v>639</v>
      </c>
      <c r="C260" s="64" t="str">
        <f t="shared" si="33"/>
        <v xml:space="preserve"> </v>
      </c>
      <c r="D260" s="1546">
        <v>3.1030000000000002</v>
      </c>
      <c r="E260" s="1051" t="str">
        <f>VLOOKUP($B260,DG!A:D,DG!$B$2,)</f>
        <v>03.1013</v>
      </c>
      <c r="F260" s="1052" t="str">
        <f>VLOOKUP($B260,DG!A:D,DG!$C$2,)</f>
        <v>Đào hố móng đất cấp 3 sâu &gt;1m</v>
      </c>
      <c r="G260" s="1051" t="str">
        <f>VLOOKUP($B260,DG!A:D,DG!$D$2,)</f>
        <v>m3</v>
      </c>
      <c r="H260" s="1846"/>
      <c r="I260" s="1846"/>
      <c r="J260" s="1846"/>
      <c r="K260" s="1846"/>
      <c r="L260" s="1846"/>
      <c r="M260" s="1846"/>
      <c r="N260" s="1846"/>
      <c r="O260" s="1846"/>
      <c r="P260" s="1846"/>
      <c r="Q260" s="1058"/>
      <c r="R260" s="1058"/>
      <c r="S260" s="1058"/>
      <c r="T260" s="2059">
        <f t="shared" si="32"/>
        <v>0</v>
      </c>
    </row>
    <row r="261" spans="1:20" ht="22.15" hidden="1" customHeight="1">
      <c r="A261" s="63"/>
      <c r="B261" s="1599" t="s">
        <v>21</v>
      </c>
      <c r="C261" s="64" t="str">
        <f t="shared" si="33"/>
        <v xml:space="preserve"> </v>
      </c>
      <c r="D261" s="1546">
        <v>3.472</v>
      </c>
      <c r="E261" s="1051" t="str">
        <f>VLOOKUP($B261,DG!A:D,DG!$B$2,)</f>
        <v>03.4113</v>
      </c>
      <c r="F261" s="1052" t="str">
        <f>VLOOKUP($B261,DG!A:D,DG!$C$2,)</f>
        <v>Đắp đất hố móng, độ chặt k=0,95</v>
      </c>
      <c r="G261" s="1051" t="str">
        <f>VLOOKUP($B261,DG!A:D,DG!$D$2,)</f>
        <v>m3</v>
      </c>
      <c r="H261" s="1846"/>
      <c r="I261" s="1846"/>
      <c r="J261" s="1846"/>
      <c r="K261" s="1846"/>
      <c r="L261" s="1846"/>
      <c r="M261" s="1846"/>
      <c r="N261" s="1846"/>
      <c r="O261" s="1846"/>
      <c r="P261" s="1846"/>
      <c r="Q261" s="1058"/>
      <c r="R261" s="1058"/>
      <c r="S261" s="1058"/>
      <c r="T261" s="2059">
        <f t="shared" si="32"/>
        <v>0</v>
      </c>
    </row>
    <row r="262" spans="1:20" ht="22.15" hidden="1" customHeight="1">
      <c r="A262" s="63"/>
      <c r="B262" s="1599" t="s">
        <v>637</v>
      </c>
      <c r="C262" s="64" t="str">
        <f t="shared" si="33"/>
        <v xml:space="preserve"> </v>
      </c>
      <c r="D262" s="1546">
        <v>0.255</v>
      </c>
      <c r="E262" s="1051" t="str">
        <f>VLOOKUP($B262,DG!A:D,DG!$B$2,)</f>
        <v>02.1123</v>
      </c>
      <c r="F262" s="1052" t="str">
        <f>VLOOKUP($B262,DG!A:D,DG!$C$2,)</f>
        <v>Bốc dỡ đà cản, đế néo</v>
      </c>
      <c r="G262" s="1051" t="str">
        <f>VLOOKUP($B262,DG!A:D,DG!$D$2,)</f>
        <v>tấn</v>
      </c>
      <c r="H262" s="1846"/>
      <c r="I262" s="1846"/>
      <c r="J262" s="1846"/>
      <c r="K262" s="1846"/>
      <c r="L262" s="1846"/>
      <c r="M262" s="1846"/>
      <c r="N262" s="1846"/>
      <c r="O262" s="1846"/>
      <c r="P262" s="1846"/>
      <c r="Q262" s="1055"/>
      <c r="R262" s="1055"/>
      <c r="S262" s="1055"/>
      <c r="T262" s="2059">
        <f t="shared" si="32"/>
        <v>0</v>
      </c>
    </row>
    <row r="263" spans="1:20" ht="22.15" hidden="1" customHeight="1">
      <c r="A263" s="63"/>
      <c r="B263" s="1584" t="s">
        <v>2071</v>
      </c>
      <c r="C263" s="64" t="str">
        <f t="shared" si="33"/>
        <v xml:space="preserve"> </v>
      </c>
      <c r="D263" s="1546">
        <f>+D262</f>
        <v>0.255</v>
      </c>
      <c r="E263" s="1051" t="str">
        <f>VLOOKUP($B263,DG!A:C,2,)</f>
        <v>02.1451</v>
      </c>
      <c r="F263" s="1052" t="str">
        <f>VLOOKUP($B263,DG!A:C,3,)</f>
        <v>V/c đà cản vào vị trí (cự ly &lt;=100m)</v>
      </c>
      <c r="G263" s="1051" t="str">
        <f>VLOOKUP($B263,DG!A:D,4,0)</f>
        <v>tấn</v>
      </c>
      <c r="H263" s="1846"/>
      <c r="I263" s="1846"/>
      <c r="J263" s="1846"/>
      <c r="K263" s="1846"/>
      <c r="L263" s="1846"/>
      <c r="M263" s="1846"/>
      <c r="N263" s="1846"/>
      <c r="O263" s="1846"/>
      <c r="P263" s="1846"/>
      <c r="Q263" s="1058"/>
      <c r="R263" s="1058"/>
      <c r="S263" s="1058"/>
      <c r="T263" s="2059">
        <f t="shared" si="32"/>
        <v>0</v>
      </c>
    </row>
    <row r="264" spans="1:20" ht="22.15" hidden="1" customHeight="1">
      <c r="A264" s="59"/>
      <c r="B264" s="1598" t="s">
        <v>674</v>
      </c>
      <c r="C264" s="64" t="str">
        <f t="shared" si="33"/>
        <v xml:space="preserve"> </v>
      </c>
      <c r="D264" s="1542">
        <f>D259</f>
        <v>0.23200000000000001</v>
      </c>
      <c r="E264" s="1047" t="str">
        <f>VLOOKUP($B264,DG!A:C,2,)</f>
        <v>02.1241</v>
      </c>
      <c r="F264" s="1052" t="str">
        <f>VLOOKUP($B264,DG!A:C,3,)</f>
        <v>V/c đá dăm ( cự ly &lt;=100m)</v>
      </c>
      <c r="G264" s="1047" t="str">
        <f>VLOOKUP($B264,DG!A:D,4,0)</f>
        <v>m3</v>
      </c>
      <c r="H264" s="1845"/>
      <c r="I264" s="1845"/>
      <c r="J264" s="1845"/>
      <c r="K264" s="1845"/>
      <c r="L264" s="1845"/>
      <c r="M264" s="1845"/>
      <c r="N264" s="1845"/>
      <c r="O264" s="1845"/>
      <c r="P264" s="1845"/>
      <c r="Q264" s="1061"/>
      <c r="R264" s="1061"/>
      <c r="S264" s="1061"/>
      <c r="T264" s="2059">
        <f t="shared" si="32"/>
        <v>0</v>
      </c>
    </row>
    <row r="265" spans="1:20" ht="22.15" hidden="1" customHeight="1">
      <c r="A265" s="63"/>
      <c r="B265" s="1584" t="s">
        <v>635</v>
      </c>
      <c r="C265" s="64" t="str">
        <f t="shared" si="33"/>
        <v xml:space="preserve"> </v>
      </c>
      <c r="D265" s="1546">
        <v>0.2</v>
      </c>
      <c r="E265" s="1051" t="str">
        <f>VLOOKUP($B265,DG!A:C,2,)</f>
        <v>02.1482</v>
      </c>
      <c r="F265" s="1052" t="str">
        <f>VLOOKUP($B265,DG!A:C,3,)</f>
        <v>V/c dụng cụ thi công vào vị trí (cự ly &lt;=100m)</v>
      </c>
      <c r="G265" s="1051" t="str">
        <f>VLOOKUP($B265,DG!A:D,4,0)</f>
        <v>tấn</v>
      </c>
      <c r="H265" s="1846"/>
      <c r="I265" s="1846"/>
      <c r="J265" s="1846"/>
      <c r="K265" s="1846"/>
      <c r="L265" s="1846"/>
      <c r="M265" s="1846"/>
      <c r="N265" s="1846"/>
      <c r="O265" s="1846"/>
      <c r="P265" s="1846"/>
      <c r="Q265" s="1058"/>
      <c r="R265" s="1058"/>
      <c r="S265" s="1058"/>
      <c r="T265" s="2059">
        <f t="shared" si="32"/>
        <v>0</v>
      </c>
    </row>
    <row r="266" spans="1:20" ht="22.15" hidden="1" customHeight="1">
      <c r="A266" s="56" t="s">
        <v>304</v>
      </c>
      <c r="B266" s="1583" t="s">
        <v>304</v>
      </c>
      <c r="C266" s="62" t="str">
        <f t="shared" si="33"/>
        <v xml:space="preserve"> </v>
      </c>
      <c r="D266" s="1541"/>
      <c r="E266" s="1048"/>
      <c r="F266" s="1396" t="s">
        <v>2363</v>
      </c>
      <c r="G266" s="1049" t="s">
        <v>2336</v>
      </c>
      <c r="H266" s="1843">
        <f>SUM(I266:O266)</f>
        <v>0</v>
      </c>
      <c r="I266" s="1844"/>
      <c r="J266" s="1844"/>
      <c r="K266" s="1844">
        <f>IFERROR(HLOOKUP(B266,pp3p1m!$1:$3,3,0),0)</f>
        <v>0</v>
      </c>
      <c r="L266" s="1844">
        <f>IFERROR(HLOOKUP(chitiet!B266,pp1p!$1:$3,3,0),0)</f>
        <v>0</v>
      </c>
      <c r="M266" s="1844"/>
      <c r="N266" s="1844"/>
      <c r="O266" s="1844"/>
      <c r="P266" s="1844"/>
      <c r="Q266" s="1050"/>
      <c r="R266" s="1050"/>
      <c r="S266" s="1050"/>
      <c r="T266" s="2059">
        <f>IFERROR(HLOOKUP(B266,pp1p!$1:$3,3,0),0)+IFERROR(HLOOKUP(B266,pp3p1m!$1:$3,3,0),0)</f>
        <v>0</v>
      </c>
    </row>
    <row r="267" spans="1:20" ht="22.15" hidden="1" customHeight="1">
      <c r="A267" s="63"/>
      <c r="B267" s="1599" t="s">
        <v>636</v>
      </c>
      <c r="C267" s="64" t="str">
        <f t="shared" si="33"/>
        <v xml:space="preserve"> </v>
      </c>
      <c r="D267" s="1547">
        <v>2</v>
      </c>
      <c r="E267" s="1047" t="str">
        <f>VLOOKUP($B267,DG!A:D,DG!$B$2,)</f>
        <v>04.4001</v>
      </c>
      <c r="F267" s="1057" t="str">
        <f>VLOOKUP($B267,DG!A:D,DG!$C$2,)</f>
        <v>Đà cản BTCT 1,2m</v>
      </c>
      <c r="G267" s="1051" t="str">
        <f>VLOOKUP($B267,DG!A:D,DG!$D$2,)</f>
        <v>cái</v>
      </c>
      <c r="H267" s="1846">
        <f t="shared" ref="H267:N268" si="44">H$266*$D267</f>
        <v>0</v>
      </c>
      <c r="I267" s="1846">
        <f t="shared" si="44"/>
        <v>0</v>
      </c>
      <c r="J267" s="1846">
        <f t="shared" si="44"/>
        <v>0</v>
      </c>
      <c r="K267" s="1846">
        <f t="shared" si="44"/>
        <v>0</v>
      </c>
      <c r="L267" s="1846">
        <f t="shared" si="44"/>
        <v>0</v>
      </c>
      <c r="M267" s="1846">
        <f t="shared" si="44"/>
        <v>0</v>
      </c>
      <c r="N267" s="1846">
        <f t="shared" si="44"/>
        <v>0</v>
      </c>
      <c r="O267" s="1846"/>
      <c r="P267" s="1846"/>
      <c r="Q267" s="1055"/>
      <c r="R267" s="1055"/>
      <c r="S267" s="1055"/>
      <c r="T267" s="2059">
        <f t="shared" si="32"/>
        <v>0</v>
      </c>
    </row>
    <row r="268" spans="1:20" ht="22.15" hidden="1" customHeight="1">
      <c r="A268" s="63"/>
      <c r="B268" s="1599" t="s">
        <v>416</v>
      </c>
      <c r="C268" s="64" t="str">
        <f t="shared" si="33"/>
        <v xml:space="preserve"> </v>
      </c>
      <c r="D268" s="1547">
        <v>3</v>
      </c>
      <c r="E268" s="1051"/>
      <c r="F268" s="1057" t="str">
        <f>VLOOKUP($B268,DG!A:D,DG!$C$2,)</f>
        <v>Boulon 22x800+ 2 long đền vuông D24-50x50x3/Zn</v>
      </c>
      <c r="G268" s="1051" t="str">
        <f>VLOOKUP($B268,DG!A:D,DG!$D$2,)</f>
        <v>bộ</v>
      </c>
      <c r="H268" s="1846">
        <f t="shared" si="44"/>
        <v>0</v>
      </c>
      <c r="I268" s="1846">
        <f t="shared" si="44"/>
        <v>0</v>
      </c>
      <c r="J268" s="1846">
        <f t="shared" si="44"/>
        <v>0</v>
      </c>
      <c r="K268" s="1846">
        <f t="shared" si="44"/>
        <v>0</v>
      </c>
      <c r="L268" s="1846">
        <f t="shared" si="44"/>
        <v>0</v>
      </c>
      <c r="M268" s="1846">
        <f t="shared" si="44"/>
        <v>0</v>
      </c>
      <c r="N268" s="1846">
        <f t="shared" si="44"/>
        <v>0</v>
      </c>
      <c r="O268" s="1846"/>
      <c r="P268" s="1846"/>
      <c r="Q268" s="1055"/>
      <c r="R268" s="1055"/>
      <c r="S268" s="1055"/>
      <c r="T268" s="2059">
        <f t="shared" si="32"/>
        <v>0</v>
      </c>
    </row>
    <row r="269" spans="1:20" ht="22.15" hidden="1" customHeight="1">
      <c r="A269" s="63"/>
      <c r="B269" s="1599" t="s">
        <v>639</v>
      </c>
      <c r="C269" s="64" t="str">
        <f t="shared" si="33"/>
        <v xml:space="preserve"> </v>
      </c>
      <c r="D269" s="1546">
        <v>3.03</v>
      </c>
      <c r="E269" s="1051" t="str">
        <f>VLOOKUP($B269,DG!A:D,DG!$B$2,)</f>
        <v>03.1013</v>
      </c>
      <c r="F269" s="1052" t="str">
        <f>VLOOKUP($B269,DG!A:D,DG!$C$2,)</f>
        <v>Đào hố móng đất cấp 3 sâu &gt;1m</v>
      </c>
      <c r="G269" s="1051" t="str">
        <f>VLOOKUP($B269,DG!A:D,DG!$D$2,)</f>
        <v>m3</v>
      </c>
      <c r="H269" s="1846"/>
      <c r="I269" s="1846"/>
      <c r="J269" s="1846"/>
      <c r="K269" s="1846"/>
      <c r="L269" s="1846"/>
      <c r="M269" s="1846"/>
      <c r="N269" s="1846"/>
      <c r="O269" s="1846"/>
      <c r="P269" s="1846"/>
      <c r="Q269" s="1058"/>
      <c r="R269" s="1058"/>
      <c r="S269" s="1058"/>
      <c r="T269" s="2059">
        <f t="shared" si="32"/>
        <v>0</v>
      </c>
    </row>
    <row r="270" spans="1:20" ht="22.15" hidden="1" customHeight="1">
      <c r="A270" s="63"/>
      <c r="B270" s="1599" t="s">
        <v>21</v>
      </c>
      <c r="C270" s="64" t="str">
        <f t="shared" si="33"/>
        <v xml:space="preserve"> </v>
      </c>
      <c r="D270" s="1546">
        <v>3.02</v>
      </c>
      <c r="E270" s="1051" t="str">
        <f>VLOOKUP($B270,DG!A:D,DG!$B$2,)</f>
        <v>03.4113</v>
      </c>
      <c r="F270" s="1052" t="str">
        <f>VLOOKUP($B270,DG!A:D,DG!$C$2,)</f>
        <v>Đắp đất hố móng, độ chặt k=0,95</v>
      </c>
      <c r="G270" s="1051" t="str">
        <f>VLOOKUP($B270,DG!A:D,DG!$D$2,)</f>
        <v>m3</v>
      </c>
      <c r="H270" s="1846"/>
      <c r="I270" s="1846"/>
      <c r="J270" s="1846"/>
      <c r="K270" s="1846"/>
      <c r="L270" s="1846"/>
      <c r="M270" s="1846"/>
      <c r="N270" s="1846"/>
      <c r="O270" s="1846"/>
      <c r="P270" s="1846"/>
      <c r="Q270" s="1058"/>
      <c r="R270" s="1058"/>
      <c r="S270" s="1058"/>
      <c r="T270" s="2059">
        <f t="shared" ref="T270:T333" si="45">IFERROR(HLOOKUP(B270,BangKeTru,3,0),0)</f>
        <v>0</v>
      </c>
    </row>
    <row r="271" spans="1:20" ht="22.15" hidden="1" customHeight="1">
      <c r="A271" s="63"/>
      <c r="B271" s="1599" t="s">
        <v>637</v>
      </c>
      <c r="C271" s="64" t="str">
        <f t="shared" ref="C271:C334" si="46">IF(OR(P271&lt;&gt;0,H271&lt;&gt;0),"x"," ")</f>
        <v xml:space="preserve"> </v>
      </c>
      <c r="D271" s="1546"/>
      <c r="E271" s="1051" t="str">
        <f>VLOOKUP($B271,DG!A:D,DG!$B$2,)</f>
        <v>02.1123</v>
      </c>
      <c r="F271" s="1052" t="str">
        <f>VLOOKUP($B271,DG!A:D,DG!$C$2,)</f>
        <v>Bốc dỡ đà cản, đế néo</v>
      </c>
      <c r="G271" s="1051" t="str">
        <f>VLOOKUP($B271,DG!A:D,DG!$D$2,)</f>
        <v>tấn</v>
      </c>
      <c r="H271" s="1846"/>
      <c r="I271" s="1846"/>
      <c r="J271" s="1846"/>
      <c r="K271" s="1846"/>
      <c r="L271" s="1846"/>
      <c r="M271" s="1846"/>
      <c r="N271" s="1846"/>
      <c r="O271" s="1846"/>
      <c r="P271" s="1846"/>
      <c r="Q271" s="1055"/>
      <c r="R271" s="1055"/>
      <c r="S271" s="1055"/>
      <c r="T271" s="2059">
        <f t="shared" si="45"/>
        <v>0</v>
      </c>
    </row>
    <row r="272" spans="1:20" ht="22.15" hidden="1" customHeight="1">
      <c r="A272" s="63"/>
      <c r="B272" s="1584" t="s">
        <v>2071</v>
      </c>
      <c r="C272" s="64" t="str">
        <f t="shared" si="46"/>
        <v xml:space="preserve"> </v>
      </c>
      <c r="D272" s="1546"/>
      <c r="E272" s="1051" t="str">
        <f>VLOOKUP($B272,DG!A:C,2,)</f>
        <v>02.1451</v>
      </c>
      <c r="F272" s="1052" t="str">
        <f>VLOOKUP($B272,DG!A:C,3,)</f>
        <v>V/c đà cản vào vị trí (cự ly &lt;=100m)</v>
      </c>
      <c r="G272" s="1051" t="str">
        <f>VLOOKUP($B272,DG!A:D,4,0)</f>
        <v>tấn</v>
      </c>
      <c r="H272" s="1846"/>
      <c r="I272" s="1846"/>
      <c r="J272" s="1846"/>
      <c r="K272" s="1846"/>
      <c r="L272" s="1846"/>
      <c r="M272" s="1846"/>
      <c r="N272" s="1846"/>
      <c r="O272" s="1846"/>
      <c r="P272" s="1846"/>
      <c r="Q272" s="1058"/>
      <c r="R272" s="1058"/>
      <c r="S272" s="1058"/>
      <c r="T272" s="2059">
        <f t="shared" si="45"/>
        <v>0</v>
      </c>
    </row>
    <row r="273" spans="1:20" ht="22.15" hidden="1" customHeight="1">
      <c r="A273" s="63"/>
      <c r="B273" s="1584" t="s">
        <v>635</v>
      </c>
      <c r="C273" s="64" t="str">
        <f t="shared" si="46"/>
        <v xml:space="preserve"> </v>
      </c>
      <c r="D273" s="1546"/>
      <c r="E273" s="1051" t="str">
        <f>VLOOKUP($B273,DG!A:C,2,)</f>
        <v>02.1482</v>
      </c>
      <c r="F273" s="1052" t="str">
        <f>VLOOKUP($B273,DG!A:C,3,)</f>
        <v>V/c dụng cụ thi công vào vị trí (cự ly &lt;=100m)</v>
      </c>
      <c r="G273" s="1051" t="str">
        <f>VLOOKUP($B273,DG!A:D,4,0)</f>
        <v>tấn</v>
      </c>
      <c r="H273" s="1846"/>
      <c r="I273" s="1846"/>
      <c r="J273" s="1846"/>
      <c r="K273" s="1846"/>
      <c r="L273" s="1846"/>
      <c r="M273" s="1846"/>
      <c r="N273" s="1846"/>
      <c r="O273" s="1846"/>
      <c r="P273" s="1846"/>
      <c r="Q273" s="1058"/>
      <c r="R273" s="1058"/>
      <c r="S273" s="1058"/>
      <c r="T273" s="2059">
        <f t="shared" si="45"/>
        <v>0</v>
      </c>
    </row>
    <row r="274" spans="1:20" ht="22.15" hidden="1" customHeight="1">
      <c r="A274" s="56" t="s">
        <v>638</v>
      </c>
      <c r="B274" s="1583" t="s">
        <v>638</v>
      </c>
      <c r="C274" s="62" t="str">
        <f t="shared" si="46"/>
        <v xml:space="preserve"> </v>
      </c>
      <c r="D274" s="1541"/>
      <c r="E274" s="1048"/>
      <c r="F274" s="1396" t="s">
        <v>2364</v>
      </c>
      <c r="G274" s="1049" t="s">
        <v>2336</v>
      </c>
      <c r="H274" s="1843">
        <f>SUM(I274:O274)</f>
        <v>0</v>
      </c>
      <c r="I274" s="1844"/>
      <c r="J274" s="1844"/>
      <c r="K274" s="1844">
        <f>IFERROR(HLOOKUP(B274,pp3p1m!$1:$3,3,0),0)</f>
        <v>0</v>
      </c>
      <c r="L274" s="1844">
        <f>IFERROR(HLOOKUP(chitiet!B274,pp1p!$1:$3,3,0),0)</f>
        <v>0</v>
      </c>
      <c r="M274" s="1844"/>
      <c r="N274" s="1844"/>
      <c r="O274" s="1844"/>
      <c r="P274" s="1844"/>
      <c r="Q274" s="1050"/>
      <c r="R274" s="1050"/>
      <c r="S274" s="1050"/>
      <c r="T274" s="2059">
        <f>IFERROR(HLOOKUP(B274,pp1p!$1:$3,3,0),0)+IFERROR(HLOOKUP(B274,pp3p1m!$1:$3,3,0),0)</f>
        <v>0</v>
      </c>
    </row>
    <row r="275" spans="1:20" ht="22.15" hidden="1" customHeight="1">
      <c r="A275" s="63"/>
      <c r="B275" s="1599" t="s">
        <v>1580</v>
      </c>
      <c r="C275" s="64" t="str">
        <f t="shared" si="46"/>
        <v xml:space="preserve"> </v>
      </c>
      <c r="D275" s="1547">
        <v>1</v>
      </c>
      <c r="E275" s="1047" t="str">
        <f>VLOOKUP($B275,DG!A:D,DG!$B$2,)</f>
        <v>04.3801</v>
      </c>
      <c r="F275" s="1057" t="str">
        <f>VLOOKUP($B275,DG!A:D,DG!$C$2,)</f>
        <v>Đà cản BTCT 1,5m</v>
      </c>
      <c r="G275" s="1051" t="str">
        <f>VLOOKUP($B275,DG!A:D,DG!$D$2,)</f>
        <v>cái</v>
      </c>
      <c r="H275" s="1846">
        <f t="shared" ref="H275:N277" si="47">H$274*$D275</f>
        <v>0</v>
      </c>
      <c r="I275" s="1846">
        <f t="shared" si="47"/>
        <v>0</v>
      </c>
      <c r="J275" s="1846">
        <f t="shared" si="47"/>
        <v>0</v>
      </c>
      <c r="K275" s="1846">
        <f t="shared" si="47"/>
        <v>0</v>
      </c>
      <c r="L275" s="1846">
        <f t="shared" si="47"/>
        <v>0</v>
      </c>
      <c r="M275" s="1846">
        <f t="shared" si="47"/>
        <v>0</v>
      </c>
      <c r="N275" s="1846">
        <f t="shared" si="47"/>
        <v>0</v>
      </c>
      <c r="O275" s="1846"/>
      <c r="P275" s="1846"/>
      <c r="Q275" s="1055"/>
      <c r="R275" s="1055"/>
      <c r="S275" s="1055"/>
      <c r="T275" s="2059">
        <f t="shared" si="45"/>
        <v>0</v>
      </c>
    </row>
    <row r="276" spans="1:20" ht="22.15" hidden="1" customHeight="1">
      <c r="A276" s="63"/>
      <c r="B276" s="1599" t="s">
        <v>636</v>
      </c>
      <c r="C276" s="64" t="str">
        <f t="shared" si="46"/>
        <v xml:space="preserve"> </v>
      </c>
      <c r="D276" s="1547">
        <v>1</v>
      </c>
      <c r="E276" s="1047" t="str">
        <f>VLOOKUP($B276,DG!A:D,DG!$B$2,)</f>
        <v>04.4001</v>
      </c>
      <c r="F276" s="1057" t="str">
        <f>VLOOKUP($B276,DG!A:D,DG!$C$2,)</f>
        <v>Đà cản BTCT 1,2m</v>
      </c>
      <c r="G276" s="1051" t="str">
        <f>VLOOKUP($B276,DG!A:D,DG!$D$2,)</f>
        <v>cái</v>
      </c>
      <c r="H276" s="1846">
        <f t="shared" si="47"/>
        <v>0</v>
      </c>
      <c r="I276" s="1846">
        <f t="shared" si="47"/>
        <v>0</v>
      </c>
      <c r="J276" s="1846">
        <f t="shared" si="47"/>
        <v>0</v>
      </c>
      <c r="K276" s="1846">
        <f t="shared" si="47"/>
        <v>0</v>
      </c>
      <c r="L276" s="1846">
        <f t="shared" si="47"/>
        <v>0</v>
      </c>
      <c r="M276" s="1846">
        <f t="shared" si="47"/>
        <v>0</v>
      </c>
      <c r="N276" s="1846">
        <f t="shared" si="47"/>
        <v>0</v>
      </c>
      <c r="O276" s="1846"/>
      <c r="P276" s="1846"/>
      <c r="Q276" s="1055"/>
      <c r="R276" s="1055"/>
      <c r="S276" s="1055"/>
      <c r="T276" s="2059">
        <f t="shared" si="45"/>
        <v>0</v>
      </c>
    </row>
    <row r="277" spans="1:20" ht="22.15" hidden="1" customHeight="1">
      <c r="A277" s="63"/>
      <c r="B277" s="1599" t="s">
        <v>566</v>
      </c>
      <c r="C277" s="64" t="str">
        <f t="shared" si="46"/>
        <v xml:space="preserve"> </v>
      </c>
      <c r="D277" s="1547">
        <v>2</v>
      </c>
      <c r="E277" s="1051"/>
      <c r="F277" s="1057" t="str">
        <f>VLOOKUP($B277,DG!A:D,DG!$C$2,)</f>
        <v>Boulon 22x650+ 2 long đền vuông D24-50x50x3/Zn</v>
      </c>
      <c r="G277" s="1051" t="str">
        <f>VLOOKUP($B277,DG!A:D,DG!$D$2,)</f>
        <v>bộ</v>
      </c>
      <c r="H277" s="1846">
        <f t="shared" si="47"/>
        <v>0</v>
      </c>
      <c r="I277" s="1846">
        <f t="shared" si="47"/>
        <v>0</v>
      </c>
      <c r="J277" s="1846">
        <f t="shared" si="47"/>
        <v>0</v>
      </c>
      <c r="K277" s="1846">
        <f t="shared" si="47"/>
        <v>0</v>
      </c>
      <c r="L277" s="1846">
        <f t="shared" si="47"/>
        <v>0</v>
      </c>
      <c r="M277" s="1846">
        <f t="shared" si="47"/>
        <v>0</v>
      </c>
      <c r="N277" s="1846">
        <f t="shared" si="47"/>
        <v>0</v>
      </c>
      <c r="O277" s="1846"/>
      <c r="P277" s="1846"/>
      <c r="Q277" s="1055"/>
      <c r="R277" s="1055"/>
      <c r="S277" s="1055"/>
      <c r="T277" s="2059">
        <f t="shared" si="45"/>
        <v>0</v>
      </c>
    </row>
    <row r="278" spans="1:20" ht="22.15" hidden="1" customHeight="1">
      <c r="A278" s="63"/>
      <c r="B278" s="1599" t="s">
        <v>639</v>
      </c>
      <c r="C278" s="64" t="str">
        <f t="shared" si="46"/>
        <v xml:space="preserve"> </v>
      </c>
      <c r="D278" s="1546">
        <v>7.3</v>
      </c>
      <c r="E278" s="1051" t="str">
        <f>VLOOKUP($B278,DG!A:D,DG!$B$2,)</f>
        <v>03.1013</v>
      </c>
      <c r="F278" s="1052" t="str">
        <f>VLOOKUP($B278,DG!A:D,DG!$C$2,)</f>
        <v>Đào hố móng đất cấp 3 sâu &gt;1m</v>
      </c>
      <c r="G278" s="1051" t="str">
        <f>VLOOKUP($B278,DG!A:D,DG!$D$2,)</f>
        <v>m3</v>
      </c>
      <c r="H278" s="1846"/>
      <c r="I278" s="1846"/>
      <c r="J278" s="1846"/>
      <c r="K278" s="1846"/>
      <c r="L278" s="1846"/>
      <c r="M278" s="1846"/>
      <c r="N278" s="1846"/>
      <c r="O278" s="1846"/>
      <c r="P278" s="1846"/>
      <c r="Q278" s="1058"/>
      <c r="R278" s="1058"/>
      <c r="S278" s="1058"/>
      <c r="T278" s="2059">
        <f t="shared" si="45"/>
        <v>0</v>
      </c>
    </row>
    <row r="279" spans="1:20" ht="22.15" hidden="1" customHeight="1">
      <c r="A279" s="63"/>
      <c r="B279" s="1599" t="s">
        <v>21</v>
      </c>
      <c r="C279" s="64" t="str">
        <f t="shared" si="46"/>
        <v xml:space="preserve"> </v>
      </c>
      <c r="D279" s="1546">
        <v>8.51</v>
      </c>
      <c r="E279" s="1051" t="str">
        <f>VLOOKUP($B279,DG!A:D,DG!$B$2,)</f>
        <v>03.4113</v>
      </c>
      <c r="F279" s="1052" t="str">
        <f>VLOOKUP($B279,DG!A:D,DG!$C$2,)</f>
        <v>Đắp đất hố móng, độ chặt k=0,95</v>
      </c>
      <c r="G279" s="1051" t="str">
        <f>VLOOKUP($B279,DG!A:D,DG!$D$2,)</f>
        <v>m3</v>
      </c>
      <c r="H279" s="1846"/>
      <c r="I279" s="1846"/>
      <c r="J279" s="1846"/>
      <c r="K279" s="1846"/>
      <c r="L279" s="1846"/>
      <c r="M279" s="1846"/>
      <c r="N279" s="1846"/>
      <c r="O279" s="1846"/>
      <c r="P279" s="1846"/>
      <c r="Q279" s="1058"/>
      <c r="R279" s="1058"/>
      <c r="S279" s="1058"/>
      <c r="T279" s="2059">
        <f t="shared" si="45"/>
        <v>0</v>
      </c>
    </row>
    <row r="280" spans="1:20" ht="22.15" hidden="1" customHeight="1">
      <c r="A280" s="63"/>
      <c r="B280" s="1599" t="s">
        <v>637</v>
      </c>
      <c r="C280" s="64" t="str">
        <f t="shared" si="46"/>
        <v xml:space="preserve"> </v>
      </c>
      <c r="D280" s="1546">
        <f>0.255+0.1</f>
        <v>0.35499999999999998</v>
      </c>
      <c r="E280" s="1051" t="str">
        <f>VLOOKUP($B280,DG!A:D,DG!$B$2,)</f>
        <v>02.1123</v>
      </c>
      <c r="F280" s="1052" t="str">
        <f>VLOOKUP($B280,DG!A:D,DG!$C$2,)</f>
        <v>Bốc dỡ đà cản, đế néo</v>
      </c>
      <c r="G280" s="1051" t="str">
        <f>VLOOKUP($B280,DG!A:D,DG!$D$2,)</f>
        <v>tấn</v>
      </c>
      <c r="H280" s="1846"/>
      <c r="I280" s="1846"/>
      <c r="J280" s="1846"/>
      <c r="K280" s="1846"/>
      <c r="L280" s="1846"/>
      <c r="M280" s="1846"/>
      <c r="N280" s="1846"/>
      <c r="O280" s="1846"/>
      <c r="P280" s="1846"/>
      <c r="Q280" s="1055"/>
      <c r="R280" s="1055"/>
      <c r="S280" s="1055"/>
      <c r="T280" s="2059">
        <f t="shared" si="45"/>
        <v>0</v>
      </c>
    </row>
    <row r="281" spans="1:20" ht="22.15" hidden="1" customHeight="1">
      <c r="A281" s="63"/>
      <c r="B281" s="1584" t="s">
        <v>2071</v>
      </c>
      <c r="C281" s="64" t="str">
        <f t="shared" si="46"/>
        <v xml:space="preserve"> </v>
      </c>
      <c r="D281" s="1546">
        <f>D280</f>
        <v>0.35499999999999998</v>
      </c>
      <c r="E281" s="1051" t="str">
        <f>VLOOKUP($B281,DG!A:C,2,)</f>
        <v>02.1451</v>
      </c>
      <c r="F281" s="1052" t="str">
        <f>VLOOKUP($B281,DG!A:C,3,)</f>
        <v>V/c đà cản vào vị trí (cự ly &lt;=100m)</v>
      </c>
      <c r="G281" s="1051" t="str">
        <f>VLOOKUP($B281,DG!A:D,4,0)</f>
        <v>tấn</v>
      </c>
      <c r="H281" s="1846"/>
      <c r="I281" s="1846"/>
      <c r="J281" s="1846"/>
      <c r="K281" s="1846"/>
      <c r="L281" s="1846"/>
      <c r="M281" s="1846"/>
      <c r="N281" s="1846"/>
      <c r="O281" s="1846"/>
      <c r="P281" s="1846"/>
      <c r="Q281" s="1058"/>
      <c r="R281" s="1058"/>
      <c r="S281" s="1058"/>
      <c r="T281" s="2059">
        <f t="shared" si="45"/>
        <v>0</v>
      </c>
    </row>
    <row r="282" spans="1:20" ht="22.15" hidden="1" customHeight="1">
      <c r="A282" s="63"/>
      <c r="B282" s="1584" t="s">
        <v>635</v>
      </c>
      <c r="C282" s="64" t="str">
        <f t="shared" si="46"/>
        <v xml:space="preserve"> </v>
      </c>
      <c r="D282" s="1546">
        <v>0.2</v>
      </c>
      <c r="E282" s="1051" t="str">
        <f>VLOOKUP($B282,DG!A:C,2,)</f>
        <v>02.1482</v>
      </c>
      <c r="F282" s="1052" t="str">
        <f>VLOOKUP($B282,DG!A:C,3,)</f>
        <v>V/c dụng cụ thi công vào vị trí (cự ly &lt;=100m)</v>
      </c>
      <c r="G282" s="1051" t="str">
        <f>VLOOKUP($B282,DG!A:D,4,0)</f>
        <v>tấn</v>
      </c>
      <c r="H282" s="1846"/>
      <c r="I282" s="1846"/>
      <c r="J282" s="1846"/>
      <c r="K282" s="1846"/>
      <c r="L282" s="1846"/>
      <c r="M282" s="1846"/>
      <c r="N282" s="1846"/>
      <c r="O282" s="1846"/>
      <c r="P282" s="1846"/>
      <c r="Q282" s="1058"/>
      <c r="R282" s="1058"/>
      <c r="S282" s="1058"/>
      <c r="T282" s="2059">
        <f t="shared" si="45"/>
        <v>0</v>
      </c>
    </row>
    <row r="283" spans="1:20" ht="22.15" hidden="1" customHeight="1">
      <c r="A283" s="56" t="s">
        <v>647</v>
      </c>
      <c r="B283" s="1583" t="s">
        <v>647</v>
      </c>
      <c r="C283" s="62" t="str">
        <f t="shared" si="46"/>
        <v xml:space="preserve"> </v>
      </c>
      <c r="D283" s="1541"/>
      <c r="E283" s="1048"/>
      <c r="F283" s="1396" t="s">
        <v>2365</v>
      </c>
      <c r="G283" s="1049" t="s">
        <v>2336</v>
      </c>
      <c r="H283" s="1843">
        <f>SUM(I283:O283)</f>
        <v>0</v>
      </c>
      <c r="I283" s="1844"/>
      <c r="J283" s="1844"/>
      <c r="K283" s="1844">
        <f>IFERROR(HLOOKUP(B283,pp3p1m!$1:$3,3,0),0)</f>
        <v>0</v>
      </c>
      <c r="L283" s="1844">
        <f>IFERROR(HLOOKUP(chitiet!B283,pp1p!$1:$3,3,0),0)</f>
        <v>0</v>
      </c>
      <c r="M283" s="1844"/>
      <c r="N283" s="1844"/>
      <c r="O283" s="1844"/>
      <c r="P283" s="1844"/>
      <c r="Q283" s="1050"/>
      <c r="R283" s="1050"/>
      <c r="S283" s="1050"/>
      <c r="T283" s="2059">
        <f>IFERROR(HLOOKUP(B283,pp1p!$1:$3,3,0),0)+IFERROR(HLOOKUP(B283,pp3p1m!$1:$3,3,0),0)</f>
        <v>0</v>
      </c>
    </row>
    <row r="284" spans="1:20" ht="22.15" hidden="1" customHeight="1">
      <c r="A284" s="63"/>
      <c r="B284" s="1599" t="s">
        <v>1580</v>
      </c>
      <c r="C284" s="64" t="str">
        <f t="shared" si="46"/>
        <v xml:space="preserve"> </v>
      </c>
      <c r="D284" s="1547">
        <v>2</v>
      </c>
      <c r="E284" s="1047" t="str">
        <f>VLOOKUP($B284,DG!A:D,DG!$B$2,)</f>
        <v>04.3801</v>
      </c>
      <c r="F284" s="1057" t="str">
        <f>VLOOKUP($B284,DG!A:D,DG!$C$2,)</f>
        <v>Đà cản BTCT 1,5m</v>
      </c>
      <c r="G284" s="1051" t="str">
        <f>VLOOKUP($B284,DG!A:D,DG!$D$2,)</f>
        <v>cái</v>
      </c>
      <c r="H284" s="1846">
        <f t="shared" ref="H284:N285" si="48">H$283*$D284</f>
        <v>0</v>
      </c>
      <c r="I284" s="1846">
        <f t="shared" si="48"/>
        <v>0</v>
      </c>
      <c r="J284" s="1846">
        <f t="shared" si="48"/>
        <v>0</v>
      </c>
      <c r="K284" s="1846">
        <f t="shared" si="48"/>
        <v>0</v>
      </c>
      <c r="L284" s="1846">
        <f t="shared" si="48"/>
        <v>0</v>
      </c>
      <c r="M284" s="1846">
        <f t="shared" si="48"/>
        <v>0</v>
      </c>
      <c r="N284" s="1846">
        <f t="shared" si="48"/>
        <v>0</v>
      </c>
      <c r="O284" s="1846"/>
      <c r="P284" s="1846"/>
      <c r="Q284" s="1055"/>
      <c r="R284" s="1055"/>
      <c r="S284" s="1055"/>
      <c r="T284" s="2059">
        <f t="shared" si="45"/>
        <v>0</v>
      </c>
    </row>
    <row r="285" spans="1:20" ht="22.15" hidden="1" customHeight="1">
      <c r="A285" s="63"/>
      <c r="B285" s="1599" t="s">
        <v>566</v>
      </c>
      <c r="C285" s="64" t="str">
        <f t="shared" si="46"/>
        <v xml:space="preserve"> </v>
      </c>
      <c r="D285" s="1547">
        <v>2</v>
      </c>
      <c r="E285" s="1051"/>
      <c r="F285" s="1057" t="str">
        <f>VLOOKUP($B285,DG!A:D,DG!$C$2,)</f>
        <v>Boulon 22x650+ 2 long đền vuông D24-50x50x3/Zn</v>
      </c>
      <c r="G285" s="1051" t="str">
        <f>VLOOKUP($B285,DG!A:D,DG!$D$2,)</f>
        <v>bộ</v>
      </c>
      <c r="H285" s="1846">
        <f t="shared" si="48"/>
        <v>0</v>
      </c>
      <c r="I285" s="1846">
        <f t="shared" si="48"/>
        <v>0</v>
      </c>
      <c r="J285" s="1846">
        <f t="shared" si="48"/>
        <v>0</v>
      </c>
      <c r="K285" s="1846">
        <f t="shared" si="48"/>
        <v>0</v>
      </c>
      <c r="L285" s="1846">
        <f t="shared" si="48"/>
        <v>0</v>
      </c>
      <c r="M285" s="1846">
        <f t="shared" si="48"/>
        <v>0</v>
      </c>
      <c r="N285" s="1846">
        <f t="shared" si="48"/>
        <v>0</v>
      </c>
      <c r="O285" s="1846"/>
      <c r="P285" s="1846"/>
      <c r="Q285" s="1055"/>
      <c r="R285" s="1055"/>
      <c r="S285" s="1055"/>
      <c r="T285" s="2059">
        <f t="shared" si="45"/>
        <v>0</v>
      </c>
    </row>
    <row r="286" spans="1:20" ht="22.15" hidden="1" customHeight="1">
      <c r="A286" s="63"/>
      <c r="B286" s="1599" t="s">
        <v>639</v>
      </c>
      <c r="C286" s="64" t="str">
        <f t="shared" si="46"/>
        <v xml:space="preserve"> </v>
      </c>
      <c r="D286" s="1546">
        <v>9.48</v>
      </c>
      <c r="E286" s="1051" t="str">
        <f>VLOOKUP($B286,DG!A:D,DG!$B$2,)</f>
        <v>03.1013</v>
      </c>
      <c r="F286" s="1052" t="str">
        <f>VLOOKUP($B286,DG!A:D,DG!$C$2,)</f>
        <v>Đào hố móng đất cấp 3 sâu &gt;1m</v>
      </c>
      <c r="G286" s="1051" t="str">
        <f>VLOOKUP($B286,DG!A:D,DG!$D$2,)</f>
        <v>m3</v>
      </c>
      <c r="H286" s="1846"/>
      <c r="I286" s="1846"/>
      <c r="J286" s="1846"/>
      <c r="K286" s="1846"/>
      <c r="L286" s="1846"/>
      <c r="M286" s="1846"/>
      <c r="N286" s="1846"/>
      <c r="O286" s="1846"/>
      <c r="P286" s="1846"/>
      <c r="Q286" s="1058"/>
      <c r="R286" s="1058"/>
      <c r="S286" s="1058"/>
      <c r="T286" s="2059">
        <f t="shared" si="45"/>
        <v>0</v>
      </c>
    </row>
    <row r="287" spans="1:20" ht="22.15" hidden="1" customHeight="1">
      <c r="A287" s="63"/>
      <c r="B287" s="1599" t="s">
        <v>21</v>
      </c>
      <c r="C287" s="64" t="str">
        <f t="shared" si="46"/>
        <v xml:space="preserve"> </v>
      </c>
      <c r="D287" s="1546">
        <v>10.94</v>
      </c>
      <c r="E287" s="1051" t="str">
        <f>VLOOKUP($B287,DG!A:D,DG!$B$2,)</f>
        <v>03.4113</v>
      </c>
      <c r="F287" s="1052" t="str">
        <f>VLOOKUP($B287,DG!A:D,DG!$C$2,)</f>
        <v>Đắp đất hố móng, độ chặt k=0,95</v>
      </c>
      <c r="G287" s="1051" t="str">
        <f>VLOOKUP($B287,DG!A:D,DG!$D$2,)</f>
        <v>m3</v>
      </c>
      <c r="H287" s="1846"/>
      <c r="I287" s="1846"/>
      <c r="J287" s="1846"/>
      <c r="K287" s="1846"/>
      <c r="L287" s="1846"/>
      <c r="M287" s="1846"/>
      <c r="N287" s="1846"/>
      <c r="O287" s="1846"/>
      <c r="P287" s="1846"/>
      <c r="Q287" s="1058"/>
      <c r="R287" s="1058"/>
      <c r="S287" s="1058"/>
      <c r="T287" s="2059">
        <f t="shared" si="45"/>
        <v>0</v>
      </c>
    </row>
    <row r="288" spans="1:20" ht="22.15" hidden="1" customHeight="1">
      <c r="A288" s="63"/>
      <c r="B288" s="1599" t="s">
        <v>637</v>
      </c>
      <c r="C288" s="64" t="str">
        <f t="shared" si="46"/>
        <v xml:space="preserve"> </v>
      </c>
      <c r="D288" s="1546">
        <f>0.255*2</f>
        <v>0.51</v>
      </c>
      <c r="E288" s="1051" t="str">
        <f>VLOOKUP($B288,DG!A:D,DG!$B$2,)</f>
        <v>02.1123</v>
      </c>
      <c r="F288" s="1052" t="str">
        <f>VLOOKUP($B288,DG!A:D,DG!$C$2,)</f>
        <v>Bốc dỡ đà cản, đế néo</v>
      </c>
      <c r="G288" s="1051" t="str">
        <f>VLOOKUP($B288,DG!A:D,DG!$D$2,)</f>
        <v>tấn</v>
      </c>
      <c r="H288" s="1846"/>
      <c r="I288" s="1846"/>
      <c r="J288" s="1846"/>
      <c r="K288" s="1846"/>
      <c r="L288" s="1846"/>
      <c r="M288" s="1846"/>
      <c r="N288" s="1846"/>
      <c r="O288" s="1846"/>
      <c r="P288" s="1846"/>
      <c r="Q288" s="1055"/>
      <c r="R288" s="1055"/>
      <c r="S288" s="1055"/>
      <c r="T288" s="2059">
        <f t="shared" si="45"/>
        <v>0</v>
      </c>
    </row>
    <row r="289" spans="1:20" ht="22.15" hidden="1" customHeight="1">
      <c r="A289" s="63"/>
      <c r="B289" s="1584" t="s">
        <v>2071</v>
      </c>
      <c r="C289" s="64" t="str">
        <f t="shared" si="46"/>
        <v xml:space="preserve"> </v>
      </c>
      <c r="D289" s="1546">
        <f>D288</f>
        <v>0.51</v>
      </c>
      <c r="E289" s="1051" t="str">
        <f>VLOOKUP($B289,DG!A:C,2,)</f>
        <v>02.1451</v>
      </c>
      <c r="F289" s="1052" t="str">
        <f>VLOOKUP($B289,DG!A:C,3,)</f>
        <v>V/c đà cản vào vị trí (cự ly &lt;=100m)</v>
      </c>
      <c r="G289" s="1051" t="str">
        <f>VLOOKUP($B289,DG!A:D,4,0)</f>
        <v>tấn</v>
      </c>
      <c r="H289" s="1846"/>
      <c r="I289" s="1846"/>
      <c r="J289" s="1846"/>
      <c r="K289" s="1846"/>
      <c r="L289" s="1846"/>
      <c r="M289" s="1846"/>
      <c r="N289" s="1846"/>
      <c r="O289" s="1846"/>
      <c r="P289" s="1846"/>
      <c r="Q289" s="1058"/>
      <c r="R289" s="1058"/>
      <c r="S289" s="1058"/>
      <c r="T289" s="2059">
        <f t="shared" si="45"/>
        <v>0</v>
      </c>
    </row>
    <row r="290" spans="1:20" ht="22.15" hidden="1" customHeight="1">
      <c r="A290" s="63"/>
      <c r="B290" s="1584" t="s">
        <v>635</v>
      </c>
      <c r="C290" s="64" t="str">
        <f t="shared" si="46"/>
        <v xml:space="preserve"> </v>
      </c>
      <c r="D290" s="1546">
        <v>0.2</v>
      </c>
      <c r="E290" s="1051" t="str">
        <f>VLOOKUP($B290,DG!A:C,2,)</f>
        <v>02.1482</v>
      </c>
      <c r="F290" s="1052" t="str">
        <f>VLOOKUP($B290,DG!A:C,3,)</f>
        <v>V/c dụng cụ thi công vào vị trí (cự ly &lt;=100m)</v>
      </c>
      <c r="G290" s="1051" t="str">
        <f>VLOOKUP($B290,DG!A:D,4,0)</f>
        <v>tấn</v>
      </c>
      <c r="H290" s="1846"/>
      <c r="I290" s="1846"/>
      <c r="J290" s="1846"/>
      <c r="K290" s="1846"/>
      <c r="L290" s="1846"/>
      <c r="M290" s="1846"/>
      <c r="N290" s="1846"/>
      <c r="O290" s="1846"/>
      <c r="P290" s="1846"/>
      <c r="Q290" s="1058"/>
      <c r="R290" s="1058"/>
      <c r="S290" s="1058"/>
      <c r="T290" s="2059">
        <f t="shared" si="45"/>
        <v>0</v>
      </c>
    </row>
    <row r="291" spans="1:20" ht="22.15" hidden="1" customHeight="1">
      <c r="A291" s="56" t="s">
        <v>511</v>
      </c>
      <c r="B291" s="1583" t="s">
        <v>511</v>
      </c>
      <c r="C291" s="62" t="str">
        <f t="shared" si="46"/>
        <v xml:space="preserve"> </v>
      </c>
      <c r="D291" s="1541"/>
      <c r="E291" s="1048"/>
      <c r="F291" s="1396" t="s">
        <v>2366</v>
      </c>
      <c r="G291" s="1049" t="s">
        <v>2336</v>
      </c>
      <c r="H291" s="1843">
        <f>SUM(I291:O291)</f>
        <v>0</v>
      </c>
      <c r="I291" s="1844"/>
      <c r="J291" s="1844"/>
      <c r="K291" s="1844">
        <f>IFERROR(HLOOKUP(B291,pp3p1m!$1:$3,3,0),0)</f>
        <v>0</v>
      </c>
      <c r="L291" s="1844">
        <f>IFERROR(HLOOKUP(chitiet!B291,pp1p!$1:$3,3,0),0)</f>
        <v>0</v>
      </c>
      <c r="M291" s="1844"/>
      <c r="N291" s="1844"/>
      <c r="O291" s="1844"/>
      <c r="P291" s="1844"/>
      <c r="Q291" s="1050"/>
      <c r="R291" s="1050"/>
      <c r="S291" s="1050"/>
      <c r="T291" s="2059">
        <f>IFERROR(HLOOKUP(B291,pp1p!$1:$3,3,0),0)+IFERROR(HLOOKUP(B291,pp3p1m!$1:$3,3,0),0)</f>
        <v>0</v>
      </c>
    </row>
    <row r="292" spans="1:20" ht="22.15" hidden="1" customHeight="1">
      <c r="A292" s="63"/>
      <c r="B292" s="1599" t="s">
        <v>224</v>
      </c>
      <c r="C292" s="64" t="str">
        <f t="shared" si="46"/>
        <v xml:space="preserve"> </v>
      </c>
      <c r="D292" s="1547">
        <v>42</v>
      </c>
      <c r="E292" s="1047" t="str">
        <f>VLOOKUP($B292,DG!A:D,DG!$B$2,)</f>
        <v>04.5142</v>
      </c>
      <c r="F292" s="1057" t="str">
        <f>VLOOKUP($B292,DG!A:D,DG!$C$2,)</f>
        <v>Cừ tràm 5m</v>
      </c>
      <c r="G292" s="1051" t="str">
        <f>VLOOKUP($B292,DG!A:D,DG!$D$2,)</f>
        <v>cây</v>
      </c>
      <c r="H292" s="1846">
        <f t="shared" ref="H292:N294" si="49">H$291*$D292</f>
        <v>0</v>
      </c>
      <c r="I292" s="1846">
        <f t="shared" si="49"/>
        <v>0</v>
      </c>
      <c r="J292" s="1846">
        <f t="shared" si="49"/>
        <v>0</v>
      </c>
      <c r="K292" s="1846">
        <f t="shared" si="49"/>
        <v>0</v>
      </c>
      <c r="L292" s="1846">
        <f t="shared" si="49"/>
        <v>0</v>
      </c>
      <c r="M292" s="1846">
        <f t="shared" si="49"/>
        <v>0</v>
      </c>
      <c r="N292" s="1846">
        <f t="shared" si="49"/>
        <v>0</v>
      </c>
      <c r="O292" s="1846"/>
      <c r="P292" s="1846"/>
      <c r="Q292" s="1055"/>
      <c r="R292" s="1055"/>
      <c r="S292" s="1055"/>
      <c r="T292" s="2059">
        <f t="shared" si="45"/>
        <v>0</v>
      </c>
    </row>
    <row r="293" spans="1:20" ht="22.15" hidden="1" customHeight="1">
      <c r="A293" s="63"/>
      <c r="B293" s="1599" t="s">
        <v>1580</v>
      </c>
      <c r="C293" s="64" t="str">
        <f t="shared" si="46"/>
        <v xml:space="preserve"> </v>
      </c>
      <c r="D293" s="1547">
        <v>2</v>
      </c>
      <c r="E293" s="1047" t="str">
        <f>VLOOKUP($B293,DG!A:D,DG!$B$2,)</f>
        <v>04.3801</v>
      </c>
      <c r="F293" s="1057" t="str">
        <f>VLOOKUP($B293,DG!A:D,DG!$C$2,)</f>
        <v>Đà cản BTCT 1,5m</v>
      </c>
      <c r="G293" s="1051" t="str">
        <f>VLOOKUP($B293,DG!A:D,DG!$D$2,)</f>
        <v>cái</v>
      </c>
      <c r="H293" s="1846">
        <f t="shared" si="49"/>
        <v>0</v>
      </c>
      <c r="I293" s="1846">
        <f t="shared" si="49"/>
        <v>0</v>
      </c>
      <c r="J293" s="1846">
        <f t="shared" si="49"/>
        <v>0</v>
      </c>
      <c r="K293" s="1846">
        <f t="shared" si="49"/>
        <v>0</v>
      </c>
      <c r="L293" s="1846">
        <f t="shared" si="49"/>
        <v>0</v>
      </c>
      <c r="M293" s="1846">
        <f t="shared" si="49"/>
        <v>0</v>
      </c>
      <c r="N293" s="1846">
        <f t="shared" si="49"/>
        <v>0</v>
      </c>
      <c r="O293" s="1846"/>
      <c r="P293" s="1846"/>
      <c r="Q293" s="1055"/>
      <c r="R293" s="1055"/>
      <c r="S293" s="1055"/>
      <c r="T293" s="2059">
        <f t="shared" si="45"/>
        <v>0</v>
      </c>
    </row>
    <row r="294" spans="1:20" ht="22.15" hidden="1" customHeight="1">
      <c r="A294" s="63"/>
      <c r="B294" s="1599" t="s">
        <v>724</v>
      </c>
      <c r="C294" s="64" t="str">
        <f t="shared" si="46"/>
        <v xml:space="preserve"> </v>
      </c>
      <c r="D294" s="1547">
        <v>1</v>
      </c>
      <c r="E294" s="1051"/>
      <c r="F294" s="1057" t="str">
        <f>VLOOKUP($B294,DG!A:D,DG!$C$2,)</f>
        <v>Boulon 22x850+ 2 long đền vuông D24-50x50x3/Zn</v>
      </c>
      <c r="G294" s="1051" t="str">
        <f>VLOOKUP($B294,DG!A:D,DG!$D$2,)</f>
        <v>bộ</v>
      </c>
      <c r="H294" s="1846">
        <f t="shared" si="49"/>
        <v>0</v>
      </c>
      <c r="I294" s="1846">
        <f t="shared" si="49"/>
        <v>0</v>
      </c>
      <c r="J294" s="1846">
        <f t="shared" si="49"/>
        <v>0</v>
      </c>
      <c r="K294" s="1846">
        <f t="shared" si="49"/>
        <v>0</v>
      </c>
      <c r="L294" s="1846">
        <f t="shared" si="49"/>
        <v>0</v>
      </c>
      <c r="M294" s="1846">
        <f t="shared" si="49"/>
        <v>0</v>
      </c>
      <c r="N294" s="1846">
        <f t="shared" si="49"/>
        <v>0</v>
      </c>
      <c r="O294" s="1846"/>
      <c r="P294" s="1846"/>
      <c r="Q294" s="1055"/>
      <c r="R294" s="1055"/>
      <c r="S294" s="1055"/>
      <c r="T294" s="2059">
        <f t="shared" si="45"/>
        <v>0</v>
      </c>
    </row>
    <row r="295" spans="1:20" ht="22.15" hidden="1" customHeight="1">
      <c r="A295" s="63"/>
      <c r="B295" s="1599" t="s">
        <v>639</v>
      </c>
      <c r="C295" s="64" t="str">
        <f t="shared" si="46"/>
        <v xml:space="preserve"> </v>
      </c>
      <c r="D295" s="1546">
        <v>3.88</v>
      </c>
      <c r="E295" s="1051" t="str">
        <f>VLOOKUP($B295,DG!A:D,DG!$B$2,)</f>
        <v>03.1013</v>
      </c>
      <c r="F295" s="1052" t="str">
        <f>VLOOKUP($B295,DG!A:D,DG!$C$2,)</f>
        <v>Đào hố móng đất cấp 3 sâu &gt;1m</v>
      </c>
      <c r="G295" s="1051" t="str">
        <f>VLOOKUP($B295,DG!A:D,DG!$D$2,)</f>
        <v>m3</v>
      </c>
      <c r="H295" s="1846"/>
      <c r="I295" s="1846"/>
      <c r="J295" s="1846"/>
      <c r="K295" s="1846"/>
      <c r="L295" s="1846"/>
      <c r="M295" s="1846"/>
      <c r="N295" s="1846"/>
      <c r="O295" s="1846"/>
      <c r="P295" s="1846"/>
      <c r="Q295" s="1058"/>
      <c r="R295" s="1058"/>
      <c r="S295" s="1058"/>
      <c r="T295" s="2059">
        <f t="shared" si="45"/>
        <v>0</v>
      </c>
    </row>
    <row r="296" spans="1:20" ht="22.15" hidden="1" customHeight="1">
      <c r="A296" s="63"/>
      <c r="B296" s="1599" t="s">
        <v>21</v>
      </c>
      <c r="C296" s="64" t="str">
        <f t="shared" si="46"/>
        <v xml:space="preserve"> </v>
      </c>
      <c r="D296" s="1546">
        <v>4.34</v>
      </c>
      <c r="E296" s="1051" t="str">
        <f>VLOOKUP($B296,DG!A:D,DG!$B$2,)</f>
        <v>03.4113</v>
      </c>
      <c r="F296" s="1052" t="str">
        <f>VLOOKUP($B296,DG!A:D,DG!$C$2,)</f>
        <v>Đắp đất hố móng, độ chặt k=0,95</v>
      </c>
      <c r="G296" s="1051" t="str">
        <f>VLOOKUP($B296,DG!A:D,DG!$D$2,)</f>
        <v>m3</v>
      </c>
      <c r="H296" s="1846"/>
      <c r="I296" s="1846"/>
      <c r="J296" s="1846"/>
      <c r="K296" s="1846"/>
      <c r="L296" s="1846"/>
      <c r="M296" s="1846"/>
      <c r="N296" s="1846"/>
      <c r="O296" s="1846"/>
      <c r="P296" s="1846"/>
      <c r="Q296" s="1058"/>
      <c r="R296" s="1058"/>
      <c r="S296" s="1058"/>
      <c r="T296" s="2059">
        <f t="shared" si="45"/>
        <v>0</v>
      </c>
    </row>
    <row r="297" spans="1:20" ht="22.15" hidden="1" customHeight="1">
      <c r="A297" s="63"/>
      <c r="B297" s="1599" t="s">
        <v>637</v>
      </c>
      <c r="C297" s="64" t="str">
        <f t="shared" si="46"/>
        <v xml:space="preserve"> </v>
      </c>
      <c r="D297" s="1546">
        <f>0.255*2</f>
        <v>0.51</v>
      </c>
      <c r="E297" s="1051" t="str">
        <f>VLOOKUP($B297,DG!A:D,DG!$B$2,)</f>
        <v>02.1123</v>
      </c>
      <c r="F297" s="1052" t="str">
        <f>VLOOKUP($B297,DG!A:D,DG!$C$2,)</f>
        <v>Bốc dỡ đà cản, đế néo</v>
      </c>
      <c r="G297" s="1051" t="str">
        <f>VLOOKUP($B297,DG!A:D,DG!$D$2,)</f>
        <v>tấn</v>
      </c>
      <c r="H297" s="1846"/>
      <c r="I297" s="1846"/>
      <c r="J297" s="1846"/>
      <c r="K297" s="1846"/>
      <c r="L297" s="1846"/>
      <c r="M297" s="1846"/>
      <c r="N297" s="1846"/>
      <c r="O297" s="1846"/>
      <c r="P297" s="1846"/>
      <c r="Q297" s="1058"/>
      <c r="R297" s="1058"/>
      <c r="S297" s="1058"/>
      <c r="T297" s="2059">
        <f t="shared" si="45"/>
        <v>0</v>
      </c>
    </row>
    <row r="298" spans="1:20" ht="22.15" hidden="1" customHeight="1">
      <c r="A298" s="63"/>
      <c r="B298" s="1599" t="s">
        <v>1582</v>
      </c>
      <c r="C298" s="64" t="str">
        <f t="shared" si="46"/>
        <v xml:space="preserve"> </v>
      </c>
      <c r="D298" s="1547">
        <f>D292</f>
        <v>42</v>
      </c>
      <c r="E298" s="1051" t="str">
        <f>VLOOKUP($B298,DG!A:D,DG!$B$2,)</f>
        <v>02.1119</v>
      </c>
      <c r="F298" s="1052" t="str">
        <f>VLOOKUP($B298,DG!A:D,DG!$C$2,)</f>
        <v>Bốc dỡ cừ tràm 5m</v>
      </c>
      <c r="G298" s="1051" t="str">
        <f>VLOOKUP($B298,DG!A:D,DG!$D$2,)</f>
        <v>cây</v>
      </c>
      <c r="H298" s="1846"/>
      <c r="I298" s="1846"/>
      <c r="J298" s="1846"/>
      <c r="K298" s="1846"/>
      <c r="L298" s="1846"/>
      <c r="M298" s="1846"/>
      <c r="N298" s="1846"/>
      <c r="O298" s="1846"/>
      <c r="P298" s="1846"/>
      <c r="Q298" s="1058"/>
      <c r="R298" s="1058"/>
      <c r="S298" s="1058"/>
      <c r="T298" s="2059">
        <f t="shared" si="45"/>
        <v>0</v>
      </c>
    </row>
    <row r="299" spans="1:20" ht="22.15" hidden="1" customHeight="1">
      <c r="A299" s="63"/>
      <c r="B299" s="1601" t="s">
        <v>634</v>
      </c>
      <c r="C299" s="64" t="str">
        <f t="shared" si="46"/>
        <v xml:space="preserve"> </v>
      </c>
      <c r="D299" s="1547">
        <f>D292</f>
        <v>42</v>
      </c>
      <c r="E299" s="1051" t="str">
        <f>VLOOKUP($B299,DG!A:C,2,)</f>
        <v>02.1411</v>
      </c>
      <c r="F299" s="1052" t="str">
        <f>VLOOKUP($B299,DG!A:C,3,)</f>
        <v>V/c cừ tràm 5m ( cự ly &lt;=100m)</v>
      </c>
      <c r="G299" s="1051" t="str">
        <f>VLOOKUP($B299,DG!A:D,4,0)</f>
        <v>cây</v>
      </c>
      <c r="H299" s="1846"/>
      <c r="I299" s="1846"/>
      <c r="J299" s="1846"/>
      <c r="K299" s="1846"/>
      <c r="L299" s="1846"/>
      <c r="M299" s="1846"/>
      <c r="N299" s="1846"/>
      <c r="O299" s="1846"/>
      <c r="P299" s="1846"/>
      <c r="Q299" s="1058"/>
      <c r="R299" s="1058"/>
      <c r="S299" s="1058"/>
      <c r="T299" s="2059">
        <f t="shared" si="45"/>
        <v>0</v>
      </c>
    </row>
    <row r="300" spans="1:20" ht="22.15" hidden="1" customHeight="1">
      <c r="A300" s="63"/>
      <c r="B300" s="1584" t="s">
        <v>2071</v>
      </c>
      <c r="C300" s="64" t="str">
        <f t="shared" si="46"/>
        <v xml:space="preserve"> </v>
      </c>
      <c r="D300" s="1546">
        <f>D297</f>
        <v>0.51</v>
      </c>
      <c r="E300" s="1051" t="str">
        <f>VLOOKUP($B300,DG!A:C,2,)</f>
        <v>02.1451</v>
      </c>
      <c r="F300" s="1052" t="str">
        <f>VLOOKUP($B300,DG!A:C,3,)</f>
        <v>V/c đà cản vào vị trí (cự ly &lt;=100m)</v>
      </c>
      <c r="G300" s="1051" t="str">
        <f>VLOOKUP($B300,DG!A:D,4,0)</f>
        <v>tấn</v>
      </c>
      <c r="H300" s="1846"/>
      <c r="I300" s="1846"/>
      <c r="J300" s="1846"/>
      <c r="K300" s="1846"/>
      <c r="L300" s="1846"/>
      <c r="M300" s="1846"/>
      <c r="N300" s="1846"/>
      <c r="O300" s="1846"/>
      <c r="P300" s="1846"/>
      <c r="Q300" s="1058"/>
      <c r="R300" s="1058"/>
      <c r="S300" s="1058"/>
      <c r="T300" s="2059">
        <f t="shared" si="45"/>
        <v>0</v>
      </c>
    </row>
    <row r="301" spans="1:20" ht="22.15" hidden="1" customHeight="1">
      <c r="A301" s="63"/>
      <c r="B301" s="1584" t="s">
        <v>635</v>
      </c>
      <c r="C301" s="64" t="str">
        <f t="shared" si="46"/>
        <v xml:space="preserve"> </v>
      </c>
      <c r="D301" s="1546">
        <v>0.2</v>
      </c>
      <c r="E301" s="1051" t="str">
        <f>VLOOKUP($B301,DG!A:C,2,)</f>
        <v>02.1482</v>
      </c>
      <c r="F301" s="1052" t="str">
        <f>VLOOKUP($B301,DG!A:C,3,)</f>
        <v>V/c dụng cụ thi công vào vị trí (cự ly &lt;=100m)</v>
      </c>
      <c r="G301" s="1051" t="str">
        <f>VLOOKUP($B301,DG!A:D,4,0)</f>
        <v>tấn</v>
      </c>
      <c r="H301" s="1846"/>
      <c r="I301" s="1846"/>
      <c r="J301" s="1846"/>
      <c r="K301" s="1846"/>
      <c r="L301" s="1846"/>
      <c r="M301" s="1846"/>
      <c r="N301" s="1846"/>
      <c r="O301" s="1846"/>
      <c r="P301" s="1846"/>
      <c r="Q301" s="1058"/>
      <c r="R301" s="1058"/>
      <c r="S301" s="1058"/>
      <c r="T301" s="2059">
        <f t="shared" si="45"/>
        <v>0</v>
      </c>
    </row>
    <row r="302" spans="1:20" ht="22.15" hidden="1" customHeight="1" collapsed="1">
      <c r="A302" s="56" t="s">
        <v>646</v>
      </c>
      <c r="B302" s="1583" t="s">
        <v>646</v>
      </c>
      <c r="C302" s="62" t="str">
        <f t="shared" si="46"/>
        <v xml:space="preserve"> </v>
      </c>
      <c r="D302" s="1541"/>
      <c r="E302" s="1048"/>
      <c r="F302" s="1396" t="s">
        <v>2367</v>
      </c>
      <c r="G302" s="1049" t="s">
        <v>2336</v>
      </c>
      <c r="H302" s="1843">
        <f>SUM(I302:O302)</f>
        <v>0</v>
      </c>
      <c r="I302" s="1844"/>
      <c r="J302" s="1844"/>
      <c r="K302" s="1844">
        <f>IFERROR(HLOOKUP(B302,pp3p1m!$1:$3,3,0),0)</f>
        <v>0</v>
      </c>
      <c r="L302" s="1844">
        <f>IFERROR(HLOOKUP(chitiet!B302,pp1p!$1:$3,3,0),0)</f>
        <v>0</v>
      </c>
      <c r="M302" s="1844"/>
      <c r="N302" s="1844"/>
      <c r="O302" s="1844"/>
      <c r="P302" s="1844"/>
      <c r="Q302" s="1050"/>
      <c r="R302" s="1050"/>
      <c r="S302" s="1050"/>
      <c r="T302" s="2059">
        <f>IFERROR(HLOOKUP(B302,pp1p!$1:$3,3,0),0)+IFERROR(HLOOKUP(B302,pp3p1m!$1:$3,3,0),0)</f>
        <v>0</v>
      </c>
    </row>
    <row r="303" spans="1:20" ht="22.15" hidden="1" customHeight="1">
      <c r="A303" s="63"/>
      <c r="B303" s="1599" t="s">
        <v>636</v>
      </c>
      <c r="C303" s="64" t="str">
        <f t="shared" si="46"/>
        <v xml:space="preserve"> </v>
      </c>
      <c r="D303" s="1547">
        <v>2</v>
      </c>
      <c r="E303" s="1047" t="str">
        <f>VLOOKUP($B303,DG!A:D,DG!$B$2,)</f>
        <v>04.4001</v>
      </c>
      <c r="F303" s="1057" t="str">
        <f>VLOOKUP($B303,DG!A:D,DG!$C$2,)</f>
        <v>Đà cản BTCT 1,2m</v>
      </c>
      <c r="G303" s="1051" t="str">
        <f>VLOOKUP($B303,DG!A:D,DG!$D$2,)</f>
        <v>cái</v>
      </c>
      <c r="H303" s="1846">
        <f t="shared" ref="H303:N303" si="50">H$302*$D303</f>
        <v>0</v>
      </c>
      <c r="I303" s="1846">
        <f t="shared" si="50"/>
        <v>0</v>
      </c>
      <c r="J303" s="1846">
        <f t="shared" si="50"/>
        <v>0</v>
      </c>
      <c r="K303" s="1846">
        <f t="shared" si="50"/>
        <v>0</v>
      </c>
      <c r="L303" s="1846">
        <f t="shared" si="50"/>
        <v>0</v>
      </c>
      <c r="M303" s="1846">
        <f t="shared" si="50"/>
        <v>0</v>
      </c>
      <c r="N303" s="1846">
        <f t="shared" si="50"/>
        <v>0</v>
      </c>
      <c r="O303" s="1846"/>
      <c r="P303" s="1846"/>
      <c r="Q303" s="1055"/>
      <c r="R303" s="1055"/>
      <c r="S303" s="1055"/>
      <c r="T303" s="2059">
        <f t="shared" si="45"/>
        <v>0</v>
      </c>
    </row>
    <row r="304" spans="1:20" ht="22.15" hidden="1" customHeight="1">
      <c r="A304" s="63"/>
      <c r="B304" s="1599" t="s">
        <v>724</v>
      </c>
      <c r="C304" s="64" t="str">
        <f t="shared" si="46"/>
        <v xml:space="preserve"> </v>
      </c>
      <c r="D304" s="1547">
        <v>1</v>
      </c>
      <c r="E304" s="1051"/>
      <c r="F304" s="1057" t="str">
        <f>VLOOKUP($B304,DG!A:D,DG!$C$2,)</f>
        <v>Boulon 22x850+ 2 long đền vuông D24-50x50x3/Zn</v>
      </c>
      <c r="G304" s="1051" t="str">
        <f>VLOOKUP($B304,DG!A:D,DG!$D$2,)</f>
        <v>bộ</v>
      </c>
      <c r="H304" s="1846">
        <f>$H$302*D304</f>
        <v>0</v>
      </c>
      <c r="I304" s="1846">
        <f t="shared" ref="I304:N304" si="51">I$302*$D304</f>
        <v>0</v>
      </c>
      <c r="J304" s="1846">
        <f t="shared" si="51"/>
        <v>0</v>
      </c>
      <c r="K304" s="1846">
        <f t="shared" si="51"/>
        <v>0</v>
      </c>
      <c r="L304" s="1846">
        <f t="shared" si="51"/>
        <v>0</v>
      </c>
      <c r="M304" s="1846">
        <f t="shared" si="51"/>
        <v>0</v>
      </c>
      <c r="N304" s="1846">
        <f t="shared" si="51"/>
        <v>0</v>
      </c>
      <c r="O304" s="1846"/>
      <c r="P304" s="1846"/>
      <c r="Q304" s="1055"/>
      <c r="R304" s="1055"/>
      <c r="S304" s="1055"/>
      <c r="T304" s="2059">
        <f t="shared" si="45"/>
        <v>0</v>
      </c>
    </row>
    <row r="305" spans="1:20" ht="22.15" hidden="1" customHeight="1">
      <c r="A305" s="63"/>
      <c r="B305" s="1599" t="s">
        <v>639</v>
      </c>
      <c r="C305" s="64" t="str">
        <f t="shared" si="46"/>
        <v xml:space="preserve"> </v>
      </c>
      <c r="D305" s="1546">
        <v>1.0900000000000001</v>
      </c>
      <c r="E305" s="1051" t="str">
        <f>VLOOKUP($B305,DG!A:D,DG!$B$2,)</f>
        <v>03.1013</v>
      </c>
      <c r="F305" s="1052" t="str">
        <f>VLOOKUP($B305,DG!A:D,DG!$C$2,)</f>
        <v>Đào hố móng đất cấp 3 sâu &gt;1m</v>
      </c>
      <c r="G305" s="1051" t="str">
        <f>VLOOKUP($B305,DG!A:D,DG!$D$2,)</f>
        <v>m3</v>
      </c>
      <c r="H305" s="1846"/>
      <c r="I305" s="1846"/>
      <c r="J305" s="1846"/>
      <c r="K305" s="1846"/>
      <c r="L305" s="1846"/>
      <c r="M305" s="1846"/>
      <c r="N305" s="1846"/>
      <c r="O305" s="1846"/>
      <c r="P305" s="1846"/>
      <c r="Q305" s="1058"/>
      <c r="R305" s="1058"/>
      <c r="S305" s="1058"/>
      <c r="T305" s="2059">
        <f t="shared" si="45"/>
        <v>0</v>
      </c>
    </row>
    <row r="306" spans="1:20" ht="22.15" hidden="1" customHeight="1">
      <c r="A306" s="63"/>
      <c r="B306" s="1599" t="s">
        <v>21</v>
      </c>
      <c r="C306" s="64" t="str">
        <f t="shared" si="46"/>
        <v xml:space="preserve"> </v>
      </c>
      <c r="D306" s="1546">
        <v>1.02</v>
      </c>
      <c r="E306" s="1051" t="str">
        <f>VLOOKUP($B306,DG!A:D,DG!$B$2,)</f>
        <v>03.4113</v>
      </c>
      <c r="F306" s="1052" t="str">
        <f>VLOOKUP($B306,DG!A:D,DG!$C$2,)</f>
        <v>Đắp đất hố móng, độ chặt k=0,95</v>
      </c>
      <c r="G306" s="1051" t="str">
        <f>VLOOKUP($B306,DG!A:D,DG!$D$2,)</f>
        <v>m3</v>
      </c>
      <c r="H306" s="1846"/>
      <c r="I306" s="1846"/>
      <c r="J306" s="1846"/>
      <c r="K306" s="1846"/>
      <c r="L306" s="1846"/>
      <c r="M306" s="1846"/>
      <c r="N306" s="1846"/>
      <c r="O306" s="1846"/>
      <c r="P306" s="1846"/>
      <c r="Q306" s="1058"/>
      <c r="R306" s="1058"/>
      <c r="S306" s="1058"/>
      <c r="T306" s="2059">
        <f t="shared" si="45"/>
        <v>0</v>
      </c>
    </row>
    <row r="307" spans="1:20" ht="22.15" hidden="1" customHeight="1">
      <c r="A307" s="56" t="s">
        <v>1907</v>
      </c>
      <c r="B307" s="1583" t="s">
        <v>1907</v>
      </c>
      <c r="C307" s="62" t="str">
        <f t="shared" si="46"/>
        <v xml:space="preserve"> </v>
      </c>
      <c r="D307" s="1541"/>
      <c r="E307" s="1048"/>
      <c r="F307" s="1396" t="s">
        <v>2368</v>
      </c>
      <c r="G307" s="1049" t="s">
        <v>2336</v>
      </c>
      <c r="H307" s="1843">
        <f>SUM(I307:O307)</f>
        <v>0</v>
      </c>
      <c r="I307" s="1844"/>
      <c r="J307" s="1844"/>
      <c r="K307" s="1844">
        <f>IFERROR(HLOOKUP(B307,pp3p1m!$1:$3,3,0),0)</f>
        <v>0</v>
      </c>
      <c r="L307" s="1844">
        <f>IFERROR(HLOOKUP(chitiet!B307,pp1p!$1:$3,3,0),0)</f>
        <v>0</v>
      </c>
      <c r="M307" s="1844"/>
      <c r="N307" s="1844"/>
      <c r="O307" s="1844"/>
      <c r="P307" s="1844"/>
      <c r="Q307" s="1050"/>
      <c r="R307" s="1050"/>
      <c r="S307" s="1050"/>
      <c r="T307" s="2059">
        <f>IFERROR(HLOOKUP(B307,pp1p!$1:$3,3,0),0)+IFERROR(HLOOKUP(B307,pp3p1m!$1:$3,3,0),0)</f>
        <v>0</v>
      </c>
    </row>
    <row r="308" spans="1:20" ht="22.15" hidden="1" customHeight="1">
      <c r="A308" s="63"/>
      <c r="B308" s="1599" t="s">
        <v>1580</v>
      </c>
      <c r="C308" s="64" t="str">
        <f t="shared" si="46"/>
        <v xml:space="preserve"> </v>
      </c>
      <c r="D308" s="1547">
        <v>2</v>
      </c>
      <c r="E308" s="1047" t="str">
        <f>VLOOKUP($B308,DG!A:D,DG!$B$2,)</f>
        <v>04.3801</v>
      </c>
      <c r="F308" s="1057" t="str">
        <f>VLOOKUP($B308,DG!A:D,DG!$C$2,)</f>
        <v>Đà cản BTCT 1,5m</v>
      </c>
      <c r="G308" s="1051" t="str">
        <f>VLOOKUP($B308,DG!A:D,DG!$D$2,)</f>
        <v>cái</v>
      </c>
      <c r="H308" s="1846">
        <f>H$307*$D308</f>
        <v>0</v>
      </c>
      <c r="I308" s="1846">
        <f>I$307*$D308</f>
        <v>0</v>
      </c>
      <c r="J308" s="1846">
        <f t="shared" ref="J308:N309" si="52">J$302*$D308</f>
        <v>0</v>
      </c>
      <c r="K308" s="1846">
        <f t="shared" si="52"/>
        <v>0</v>
      </c>
      <c r="L308" s="1846">
        <f t="shared" si="52"/>
        <v>0</v>
      </c>
      <c r="M308" s="1846">
        <f t="shared" si="52"/>
        <v>0</v>
      </c>
      <c r="N308" s="1846">
        <f t="shared" si="52"/>
        <v>0</v>
      </c>
      <c r="O308" s="1846"/>
      <c r="P308" s="1846"/>
      <c r="Q308" s="1055"/>
      <c r="R308" s="1055"/>
      <c r="S308" s="1055"/>
      <c r="T308" s="2059">
        <f t="shared" si="45"/>
        <v>0</v>
      </c>
    </row>
    <row r="309" spans="1:20" ht="22.15" hidden="1" customHeight="1">
      <c r="A309" s="63"/>
      <c r="B309" s="1599" t="s">
        <v>724</v>
      </c>
      <c r="C309" s="64" t="str">
        <f t="shared" si="46"/>
        <v xml:space="preserve"> </v>
      </c>
      <c r="D309" s="1547">
        <v>1</v>
      </c>
      <c r="E309" s="1051"/>
      <c r="F309" s="1057" t="str">
        <f>VLOOKUP($B309,DG!A:D,DG!$C$2,)</f>
        <v>Boulon 22x850+ 2 long đền vuông D24-50x50x3/Zn</v>
      </c>
      <c r="G309" s="1051" t="str">
        <f>VLOOKUP($B309,DG!A:D,DG!$D$2,)</f>
        <v>bộ</v>
      </c>
      <c r="H309" s="1846">
        <f>H$307*$D309</f>
        <v>0</v>
      </c>
      <c r="I309" s="1846">
        <f>I$307*$D309</f>
        <v>0</v>
      </c>
      <c r="J309" s="1846">
        <f t="shared" si="52"/>
        <v>0</v>
      </c>
      <c r="K309" s="1846">
        <f t="shared" si="52"/>
        <v>0</v>
      </c>
      <c r="L309" s="1846">
        <f t="shared" si="52"/>
        <v>0</v>
      </c>
      <c r="M309" s="1846">
        <f t="shared" si="52"/>
        <v>0</v>
      </c>
      <c r="N309" s="1846">
        <f t="shared" si="52"/>
        <v>0</v>
      </c>
      <c r="O309" s="1846"/>
      <c r="P309" s="1846"/>
      <c r="Q309" s="1055"/>
      <c r="R309" s="1055"/>
      <c r="S309" s="1055"/>
      <c r="T309" s="2059">
        <f t="shared" si="45"/>
        <v>0</v>
      </c>
    </row>
    <row r="310" spans="1:20" ht="22.15" hidden="1" customHeight="1">
      <c r="A310" s="59"/>
      <c r="B310" s="1586" t="s">
        <v>1818</v>
      </c>
      <c r="C310" s="64" t="str">
        <f t="shared" si="46"/>
        <v xml:space="preserve"> </v>
      </c>
      <c r="D310" s="1542">
        <v>0.23200000000000001</v>
      </c>
      <c r="E310" s="1047">
        <f>VLOOKUP($B310,DG!A:D,DG!$B$2,)</f>
        <v>0</v>
      </c>
      <c r="F310" s="1052" t="str">
        <f>VLOOKUP($B310,DG!A:D,DG!$C$2,)</f>
        <v>Đá 2x4</v>
      </c>
      <c r="G310" s="1047" t="str">
        <f>VLOOKUP($B310,DG!A:D,DG!$D$2,)</f>
        <v>m3</v>
      </c>
      <c r="H310" s="1845">
        <f t="shared" ref="H310:N310" si="53">H$18*$D310</f>
        <v>0</v>
      </c>
      <c r="I310" s="1845">
        <f t="shared" si="53"/>
        <v>0</v>
      </c>
      <c r="J310" s="1845">
        <f t="shared" si="53"/>
        <v>0</v>
      </c>
      <c r="K310" s="1845">
        <f t="shared" si="53"/>
        <v>0</v>
      </c>
      <c r="L310" s="1845">
        <f t="shared" si="53"/>
        <v>0</v>
      </c>
      <c r="M310" s="1845">
        <f t="shared" si="53"/>
        <v>0</v>
      </c>
      <c r="N310" s="1845">
        <f t="shared" si="53"/>
        <v>0</v>
      </c>
      <c r="O310" s="1845"/>
      <c r="P310" s="1845"/>
      <c r="Q310" s="1056"/>
      <c r="R310" s="1056"/>
      <c r="S310" s="1056"/>
      <c r="T310" s="2059">
        <f t="shared" si="45"/>
        <v>0</v>
      </c>
    </row>
    <row r="311" spans="1:20" ht="22.15" hidden="1" customHeight="1">
      <c r="A311" s="63"/>
      <c r="B311" s="1599" t="s">
        <v>639</v>
      </c>
      <c r="C311" s="64" t="str">
        <f t="shared" si="46"/>
        <v xml:space="preserve"> </v>
      </c>
      <c r="D311" s="1546">
        <v>3.88</v>
      </c>
      <c r="E311" s="1051" t="str">
        <f>VLOOKUP($B311,DG!A:D,DG!$B$2,)</f>
        <v>03.1013</v>
      </c>
      <c r="F311" s="1052" t="str">
        <f>VLOOKUP($B311,DG!A:D,DG!$C$2,)</f>
        <v>Đào hố móng đất cấp 3 sâu &gt;1m</v>
      </c>
      <c r="G311" s="1051" t="str">
        <f>VLOOKUP($B311,DG!A:D,DG!$D$2,)</f>
        <v>m3</v>
      </c>
      <c r="H311" s="1846"/>
      <c r="I311" s="1846"/>
      <c r="J311" s="1846"/>
      <c r="K311" s="1846"/>
      <c r="L311" s="1846"/>
      <c r="M311" s="1846"/>
      <c r="N311" s="1846"/>
      <c r="O311" s="1846"/>
      <c r="P311" s="1846"/>
      <c r="Q311" s="1058"/>
      <c r="R311" s="1058"/>
      <c r="S311" s="1058"/>
      <c r="T311" s="2059">
        <f t="shared" si="45"/>
        <v>0</v>
      </c>
    </row>
    <row r="312" spans="1:20" ht="22.15" hidden="1" customHeight="1">
      <c r="A312" s="63"/>
      <c r="B312" s="1599" t="s">
        <v>21</v>
      </c>
      <c r="C312" s="64" t="str">
        <f t="shared" si="46"/>
        <v xml:space="preserve"> </v>
      </c>
      <c r="D312" s="1546">
        <v>4.34</v>
      </c>
      <c r="E312" s="1051" t="str">
        <f>VLOOKUP($B312,DG!A:D,DG!$B$2,)</f>
        <v>03.4113</v>
      </c>
      <c r="F312" s="1052" t="str">
        <f>VLOOKUP($B312,DG!A:D,DG!$C$2,)</f>
        <v>Đắp đất hố móng, độ chặt k=0,95</v>
      </c>
      <c r="G312" s="1051" t="str">
        <f>VLOOKUP($B312,DG!A:D,DG!$D$2,)</f>
        <v>m3</v>
      </c>
      <c r="H312" s="1846"/>
      <c r="I312" s="1846"/>
      <c r="J312" s="1846"/>
      <c r="K312" s="1846"/>
      <c r="L312" s="1846"/>
      <c r="M312" s="1846"/>
      <c r="N312" s="1846"/>
      <c r="O312" s="1846"/>
      <c r="P312" s="1846"/>
      <c r="Q312" s="1058"/>
      <c r="R312" s="1058"/>
      <c r="S312" s="1058"/>
      <c r="T312" s="2059">
        <f t="shared" si="45"/>
        <v>0</v>
      </c>
    </row>
    <row r="313" spans="1:20" ht="22.15" hidden="1" customHeight="1">
      <c r="A313" s="63"/>
      <c r="B313" s="1599" t="s">
        <v>637</v>
      </c>
      <c r="C313" s="64" t="str">
        <f t="shared" si="46"/>
        <v xml:space="preserve"> </v>
      </c>
      <c r="D313" s="1546">
        <f>0.255*D308</f>
        <v>0.51</v>
      </c>
      <c r="E313" s="1051" t="str">
        <f>VLOOKUP($B313,DG!A:D,DG!$B$2,)</f>
        <v>02.1123</v>
      </c>
      <c r="F313" s="1052" t="str">
        <f>VLOOKUP($B313,DG!A:D,DG!$C$2,)</f>
        <v>Bốc dỡ đà cản, đế néo</v>
      </c>
      <c r="G313" s="1051" t="str">
        <f>VLOOKUP($B313,DG!A:D,DG!$D$2,)</f>
        <v>tấn</v>
      </c>
      <c r="H313" s="1846"/>
      <c r="I313" s="1846"/>
      <c r="J313" s="1846"/>
      <c r="K313" s="1846"/>
      <c r="L313" s="1846"/>
      <c r="M313" s="1846"/>
      <c r="N313" s="1846"/>
      <c r="O313" s="1846"/>
      <c r="P313" s="1846"/>
      <c r="Q313" s="1055"/>
      <c r="R313" s="1055"/>
      <c r="S313" s="1055"/>
      <c r="T313" s="2059">
        <f t="shared" si="45"/>
        <v>0</v>
      </c>
    </row>
    <row r="314" spans="1:20" ht="22.15" hidden="1" customHeight="1">
      <c r="A314" s="63"/>
      <c r="B314" s="1584" t="s">
        <v>2071</v>
      </c>
      <c r="C314" s="64" t="str">
        <f t="shared" si="46"/>
        <v xml:space="preserve"> </v>
      </c>
      <c r="D314" s="1546">
        <f>D313</f>
        <v>0.51</v>
      </c>
      <c r="E314" s="1051" t="str">
        <f>VLOOKUP($B314,DG!A:C,2,)</f>
        <v>02.1451</v>
      </c>
      <c r="F314" s="1052" t="str">
        <f>VLOOKUP($B314,DG!A:C,3,)</f>
        <v>V/c đà cản vào vị trí (cự ly &lt;=100m)</v>
      </c>
      <c r="G314" s="1051" t="str">
        <f>VLOOKUP($B314,DG!A:D,4,0)</f>
        <v>tấn</v>
      </c>
      <c r="H314" s="1846"/>
      <c r="I314" s="1846"/>
      <c r="J314" s="1846"/>
      <c r="K314" s="1846"/>
      <c r="L314" s="1846"/>
      <c r="M314" s="1846"/>
      <c r="N314" s="1846"/>
      <c r="O314" s="1846"/>
      <c r="P314" s="1846"/>
      <c r="Q314" s="1058"/>
      <c r="R314" s="1058"/>
      <c r="S314" s="1058"/>
      <c r="T314" s="2059">
        <f t="shared" si="45"/>
        <v>0</v>
      </c>
    </row>
    <row r="315" spans="1:20" ht="22.15" hidden="1" customHeight="1">
      <c r="A315" s="59"/>
      <c r="B315" s="1598" t="s">
        <v>674</v>
      </c>
      <c r="C315" s="64" t="str">
        <f t="shared" si="46"/>
        <v xml:space="preserve"> </v>
      </c>
      <c r="D315" s="1542">
        <f>D310</f>
        <v>0.23200000000000001</v>
      </c>
      <c r="E315" s="1047" t="str">
        <f>VLOOKUP($B315,DG!A:C,2,)</f>
        <v>02.1241</v>
      </c>
      <c r="F315" s="1052" t="str">
        <f>VLOOKUP($B315,DG!A:C,3,)</f>
        <v>V/c đá dăm ( cự ly &lt;=100m)</v>
      </c>
      <c r="G315" s="1047" t="str">
        <f>VLOOKUP($B315,DG!A:D,4,0)</f>
        <v>m3</v>
      </c>
      <c r="H315" s="1845"/>
      <c r="I315" s="1845"/>
      <c r="J315" s="1845"/>
      <c r="K315" s="1845"/>
      <c r="L315" s="1845"/>
      <c r="M315" s="1845"/>
      <c r="N315" s="1845"/>
      <c r="O315" s="1845"/>
      <c r="P315" s="1845"/>
      <c r="Q315" s="1061"/>
      <c r="R315" s="1061"/>
      <c r="S315" s="1061"/>
      <c r="T315" s="2059">
        <f t="shared" si="45"/>
        <v>0</v>
      </c>
    </row>
    <row r="316" spans="1:20" ht="22.15" hidden="1" customHeight="1">
      <c r="A316" s="63"/>
      <c r="B316" s="1584" t="s">
        <v>635</v>
      </c>
      <c r="C316" s="64" t="str">
        <f t="shared" si="46"/>
        <v xml:space="preserve"> </v>
      </c>
      <c r="D316" s="1546">
        <v>0.2</v>
      </c>
      <c r="E316" s="1051" t="str">
        <f>VLOOKUP($B316,DG!A:C,2,)</f>
        <v>02.1482</v>
      </c>
      <c r="F316" s="1052" t="str">
        <f>VLOOKUP($B316,DG!A:C,3,)</f>
        <v>V/c dụng cụ thi công vào vị trí (cự ly &lt;=100m)</v>
      </c>
      <c r="G316" s="1051" t="str">
        <f>VLOOKUP($B316,DG!A:D,4,0)</f>
        <v>tấn</v>
      </c>
      <c r="H316" s="1846"/>
      <c r="I316" s="1846"/>
      <c r="J316" s="1846"/>
      <c r="K316" s="1846"/>
      <c r="L316" s="1846"/>
      <c r="M316" s="1846"/>
      <c r="N316" s="1846"/>
      <c r="O316" s="1846"/>
      <c r="P316" s="1846"/>
      <c r="Q316" s="1058"/>
      <c r="R316" s="1058"/>
      <c r="S316" s="1058"/>
      <c r="T316" s="2059">
        <f t="shared" si="45"/>
        <v>0</v>
      </c>
    </row>
    <row r="317" spans="1:20" ht="22.15" hidden="1" customHeight="1">
      <c r="A317" s="56" t="s">
        <v>2188</v>
      </c>
      <c r="B317" s="1583" t="s">
        <v>2188</v>
      </c>
      <c r="C317" s="62" t="str">
        <f t="shared" si="46"/>
        <v xml:space="preserve"> </v>
      </c>
      <c r="D317" s="1541"/>
      <c r="E317" s="1048"/>
      <c r="F317" s="1396" t="s">
        <v>2369</v>
      </c>
      <c r="G317" s="1049" t="s">
        <v>2336</v>
      </c>
      <c r="H317" s="1843">
        <f>SUM(I317:O317)</f>
        <v>0</v>
      </c>
      <c r="I317" s="1844"/>
      <c r="J317" s="1844"/>
      <c r="K317" s="1844">
        <f>IFERROR(HLOOKUP(B317,pp3p1m!$1:$3,3,0),0)</f>
        <v>0</v>
      </c>
      <c r="L317" s="1844">
        <f>IFERROR(HLOOKUP(chitiet!B317,pp1p!$1:$3,3,0),0)</f>
        <v>0</v>
      </c>
      <c r="M317" s="1844"/>
      <c r="N317" s="1844"/>
      <c r="O317" s="1844"/>
      <c r="P317" s="1844"/>
      <c r="Q317" s="1050"/>
      <c r="R317" s="1050"/>
      <c r="S317" s="1050"/>
      <c r="T317" s="2059">
        <f>IFERROR(HLOOKUP(B317,pp1p!$1:$3,3,0),0)+IFERROR(HLOOKUP(B317,pp3p1m!$1:$3,3,0),0)</f>
        <v>0</v>
      </c>
    </row>
    <row r="318" spans="1:20" ht="22.15" hidden="1" customHeight="1">
      <c r="A318" s="63"/>
      <c r="B318" s="1599" t="s">
        <v>1580</v>
      </c>
      <c r="C318" s="64" t="str">
        <f t="shared" si="46"/>
        <v xml:space="preserve"> </v>
      </c>
      <c r="D318" s="1547">
        <v>1</v>
      </c>
      <c r="E318" s="1047" t="str">
        <f>VLOOKUP($B318,DG!A:D,DG!$B$2,)</f>
        <v>04.3801</v>
      </c>
      <c r="F318" s="1057" t="str">
        <f>VLOOKUP($B318,DG!A:D,DG!$C$2,)</f>
        <v>Đà cản BTCT 1,5m</v>
      </c>
      <c r="G318" s="1051" t="str">
        <f>VLOOKUP($B318,DG!A:D,DG!$D$2,)</f>
        <v>cái</v>
      </c>
      <c r="H318" s="1846">
        <f t="shared" ref="H318:N320" si="54">H$317*$D318</f>
        <v>0</v>
      </c>
      <c r="I318" s="1846">
        <f t="shared" si="54"/>
        <v>0</v>
      </c>
      <c r="J318" s="1846">
        <f t="shared" si="54"/>
        <v>0</v>
      </c>
      <c r="K318" s="1846">
        <f t="shared" si="54"/>
        <v>0</v>
      </c>
      <c r="L318" s="1846">
        <f t="shared" si="54"/>
        <v>0</v>
      </c>
      <c r="M318" s="1846">
        <f t="shared" si="54"/>
        <v>0</v>
      </c>
      <c r="N318" s="1846">
        <f t="shared" si="54"/>
        <v>0</v>
      </c>
      <c r="O318" s="1846"/>
      <c r="P318" s="1846"/>
      <c r="Q318" s="1055"/>
      <c r="R318" s="1055"/>
      <c r="S318" s="1055"/>
      <c r="T318" s="2059">
        <f t="shared" si="45"/>
        <v>0</v>
      </c>
    </row>
    <row r="319" spans="1:20" ht="22.15" hidden="1" customHeight="1">
      <c r="A319" s="63"/>
      <c r="B319" s="1599" t="s">
        <v>636</v>
      </c>
      <c r="C319" s="64" t="str">
        <f t="shared" si="46"/>
        <v xml:space="preserve"> </v>
      </c>
      <c r="D319" s="1547">
        <v>2</v>
      </c>
      <c r="E319" s="1047" t="str">
        <f>VLOOKUP($B319,DG!A:D,DG!$B$2,)</f>
        <v>04.4001</v>
      </c>
      <c r="F319" s="1057" t="str">
        <f>VLOOKUP($B319,DG!A:D,DG!$C$2,)&amp;" hieän höõu"</f>
        <v>Đà cản BTCT 1,2m hieän höõu</v>
      </c>
      <c r="G319" s="1051" t="str">
        <f>VLOOKUP($B319,DG!A:D,DG!$D$2,)</f>
        <v>cái</v>
      </c>
      <c r="H319" s="1846">
        <f t="shared" si="54"/>
        <v>0</v>
      </c>
      <c r="I319" s="1846">
        <f t="shared" si="54"/>
        <v>0</v>
      </c>
      <c r="J319" s="1846">
        <f t="shared" si="54"/>
        <v>0</v>
      </c>
      <c r="K319" s="1846">
        <f t="shared" si="54"/>
        <v>0</v>
      </c>
      <c r="L319" s="1846">
        <f t="shared" si="54"/>
        <v>0</v>
      </c>
      <c r="M319" s="1846">
        <f t="shared" si="54"/>
        <v>0</v>
      </c>
      <c r="N319" s="1846">
        <f t="shared" si="54"/>
        <v>0</v>
      </c>
      <c r="O319" s="1846"/>
      <c r="P319" s="1846"/>
      <c r="Q319" s="1055"/>
      <c r="R319" s="1055"/>
      <c r="S319" s="1055"/>
      <c r="T319" s="2059">
        <f t="shared" si="45"/>
        <v>0</v>
      </c>
    </row>
    <row r="320" spans="1:20" ht="22.15" hidden="1" customHeight="1">
      <c r="A320" s="63"/>
      <c r="B320" s="1599" t="s">
        <v>1834</v>
      </c>
      <c r="C320" s="64" t="str">
        <f t="shared" si="46"/>
        <v xml:space="preserve"> </v>
      </c>
      <c r="D320" s="1547">
        <v>1</v>
      </c>
      <c r="E320" s="1051"/>
      <c r="F320" s="1057" t="str">
        <f>VLOOKUP($B320,DG!A:D,DG!$C$2,)</f>
        <v>Boulon 22x700+ 2 long đền vuông D24-50x50x3/Zn</v>
      </c>
      <c r="G320" s="1051" t="str">
        <f>VLOOKUP($B320,DG!A:D,DG!$D$2,)</f>
        <v>bộ</v>
      </c>
      <c r="H320" s="1846">
        <f t="shared" si="54"/>
        <v>0</v>
      </c>
      <c r="I320" s="1846">
        <f t="shared" si="54"/>
        <v>0</v>
      </c>
      <c r="J320" s="1846">
        <f t="shared" si="54"/>
        <v>0</v>
      </c>
      <c r="K320" s="1846">
        <f t="shared" si="54"/>
        <v>0</v>
      </c>
      <c r="L320" s="1846">
        <f t="shared" si="54"/>
        <v>0</v>
      </c>
      <c r="M320" s="1846">
        <f t="shared" si="54"/>
        <v>0</v>
      </c>
      <c r="N320" s="1846">
        <f t="shared" si="54"/>
        <v>0</v>
      </c>
      <c r="O320" s="1846"/>
      <c r="P320" s="1846"/>
      <c r="Q320" s="1055"/>
      <c r="R320" s="1055"/>
      <c r="S320" s="1055"/>
      <c r="T320" s="2059">
        <f t="shared" si="45"/>
        <v>0</v>
      </c>
    </row>
    <row r="321" spans="1:20" ht="22.15" hidden="1" customHeight="1">
      <c r="A321" s="63"/>
      <c r="B321" s="1599" t="s">
        <v>639</v>
      </c>
      <c r="C321" s="64" t="str">
        <f t="shared" si="46"/>
        <v xml:space="preserve"> </v>
      </c>
      <c r="D321" s="1546">
        <v>2.17</v>
      </c>
      <c r="E321" s="1051" t="str">
        <f>VLOOKUP($B321,DG!A:D,DG!$B$2,)</f>
        <v>03.1013</v>
      </c>
      <c r="F321" s="1052" t="str">
        <f>VLOOKUP($B321,DG!A:D,DG!$C$2,)</f>
        <v>Đào hố móng đất cấp 3 sâu &gt;1m</v>
      </c>
      <c r="G321" s="1051" t="str">
        <f>VLOOKUP($B321,DG!A:D,DG!$D$2,)</f>
        <v>m3</v>
      </c>
      <c r="H321" s="1846"/>
      <c r="I321" s="1846"/>
      <c r="J321" s="1846"/>
      <c r="K321" s="1846"/>
      <c r="L321" s="1846"/>
      <c r="M321" s="1846"/>
      <c r="N321" s="1846"/>
      <c r="O321" s="1846"/>
      <c r="P321" s="1846"/>
      <c r="Q321" s="1058"/>
      <c r="R321" s="1058"/>
      <c r="S321" s="1058"/>
      <c r="T321" s="2059">
        <f t="shared" si="45"/>
        <v>0</v>
      </c>
    </row>
    <row r="322" spans="1:20" ht="22.15" hidden="1" customHeight="1">
      <c r="A322" s="63"/>
      <c r="B322" s="1599" t="s">
        <v>21</v>
      </c>
      <c r="C322" s="64" t="str">
        <f t="shared" si="46"/>
        <v xml:space="preserve"> </v>
      </c>
      <c r="D322" s="1546">
        <v>2.3199999999999998</v>
      </c>
      <c r="E322" s="1051" t="str">
        <f>VLOOKUP($B322,DG!A:D,DG!$B$2,)</f>
        <v>03.4113</v>
      </c>
      <c r="F322" s="1052" t="str">
        <f>VLOOKUP($B322,DG!A:D,DG!$C$2,)</f>
        <v>Đắp đất hố móng, độ chặt k=0,95</v>
      </c>
      <c r="G322" s="1051" t="str">
        <f>VLOOKUP($B322,DG!A:D,DG!$D$2,)</f>
        <v>m3</v>
      </c>
      <c r="H322" s="1846"/>
      <c r="I322" s="1846"/>
      <c r="J322" s="1846"/>
      <c r="K322" s="1846"/>
      <c r="L322" s="1846"/>
      <c r="M322" s="1846"/>
      <c r="N322" s="1846"/>
      <c r="O322" s="1846"/>
      <c r="P322" s="1846"/>
      <c r="Q322" s="1058"/>
      <c r="R322" s="1058"/>
      <c r="S322" s="1058"/>
      <c r="T322" s="2059">
        <f t="shared" si="45"/>
        <v>0</v>
      </c>
    </row>
    <row r="323" spans="1:20" ht="22.15" hidden="1" customHeight="1">
      <c r="A323" s="63"/>
      <c r="B323" s="1599" t="s">
        <v>637</v>
      </c>
      <c r="C323" s="64" t="str">
        <f t="shared" si="46"/>
        <v xml:space="preserve"> </v>
      </c>
      <c r="D323" s="1546">
        <f>0.255*D318</f>
        <v>0.255</v>
      </c>
      <c r="E323" s="1051" t="str">
        <f>VLOOKUP($B323,DG!A:D,DG!$B$2,)</f>
        <v>02.1123</v>
      </c>
      <c r="F323" s="1052" t="str">
        <f>VLOOKUP($B323,DG!A:D,DG!$C$2,)</f>
        <v>Bốc dỡ đà cản, đế néo</v>
      </c>
      <c r="G323" s="1051" t="str">
        <f>VLOOKUP($B323,DG!A:D,DG!$D$2,)</f>
        <v>tấn</v>
      </c>
      <c r="H323" s="1846"/>
      <c r="I323" s="1846"/>
      <c r="J323" s="1846"/>
      <c r="K323" s="1846"/>
      <c r="L323" s="1846"/>
      <c r="M323" s="1846"/>
      <c r="N323" s="1846"/>
      <c r="O323" s="1846"/>
      <c r="P323" s="1846"/>
      <c r="Q323" s="1055"/>
      <c r="R323" s="1055"/>
      <c r="S323" s="1055"/>
      <c r="T323" s="2059">
        <f t="shared" si="45"/>
        <v>0</v>
      </c>
    </row>
    <row r="324" spans="1:20" ht="22.15" hidden="1" customHeight="1">
      <c r="A324" s="63"/>
      <c r="B324" s="1584" t="s">
        <v>2071</v>
      </c>
      <c r="C324" s="64" t="str">
        <f t="shared" si="46"/>
        <v xml:space="preserve"> </v>
      </c>
      <c r="D324" s="1546">
        <f>D323</f>
        <v>0.255</v>
      </c>
      <c r="E324" s="1051" t="str">
        <f>VLOOKUP($B324,DG!A:C,2,)</f>
        <v>02.1451</v>
      </c>
      <c r="F324" s="1052" t="str">
        <f>VLOOKUP($B324,DG!A:C,3,)</f>
        <v>V/c đà cản vào vị trí (cự ly &lt;=100m)</v>
      </c>
      <c r="G324" s="1051" t="str">
        <f>VLOOKUP($B324,DG!A:D,4,0)</f>
        <v>tấn</v>
      </c>
      <c r="H324" s="1846"/>
      <c r="I324" s="1846"/>
      <c r="J324" s="1846"/>
      <c r="K324" s="1846"/>
      <c r="L324" s="1846"/>
      <c r="M324" s="1846"/>
      <c r="N324" s="1846"/>
      <c r="O324" s="1846"/>
      <c r="P324" s="1846"/>
      <c r="Q324" s="1058"/>
      <c r="R324" s="1058"/>
      <c r="S324" s="1058"/>
      <c r="T324" s="2059">
        <f t="shared" si="45"/>
        <v>0</v>
      </c>
    </row>
    <row r="325" spans="1:20" ht="22.15" hidden="1" customHeight="1">
      <c r="A325" s="63"/>
      <c r="B325" s="1584" t="s">
        <v>635</v>
      </c>
      <c r="C325" s="64" t="str">
        <f t="shared" si="46"/>
        <v xml:space="preserve"> </v>
      </c>
      <c r="D325" s="1546">
        <v>0.2</v>
      </c>
      <c r="E325" s="1051" t="str">
        <f>VLOOKUP($B325,DG!A:C,2,)</f>
        <v>02.1482</v>
      </c>
      <c r="F325" s="1052" t="str">
        <f>VLOOKUP($B325,DG!A:C,3,)</f>
        <v>V/c dụng cụ thi công vào vị trí (cự ly &lt;=100m)</v>
      </c>
      <c r="G325" s="1051" t="str">
        <f>VLOOKUP($B325,DG!A:D,4,0)</f>
        <v>tấn</v>
      </c>
      <c r="H325" s="1846"/>
      <c r="I325" s="1846"/>
      <c r="J325" s="1846"/>
      <c r="K325" s="1846"/>
      <c r="L325" s="1846"/>
      <c r="M325" s="1846"/>
      <c r="N325" s="1846"/>
      <c r="O325" s="1846"/>
      <c r="P325" s="1846"/>
      <c r="Q325" s="1058"/>
      <c r="R325" s="1058"/>
      <c r="S325" s="1058"/>
      <c r="T325" s="2059">
        <f t="shared" si="45"/>
        <v>0</v>
      </c>
    </row>
    <row r="326" spans="1:20" ht="22.15" hidden="1" customHeight="1">
      <c r="A326" s="56" t="s">
        <v>500</v>
      </c>
      <c r="B326" s="1583" t="s">
        <v>500</v>
      </c>
      <c r="C326" s="62" t="str">
        <f t="shared" si="46"/>
        <v xml:space="preserve"> </v>
      </c>
      <c r="D326" s="1541"/>
      <c r="E326" s="1048"/>
      <c r="F326" s="1396" t="s">
        <v>2370</v>
      </c>
      <c r="G326" s="1049" t="s">
        <v>2336</v>
      </c>
      <c r="H326" s="1843">
        <f>SUM(I326:O326)</f>
        <v>0</v>
      </c>
      <c r="I326" s="1844"/>
      <c r="J326" s="1844"/>
      <c r="K326" s="1844">
        <f>IFERROR(HLOOKUP(B326,pp3p1m!$1:$3,3,0),0)</f>
        <v>0</v>
      </c>
      <c r="L326" s="1844">
        <f>IFERROR(HLOOKUP(chitiet!B326,pp1p!$1:$3,3,0),0)</f>
        <v>0</v>
      </c>
      <c r="M326" s="1844"/>
      <c r="N326" s="1844"/>
      <c r="O326" s="1844"/>
      <c r="P326" s="1844"/>
      <c r="Q326" s="1050"/>
      <c r="R326" s="1050"/>
      <c r="S326" s="1050"/>
      <c r="T326" s="2059">
        <f>IFERROR(HLOOKUP(B326,pp1p!$1:$3,3,0),0)+IFERROR(HLOOKUP(B326,pp3p1m!$1:$3,3,0),0)</f>
        <v>0</v>
      </c>
    </row>
    <row r="327" spans="1:20" ht="22.15" hidden="1" customHeight="1">
      <c r="A327" s="63"/>
      <c r="B327" s="1599" t="s">
        <v>1580</v>
      </c>
      <c r="C327" s="64" t="str">
        <f t="shared" si="46"/>
        <v xml:space="preserve"> </v>
      </c>
      <c r="D327" s="1547">
        <v>1</v>
      </c>
      <c r="E327" s="1047" t="str">
        <f>VLOOKUP($B327,DG!A:D,DG!$B$2,)</f>
        <v>04.3801</v>
      </c>
      <c r="F327" s="1057" t="str">
        <f>VLOOKUP($B327,DG!A:D,DG!$C$2,)</f>
        <v>Đà cản BTCT 1,5m</v>
      </c>
      <c r="G327" s="1051" t="str">
        <f>VLOOKUP($B327,DG!A:D,DG!$D$2,)</f>
        <v>cái</v>
      </c>
      <c r="H327" s="1846">
        <f t="shared" ref="H327:N329" si="55">H$326*$D327</f>
        <v>0</v>
      </c>
      <c r="I327" s="1846">
        <f t="shared" si="55"/>
        <v>0</v>
      </c>
      <c r="J327" s="1846">
        <f t="shared" si="55"/>
        <v>0</v>
      </c>
      <c r="K327" s="1846">
        <f t="shared" si="55"/>
        <v>0</v>
      </c>
      <c r="L327" s="1846">
        <f t="shared" si="55"/>
        <v>0</v>
      </c>
      <c r="M327" s="1846">
        <f t="shared" si="55"/>
        <v>0</v>
      </c>
      <c r="N327" s="1846">
        <f t="shared" si="55"/>
        <v>0</v>
      </c>
      <c r="O327" s="1846"/>
      <c r="P327" s="1846"/>
      <c r="Q327" s="1055"/>
      <c r="R327" s="1055"/>
      <c r="S327" s="1055"/>
      <c r="T327" s="2059">
        <f t="shared" si="45"/>
        <v>0</v>
      </c>
    </row>
    <row r="328" spans="1:20" ht="22.15" hidden="1" customHeight="1">
      <c r="A328" s="63"/>
      <c r="B328" s="1599" t="s">
        <v>636</v>
      </c>
      <c r="C328" s="64" t="str">
        <f t="shared" si="46"/>
        <v xml:space="preserve"> </v>
      </c>
      <c r="D328" s="1547">
        <v>2</v>
      </c>
      <c r="E328" s="1047" t="str">
        <f>VLOOKUP($B328,DG!A:D,DG!$B$2,)</f>
        <v>04.4001</v>
      </c>
      <c r="F328" s="1057" t="str">
        <f>VLOOKUP($B328,DG!A:D,DG!$C$2,)&amp;" hieän höõu"</f>
        <v>Đà cản BTCT 1,2m hieän höõu</v>
      </c>
      <c r="G328" s="1051" t="str">
        <f>VLOOKUP($B328,DG!A:D,DG!$D$2,)</f>
        <v>cái</v>
      </c>
      <c r="H328" s="1846">
        <f t="shared" si="55"/>
        <v>0</v>
      </c>
      <c r="I328" s="1846">
        <f t="shared" si="55"/>
        <v>0</v>
      </c>
      <c r="J328" s="1846">
        <f t="shared" si="55"/>
        <v>0</v>
      </c>
      <c r="K328" s="1846">
        <f t="shared" si="55"/>
        <v>0</v>
      </c>
      <c r="L328" s="1846">
        <f t="shared" si="55"/>
        <v>0</v>
      </c>
      <c r="M328" s="1846">
        <f t="shared" si="55"/>
        <v>0</v>
      </c>
      <c r="N328" s="1846">
        <f t="shared" si="55"/>
        <v>0</v>
      </c>
      <c r="O328" s="1846"/>
      <c r="P328" s="1846"/>
      <c r="Q328" s="1055"/>
      <c r="R328" s="1055"/>
      <c r="S328" s="1055"/>
      <c r="T328" s="2059">
        <f t="shared" si="45"/>
        <v>0</v>
      </c>
    </row>
    <row r="329" spans="1:20" ht="22.15" hidden="1" customHeight="1">
      <c r="A329" s="63"/>
      <c r="B329" s="1599" t="s">
        <v>1834</v>
      </c>
      <c r="C329" s="64" t="str">
        <f t="shared" si="46"/>
        <v xml:space="preserve"> </v>
      </c>
      <c r="D329" s="1547">
        <v>2</v>
      </c>
      <c r="E329" s="1051"/>
      <c r="F329" s="1057" t="str">
        <f>VLOOKUP($B329,DG!A:D,DG!$C$2,)</f>
        <v>Boulon 22x700+ 2 long đền vuông D24-50x50x3/Zn</v>
      </c>
      <c r="G329" s="1051" t="str">
        <f>VLOOKUP($B329,DG!A:D,DG!$D$2,)</f>
        <v>bộ</v>
      </c>
      <c r="H329" s="1846">
        <f t="shared" si="55"/>
        <v>0</v>
      </c>
      <c r="I329" s="1846">
        <f t="shared" si="55"/>
        <v>0</v>
      </c>
      <c r="J329" s="1846">
        <f t="shared" si="55"/>
        <v>0</v>
      </c>
      <c r="K329" s="1846">
        <f t="shared" si="55"/>
        <v>0</v>
      </c>
      <c r="L329" s="1846">
        <f t="shared" si="55"/>
        <v>0</v>
      </c>
      <c r="M329" s="1846">
        <f t="shared" si="55"/>
        <v>0</v>
      </c>
      <c r="N329" s="1846">
        <f t="shared" si="55"/>
        <v>0</v>
      </c>
      <c r="O329" s="1846"/>
      <c r="P329" s="1846"/>
      <c r="Q329" s="1055"/>
      <c r="R329" s="1055"/>
      <c r="S329" s="1055"/>
      <c r="T329" s="2059">
        <f t="shared" si="45"/>
        <v>0</v>
      </c>
    </row>
    <row r="330" spans="1:20" ht="22.15" hidden="1" customHeight="1">
      <c r="A330" s="63"/>
      <c r="B330" s="1599" t="s">
        <v>639</v>
      </c>
      <c r="C330" s="64" t="str">
        <f t="shared" si="46"/>
        <v xml:space="preserve"> </v>
      </c>
      <c r="D330" s="1546">
        <v>4.63</v>
      </c>
      <c r="E330" s="1051" t="str">
        <f>VLOOKUP($B330,DG!A:D,DG!$B$2,)</f>
        <v>03.1013</v>
      </c>
      <c r="F330" s="1052" t="str">
        <f>VLOOKUP($B330,DG!A:D,DG!$C$2,)</f>
        <v>Đào hố móng đất cấp 3 sâu &gt;1m</v>
      </c>
      <c r="G330" s="1051" t="str">
        <f>VLOOKUP($B330,DG!A:D,DG!$D$2,)</f>
        <v>m3</v>
      </c>
      <c r="H330" s="1846"/>
      <c r="I330" s="1846"/>
      <c r="J330" s="1846"/>
      <c r="K330" s="1846"/>
      <c r="L330" s="1846"/>
      <c r="M330" s="1846"/>
      <c r="N330" s="1846"/>
      <c r="O330" s="1846"/>
      <c r="P330" s="1846"/>
      <c r="Q330" s="1058"/>
      <c r="R330" s="1058"/>
      <c r="S330" s="1058"/>
      <c r="T330" s="2059">
        <f t="shared" si="45"/>
        <v>0</v>
      </c>
    </row>
    <row r="331" spans="1:20" ht="22.15" hidden="1" customHeight="1">
      <c r="A331" s="63"/>
      <c r="B331" s="1599" t="s">
        <v>21</v>
      </c>
      <c r="C331" s="64" t="str">
        <f t="shared" si="46"/>
        <v xml:space="preserve"> </v>
      </c>
      <c r="D331" s="1546">
        <v>4.95</v>
      </c>
      <c r="E331" s="1051" t="str">
        <f>VLOOKUP($B331,DG!A:D,DG!$B$2,)</f>
        <v>03.4113</v>
      </c>
      <c r="F331" s="1052" t="str">
        <f>VLOOKUP($B331,DG!A:D,DG!$C$2,)</f>
        <v>Đắp đất hố móng, độ chặt k=0,95</v>
      </c>
      <c r="G331" s="1051" t="str">
        <f>VLOOKUP($B331,DG!A:D,DG!$D$2,)</f>
        <v>m3</v>
      </c>
      <c r="H331" s="1846"/>
      <c r="I331" s="1846"/>
      <c r="J331" s="1846"/>
      <c r="K331" s="1846"/>
      <c r="L331" s="1846"/>
      <c r="M331" s="1846"/>
      <c r="N331" s="1846"/>
      <c r="O331" s="1846"/>
      <c r="P331" s="1846"/>
      <c r="Q331" s="1058"/>
      <c r="R331" s="1058"/>
      <c r="S331" s="1058"/>
      <c r="T331" s="2059">
        <f t="shared" si="45"/>
        <v>0</v>
      </c>
    </row>
    <row r="332" spans="1:20" ht="22.15" hidden="1" customHeight="1">
      <c r="A332" s="63"/>
      <c r="B332" s="1599" t="s">
        <v>637</v>
      </c>
      <c r="C332" s="64" t="str">
        <f t="shared" si="46"/>
        <v xml:space="preserve"> </v>
      </c>
      <c r="D332" s="1546">
        <f>0.1*D327</f>
        <v>0.1</v>
      </c>
      <c r="E332" s="1051" t="str">
        <f>VLOOKUP($B332,DG!A:D,DG!$B$2,)</f>
        <v>02.1123</v>
      </c>
      <c r="F332" s="1052" t="str">
        <f>VLOOKUP($B332,DG!A:D,DG!$C$2,)</f>
        <v>Bốc dỡ đà cản, đế néo</v>
      </c>
      <c r="G332" s="1051" t="str">
        <f>VLOOKUP($B332,DG!A:D,DG!$D$2,)</f>
        <v>tấn</v>
      </c>
      <c r="H332" s="1846"/>
      <c r="I332" s="1846"/>
      <c r="J332" s="1846"/>
      <c r="K332" s="1846"/>
      <c r="L332" s="1846"/>
      <c r="M332" s="1846"/>
      <c r="N332" s="1846"/>
      <c r="O332" s="1846"/>
      <c r="P332" s="1846"/>
      <c r="Q332" s="1055"/>
      <c r="R332" s="1055"/>
      <c r="S332" s="1055"/>
      <c r="T332" s="2059">
        <f t="shared" si="45"/>
        <v>0</v>
      </c>
    </row>
    <row r="333" spans="1:20" ht="22.15" hidden="1" customHeight="1">
      <c r="A333" s="63"/>
      <c r="B333" s="1584" t="s">
        <v>2071</v>
      </c>
      <c r="C333" s="64" t="str">
        <f t="shared" si="46"/>
        <v xml:space="preserve"> </v>
      </c>
      <c r="D333" s="1546">
        <f>D332</f>
        <v>0.1</v>
      </c>
      <c r="E333" s="1051" t="str">
        <f>VLOOKUP($B333,DG!A:C,2,)</f>
        <v>02.1451</v>
      </c>
      <c r="F333" s="1052" t="str">
        <f>VLOOKUP($B333,DG!A:C,3,)</f>
        <v>V/c đà cản vào vị trí (cự ly &lt;=100m)</v>
      </c>
      <c r="G333" s="1051" t="str">
        <f>VLOOKUP($B333,DG!A:D,4,0)</f>
        <v>tấn</v>
      </c>
      <c r="H333" s="1846"/>
      <c r="I333" s="1846"/>
      <c r="J333" s="1846"/>
      <c r="K333" s="1846"/>
      <c r="L333" s="1846"/>
      <c r="M333" s="1846"/>
      <c r="N333" s="1846"/>
      <c r="O333" s="1846"/>
      <c r="P333" s="1846"/>
      <c r="Q333" s="1058"/>
      <c r="R333" s="1058"/>
      <c r="S333" s="1058"/>
      <c r="T333" s="2059">
        <f t="shared" si="45"/>
        <v>0</v>
      </c>
    </row>
    <row r="334" spans="1:20" ht="22.15" hidden="1" customHeight="1">
      <c r="A334" s="63"/>
      <c r="B334" s="1584" t="s">
        <v>635</v>
      </c>
      <c r="C334" s="64" t="str">
        <f t="shared" si="46"/>
        <v xml:space="preserve"> </v>
      </c>
      <c r="D334" s="1546">
        <v>0.2</v>
      </c>
      <c r="E334" s="1051" t="str">
        <f>VLOOKUP($B334,DG!A:C,2,)</f>
        <v>02.1482</v>
      </c>
      <c r="F334" s="1052" t="str">
        <f>VLOOKUP($B334,DG!A:C,3,)</f>
        <v>V/c dụng cụ thi công vào vị trí (cự ly &lt;=100m)</v>
      </c>
      <c r="G334" s="1051" t="str">
        <f>VLOOKUP($B334,DG!A:D,4,0)</f>
        <v>tấn</v>
      </c>
      <c r="H334" s="1846"/>
      <c r="I334" s="1846"/>
      <c r="J334" s="1846"/>
      <c r="K334" s="1846"/>
      <c r="L334" s="1846"/>
      <c r="M334" s="1846"/>
      <c r="N334" s="1846"/>
      <c r="O334" s="1846"/>
      <c r="P334" s="1846"/>
      <c r="Q334" s="1058"/>
      <c r="R334" s="1058"/>
      <c r="S334" s="1058"/>
      <c r="T334" s="2059">
        <f t="shared" ref="T334:T400" si="56">IFERROR(HLOOKUP(B334,BangKeTru,3,0),0)</f>
        <v>0</v>
      </c>
    </row>
    <row r="335" spans="1:20" ht="22.15" hidden="1" customHeight="1">
      <c r="A335" s="56" t="s">
        <v>2312</v>
      </c>
      <c r="B335" s="1583" t="s">
        <v>2312</v>
      </c>
      <c r="C335" s="62" t="str">
        <f t="shared" ref="C335:C401" si="57">IF(OR(P335&lt;&gt;0,H335&lt;&gt;0),"x"," ")</f>
        <v xml:space="preserve"> </v>
      </c>
      <c r="D335" s="1541"/>
      <c r="E335" s="1048"/>
      <c r="F335" s="1396" t="s">
        <v>2371</v>
      </c>
      <c r="G335" s="1049" t="s">
        <v>2336</v>
      </c>
      <c r="H335" s="1843">
        <f>SUM(I335:O335)</f>
        <v>0</v>
      </c>
      <c r="I335" s="1844"/>
      <c r="J335" s="1844"/>
      <c r="K335" s="1844">
        <f>IFERROR(HLOOKUP(B335,pp3p1m!$1:$3,3,0),0)</f>
        <v>0</v>
      </c>
      <c r="L335" s="1844">
        <f>IFERROR(HLOOKUP(chitiet!B335,pp1p!$1:$3,3,0),0)</f>
        <v>0</v>
      </c>
      <c r="M335" s="1844"/>
      <c r="N335" s="1844"/>
      <c r="O335" s="1844"/>
      <c r="P335" s="1844"/>
      <c r="Q335" s="1050"/>
      <c r="R335" s="1050"/>
      <c r="S335" s="1050"/>
      <c r="T335" s="2059">
        <f>IFERROR(HLOOKUP(B335,pp1p!$1:$3,3,0),0)+IFERROR(HLOOKUP(B335,pp3p1m!$1:$3,3,0),0)</f>
        <v>0</v>
      </c>
    </row>
    <row r="336" spans="1:20" ht="22.15" hidden="1" customHeight="1">
      <c r="A336" s="63"/>
      <c r="B336" s="1599" t="s">
        <v>822</v>
      </c>
      <c r="C336" s="64" t="str">
        <f t="shared" si="57"/>
        <v xml:space="preserve"> </v>
      </c>
      <c r="D336" s="1546">
        <v>0.33</v>
      </c>
      <c r="E336" s="1051" t="str">
        <f>VLOOKUP($B336,DG!A:D,DG!$B$2,)</f>
        <v>03.1103</v>
      </c>
      <c r="F336" s="1052" t="str">
        <f>VLOOKUP($B336,DG!A:D,DG!$C$2,)</f>
        <v>Đào hố móng đất cấp 3 sâu &lt;=1m</v>
      </c>
      <c r="G336" s="1051" t="str">
        <f>VLOOKUP($B336,DG!A:D,DG!$D$2,)</f>
        <v>m3</v>
      </c>
      <c r="H336" s="1846"/>
      <c r="I336" s="1846"/>
      <c r="J336" s="1846"/>
      <c r="K336" s="1846"/>
      <c r="L336" s="1846"/>
      <c r="M336" s="1846"/>
      <c r="N336" s="1846"/>
      <c r="O336" s="1846"/>
      <c r="P336" s="1846"/>
      <c r="Q336" s="1058"/>
      <c r="R336" s="1058"/>
      <c r="S336" s="1058"/>
      <c r="T336" s="2059">
        <f t="shared" si="56"/>
        <v>0</v>
      </c>
    </row>
    <row r="337" spans="1:20" ht="22.15" hidden="1" customHeight="1">
      <c r="A337" s="63"/>
      <c r="B337" s="1599" t="s">
        <v>959</v>
      </c>
      <c r="C337" s="64" t="str">
        <f t="shared" si="57"/>
        <v xml:space="preserve"> </v>
      </c>
      <c r="D337" s="1546">
        <v>1.65</v>
      </c>
      <c r="E337" s="1051" t="str">
        <f>VLOOKUP($B337,DG!A:D,DG!$B$2,)</f>
        <v>03.8133</v>
      </c>
      <c r="F337" s="1052" t="str">
        <f>VLOOKUP($B337,DG!A:D,DG!$C$2,)</f>
        <v>Phá đá chân hố móng, đá cấp I</v>
      </c>
      <c r="G337" s="1051" t="str">
        <f>VLOOKUP($B337,DG!A:D,DG!$D$2,)</f>
        <v>m3</v>
      </c>
      <c r="H337" s="1846"/>
      <c r="I337" s="1846"/>
      <c r="J337" s="1846"/>
      <c r="K337" s="1846"/>
      <c r="L337" s="1846"/>
      <c r="M337" s="1846"/>
      <c r="N337" s="1846"/>
      <c r="O337" s="1846"/>
      <c r="P337" s="1846"/>
      <c r="Q337" s="1058"/>
      <c r="R337" s="1058"/>
      <c r="S337" s="1058"/>
      <c r="T337" s="2059">
        <f t="shared" si="56"/>
        <v>0</v>
      </c>
    </row>
    <row r="338" spans="1:20" ht="22.15" hidden="1" customHeight="1">
      <c r="A338" s="63"/>
      <c r="B338" s="1599" t="s">
        <v>1832</v>
      </c>
      <c r="C338" s="64" t="str">
        <f t="shared" si="57"/>
        <v xml:space="preserve"> </v>
      </c>
      <c r="D338" s="1546">
        <v>2.0499999999999998</v>
      </c>
      <c r="E338" s="1051" t="str">
        <f>VLOOKUP($B338,DG!A:D,DG!$B$2,)</f>
        <v>03.2203</v>
      </c>
      <c r="F338" s="1052" t="str">
        <f>VLOOKUP($B338,DG!A:D,DG!$C$2,)</f>
        <v>Đắp đất hố móng, đất cấp 4</v>
      </c>
      <c r="G338" s="1051" t="str">
        <f>VLOOKUP($B338,DG!A:D,DG!$D$2,)</f>
        <v>m3</v>
      </c>
      <c r="H338" s="1846"/>
      <c r="I338" s="1846"/>
      <c r="J338" s="1846"/>
      <c r="K338" s="1846"/>
      <c r="L338" s="1846"/>
      <c r="M338" s="1846"/>
      <c r="N338" s="1846"/>
      <c r="O338" s="1846"/>
      <c r="P338" s="1846"/>
      <c r="Q338" s="1055"/>
      <c r="R338" s="1055"/>
      <c r="S338" s="1055"/>
      <c r="T338" s="2059">
        <f t="shared" si="56"/>
        <v>0</v>
      </c>
    </row>
    <row r="339" spans="1:20" ht="22.15" hidden="1" customHeight="1">
      <c r="A339" s="1581" t="s">
        <v>2313</v>
      </c>
      <c r="B339" s="1583" t="s">
        <v>2313</v>
      </c>
      <c r="C339" s="64" t="str">
        <f t="shared" si="57"/>
        <v xml:space="preserve"> </v>
      </c>
      <c r="D339" s="1541"/>
      <c r="E339" s="1048"/>
      <c r="F339" s="1396" t="s">
        <v>2372</v>
      </c>
      <c r="G339" s="1049" t="s">
        <v>2336</v>
      </c>
      <c r="H339" s="1843">
        <f>SUM(I339:O339)</f>
        <v>0</v>
      </c>
      <c r="I339" s="1844"/>
      <c r="J339" s="1844"/>
      <c r="K339" s="1844">
        <f>IFERROR(HLOOKUP(B339,pp3p1m!$1:$3,3,0),0)</f>
        <v>0</v>
      </c>
      <c r="L339" s="1844">
        <f>IFERROR(HLOOKUP(chitiet!B339,pp1p!$1:$3,3,0),0)</f>
        <v>0</v>
      </c>
      <c r="M339" s="1844"/>
      <c r="N339" s="1844"/>
      <c r="O339" s="1844"/>
      <c r="P339" s="1843">
        <f>H339+Q339-R339</f>
        <v>0</v>
      </c>
      <c r="Q339" s="1050"/>
      <c r="R339" s="1050"/>
      <c r="S339" s="1050"/>
      <c r="T339" s="2059">
        <f>IFERROR(HLOOKUP(B339,pp1p!$1:$3,3,0),0)+IFERROR(HLOOKUP(B339,pp3p1m!$1:$3,3,0),0)</f>
        <v>0</v>
      </c>
    </row>
    <row r="340" spans="1:20" ht="22.15" hidden="1" customHeight="1">
      <c r="A340" s="1582"/>
      <c r="B340" s="1584" t="s">
        <v>753</v>
      </c>
      <c r="C340" s="64" t="str">
        <f t="shared" si="57"/>
        <v xml:space="preserve"> </v>
      </c>
      <c r="D340" s="1548">
        <v>252</v>
      </c>
      <c r="E340" s="1051">
        <f>VLOOKUP($B340,DG!A:D,DG!$B$2,)</f>
        <v>0</v>
      </c>
      <c r="F340" s="1057" t="str">
        <f>VLOOKUP($B340,DG!A:D,DG!$C$2,)</f>
        <v>Ximăng (PC40)</v>
      </c>
      <c r="G340" s="1051" t="str">
        <f>VLOOKUP($B340,DG!A:D,DG!$D$2,)</f>
        <v>kg</v>
      </c>
      <c r="H340" s="1846">
        <f t="shared" ref="H340:O344" si="58">H$339*$D340</f>
        <v>0</v>
      </c>
      <c r="I340" s="1846">
        <f t="shared" si="58"/>
        <v>0</v>
      </c>
      <c r="J340" s="1846">
        <f t="shared" si="58"/>
        <v>0</v>
      </c>
      <c r="K340" s="1846">
        <f t="shared" si="58"/>
        <v>0</v>
      </c>
      <c r="L340" s="1846">
        <f t="shared" si="58"/>
        <v>0</v>
      </c>
      <c r="M340" s="1846">
        <f t="shared" si="58"/>
        <v>0</v>
      </c>
      <c r="N340" s="1846">
        <f t="shared" si="58"/>
        <v>0</v>
      </c>
      <c r="O340" s="1846">
        <f t="shared" si="58"/>
        <v>0</v>
      </c>
      <c r="P340" s="1846">
        <f>$P$339*D340</f>
        <v>0</v>
      </c>
      <c r="Q340" s="1055"/>
      <c r="R340" s="1055"/>
      <c r="S340" s="1055"/>
      <c r="T340" s="2059">
        <f t="shared" si="56"/>
        <v>0</v>
      </c>
    </row>
    <row r="341" spans="1:20" ht="22.15" hidden="1" customHeight="1">
      <c r="A341" s="1582"/>
      <c r="B341" s="1585" t="s">
        <v>4447</v>
      </c>
      <c r="C341" s="64" t="str">
        <f t="shared" si="57"/>
        <v xml:space="preserve"> </v>
      </c>
      <c r="D341" s="1545">
        <v>0.56499999999999995</v>
      </c>
      <c r="E341" s="1051">
        <f>VLOOKUP($B341,DG!A:D,DG!$B$2,)</f>
        <v>0</v>
      </c>
      <c r="F341" s="1057" t="str">
        <f>VLOOKUP($B341,DG!A:D,DG!$C$2,)</f>
        <v>Cát vàng</v>
      </c>
      <c r="G341" s="1051" t="str">
        <f>VLOOKUP($B341,DG!A:D,DG!$D$2,)</f>
        <v>m3</v>
      </c>
      <c r="H341" s="1846">
        <f t="shared" si="58"/>
        <v>0</v>
      </c>
      <c r="I341" s="1846">
        <f t="shared" si="58"/>
        <v>0</v>
      </c>
      <c r="J341" s="1846">
        <f t="shared" si="58"/>
        <v>0</v>
      </c>
      <c r="K341" s="1846">
        <f t="shared" si="58"/>
        <v>0</v>
      </c>
      <c r="L341" s="1846">
        <f t="shared" si="58"/>
        <v>0</v>
      </c>
      <c r="M341" s="1846">
        <f t="shared" si="58"/>
        <v>0</v>
      </c>
      <c r="N341" s="1846">
        <f t="shared" si="58"/>
        <v>0</v>
      </c>
      <c r="O341" s="1846">
        <f t="shared" si="58"/>
        <v>0</v>
      </c>
      <c r="P341" s="1846">
        <f>$P$339*D341</f>
        <v>0</v>
      </c>
      <c r="Q341" s="1053"/>
      <c r="R341" s="1053"/>
      <c r="S341" s="1053"/>
      <c r="T341" s="2059">
        <f t="shared" si="56"/>
        <v>0</v>
      </c>
    </row>
    <row r="342" spans="1:20" ht="22.15" hidden="1" customHeight="1">
      <c r="A342" s="1582" t="s">
        <v>1018</v>
      </c>
      <c r="B342" s="1584" t="s">
        <v>869</v>
      </c>
      <c r="C342" s="64" t="str">
        <f t="shared" si="57"/>
        <v xml:space="preserve"> </v>
      </c>
      <c r="D342" s="1545">
        <v>1.0489999999999999</v>
      </c>
      <c r="E342" s="1051">
        <f>VLOOKUP($B342,DG!A:D,DG!$B$2,)</f>
        <v>0</v>
      </c>
      <c r="F342" s="1057" t="str">
        <f>VLOOKUP($B342,DG!A:D,DG!$C$2,)</f>
        <v>Đá 1x2</v>
      </c>
      <c r="G342" s="1051" t="str">
        <f>VLOOKUP($B342,DG!A:D,DG!$D$2,)</f>
        <v>m3</v>
      </c>
      <c r="H342" s="1846">
        <f t="shared" si="58"/>
        <v>0</v>
      </c>
      <c r="I342" s="1846">
        <f t="shared" si="58"/>
        <v>0</v>
      </c>
      <c r="J342" s="1846">
        <f t="shared" si="58"/>
        <v>0</v>
      </c>
      <c r="K342" s="1846">
        <f t="shared" si="58"/>
        <v>0</v>
      </c>
      <c r="L342" s="1846">
        <f t="shared" si="58"/>
        <v>0</v>
      </c>
      <c r="M342" s="1846">
        <f t="shared" si="58"/>
        <v>0</v>
      </c>
      <c r="N342" s="1846">
        <f t="shared" si="58"/>
        <v>0</v>
      </c>
      <c r="O342" s="1846">
        <f t="shared" si="58"/>
        <v>0</v>
      </c>
      <c r="P342" s="1846">
        <f>$P$339*D342</f>
        <v>0</v>
      </c>
      <c r="Q342" s="1053"/>
      <c r="R342" s="1053"/>
      <c r="S342" s="1053"/>
      <c r="T342" s="2059">
        <f t="shared" si="56"/>
        <v>0</v>
      </c>
    </row>
    <row r="343" spans="1:20" ht="22.15" hidden="1" customHeight="1">
      <c r="A343" s="63"/>
      <c r="B343" s="1584" t="s">
        <v>997</v>
      </c>
      <c r="C343" s="64" t="str">
        <f t="shared" si="57"/>
        <v xml:space="preserve"> </v>
      </c>
      <c r="D343" s="1545"/>
      <c r="E343" s="1051">
        <f>VLOOKUP($B343,DG!A:D,DG!$B$2,)</f>
        <v>0</v>
      </c>
      <c r="F343" s="1057" t="str">
        <f>VLOOKUP($B343,DG!A:D,DG!$C$2,)</f>
        <v>Sắt Ø10</v>
      </c>
      <c r="G343" s="1051" t="str">
        <f>VLOOKUP($B343,DG!A:D,DG!$D$2,)</f>
        <v>kg</v>
      </c>
      <c r="H343" s="1846">
        <f t="shared" si="58"/>
        <v>0</v>
      </c>
      <c r="I343" s="1846">
        <f t="shared" si="58"/>
        <v>0</v>
      </c>
      <c r="J343" s="1846">
        <f t="shared" si="58"/>
        <v>0</v>
      </c>
      <c r="K343" s="1846">
        <f t="shared" si="58"/>
        <v>0</v>
      </c>
      <c r="L343" s="1846">
        <f t="shared" si="58"/>
        <v>0</v>
      </c>
      <c r="M343" s="1846">
        <f t="shared" si="58"/>
        <v>0</v>
      </c>
      <c r="N343" s="1846">
        <f t="shared" si="58"/>
        <v>0</v>
      </c>
      <c r="O343" s="1846">
        <f t="shared" si="58"/>
        <v>0</v>
      </c>
      <c r="P343" s="1846"/>
      <c r="Q343" s="1053"/>
      <c r="R343" s="1053"/>
      <c r="S343" s="1053"/>
      <c r="T343" s="2059">
        <f t="shared" si="56"/>
        <v>0</v>
      </c>
    </row>
    <row r="344" spans="1:20" ht="22.15" hidden="1" customHeight="1">
      <c r="A344" s="63" t="s">
        <v>1018</v>
      </c>
      <c r="B344" s="1584" t="s">
        <v>998</v>
      </c>
      <c r="C344" s="64" t="str">
        <f t="shared" si="57"/>
        <v xml:space="preserve"> </v>
      </c>
      <c r="D344" s="1545"/>
      <c r="E344" s="1051">
        <f>VLOOKUP($B344,DG!A:D,DG!$B$2,)</f>
        <v>0</v>
      </c>
      <c r="F344" s="1057" t="str">
        <f>VLOOKUP($B344,DG!A:D,DG!$C$2,)</f>
        <v>Kẽm</v>
      </c>
      <c r="G344" s="1051" t="str">
        <f>VLOOKUP($B344,DG!A:D,DG!$D$2,)</f>
        <v>kg</v>
      </c>
      <c r="H344" s="1846">
        <f t="shared" si="58"/>
        <v>0</v>
      </c>
      <c r="I344" s="1846">
        <f t="shared" si="58"/>
        <v>0</v>
      </c>
      <c r="J344" s="1846">
        <f t="shared" si="58"/>
        <v>0</v>
      </c>
      <c r="K344" s="1846">
        <f t="shared" si="58"/>
        <v>0</v>
      </c>
      <c r="L344" s="1846">
        <f t="shared" si="58"/>
        <v>0</v>
      </c>
      <c r="M344" s="1846">
        <f t="shared" si="58"/>
        <v>0</v>
      </c>
      <c r="N344" s="1846">
        <f t="shared" si="58"/>
        <v>0</v>
      </c>
      <c r="O344" s="1846">
        <f t="shared" si="58"/>
        <v>0</v>
      </c>
      <c r="P344" s="1846"/>
      <c r="Q344" s="1053"/>
      <c r="R344" s="1053"/>
      <c r="S344" s="1053"/>
      <c r="T344" s="2059">
        <f t="shared" si="56"/>
        <v>0</v>
      </c>
    </row>
    <row r="345" spans="1:20" ht="22.15" hidden="1" customHeight="1">
      <c r="A345" s="1582"/>
      <c r="B345" s="1586" t="s">
        <v>639</v>
      </c>
      <c r="C345" s="64" t="str">
        <f t="shared" si="57"/>
        <v xml:space="preserve"> </v>
      </c>
      <c r="D345" s="1545">
        <v>1.28</v>
      </c>
      <c r="E345" s="1051" t="str">
        <f>VLOOKUP($B345,DG!A:D,DG!$B$2,)</f>
        <v>03.1013</v>
      </c>
      <c r="F345" s="1052" t="str">
        <f>VLOOKUP($B345,DG!A:D,DG!$C$2,)</f>
        <v>Đào hố móng đất cấp 3 sâu &gt;1m</v>
      </c>
      <c r="G345" s="1051" t="str">
        <f>VLOOKUP($B345,DG!A:D,DG!$D$2,)</f>
        <v>m3</v>
      </c>
      <c r="H345" s="1846"/>
      <c r="I345" s="1846">
        <f t="shared" ref="I345:O355" si="59">I$339*$D345</f>
        <v>0</v>
      </c>
      <c r="J345" s="1846">
        <f t="shared" si="59"/>
        <v>0</v>
      </c>
      <c r="K345" s="1846">
        <f t="shared" si="59"/>
        <v>0</v>
      </c>
      <c r="L345" s="1846">
        <f t="shared" si="59"/>
        <v>0</v>
      </c>
      <c r="M345" s="1846">
        <f t="shared" si="59"/>
        <v>0</v>
      </c>
      <c r="N345" s="1846">
        <f t="shared" si="59"/>
        <v>0</v>
      </c>
      <c r="O345" s="1846">
        <f t="shared" si="59"/>
        <v>0</v>
      </c>
      <c r="P345" s="1846"/>
      <c r="Q345" s="1058"/>
      <c r="R345" s="1058"/>
      <c r="S345" s="1058"/>
      <c r="T345" s="2059">
        <f t="shared" si="56"/>
        <v>0</v>
      </c>
    </row>
    <row r="346" spans="1:20" ht="22.15" hidden="1" customHeight="1">
      <c r="A346" s="63"/>
      <c r="B346" s="1584" t="s">
        <v>21</v>
      </c>
      <c r="C346" s="64" t="str">
        <f t="shared" si="57"/>
        <v xml:space="preserve"> </v>
      </c>
      <c r="D346" s="1545">
        <v>1.28</v>
      </c>
      <c r="E346" s="1051" t="str">
        <f>VLOOKUP($B346,DG!A:D,DG!$B$2,)</f>
        <v>03.4113</v>
      </c>
      <c r="F346" s="1052" t="str">
        <f>VLOOKUP($B346,DG!A:D,DG!$C$2,)</f>
        <v>Đắp đất hố móng, độ chặt k=0,95</v>
      </c>
      <c r="G346" s="1051" t="str">
        <f>VLOOKUP($B346,DG!A:D,DG!$D$2,)</f>
        <v>m3</v>
      </c>
      <c r="H346" s="1846">
        <f>H$339*$D346</f>
        <v>0</v>
      </c>
      <c r="I346" s="1846">
        <f t="shared" si="59"/>
        <v>0</v>
      </c>
      <c r="J346" s="1846">
        <f t="shared" si="59"/>
        <v>0</v>
      </c>
      <c r="K346" s="1846">
        <f t="shared" si="59"/>
        <v>0</v>
      </c>
      <c r="L346" s="1846">
        <f t="shared" si="59"/>
        <v>0</v>
      </c>
      <c r="M346" s="1846">
        <f t="shared" si="59"/>
        <v>0</v>
      </c>
      <c r="N346" s="1846">
        <f t="shared" si="59"/>
        <v>0</v>
      </c>
      <c r="O346" s="1846">
        <f t="shared" si="59"/>
        <v>0</v>
      </c>
      <c r="P346" s="1846">
        <f>$P$339*D346</f>
        <v>0</v>
      </c>
      <c r="Q346" s="1058"/>
      <c r="R346" s="1058"/>
      <c r="S346" s="1058"/>
      <c r="T346" s="2059">
        <f t="shared" si="56"/>
        <v>0</v>
      </c>
    </row>
    <row r="347" spans="1:20" ht="22.15" hidden="1" customHeight="1">
      <c r="A347" s="63"/>
      <c r="B347" s="1584" t="s">
        <v>1298</v>
      </c>
      <c r="C347" s="64" t="str">
        <f t="shared" si="57"/>
        <v xml:space="preserve"> </v>
      </c>
      <c r="D347" s="1545"/>
      <c r="E347" s="1051" t="str">
        <f>VLOOKUP($B347,DG!A:D,DG!$B$2,)</f>
        <v>02.1101</v>
      </c>
      <c r="F347" s="1052" t="str">
        <f>VLOOKUP($B347,DG!A:D,DG!$C$2,)</f>
        <v>Bốc dỡ xi măng</v>
      </c>
      <c r="G347" s="1051" t="str">
        <f>VLOOKUP($B347,DG!A:D,DG!$D$2,)</f>
        <v>tấn</v>
      </c>
      <c r="H347" s="1846">
        <f t="shared" ref="H347:H355" si="60">H$339*$D347</f>
        <v>0</v>
      </c>
      <c r="I347" s="1846">
        <f t="shared" si="59"/>
        <v>0</v>
      </c>
      <c r="J347" s="1846">
        <f t="shared" si="59"/>
        <v>0</v>
      </c>
      <c r="K347" s="1846">
        <f t="shared" si="59"/>
        <v>0</v>
      </c>
      <c r="L347" s="1846">
        <f t="shared" si="59"/>
        <v>0</v>
      </c>
      <c r="M347" s="1846">
        <f t="shared" si="59"/>
        <v>0</v>
      </c>
      <c r="N347" s="1846">
        <f t="shared" si="59"/>
        <v>0</v>
      </c>
      <c r="O347" s="1846">
        <f t="shared" si="59"/>
        <v>0</v>
      </c>
      <c r="P347" s="1846">
        <f t="shared" ref="P347:P355" si="61">$P$339*D347</f>
        <v>0</v>
      </c>
      <c r="Q347" s="1058"/>
      <c r="R347" s="1058"/>
      <c r="S347" s="1058"/>
      <c r="T347" s="2059">
        <f t="shared" si="56"/>
        <v>0</v>
      </c>
    </row>
    <row r="348" spans="1:20" ht="22.15" hidden="1" customHeight="1">
      <c r="A348" s="63"/>
      <c r="B348" s="1584" t="s">
        <v>133</v>
      </c>
      <c r="C348" s="64" t="str">
        <f t="shared" si="57"/>
        <v xml:space="preserve"> </v>
      </c>
      <c r="D348" s="1545"/>
      <c r="E348" s="1051" t="str">
        <f>VLOOKUP($B348,DG!A:D,DG!$B$2,)</f>
        <v>02.1103</v>
      </c>
      <c r="F348" s="1052" t="str">
        <f>VLOOKUP($B348,DG!A:D,DG!$C$2,)</f>
        <v>Bốc dỡ cát</v>
      </c>
      <c r="G348" s="1051" t="str">
        <f>VLOOKUP($B348,DG!A:D,DG!$D$2,)</f>
        <v>m3</v>
      </c>
      <c r="H348" s="1846">
        <f t="shared" si="60"/>
        <v>0</v>
      </c>
      <c r="I348" s="1846">
        <f t="shared" si="59"/>
        <v>0</v>
      </c>
      <c r="J348" s="1846">
        <f t="shared" si="59"/>
        <v>0</v>
      </c>
      <c r="K348" s="1846">
        <f t="shared" si="59"/>
        <v>0</v>
      </c>
      <c r="L348" s="1846">
        <f t="shared" si="59"/>
        <v>0</v>
      </c>
      <c r="M348" s="1846">
        <f t="shared" si="59"/>
        <v>0</v>
      </c>
      <c r="N348" s="1846">
        <f t="shared" si="59"/>
        <v>0</v>
      </c>
      <c r="O348" s="1846">
        <f t="shared" si="59"/>
        <v>0</v>
      </c>
      <c r="P348" s="1846">
        <f t="shared" si="61"/>
        <v>0</v>
      </c>
      <c r="Q348" s="1058"/>
      <c r="R348" s="1058"/>
      <c r="S348" s="1058"/>
      <c r="T348" s="2059">
        <f t="shared" si="56"/>
        <v>0</v>
      </c>
    </row>
    <row r="349" spans="1:20" ht="22.15" hidden="1" customHeight="1">
      <c r="A349" s="63"/>
      <c r="B349" s="1584" t="s">
        <v>135</v>
      </c>
      <c r="C349" s="64" t="str">
        <f t="shared" si="57"/>
        <v xml:space="preserve"> </v>
      </c>
      <c r="D349" s="1545"/>
      <c r="E349" s="1051" t="str">
        <f>VLOOKUP($B349,DG!A:D,DG!$B$2,)</f>
        <v>02.1104</v>
      </c>
      <c r="F349" s="1052" t="str">
        <f>VLOOKUP($B349,DG!A:D,DG!$C$2,)</f>
        <v>Bốc dỡ đá dăm</v>
      </c>
      <c r="G349" s="1051" t="str">
        <f>VLOOKUP($B349,DG!A:D,DG!$D$2,)</f>
        <v>m3</v>
      </c>
      <c r="H349" s="1846">
        <f t="shared" si="60"/>
        <v>0</v>
      </c>
      <c r="I349" s="1846">
        <f t="shared" si="59"/>
        <v>0</v>
      </c>
      <c r="J349" s="1846">
        <f t="shared" si="59"/>
        <v>0</v>
      </c>
      <c r="K349" s="1846">
        <f t="shared" si="59"/>
        <v>0</v>
      </c>
      <c r="L349" s="1846">
        <f t="shared" si="59"/>
        <v>0</v>
      </c>
      <c r="M349" s="1846">
        <f t="shared" si="59"/>
        <v>0</v>
      </c>
      <c r="N349" s="1846">
        <f t="shared" si="59"/>
        <v>0</v>
      </c>
      <c r="O349" s="1846">
        <f t="shared" si="59"/>
        <v>0</v>
      </c>
      <c r="P349" s="1846">
        <f t="shared" si="61"/>
        <v>0</v>
      </c>
      <c r="Q349" s="1058"/>
      <c r="R349" s="1058"/>
      <c r="S349" s="1058"/>
      <c r="T349" s="2059">
        <f t="shared" si="56"/>
        <v>0</v>
      </c>
    </row>
    <row r="350" spans="1:20" ht="22.15" hidden="1" customHeight="1">
      <c r="A350" s="63"/>
      <c r="B350" s="1584" t="s">
        <v>495</v>
      </c>
      <c r="C350" s="64" t="str">
        <f t="shared" si="57"/>
        <v xml:space="preserve"> </v>
      </c>
      <c r="D350" s="1545"/>
      <c r="E350" s="1051" t="str">
        <f>VLOOKUP($B350,DG!A:D,DG!$B$2,)</f>
        <v>02.1211</v>
      </c>
      <c r="F350" s="1052" t="str">
        <f>VLOOKUP($B350,DG!A:D,DG!$C$2,)</f>
        <v>V/c xi măng ( cự ly &lt;=100m)</v>
      </c>
      <c r="G350" s="1051" t="str">
        <f>VLOOKUP($B350,DG!A:D,DG!$D$2,)</f>
        <v>tấn</v>
      </c>
      <c r="H350" s="1846">
        <f t="shared" si="60"/>
        <v>0</v>
      </c>
      <c r="I350" s="1846">
        <f t="shared" si="59"/>
        <v>0</v>
      </c>
      <c r="J350" s="1846">
        <f t="shared" si="59"/>
        <v>0</v>
      </c>
      <c r="K350" s="1846">
        <f t="shared" si="59"/>
        <v>0</v>
      </c>
      <c r="L350" s="1846">
        <f t="shared" si="59"/>
        <v>0</v>
      </c>
      <c r="M350" s="1846">
        <f t="shared" si="59"/>
        <v>0</v>
      </c>
      <c r="N350" s="1846">
        <f t="shared" si="59"/>
        <v>0</v>
      </c>
      <c r="O350" s="1846">
        <f t="shared" si="59"/>
        <v>0</v>
      </c>
      <c r="P350" s="1846">
        <f t="shared" si="61"/>
        <v>0</v>
      </c>
      <c r="Q350" s="1058"/>
      <c r="R350" s="1058"/>
      <c r="S350" s="1058"/>
      <c r="T350" s="2059">
        <f t="shared" si="56"/>
        <v>0</v>
      </c>
    </row>
    <row r="351" spans="1:20" ht="22.15" hidden="1" customHeight="1">
      <c r="A351" s="63"/>
      <c r="B351" s="1584" t="s">
        <v>1616</v>
      </c>
      <c r="C351" s="64" t="str">
        <f t="shared" si="57"/>
        <v xml:space="preserve"> </v>
      </c>
      <c r="D351" s="1545"/>
      <c r="E351" s="1051" t="str">
        <f>VLOOKUP($B351,DG!A:D,DG!$B$2,)</f>
        <v>02.1231</v>
      </c>
      <c r="F351" s="1052" t="str">
        <f>VLOOKUP($B351,DG!A:D,DG!$C$2,)</f>
        <v>V/c cát vàng cự ly &lt;=100m</v>
      </c>
      <c r="G351" s="1051" t="str">
        <f>VLOOKUP($B351,DG!A:D,DG!$D$2,)</f>
        <v>m3</v>
      </c>
      <c r="H351" s="1846">
        <f t="shared" si="60"/>
        <v>0</v>
      </c>
      <c r="I351" s="1846">
        <f t="shared" si="59"/>
        <v>0</v>
      </c>
      <c r="J351" s="1846">
        <f t="shared" si="59"/>
        <v>0</v>
      </c>
      <c r="K351" s="1846">
        <f t="shared" si="59"/>
        <v>0</v>
      </c>
      <c r="L351" s="1846">
        <f t="shared" si="59"/>
        <v>0</v>
      </c>
      <c r="M351" s="1846">
        <f t="shared" si="59"/>
        <v>0</v>
      </c>
      <c r="N351" s="1846">
        <f t="shared" si="59"/>
        <v>0</v>
      </c>
      <c r="O351" s="1846">
        <f t="shared" si="59"/>
        <v>0</v>
      </c>
      <c r="P351" s="1846">
        <f t="shared" si="61"/>
        <v>0</v>
      </c>
      <c r="Q351" s="1058"/>
      <c r="R351" s="1058"/>
      <c r="S351" s="1058"/>
      <c r="T351" s="2059">
        <f t="shared" si="56"/>
        <v>0</v>
      </c>
    </row>
    <row r="352" spans="1:20" ht="22.15" hidden="1" customHeight="1">
      <c r="A352" s="63"/>
      <c r="B352" s="1584" t="s">
        <v>521</v>
      </c>
      <c r="C352" s="64" t="str">
        <f t="shared" si="57"/>
        <v xml:space="preserve"> </v>
      </c>
      <c r="D352" s="1545"/>
      <c r="E352" s="1051" t="str">
        <f>VLOOKUP($B352,DG!A:D,DG!$B$2,)</f>
        <v>02.1241</v>
      </c>
      <c r="F352" s="1052" t="str">
        <f>VLOOKUP($B352,DG!A:D,DG!$C$2,)</f>
        <v>V/c đá dăm ( cự ly &lt;=100m)</v>
      </c>
      <c r="G352" s="1051" t="str">
        <f>VLOOKUP($B352,DG!A:D,DG!$D$2,)</f>
        <v>m3</v>
      </c>
      <c r="H352" s="1846">
        <f t="shared" si="60"/>
        <v>0</v>
      </c>
      <c r="I352" s="1846">
        <f t="shared" si="59"/>
        <v>0</v>
      </c>
      <c r="J352" s="1846">
        <f t="shared" si="59"/>
        <v>0</v>
      </c>
      <c r="K352" s="1846">
        <f t="shared" si="59"/>
        <v>0</v>
      </c>
      <c r="L352" s="1846">
        <f t="shared" si="59"/>
        <v>0</v>
      </c>
      <c r="M352" s="1846">
        <f t="shared" si="59"/>
        <v>0</v>
      </c>
      <c r="N352" s="1846">
        <f t="shared" si="59"/>
        <v>0</v>
      </c>
      <c r="O352" s="1846">
        <f t="shared" si="59"/>
        <v>0</v>
      </c>
      <c r="P352" s="1846">
        <f t="shared" si="61"/>
        <v>0</v>
      </c>
      <c r="Q352" s="1058"/>
      <c r="R352" s="1058"/>
      <c r="S352" s="1058"/>
      <c r="T352" s="2059">
        <f t="shared" si="56"/>
        <v>0</v>
      </c>
    </row>
    <row r="353" spans="1:20" ht="22.15" hidden="1" customHeight="1">
      <c r="A353" s="63"/>
      <c r="B353" s="1584" t="s">
        <v>1987</v>
      </c>
      <c r="C353" s="64" t="str">
        <f t="shared" si="57"/>
        <v xml:space="preserve"> </v>
      </c>
      <c r="D353" s="1545"/>
      <c r="E353" s="1051" t="str">
        <f>VLOOKUP($B353,DG!A:D,DG!$B$2,)</f>
        <v>02.1482</v>
      </c>
      <c r="F353" s="1052" t="str">
        <f>VLOOKUP($B353,DG!A:D,DG!$C$2,)</f>
        <v>V/c dụng cụ thi công ( cự ly &lt;=100m)</v>
      </c>
      <c r="G353" s="1051" t="str">
        <f>VLOOKUP($B353,DG!A:D,DG!$D$2,)</f>
        <v>tấn</v>
      </c>
      <c r="H353" s="1846">
        <f t="shared" si="60"/>
        <v>0</v>
      </c>
      <c r="I353" s="1846">
        <f t="shared" si="59"/>
        <v>0</v>
      </c>
      <c r="J353" s="1846">
        <f t="shared" si="59"/>
        <v>0</v>
      </c>
      <c r="K353" s="1846">
        <f t="shared" si="59"/>
        <v>0</v>
      </c>
      <c r="L353" s="1846">
        <f t="shared" si="59"/>
        <v>0</v>
      </c>
      <c r="M353" s="1846">
        <f t="shared" si="59"/>
        <v>0</v>
      </c>
      <c r="N353" s="1846">
        <f t="shared" si="59"/>
        <v>0</v>
      </c>
      <c r="O353" s="1846">
        <f t="shared" si="59"/>
        <v>0</v>
      </c>
      <c r="P353" s="1846">
        <f t="shared" si="61"/>
        <v>0</v>
      </c>
      <c r="Q353" s="1058"/>
      <c r="R353" s="1058"/>
      <c r="S353" s="1058"/>
      <c r="T353" s="2059">
        <f t="shared" si="56"/>
        <v>0</v>
      </c>
    </row>
    <row r="354" spans="1:20" ht="22.15" hidden="1" customHeight="1">
      <c r="A354" s="63"/>
      <c r="B354" s="1584" t="s">
        <v>999</v>
      </c>
      <c r="C354" s="64" t="str">
        <f t="shared" si="57"/>
        <v xml:space="preserve"> </v>
      </c>
      <c r="D354" s="1545">
        <f>D343*0</f>
        <v>0</v>
      </c>
      <c r="E354" s="1051" t="str">
        <f>VLOOKUP($B354,DG!A:D,DG!$B$2,)</f>
        <v>04.5101</v>
      </c>
      <c r="F354" s="1052" t="str">
        <f>VLOOKUP($B354,DG!A:D,DG!$C$2,)</f>
        <v>Gia công và lắp dựng cốt thép D&lt;=10</v>
      </c>
      <c r="G354" s="1051" t="str">
        <f>VLOOKUP($B354,DG!A:D,DG!$D$2,)</f>
        <v>kg</v>
      </c>
      <c r="H354" s="1846">
        <f t="shared" si="60"/>
        <v>0</v>
      </c>
      <c r="I354" s="1846">
        <f t="shared" si="59"/>
        <v>0</v>
      </c>
      <c r="J354" s="1846">
        <f t="shared" si="59"/>
        <v>0</v>
      </c>
      <c r="K354" s="1846">
        <f t="shared" si="59"/>
        <v>0</v>
      </c>
      <c r="L354" s="1846">
        <f t="shared" si="59"/>
        <v>0</v>
      </c>
      <c r="M354" s="1846">
        <f t="shared" si="59"/>
        <v>0</v>
      </c>
      <c r="N354" s="1846">
        <f t="shared" si="59"/>
        <v>0</v>
      </c>
      <c r="O354" s="1846">
        <f t="shared" si="59"/>
        <v>0</v>
      </c>
      <c r="P354" s="1846">
        <f t="shared" si="61"/>
        <v>0</v>
      </c>
      <c r="Q354" s="1058"/>
      <c r="R354" s="1058"/>
      <c r="S354" s="1058"/>
      <c r="T354" s="2059">
        <f t="shared" si="56"/>
        <v>0</v>
      </c>
    </row>
    <row r="355" spans="1:20" ht="22.15" hidden="1" customHeight="1">
      <c r="A355" s="63"/>
      <c r="B355" s="1584" t="s">
        <v>1841</v>
      </c>
      <c r="C355" s="64" t="str">
        <f t="shared" si="57"/>
        <v xml:space="preserve"> </v>
      </c>
      <c r="D355" s="1545">
        <v>1.19</v>
      </c>
      <c r="E355" s="1051" t="str">
        <f>VLOOKUP($B355,DG!A:D,DG!$B$2,)</f>
        <v>04.1203b</v>
      </c>
      <c r="F355" s="1052" t="str">
        <f>VLOOKUP($B355,DG!A:D,DG!$C$2,)</f>
        <v>Đổ bê tông mác M150 đá 1x2</v>
      </c>
      <c r="G355" s="1051" t="str">
        <f>VLOOKUP($B355,DG!A:D,DG!$D$2,)</f>
        <v>m3</v>
      </c>
      <c r="H355" s="1846">
        <f t="shared" si="60"/>
        <v>0</v>
      </c>
      <c r="I355" s="1846">
        <f t="shared" si="59"/>
        <v>0</v>
      </c>
      <c r="J355" s="1846">
        <f t="shared" si="59"/>
        <v>0</v>
      </c>
      <c r="K355" s="1846">
        <f t="shared" si="59"/>
        <v>0</v>
      </c>
      <c r="L355" s="1846">
        <f t="shared" si="59"/>
        <v>0</v>
      </c>
      <c r="M355" s="1846">
        <f t="shared" si="59"/>
        <v>0</v>
      </c>
      <c r="N355" s="1846">
        <f t="shared" si="59"/>
        <v>0</v>
      </c>
      <c r="O355" s="1846">
        <f t="shared" si="59"/>
        <v>0</v>
      </c>
      <c r="P355" s="1846">
        <f t="shared" si="61"/>
        <v>0</v>
      </c>
      <c r="Q355" s="1058"/>
      <c r="R355" s="1058"/>
      <c r="S355" s="1058"/>
      <c r="T355" s="2059">
        <f t="shared" si="56"/>
        <v>0</v>
      </c>
    </row>
    <row r="356" spans="1:20" ht="22.15" customHeight="1">
      <c r="A356" s="1581" t="s">
        <v>2314</v>
      </c>
      <c r="B356" s="1583" t="s">
        <v>2314</v>
      </c>
      <c r="C356" s="1020" t="str">
        <f t="shared" si="57"/>
        <v>x</v>
      </c>
      <c r="D356" s="1541"/>
      <c r="E356" s="1048"/>
      <c r="F356" s="1396" t="s">
        <v>2373</v>
      </c>
      <c r="G356" s="1049" t="s">
        <v>2336</v>
      </c>
      <c r="H356" s="1843">
        <f>SUM(I356:O356)</f>
        <v>5</v>
      </c>
      <c r="I356" s="1844"/>
      <c r="J356" s="1844"/>
      <c r="K356" s="1844">
        <f>IFERROR(HLOOKUP(B356,pp3p1m!$1:$3,3,0),0)</f>
        <v>5</v>
      </c>
      <c r="L356" s="1844">
        <f>IFERROR(HLOOKUP(chitiet!B356,pp1p!$1:$3,3,0),0)</f>
        <v>0</v>
      </c>
      <c r="M356" s="1844"/>
      <c r="N356" s="1844"/>
      <c r="O356" s="1844"/>
      <c r="P356" s="1843">
        <f>H356+Q356-R356</f>
        <v>5</v>
      </c>
      <c r="Q356" s="1050"/>
      <c r="R356" s="1050"/>
      <c r="S356" s="1050"/>
      <c r="T356" s="2059">
        <f>IFERROR(HLOOKUP(B356,pp1p!$1:$3,3,0),0)+IFERROR(HLOOKUP(B356,pp3p1m!$1:$3,3,0),0)</f>
        <v>5</v>
      </c>
    </row>
    <row r="357" spans="1:20" ht="22.15" customHeight="1">
      <c r="A357" s="1582"/>
      <c r="B357" s="1585" t="s">
        <v>753</v>
      </c>
      <c r="C357" s="1020" t="str">
        <f t="shared" si="57"/>
        <v>x</v>
      </c>
      <c r="D357" s="1548">
        <v>352</v>
      </c>
      <c r="E357" s="1051">
        <f>VLOOKUP($B357,DG!A:D,DG!$B$2,)</f>
        <v>0</v>
      </c>
      <c r="F357" s="1052" t="str">
        <f>VLOOKUP($B357,DG!A:D,DG!$C$2,)</f>
        <v>Ximăng (PC40)</v>
      </c>
      <c r="G357" s="1051" t="str">
        <f>VLOOKUP($B357,DG!A:D,DG!$D$2,)</f>
        <v>kg</v>
      </c>
      <c r="H357" s="1846">
        <f t="shared" ref="H357:H375" si="62">$H$356*$D357</f>
        <v>1760</v>
      </c>
      <c r="I357" s="1846">
        <f>I$494*$D357</f>
        <v>0</v>
      </c>
      <c r="J357" s="1846">
        <f>J$494*$D357</f>
        <v>0</v>
      </c>
      <c r="K357" s="1846">
        <f t="shared" ref="K357:K364" si="63">K$356*$D357</f>
        <v>1760</v>
      </c>
      <c r="L357" s="1846">
        <f>L$494*$D357</f>
        <v>0</v>
      </c>
      <c r="M357" s="1846">
        <f>M$494*$D357</f>
        <v>0</v>
      </c>
      <c r="N357" s="1846">
        <f>N$494*$D357</f>
        <v>0</v>
      </c>
      <c r="O357" s="1846"/>
      <c r="P357" s="1846">
        <f t="shared" ref="P357:P375" si="64">$P$356*D357</f>
        <v>1760</v>
      </c>
      <c r="Q357" s="1055">
        <f>$Q$356*D357</f>
        <v>0</v>
      </c>
      <c r="R357" s="1055"/>
      <c r="S357" s="1055"/>
      <c r="T357" s="2059">
        <f t="shared" si="56"/>
        <v>0</v>
      </c>
    </row>
    <row r="358" spans="1:20" ht="22.15" customHeight="1">
      <c r="A358" s="1582"/>
      <c r="B358" s="1585" t="s">
        <v>4441</v>
      </c>
      <c r="C358" s="1020" t="str">
        <f t="shared" si="57"/>
        <v>x</v>
      </c>
      <c r="D358" s="1545">
        <v>0.70899999999999996</v>
      </c>
      <c r="E358" s="1051">
        <f>VLOOKUP($B358,DG!A:D,DG!$B$2,)</f>
        <v>0</v>
      </c>
      <c r="F358" s="1052" t="str">
        <f>VLOOKUP($B358,DG!A:D,DG!$C$2,)</f>
        <v>Cát vàng</v>
      </c>
      <c r="G358" s="1051" t="str">
        <f>VLOOKUP($B358,DG!A:D,DG!$D$2,)</f>
        <v>m3</v>
      </c>
      <c r="H358" s="1846">
        <f t="shared" si="62"/>
        <v>3.5449999999999999</v>
      </c>
      <c r="I358" s="1846"/>
      <c r="J358" s="1846"/>
      <c r="K358" s="1846">
        <f t="shared" si="63"/>
        <v>3.5449999999999999</v>
      </c>
      <c r="L358" s="1846"/>
      <c r="M358" s="1846"/>
      <c r="N358" s="1846"/>
      <c r="O358" s="1846"/>
      <c r="P358" s="1846">
        <f t="shared" si="64"/>
        <v>3.5449999999999999</v>
      </c>
      <c r="Q358" s="1053">
        <f>$Q$356*D358</f>
        <v>0</v>
      </c>
      <c r="R358" s="1054"/>
      <c r="S358" s="1054"/>
      <c r="T358" s="2059">
        <f t="shared" si="56"/>
        <v>0</v>
      </c>
    </row>
    <row r="359" spans="1:20" ht="22.15" customHeight="1">
      <c r="A359" s="1582"/>
      <c r="B359" s="1585" t="s">
        <v>869</v>
      </c>
      <c r="C359" s="1020" t="str">
        <f t="shared" si="57"/>
        <v>x</v>
      </c>
      <c r="D359" s="1545">
        <v>1.276</v>
      </c>
      <c r="E359" s="1051">
        <f>VLOOKUP($B359,DG!A:D,DG!$B$2,)</f>
        <v>0</v>
      </c>
      <c r="F359" s="1052" t="str">
        <f>VLOOKUP($B359,DG!A:D,DG!$C$2,)</f>
        <v>Đá 1x2</v>
      </c>
      <c r="G359" s="1051" t="str">
        <f>VLOOKUP($B359,DG!A:D,DG!$D$2,)</f>
        <v>m3</v>
      </c>
      <c r="H359" s="1846">
        <f t="shared" si="62"/>
        <v>6.38</v>
      </c>
      <c r="I359" s="1846"/>
      <c r="J359" s="1846"/>
      <c r="K359" s="1846">
        <f t="shared" si="63"/>
        <v>6.38</v>
      </c>
      <c r="L359" s="1846"/>
      <c r="M359" s="1846"/>
      <c r="N359" s="1846"/>
      <c r="O359" s="1846"/>
      <c r="P359" s="1846">
        <f t="shared" si="64"/>
        <v>6.38</v>
      </c>
      <c r="Q359" s="1053">
        <f>$Q$356*D359</f>
        <v>0</v>
      </c>
      <c r="R359" s="1054"/>
      <c r="S359" s="1054"/>
      <c r="T359" s="2059">
        <f t="shared" si="56"/>
        <v>0</v>
      </c>
    </row>
    <row r="360" spans="1:20" ht="22.15" customHeight="1">
      <c r="A360" s="63"/>
      <c r="B360" s="1584" t="s">
        <v>5191</v>
      </c>
      <c r="C360" s="64" t="str">
        <f t="shared" ref="C360:C361" si="65">IF(OR(P360&lt;&gt;0,H360&lt;&gt;0),"x"," ")</f>
        <v>x</v>
      </c>
      <c r="D360" s="1549">
        <v>0.75</v>
      </c>
      <c r="E360" s="1051">
        <f>VLOOKUP($B360,DG!A:D,DG!$B$2,)</f>
        <v>0</v>
      </c>
      <c r="F360" s="1052" t="str">
        <f>VLOOKUP($B360,DG!A:D,DG!$C$2,)</f>
        <v>Đinh các loại</v>
      </c>
      <c r="G360" s="1051" t="str">
        <f>VLOOKUP($B360,DG!A:D,DG!$D$2,)</f>
        <v>kg</v>
      </c>
      <c r="H360" s="1846">
        <f t="shared" si="62"/>
        <v>3.75</v>
      </c>
      <c r="I360" s="1846"/>
      <c r="J360" s="1846"/>
      <c r="K360" s="1846">
        <f t="shared" si="63"/>
        <v>3.75</v>
      </c>
      <c r="L360" s="1846"/>
      <c r="M360" s="1846"/>
      <c r="N360" s="1846"/>
      <c r="O360" s="1846"/>
      <c r="P360" s="1846">
        <f t="shared" ref="P360:P361" si="66">$P$356*D360</f>
        <v>3.75</v>
      </c>
      <c r="Q360" s="1054"/>
      <c r="R360" s="1054"/>
      <c r="S360" s="1054"/>
      <c r="T360" s="2059">
        <f t="shared" ref="T360:T361" si="67">IFERROR(HLOOKUP(B360,BangKeTru,3,0),0)</f>
        <v>0</v>
      </c>
    </row>
    <row r="361" spans="1:20" ht="22.15" hidden="1" customHeight="1">
      <c r="A361" s="63"/>
      <c r="B361" s="1584" t="s">
        <v>998</v>
      </c>
      <c r="C361" s="64" t="str">
        <f t="shared" si="65"/>
        <v xml:space="preserve"> </v>
      </c>
      <c r="D361" s="1549"/>
      <c r="E361" s="1051">
        <f>VLOOKUP($B361,DG!A:D,DG!$B$2,)</f>
        <v>0</v>
      </c>
      <c r="F361" s="1052" t="str">
        <f>VLOOKUP($B361,DG!A:D,DG!$C$2,)</f>
        <v>Kẽm</v>
      </c>
      <c r="G361" s="1051" t="str">
        <f>VLOOKUP($B361,DG!A:D,DG!$D$2,)</f>
        <v>kg</v>
      </c>
      <c r="H361" s="1846">
        <f t="shared" si="62"/>
        <v>0</v>
      </c>
      <c r="I361" s="1846"/>
      <c r="J361" s="1846"/>
      <c r="K361" s="1846">
        <f t="shared" si="63"/>
        <v>0</v>
      </c>
      <c r="L361" s="1846"/>
      <c r="M361" s="1846"/>
      <c r="N361" s="1846"/>
      <c r="O361" s="1846"/>
      <c r="P361" s="1846">
        <f t="shared" si="66"/>
        <v>0</v>
      </c>
      <c r="Q361" s="1054"/>
      <c r="R361" s="1054"/>
      <c r="S361" s="1054"/>
      <c r="T361" s="2059">
        <f t="shared" si="67"/>
        <v>0</v>
      </c>
    </row>
    <row r="362" spans="1:20" ht="22.15" customHeight="1">
      <c r="A362" s="63"/>
      <c r="B362" s="1584" t="s">
        <v>4673</v>
      </c>
      <c r="C362" s="64" t="str">
        <f t="shared" si="57"/>
        <v>x</v>
      </c>
      <c r="D362" s="1549">
        <v>1.6800000000000001E-3</v>
      </c>
      <c r="E362" s="1051">
        <f>VLOOKUP($B362,DG!A:D,DG!$B$2,)</f>
        <v>0</v>
      </c>
      <c r="F362" s="1052" t="str">
        <f>VLOOKUP($B362,DG!A:D,DG!$C$2,)</f>
        <v>Gỗ chống</v>
      </c>
      <c r="G362" s="1051" t="str">
        <f>VLOOKUP($B362,DG!A:D,DG!$D$2,)</f>
        <v>m3</v>
      </c>
      <c r="H362" s="1846">
        <f t="shared" si="62"/>
        <v>8.4000000000000012E-3</v>
      </c>
      <c r="I362" s="1846"/>
      <c r="J362" s="1846"/>
      <c r="K362" s="1846">
        <f t="shared" si="63"/>
        <v>8.4000000000000012E-3</v>
      </c>
      <c r="L362" s="1846"/>
      <c r="M362" s="1846"/>
      <c r="N362" s="1846"/>
      <c r="O362" s="1846"/>
      <c r="P362" s="1846">
        <f t="shared" si="64"/>
        <v>8.4000000000000012E-3</v>
      </c>
      <c r="Q362" s="1054"/>
      <c r="R362" s="1054"/>
      <c r="S362" s="1054"/>
      <c r="T362" s="2059">
        <f t="shared" si="56"/>
        <v>0</v>
      </c>
    </row>
    <row r="363" spans="1:20" ht="22.15" customHeight="1">
      <c r="A363" s="63"/>
      <c r="B363" s="1584" t="s">
        <v>4675</v>
      </c>
      <c r="C363" s="64" t="str">
        <f t="shared" ref="C363" si="68">IF(OR(P363&lt;&gt;0,H363&lt;&gt;0),"x"," ")</f>
        <v>x</v>
      </c>
      <c r="D363" s="1549">
        <v>1.0500000000000001E-2</v>
      </c>
      <c r="E363" s="1051">
        <f>VLOOKUP($B363,DG!A:D,DG!$B$2,)</f>
        <v>0</v>
      </c>
      <c r="F363" s="1052" t="str">
        <f>VLOOKUP($B363,DG!A:D,DG!$C$2,)</f>
        <v>Gỗ đà nẹp</v>
      </c>
      <c r="G363" s="1051" t="str">
        <f>VLOOKUP($B363,DG!A:D,DG!$D$2,)</f>
        <v>m3</v>
      </c>
      <c r="H363" s="1846">
        <f t="shared" si="62"/>
        <v>5.2500000000000005E-2</v>
      </c>
      <c r="I363" s="1846"/>
      <c r="J363" s="1846"/>
      <c r="K363" s="1846">
        <f t="shared" si="63"/>
        <v>5.2500000000000005E-2</v>
      </c>
      <c r="L363" s="1846"/>
      <c r="M363" s="1846"/>
      <c r="N363" s="1846"/>
      <c r="O363" s="1846"/>
      <c r="P363" s="1846">
        <f t="shared" ref="P363" si="69">$P$356*D363</f>
        <v>5.2500000000000005E-2</v>
      </c>
      <c r="Q363" s="1054"/>
      <c r="R363" s="1054"/>
      <c r="S363" s="1054"/>
      <c r="T363" s="2059">
        <f t="shared" ref="T363" si="70">IFERROR(HLOOKUP(B363,BangKeTru,3,0),0)</f>
        <v>0</v>
      </c>
    </row>
    <row r="364" spans="1:20" ht="22.15" customHeight="1">
      <c r="A364" s="63"/>
      <c r="B364" s="1584" t="s">
        <v>4677</v>
      </c>
      <c r="C364" s="64" t="str">
        <f t="shared" si="57"/>
        <v>x</v>
      </c>
      <c r="D364" s="1549">
        <v>3.9600000000000003E-2</v>
      </c>
      <c r="E364" s="1051">
        <f>VLOOKUP($B364,DG!A:D,DG!$B$2,)</f>
        <v>0</v>
      </c>
      <c r="F364" s="1052" t="str">
        <f>VLOOKUP($B364,DG!A:D,DG!$C$2,)</f>
        <v>Gỗ ván (cả nẹp)</v>
      </c>
      <c r="G364" s="1051" t="str">
        <f>VLOOKUP($B364,DG!A:D,DG!$D$2,)</f>
        <v>m3</v>
      </c>
      <c r="H364" s="1846">
        <f t="shared" si="62"/>
        <v>0.19800000000000001</v>
      </c>
      <c r="I364" s="1846"/>
      <c r="J364" s="1846"/>
      <c r="K364" s="1846">
        <f t="shared" si="63"/>
        <v>0.19800000000000001</v>
      </c>
      <c r="L364" s="1846"/>
      <c r="M364" s="1846"/>
      <c r="N364" s="1846"/>
      <c r="O364" s="1846"/>
      <c r="P364" s="1846">
        <f t="shared" si="64"/>
        <v>0.19800000000000001</v>
      </c>
      <c r="Q364" s="1054"/>
      <c r="R364" s="1054"/>
      <c r="S364" s="1054"/>
      <c r="T364" s="2059">
        <f t="shared" si="56"/>
        <v>0</v>
      </c>
    </row>
    <row r="365" spans="1:20" ht="22.15" customHeight="1">
      <c r="A365" s="1582"/>
      <c r="B365" s="1580" t="s">
        <v>4683</v>
      </c>
      <c r="C365" s="1020" t="str">
        <f t="shared" si="57"/>
        <v>x</v>
      </c>
      <c r="D365" s="1549">
        <v>1.93</v>
      </c>
      <c r="E365" s="1051">
        <f>VLOOKUP($B365,DG!A:D,DG!$B$2,)</f>
        <v>0</v>
      </c>
      <c r="F365" s="1052" t="str">
        <f>VLOOKUP($B365,DG!A:D,DG!$C$2,)</f>
        <v>Ván khuôn gỗ móng - móng vuông, chữ nhật</v>
      </c>
      <c r="G365" s="1051" t="str">
        <f>VLOOKUP($B365,DG!A:D,DG!$D$2,)</f>
        <v>100m2</v>
      </c>
      <c r="H365" s="1846">
        <f t="shared" si="62"/>
        <v>9.65</v>
      </c>
      <c r="I365" s="1846"/>
      <c r="J365" s="1846"/>
      <c r="K365" s="1846"/>
      <c r="L365" s="1846"/>
      <c r="M365" s="1846"/>
      <c r="N365" s="1846"/>
      <c r="O365" s="1846"/>
      <c r="P365" s="1846">
        <f t="shared" si="64"/>
        <v>9.65</v>
      </c>
      <c r="Q365" s="1053">
        <f>$Q$356*D365</f>
        <v>0</v>
      </c>
      <c r="R365" s="1058"/>
      <c r="S365" s="1058"/>
      <c r="T365" s="2059">
        <f t="shared" si="56"/>
        <v>0</v>
      </c>
    </row>
    <row r="366" spans="1:20" ht="22.15" customHeight="1">
      <c r="A366" s="63"/>
      <c r="B366" s="1584" t="s">
        <v>21</v>
      </c>
      <c r="C366" s="64" t="str">
        <f t="shared" si="57"/>
        <v>x</v>
      </c>
      <c r="D366" s="1545">
        <v>0.157</v>
      </c>
      <c r="E366" s="1051" t="str">
        <f>VLOOKUP($B366,DG!A:D,DG!$B$2,)</f>
        <v>03.4113</v>
      </c>
      <c r="F366" s="1052" t="str">
        <f>VLOOKUP($B366,DG!A:D,DG!$C$2,)</f>
        <v>Đắp đất hố móng, độ chặt k=0,95</v>
      </c>
      <c r="G366" s="1051" t="str">
        <f>VLOOKUP($B366,DG!A:D,DG!$D$2,)</f>
        <v>m3</v>
      </c>
      <c r="H366" s="1846">
        <f t="shared" si="62"/>
        <v>0.78500000000000003</v>
      </c>
      <c r="I366" s="1846"/>
      <c r="J366" s="1846"/>
      <c r="K366" s="1846"/>
      <c r="L366" s="1846"/>
      <c r="M366" s="1846"/>
      <c r="N366" s="1846"/>
      <c r="O366" s="1846"/>
      <c r="P366" s="1846">
        <f t="shared" si="64"/>
        <v>0.78500000000000003</v>
      </c>
      <c r="Q366" s="1058"/>
      <c r="R366" s="1058"/>
      <c r="S366" s="1058"/>
      <c r="T366" s="2059">
        <f t="shared" si="56"/>
        <v>0</v>
      </c>
    </row>
    <row r="367" spans="1:20" ht="22.15" customHeight="1">
      <c r="A367" s="63"/>
      <c r="B367" s="1584" t="s">
        <v>4873</v>
      </c>
      <c r="C367" s="64" t="str">
        <f t="shared" si="57"/>
        <v>x</v>
      </c>
      <c r="D367" s="1545">
        <v>1</v>
      </c>
      <c r="E367" s="1051">
        <f>VLOOKUP($B367,DG!A:D,DG!$B$2,)</f>
        <v>0</v>
      </c>
      <c r="F367" s="1052" t="str">
        <f>VLOOKUP($B367,DG!A:D,DG!$C$2,)</f>
        <v>Boulon 16x450VRS+ 4 long đền vuông D18-50x50x3/Zn</v>
      </c>
      <c r="G367" s="1051" t="str">
        <f>VLOOKUP($B367,DG!A:D,DG!$D$2,)</f>
        <v>bộ</v>
      </c>
      <c r="H367" s="1846">
        <f t="shared" si="62"/>
        <v>5</v>
      </c>
      <c r="I367" s="1846"/>
      <c r="J367" s="1846"/>
      <c r="K367" s="1846"/>
      <c r="L367" s="1846"/>
      <c r="M367" s="1846"/>
      <c r="N367" s="1846"/>
      <c r="O367" s="1846"/>
      <c r="P367" s="1846">
        <f t="shared" si="64"/>
        <v>5</v>
      </c>
      <c r="Q367" s="1058"/>
      <c r="R367" s="1058"/>
      <c r="S367" s="1058"/>
      <c r="T367" s="2059">
        <f t="shared" si="56"/>
        <v>0</v>
      </c>
    </row>
    <row r="368" spans="1:20" ht="22.15" customHeight="1">
      <c r="A368" s="63"/>
      <c r="B368" s="1584" t="s">
        <v>532</v>
      </c>
      <c r="C368" s="64" t="str">
        <f t="shared" si="57"/>
        <v>x</v>
      </c>
      <c r="D368" s="1545">
        <v>1</v>
      </c>
      <c r="E368" s="1051">
        <f>VLOOKUP($B368,DG!A:D,DG!$B$2,)</f>
        <v>0</v>
      </c>
      <c r="F368" s="1052" t="str">
        <f>VLOOKUP($B368,DG!A:D,DG!$C$2,)</f>
        <v>Boulon 16x550VRS+ 4 long đền vuông D18-50x50x3/Zn</v>
      </c>
      <c r="G368" s="1051" t="str">
        <f>VLOOKUP($B368,DG!A:D,DG!$D$2,)</f>
        <v>bộ</v>
      </c>
      <c r="H368" s="1846">
        <f t="shared" si="62"/>
        <v>5</v>
      </c>
      <c r="I368" s="1846"/>
      <c r="J368" s="1846"/>
      <c r="K368" s="1846"/>
      <c r="L368" s="1846"/>
      <c r="M368" s="1846"/>
      <c r="N368" s="1846"/>
      <c r="O368" s="1846"/>
      <c r="P368" s="1846">
        <f t="shared" si="64"/>
        <v>5</v>
      </c>
      <c r="Q368" s="1058"/>
      <c r="R368" s="1058"/>
      <c r="S368" s="1058"/>
      <c r="T368" s="2059">
        <f t="shared" si="56"/>
        <v>0</v>
      </c>
    </row>
    <row r="369" spans="1:20" ht="22.15" customHeight="1">
      <c r="A369" s="63"/>
      <c r="B369" s="1584" t="s">
        <v>1387</v>
      </c>
      <c r="C369" s="64" t="str">
        <f t="shared" si="57"/>
        <v>x</v>
      </c>
      <c r="D369" s="1545">
        <v>1</v>
      </c>
      <c r="E369" s="1051">
        <f>VLOOKUP($B369,DG!A:D,DG!$B$2,)</f>
        <v>0</v>
      </c>
      <c r="F369" s="1052" t="str">
        <f>VLOOKUP($B369,DG!A:D,DG!$C$2,)</f>
        <v>Boulon 16x600VRS+ 4 long đền vuông D18-50x50x3/Zn</v>
      </c>
      <c r="G369" s="1051" t="str">
        <f>VLOOKUP($B369,DG!A:D,DG!$D$2,)</f>
        <v>bộ</v>
      </c>
      <c r="H369" s="1846">
        <f t="shared" si="62"/>
        <v>5</v>
      </c>
      <c r="I369" s="1846"/>
      <c r="J369" s="1846"/>
      <c r="K369" s="1846"/>
      <c r="L369" s="1846"/>
      <c r="M369" s="1846"/>
      <c r="N369" s="1846"/>
      <c r="O369" s="1846"/>
      <c r="P369" s="1846">
        <f t="shared" si="64"/>
        <v>5</v>
      </c>
      <c r="Q369" s="1058"/>
      <c r="R369" s="1058"/>
      <c r="S369" s="1058"/>
      <c r="T369" s="2059">
        <f t="shared" si="56"/>
        <v>0</v>
      </c>
    </row>
    <row r="370" spans="1:20" ht="22.15" customHeight="1">
      <c r="A370" s="63"/>
      <c r="B370" s="1584" t="s">
        <v>639</v>
      </c>
      <c r="C370" s="64" t="str">
        <f t="shared" si="57"/>
        <v>x</v>
      </c>
      <c r="D370" s="1545">
        <v>1.8340000000000001</v>
      </c>
      <c r="E370" s="1051" t="str">
        <f>VLOOKUP($B370,DG!A:D,DG!$B$2,)</f>
        <v>03.1013</v>
      </c>
      <c r="F370" s="1052" t="str">
        <f>VLOOKUP($B370,DG!A:D,DG!$C$2,)</f>
        <v>Đào hố móng đất cấp 3 sâu &gt;1m</v>
      </c>
      <c r="G370" s="1051" t="str">
        <f>VLOOKUP($B370,DG!A:D,DG!$D$2,)</f>
        <v>m3</v>
      </c>
      <c r="H370" s="1846">
        <f t="shared" si="62"/>
        <v>9.17</v>
      </c>
      <c r="I370" s="1846"/>
      <c r="J370" s="1846"/>
      <c r="K370" s="1846"/>
      <c r="L370" s="1846"/>
      <c r="M370" s="1846"/>
      <c r="N370" s="1846"/>
      <c r="O370" s="1846"/>
      <c r="P370" s="1846">
        <f t="shared" si="64"/>
        <v>9.17</v>
      </c>
      <c r="Q370" s="1058"/>
      <c r="R370" s="1058"/>
      <c r="S370" s="1058"/>
      <c r="T370" s="2059">
        <f t="shared" si="56"/>
        <v>0</v>
      </c>
    </row>
    <row r="371" spans="1:20" ht="22.15" hidden="1" customHeight="1">
      <c r="A371" s="63"/>
      <c r="B371" s="1584" t="s">
        <v>1616</v>
      </c>
      <c r="C371" s="64" t="str">
        <f t="shared" si="57"/>
        <v xml:space="preserve"> </v>
      </c>
      <c r="D371" s="1545"/>
      <c r="E371" s="1051" t="str">
        <f>VLOOKUP($B371,DG!A:D,DG!$B$2,)</f>
        <v>02.1231</v>
      </c>
      <c r="F371" s="1052" t="str">
        <f>VLOOKUP($B371,DG!A:D,DG!$C$2,)</f>
        <v>V/c cát vàng cự ly &lt;=100m</v>
      </c>
      <c r="G371" s="1051" t="str">
        <f>VLOOKUP($B371,DG!A:D,DG!$D$2,)</f>
        <v>m3</v>
      </c>
      <c r="H371" s="1846">
        <f t="shared" si="62"/>
        <v>0</v>
      </c>
      <c r="I371" s="1846"/>
      <c r="J371" s="1846"/>
      <c r="K371" s="1846"/>
      <c r="L371" s="1846"/>
      <c r="M371" s="1846"/>
      <c r="N371" s="1846"/>
      <c r="O371" s="1846"/>
      <c r="P371" s="1846">
        <f t="shared" si="64"/>
        <v>0</v>
      </c>
      <c r="Q371" s="1058"/>
      <c r="R371" s="1058"/>
      <c r="S371" s="1058"/>
      <c r="T371" s="2059">
        <f t="shared" si="56"/>
        <v>0</v>
      </c>
    </row>
    <row r="372" spans="1:20" ht="22.15" hidden="1" customHeight="1">
      <c r="A372" s="63"/>
      <c r="B372" s="1584" t="s">
        <v>521</v>
      </c>
      <c r="C372" s="64" t="str">
        <f t="shared" si="57"/>
        <v xml:space="preserve"> </v>
      </c>
      <c r="D372" s="1545"/>
      <c r="E372" s="1051" t="str">
        <f>VLOOKUP($B372,DG!A:D,DG!$B$2,)</f>
        <v>02.1241</v>
      </c>
      <c r="F372" s="1052" t="str">
        <f>VLOOKUP($B372,DG!A:D,DG!$C$2,)</f>
        <v>V/c đá dăm ( cự ly &lt;=100m)</v>
      </c>
      <c r="G372" s="1051" t="str">
        <f>VLOOKUP($B372,DG!A:D,DG!$D$2,)</f>
        <v>m3</v>
      </c>
      <c r="H372" s="1846">
        <f t="shared" si="62"/>
        <v>0</v>
      </c>
      <c r="I372" s="1846"/>
      <c r="J372" s="1846"/>
      <c r="K372" s="1846"/>
      <c r="L372" s="1846"/>
      <c r="M372" s="1846"/>
      <c r="N372" s="1846"/>
      <c r="O372" s="1846"/>
      <c r="P372" s="1846">
        <f t="shared" si="64"/>
        <v>0</v>
      </c>
      <c r="Q372" s="1058"/>
      <c r="R372" s="1058"/>
      <c r="S372" s="1058"/>
      <c r="T372" s="2059">
        <f t="shared" si="56"/>
        <v>0</v>
      </c>
    </row>
    <row r="373" spans="1:20" ht="22.15" hidden="1" customHeight="1">
      <c r="A373" s="63"/>
      <c r="B373" s="1584" t="s">
        <v>1987</v>
      </c>
      <c r="C373" s="64" t="str">
        <f t="shared" si="57"/>
        <v xml:space="preserve"> </v>
      </c>
      <c r="D373" s="1545"/>
      <c r="E373" s="1051" t="str">
        <f>VLOOKUP($B373,DG!A:D,DG!$B$2,)</f>
        <v>02.1482</v>
      </c>
      <c r="F373" s="1052" t="str">
        <f>VLOOKUP($B373,DG!A:D,DG!$C$2,)</f>
        <v>V/c dụng cụ thi công ( cự ly &lt;=100m)</v>
      </c>
      <c r="G373" s="1051" t="str">
        <f>VLOOKUP($B373,DG!A:D,DG!$D$2,)</f>
        <v>tấn</v>
      </c>
      <c r="H373" s="1846">
        <f t="shared" si="62"/>
        <v>0</v>
      </c>
      <c r="I373" s="1846"/>
      <c r="J373" s="1846"/>
      <c r="K373" s="1846"/>
      <c r="L373" s="1846"/>
      <c r="M373" s="1846"/>
      <c r="N373" s="1846"/>
      <c r="O373" s="1846"/>
      <c r="P373" s="1846">
        <f t="shared" si="64"/>
        <v>0</v>
      </c>
      <c r="Q373" s="1058"/>
      <c r="R373" s="1058"/>
      <c r="S373" s="1058"/>
      <c r="T373" s="2059">
        <f t="shared" si="56"/>
        <v>0</v>
      </c>
    </row>
    <row r="374" spans="1:20" ht="22.15" hidden="1" customHeight="1">
      <c r="A374" s="63"/>
      <c r="B374" s="1584" t="s">
        <v>999</v>
      </c>
      <c r="C374" s="64" t="str">
        <f t="shared" si="57"/>
        <v xml:space="preserve"> </v>
      </c>
      <c r="D374" s="1545"/>
      <c r="E374" s="1051" t="str">
        <f>VLOOKUP($B374,DG!A:D,DG!$B$2,)</f>
        <v>04.5101</v>
      </c>
      <c r="F374" s="1052" t="str">
        <f>VLOOKUP($B374,DG!A:D,DG!$C$2,)</f>
        <v>Gia công và lắp dựng cốt thép D&lt;=10</v>
      </c>
      <c r="G374" s="1051" t="str">
        <f>VLOOKUP($B374,DG!A:D,DG!$D$2,)</f>
        <v>kg</v>
      </c>
      <c r="H374" s="1846">
        <f t="shared" si="62"/>
        <v>0</v>
      </c>
      <c r="I374" s="1846"/>
      <c r="J374" s="1846"/>
      <c r="K374" s="1846"/>
      <c r="L374" s="1846"/>
      <c r="M374" s="1846"/>
      <c r="N374" s="1846"/>
      <c r="O374" s="1846"/>
      <c r="P374" s="1846">
        <f t="shared" si="64"/>
        <v>0</v>
      </c>
      <c r="Q374" s="1058"/>
      <c r="R374" s="1058"/>
      <c r="S374" s="1058"/>
      <c r="T374" s="2059">
        <f t="shared" si="56"/>
        <v>0</v>
      </c>
    </row>
    <row r="375" spans="1:20" ht="22.15" customHeight="1">
      <c r="A375" s="1582"/>
      <c r="B375" s="1584" t="s">
        <v>1841</v>
      </c>
      <c r="C375" s="64" t="str">
        <f t="shared" si="57"/>
        <v>x</v>
      </c>
      <c r="D375" s="1545">
        <v>1.4319999999999999</v>
      </c>
      <c r="E375" s="1051" t="str">
        <f>VLOOKUP($B375,DG!A:D,DG!$B$2,)</f>
        <v>04.1203b</v>
      </c>
      <c r="F375" s="1052" t="str">
        <f>VLOOKUP($B375,DG!A:D,DG!$C$2,)</f>
        <v>Đổ bê tông mác M150 đá 1x2</v>
      </c>
      <c r="G375" s="1051" t="str">
        <f>VLOOKUP($B375,DG!A:D,DG!$D$2,)</f>
        <v>m3</v>
      </c>
      <c r="H375" s="1846">
        <f t="shared" si="62"/>
        <v>7.16</v>
      </c>
      <c r="I375" s="1846"/>
      <c r="J375" s="1846"/>
      <c r="K375" s="1846"/>
      <c r="L375" s="1846"/>
      <c r="M375" s="1846"/>
      <c r="N375" s="1846"/>
      <c r="O375" s="1846"/>
      <c r="P375" s="1846">
        <f t="shared" si="64"/>
        <v>7.16</v>
      </c>
      <c r="Q375" s="1058"/>
      <c r="R375" s="1058"/>
      <c r="S375" s="1058"/>
      <c r="T375" s="2059">
        <f t="shared" si="56"/>
        <v>0</v>
      </c>
    </row>
    <row r="376" spans="1:20" ht="22.15" hidden="1" customHeight="1">
      <c r="A376" s="56" t="s">
        <v>746</v>
      </c>
      <c r="B376" s="1583" t="s">
        <v>746</v>
      </c>
      <c r="C376" s="62" t="str">
        <f t="shared" si="57"/>
        <v xml:space="preserve"> </v>
      </c>
      <c r="D376" s="1541"/>
      <c r="E376" s="1048"/>
      <c r="F376" s="1396" t="s">
        <v>2374</v>
      </c>
      <c r="G376" s="1049" t="s">
        <v>2336</v>
      </c>
      <c r="H376" s="1843">
        <f>SUM(I376:O376)</f>
        <v>0</v>
      </c>
      <c r="I376" s="1844"/>
      <c r="J376" s="1844"/>
      <c r="K376" s="1844">
        <f>IFERROR(HLOOKUP(B376,pp3p1m!$1:$3,3,0),0)</f>
        <v>0</v>
      </c>
      <c r="L376" s="1844">
        <f>IFERROR(HLOOKUP(chitiet!B376,pp1p!$1:$3,3,0),0)</f>
        <v>0</v>
      </c>
      <c r="M376" s="1844"/>
      <c r="N376" s="1844"/>
      <c r="O376" s="1844"/>
      <c r="P376" s="1844"/>
      <c r="Q376" s="1050"/>
      <c r="R376" s="1050"/>
      <c r="S376" s="1050"/>
      <c r="T376" s="2059">
        <f>IFERROR(HLOOKUP(B376,pp1p!$1:$3,3,0),0)+IFERROR(HLOOKUP(B376,pp3p1m!$1:$3,3,0),0)</f>
        <v>0</v>
      </c>
    </row>
    <row r="377" spans="1:20" ht="22.15" hidden="1" customHeight="1">
      <c r="A377" s="63"/>
      <c r="B377" s="1584" t="s">
        <v>753</v>
      </c>
      <c r="C377" s="64" t="str">
        <f t="shared" si="57"/>
        <v xml:space="preserve"> </v>
      </c>
      <c r="D377" s="1548">
        <v>838</v>
      </c>
      <c r="E377" s="1051">
        <f>VLOOKUP($B377,DG!A:D,DG!$B$2,)</f>
        <v>0</v>
      </c>
      <c r="F377" s="1052" t="str">
        <f>VLOOKUP($B377,DG!A:D,DG!$C$2,)</f>
        <v>Ximăng (PC40)</v>
      </c>
      <c r="G377" s="1051" t="str">
        <f>VLOOKUP($B377,DG!A:D,DG!$D$2,)</f>
        <v>kg</v>
      </c>
      <c r="H377" s="1846">
        <f t="shared" ref="H377:H395" si="71">H$356*$H$376</f>
        <v>0</v>
      </c>
      <c r="I377" s="1846">
        <f>I$494*$D377</f>
        <v>0</v>
      </c>
      <c r="J377" s="1846">
        <f>J$494*$D377</f>
        <v>0</v>
      </c>
      <c r="K377" s="1846">
        <f t="shared" ref="K377:K387" si="72">K$356*$D377</f>
        <v>4190</v>
      </c>
      <c r="L377" s="1846">
        <f>L$494*$D377</f>
        <v>0</v>
      </c>
      <c r="M377" s="1846">
        <f>M$494*$D377</f>
        <v>0</v>
      </c>
      <c r="N377" s="1846">
        <f>N$494*$D377</f>
        <v>0</v>
      </c>
      <c r="O377" s="1846"/>
      <c r="P377" s="1846"/>
      <c r="Q377" s="1055"/>
      <c r="R377" s="1055"/>
      <c r="S377" s="1055"/>
      <c r="T377" s="2059">
        <f t="shared" si="56"/>
        <v>0</v>
      </c>
    </row>
    <row r="378" spans="1:20" ht="22.15" hidden="1" customHeight="1">
      <c r="A378" s="63"/>
      <c r="B378" s="1585" t="s">
        <v>4447</v>
      </c>
      <c r="C378" s="64" t="str">
        <f t="shared" si="57"/>
        <v xml:space="preserve"> </v>
      </c>
      <c r="D378" s="1545">
        <v>0.80100000000000005</v>
      </c>
      <c r="E378" s="1051">
        <f>VLOOKUP($B378,DG!A:D,DG!$B$2,)</f>
        <v>0</v>
      </c>
      <c r="F378" s="1052" t="str">
        <f>VLOOKUP($B378,DG!A:D,DG!$C$2,)</f>
        <v>Cát vàng</v>
      </c>
      <c r="G378" s="1051" t="str">
        <f>VLOOKUP($B378,DG!A:D,DG!$D$2,)</f>
        <v>m3</v>
      </c>
      <c r="H378" s="1846">
        <f t="shared" si="71"/>
        <v>0</v>
      </c>
      <c r="I378" s="1846"/>
      <c r="J378" s="1846"/>
      <c r="K378" s="1846">
        <f t="shared" si="72"/>
        <v>4.0049999999999999</v>
      </c>
      <c r="L378" s="1846"/>
      <c r="M378" s="1846"/>
      <c r="N378" s="1846"/>
      <c r="O378" s="1846"/>
      <c r="P378" s="1846"/>
      <c r="Q378" s="1054"/>
      <c r="R378" s="1054"/>
      <c r="S378" s="1054"/>
      <c r="T378" s="2059">
        <f t="shared" si="56"/>
        <v>0</v>
      </c>
    </row>
    <row r="379" spans="1:20" ht="22.15" hidden="1" customHeight="1">
      <c r="A379" s="63"/>
      <c r="B379" s="1584" t="s">
        <v>869</v>
      </c>
      <c r="C379" s="64" t="str">
        <f t="shared" si="57"/>
        <v xml:space="preserve"> </v>
      </c>
      <c r="D379" s="1545">
        <v>1.6559999999999999</v>
      </c>
      <c r="E379" s="1051">
        <f>VLOOKUP($B379,DG!A:D,DG!$B$2,)</f>
        <v>0</v>
      </c>
      <c r="F379" s="1052" t="str">
        <f>VLOOKUP($B379,DG!A:D,DG!$C$2,)</f>
        <v>Đá 1x2</v>
      </c>
      <c r="G379" s="1051" t="str">
        <f>VLOOKUP($B379,DG!A:D,DG!$D$2,)</f>
        <v>m3</v>
      </c>
      <c r="H379" s="1846">
        <f t="shared" si="71"/>
        <v>0</v>
      </c>
      <c r="I379" s="1846"/>
      <c r="J379" s="1846"/>
      <c r="K379" s="1846">
        <f t="shared" si="72"/>
        <v>8.2799999999999994</v>
      </c>
      <c r="L379" s="1846"/>
      <c r="M379" s="1846"/>
      <c r="N379" s="1846"/>
      <c r="O379" s="1846"/>
      <c r="P379" s="1846"/>
      <c r="Q379" s="1054"/>
      <c r="R379" s="1054"/>
      <c r="S379" s="1054"/>
      <c r="T379" s="2059">
        <f t="shared" si="56"/>
        <v>0</v>
      </c>
    </row>
    <row r="380" spans="1:20" ht="22.15" hidden="1" customHeight="1">
      <c r="A380" s="63"/>
      <c r="B380" s="1584" t="s">
        <v>1439</v>
      </c>
      <c r="C380" s="64" t="str">
        <f t="shared" si="57"/>
        <v xml:space="preserve"> </v>
      </c>
      <c r="D380" s="1549">
        <v>53.24</v>
      </c>
      <c r="E380" s="1051">
        <f>VLOOKUP($B380,DG!A:D,DG!$B$2,)</f>
        <v>0</v>
      </c>
      <c r="F380" s="1057" t="str">
        <f>VLOOKUP($B380,DG!A:D,DG!$C$2,)</f>
        <v>Sắt Ø16</v>
      </c>
      <c r="G380" s="1051" t="str">
        <f>VLOOKUP($B380,DG!A:D,DG!$D$2,)</f>
        <v>kg</v>
      </c>
      <c r="H380" s="1846">
        <f t="shared" si="71"/>
        <v>0</v>
      </c>
      <c r="I380" s="1846"/>
      <c r="J380" s="1846"/>
      <c r="K380" s="1846">
        <f t="shared" si="72"/>
        <v>266.2</v>
      </c>
      <c r="L380" s="1846"/>
      <c r="M380" s="1846"/>
      <c r="N380" s="1846"/>
      <c r="O380" s="1846"/>
      <c r="P380" s="1846"/>
      <c r="Q380" s="1054"/>
      <c r="R380" s="1054"/>
      <c r="S380" s="1054"/>
      <c r="T380" s="2059">
        <f t="shared" si="56"/>
        <v>0</v>
      </c>
    </row>
    <row r="381" spans="1:20" ht="22.15" hidden="1" customHeight="1">
      <c r="A381" s="63"/>
      <c r="B381" s="1584" t="s">
        <v>997</v>
      </c>
      <c r="C381" s="64" t="str">
        <f t="shared" si="57"/>
        <v xml:space="preserve"> </v>
      </c>
      <c r="D381" s="1549">
        <v>4.4400000000000004</v>
      </c>
      <c r="E381" s="1051">
        <f>VLOOKUP($B381,DG!A:D,DG!$B$2,)</f>
        <v>0</v>
      </c>
      <c r="F381" s="1057" t="str">
        <f>VLOOKUP($B381,DG!A:D,DG!$C$2,)</f>
        <v>Sắt Ø10</v>
      </c>
      <c r="G381" s="1051" t="str">
        <f>VLOOKUP($B381,DG!A:D,DG!$D$2,)</f>
        <v>kg</v>
      </c>
      <c r="H381" s="1846">
        <f t="shared" si="71"/>
        <v>0</v>
      </c>
      <c r="I381" s="1846"/>
      <c r="J381" s="1846"/>
      <c r="K381" s="1846">
        <f t="shared" si="72"/>
        <v>22.200000000000003</v>
      </c>
      <c r="L381" s="1846"/>
      <c r="M381" s="1846"/>
      <c r="N381" s="1846"/>
      <c r="O381" s="1846"/>
      <c r="P381" s="1846"/>
      <c r="Q381" s="1054"/>
      <c r="R381" s="1054"/>
      <c r="S381" s="1054"/>
      <c r="T381" s="2059">
        <f t="shared" si="56"/>
        <v>0</v>
      </c>
    </row>
    <row r="382" spans="1:20" ht="22.15" hidden="1" customHeight="1">
      <c r="A382" s="63"/>
      <c r="B382" s="1584" t="s">
        <v>747</v>
      </c>
      <c r="C382" s="64" t="str">
        <f t="shared" si="57"/>
        <v xml:space="preserve"> </v>
      </c>
      <c r="D382" s="1549">
        <v>13.36</v>
      </c>
      <c r="E382" s="1051">
        <f>VLOOKUP($B382,DG!A:D,DG!$B$2,)</f>
        <v>0</v>
      </c>
      <c r="F382" s="1057" t="str">
        <f>VLOOKUP($B382,DG!A:D,DG!$C$2,)</f>
        <v>Sắt Ø8</v>
      </c>
      <c r="G382" s="1051" t="str">
        <f>VLOOKUP($B382,DG!A:D,DG!$D$2,)</f>
        <v>kg</v>
      </c>
      <c r="H382" s="1846">
        <f t="shared" si="71"/>
        <v>0</v>
      </c>
      <c r="I382" s="1846"/>
      <c r="J382" s="1846"/>
      <c r="K382" s="1846">
        <f t="shared" si="72"/>
        <v>66.8</v>
      </c>
      <c r="L382" s="1846"/>
      <c r="M382" s="1846"/>
      <c r="N382" s="1846"/>
      <c r="O382" s="1846"/>
      <c r="P382" s="1846"/>
      <c r="Q382" s="1054"/>
      <c r="R382" s="1054"/>
      <c r="S382" s="1054"/>
      <c r="T382" s="2059">
        <f t="shared" si="56"/>
        <v>0</v>
      </c>
    </row>
    <row r="383" spans="1:20" ht="22.15" hidden="1" customHeight="1">
      <c r="A383" s="63"/>
      <c r="B383" s="1584" t="s">
        <v>998</v>
      </c>
      <c r="C383" s="64" t="str">
        <f t="shared" si="57"/>
        <v xml:space="preserve"> </v>
      </c>
      <c r="D383" s="1549"/>
      <c r="E383" s="1051">
        <f>VLOOKUP($B383,DG!A:D,DG!$B$2,)</f>
        <v>0</v>
      </c>
      <c r="F383" s="1057" t="str">
        <f>VLOOKUP($B383,DG!A:D,DG!$C$2,)</f>
        <v>Kẽm</v>
      </c>
      <c r="G383" s="1051" t="str">
        <f>VLOOKUP($B383,DG!A:D,DG!$D$2,)</f>
        <v>kg</v>
      </c>
      <c r="H383" s="1846">
        <f t="shared" si="71"/>
        <v>0</v>
      </c>
      <c r="I383" s="1846"/>
      <c r="J383" s="1846"/>
      <c r="K383" s="1846">
        <f t="shared" si="72"/>
        <v>0</v>
      </c>
      <c r="L383" s="1846"/>
      <c r="M383" s="1846"/>
      <c r="N383" s="1846"/>
      <c r="O383" s="1846"/>
      <c r="P383" s="1846"/>
      <c r="Q383" s="1054"/>
      <c r="R383" s="1054"/>
      <c r="S383" s="1054"/>
      <c r="T383" s="2059">
        <f t="shared" si="56"/>
        <v>0</v>
      </c>
    </row>
    <row r="384" spans="1:20" ht="22.15" hidden="1" customHeight="1">
      <c r="A384" s="63"/>
      <c r="B384" s="1584" t="s">
        <v>1435</v>
      </c>
      <c r="C384" s="64" t="str">
        <f t="shared" si="57"/>
        <v xml:space="preserve"> </v>
      </c>
      <c r="D384" s="1549">
        <v>2</v>
      </c>
      <c r="E384" s="1051"/>
      <c r="F384" s="1057" t="str">
        <f>VLOOKUP($B384,DG!A:D,DG!$C$2,)</f>
        <v>Cong D1000x1000mm</v>
      </c>
      <c r="G384" s="1051" t="str">
        <f>VLOOKUP($B384,DG!A:D,DG!$D$2,)</f>
        <v>cái</v>
      </c>
      <c r="H384" s="1846">
        <f t="shared" si="71"/>
        <v>0</v>
      </c>
      <c r="I384" s="1846"/>
      <c r="J384" s="1846"/>
      <c r="K384" s="1846">
        <f t="shared" si="72"/>
        <v>10</v>
      </c>
      <c r="L384" s="1846"/>
      <c r="M384" s="1846"/>
      <c r="N384" s="1846"/>
      <c r="O384" s="1846"/>
      <c r="P384" s="1846"/>
      <c r="Q384" s="1054"/>
      <c r="R384" s="1054"/>
      <c r="S384" s="1054"/>
      <c r="T384" s="2059">
        <f t="shared" si="56"/>
        <v>0</v>
      </c>
    </row>
    <row r="385" spans="1:20" ht="22.15" hidden="1" customHeight="1">
      <c r="A385" s="63"/>
      <c r="B385" s="1584" t="s">
        <v>1436</v>
      </c>
      <c r="C385" s="64" t="str">
        <f t="shared" si="57"/>
        <v xml:space="preserve"> </v>
      </c>
      <c r="D385" s="1549">
        <v>1</v>
      </c>
      <c r="E385" s="1051"/>
      <c r="F385" s="1057" t="str">
        <f>VLOOKUP($B385,DG!A:D,DG!$C$2,)</f>
        <v>Cong D1000x400mm</v>
      </c>
      <c r="G385" s="1051" t="str">
        <f>VLOOKUP($B385,DG!A:D,DG!$D$2,)</f>
        <v>cái</v>
      </c>
      <c r="H385" s="1846">
        <f t="shared" si="71"/>
        <v>0</v>
      </c>
      <c r="I385" s="1846"/>
      <c r="J385" s="1846"/>
      <c r="K385" s="1846">
        <f t="shared" si="72"/>
        <v>5</v>
      </c>
      <c r="L385" s="1846"/>
      <c r="M385" s="1846"/>
      <c r="N385" s="1846"/>
      <c r="O385" s="1846"/>
      <c r="P385" s="1846"/>
      <c r="Q385" s="1054"/>
      <c r="R385" s="1054"/>
      <c r="S385" s="1054"/>
      <c r="T385" s="2059">
        <f t="shared" si="56"/>
        <v>0</v>
      </c>
    </row>
    <row r="386" spans="1:20" ht="22.15" hidden="1" customHeight="1">
      <c r="A386" s="63"/>
      <c r="B386" s="1586" t="s">
        <v>639</v>
      </c>
      <c r="C386" s="64" t="str">
        <f t="shared" si="57"/>
        <v xml:space="preserve"> </v>
      </c>
      <c r="D386" s="1549">
        <v>1.93</v>
      </c>
      <c r="E386" s="1051" t="str">
        <f>VLOOKUP($B386,DG!A:D,DG!$B$2,)</f>
        <v>03.1013</v>
      </c>
      <c r="F386" s="1052" t="str">
        <f>VLOOKUP($B386,DG!A:D,DG!$C$2,)</f>
        <v>Đào hố móng đất cấp 3 sâu &gt;1m</v>
      </c>
      <c r="G386" s="1051" t="str">
        <f>VLOOKUP($B386,DG!A:D,DG!$D$2,)</f>
        <v>m3</v>
      </c>
      <c r="H386" s="1846">
        <f t="shared" si="71"/>
        <v>0</v>
      </c>
      <c r="I386" s="1846"/>
      <c r="J386" s="1846"/>
      <c r="K386" s="1846">
        <f t="shared" si="72"/>
        <v>9.65</v>
      </c>
      <c r="L386" s="1846"/>
      <c r="M386" s="1846"/>
      <c r="N386" s="1846"/>
      <c r="O386" s="1846"/>
      <c r="P386" s="1846"/>
      <c r="Q386" s="1054"/>
      <c r="R386" s="1054"/>
      <c r="S386" s="1054"/>
      <c r="T386" s="2059">
        <f t="shared" si="56"/>
        <v>0</v>
      </c>
    </row>
    <row r="387" spans="1:20" ht="22.15" hidden="1" customHeight="1">
      <c r="A387" s="63"/>
      <c r="B387" s="1584" t="s">
        <v>1298</v>
      </c>
      <c r="C387" s="64" t="str">
        <f t="shared" si="57"/>
        <v xml:space="preserve"> </v>
      </c>
      <c r="D387" s="1545"/>
      <c r="E387" s="1051" t="str">
        <f>VLOOKUP($B387,DG!A:D,DG!$B$2,)</f>
        <v>02.1101</v>
      </c>
      <c r="F387" s="1057" t="s">
        <v>2375</v>
      </c>
      <c r="G387" s="1051" t="str">
        <f>VLOOKUP($B387,DG!A:D,DG!$D$2,)</f>
        <v>tấn</v>
      </c>
      <c r="H387" s="1846">
        <f t="shared" si="71"/>
        <v>0</v>
      </c>
      <c r="I387" s="1846"/>
      <c r="J387" s="1846"/>
      <c r="K387" s="1846">
        <f t="shared" si="72"/>
        <v>0</v>
      </c>
      <c r="L387" s="1846"/>
      <c r="M387" s="1846"/>
      <c r="N387" s="1846"/>
      <c r="O387" s="1846"/>
      <c r="P387" s="1846"/>
      <c r="Q387" s="1054"/>
      <c r="R387" s="1054"/>
      <c r="S387" s="1054"/>
      <c r="T387" s="2059">
        <f t="shared" si="56"/>
        <v>0</v>
      </c>
    </row>
    <row r="388" spans="1:20" ht="22.15" hidden="1" customHeight="1">
      <c r="A388" s="63"/>
      <c r="B388" s="1584" t="s">
        <v>133</v>
      </c>
      <c r="C388" s="64" t="str">
        <f t="shared" si="57"/>
        <v xml:space="preserve"> </v>
      </c>
      <c r="D388" s="1545"/>
      <c r="E388" s="1051" t="str">
        <f>VLOOKUP($B388,DG!A:D,DG!$B$2,)</f>
        <v>02.1103</v>
      </c>
      <c r="F388" s="1052" t="str">
        <f>VLOOKUP($B388,DG!A:D,DG!$C$2,)</f>
        <v>Bốc dỡ cát</v>
      </c>
      <c r="G388" s="1051" t="str">
        <f>VLOOKUP($B388,DG!A:D,DG!$D$2,)</f>
        <v>m3</v>
      </c>
      <c r="H388" s="1846">
        <f t="shared" si="71"/>
        <v>0</v>
      </c>
      <c r="I388" s="1846"/>
      <c r="J388" s="1846"/>
      <c r="K388" s="1846"/>
      <c r="L388" s="1846"/>
      <c r="M388" s="1846"/>
      <c r="N388" s="1846"/>
      <c r="O388" s="1846"/>
      <c r="P388" s="1846"/>
      <c r="Q388" s="1058"/>
      <c r="R388" s="1058"/>
      <c r="S388" s="1058"/>
      <c r="T388" s="2059">
        <f t="shared" si="56"/>
        <v>0</v>
      </c>
    </row>
    <row r="389" spans="1:20" ht="22.15" hidden="1" customHeight="1">
      <c r="A389" s="63"/>
      <c r="B389" s="1584" t="s">
        <v>135</v>
      </c>
      <c r="C389" s="64" t="str">
        <f t="shared" si="57"/>
        <v xml:space="preserve"> </v>
      </c>
      <c r="D389" s="1545"/>
      <c r="E389" s="1051" t="str">
        <f>VLOOKUP($B389,DG!A:D,DG!$B$2,)</f>
        <v>02.1104</v>
      </c>
      <c r="F389" s="1052" t="str">
        <f>VLOOKUP($B389,DG!A:D,DG!$C$2,)</f>
        <v>Bốc dỡ đá dăm</v>
      </c>
      <c r="G389" s="1051" t="str">
        <f>VLOOKUP($B389,DG!A:D,DG!$D$2,)</f>
        <v>m3</v>
      </c>
      <c r="H389" s="1846">
        <f t="shared" si="71"/>
        <v>0</v>
      </c>
      <c r="I389" s="1846"/>
      <c r="J389" s="1846"/>
      <c r="K389" s="1846"/>
      <c r="L389" s="1846"/>
      <c r="M389" s="1846"/>
      <c r="N389" s="1846"/>
      <c r="O389" s="1846"/>
      <c r="P389" s="1846"/>
      <c r="Q389" s="1058"/>
      <c r="R389" s="1058"/>
      <c r="S389" s="1058"/>
      <c r="T389" s="2059">
        <f t="shared" si="56"/>
        <v>0</v>
      </c>
    </row>
    <row r="390" spans="1:20" ht="22.15" hidden="1" customHeight="1">
      <c r="A390" s="63"/>
      <c r="B390" s="1584" t="s">
        <v>495</v>
      </c>
      <c r="C390" s="64" t="str">
        <f t="shared" si="57"/>
        <v xml:space="preserve"> </v>
      </c>
      <c r="D390" s="1545"/>
      <c r="E390" s="1051" t="str">
        <f>VLOOKUP($B390,DG!A:D,DG!$B$2,)</f>
        <v>02.1211</v>
      </c>
      <c r="F390" s="1052" t="str">
        <f>VLOOKUP($B390,DG!A:D,DG!$C$2,)</f>
        <v>V/c xi măng ( cự ly &lt;=100m)</v>
      </c>
      <c r="G390" s="1051" t="str">
        <f>VLOOKUP($B390,DG!A:D,DG!$D$2,)</f>
        <v>tấn</v>
      </c>
      <c r="H390" s="1846">
        <f t="shared" si="71"/>
        <v>0</v>
      </c>
      <c r="I390" s="1846"/>
      <c r="J390" s="1846"/>
      <c r="K390" s="1846"/>
      <c r="L390" s="1846"/>
      <c r="M390" s="1846"/>
      <c r="N390" s="1846"/>
      <c r="O390" s="1846"/>
      <c r="P390" s="1846"/>
      <c r="Q390" s="1058"/>
      <c r="R390" s="1058"/>
      <c r="S390" s="1058"/>
      <c r="T390" s="2059">
        <f t="shared" si="56"/>
        <v>0</v>
      </c>
    </row>
    <row r="391" spans="1:20" ht="22.15" hidden="1" customHeight="1">
      <c r="A391" s="63"/>
      <c r="B391" s="1584" t="s">
        <v>1616</v>
      </c>
      <c r="C391" s="64" t="str">
        <f t="shared" si="57"/>
        <v xml:space="preserve"> </v>
      </c>
      <c r="D391" s="1545"/>
      <c r="E391" s="1051" t="str">
        <f>VLOOKUP($B391,DG!A:D,DG!$B$2,)</f>
        <v>02.1231</v>
      </c>
      <c r="F391" s="1052" t="str">
        <f>VLOOKUP($B391,DG!A:D,DG!$C$2,)</f>
        <v>V/c cát vàng cự ly &lt;=100m</v>
      </c>
      <c r="G391" s="1051" t="str">
        <f>VLOOKUP($B391,DG!A:D,DG!$D$2,)</f>
        <v>m3</v>
      </c>
      <c r="H391" s="1846">
        <f t="shared" si="71"/>
        <v>0</v>
      </c>
      <c r="I391" s="1846"/>
      <c r="J391" s="1846"/>
      <c r="K391" s="1846"/>
      <c r="L391" s="1846"/>
      <c r="M391" s="1846"/>
      <c r="N391" s="1846"/>
      <c r="O391" s="1846"/>
      <c r="P391" s="1846"/>
      <c r="Q391" s="1058"/>
      <c r="R391" s="1058"/>
      <c r="S391" s="1058"/>
      <c r="T391" s="2059">
        <f t="shared" si="56"/>
        <v>0</v>
      </c>
    </row>
    <row r="392" spans="1:20" ht="22.15" hidden="1" customHeight="1">
      <c r="A392" s="63"/>
      <c r="B392" s="1584" t="s">
        <v>521</v>
      </c>
      <c r="C392" s="64" t="str">
        <f t="shared" si="57"/>
        <v xml:space="preserve"> </v>
      </c>
      <c r="D392" s="1545"/>
      <c r="E392" s="1051" t="str">
        <f>VLOOKUP($B392,DG!A:D,DG!$B$2,)</f>
        <v>02.1241</v>
      </c>
      <c r="F392" s="1052" t="str">
        <f>VLOOKUP($B392,DG!A:D,DG!$C$2,)</f>
        <v>V/c đá dăm ( cự ly &lt;=100m)</v>
      </c>
      <c r="G392" s="1051" t="str">
        <f>VLOOKUP($B392,DG!A:D,DG!$D$2,)</f>
        <v>m3</v>
      </c>
      <c r="H392" s="1846">
        <f t="shared" si="71"/>
        <v>0</v>
      </c>
      <c r="I392" s="1846"/>
      <c r="J392" s="1846"/>
      <c r="K392" s="1846"/>
      <c r="L392" s="1846"/>
      <c r="M392" s="1846"/>
      <c r="N392" s="1846"/>
      <c r="O392" s="1846"/>
      <c r="P392" s="1846"/>
      <c r="Q392" s="1058"/>
      <c r="R392" s="1058"/>
      <c r="S392" s="1058"/>
      <c r="T392" s="2059">
        <f t="shared" si="56"/>
        <v>0</v>
      </c>
    </row>
    <row r="393" spans="1:20" ht="22.15" hidden="1" customHeight="1">
      <c r="A393" s="63"/>
      <c r="B393" s="1584" t="s">
        <v>1987</v>
      </c>
      <c r="C393" s="64" t="str">
        <f t="shared" si="57"/>
        <v xml:space="preserve"> </v>
      </c>
      <c r="D393" s="1545"/>
      <c r="E393" s="1051" t="str">
        <f>VLOOKUP($B393,DG!A:D,DG!$B$2,)</f>
        <v>02.1482</v>
      </c>
      <c r="F393" s="1052" t="str">
        <f>VLOOKUP($B393,DG!A:D,DG!$C$2,)</f>
        <v>V/c dụng cụ thi công ( cự ly &lt;=100m)</v>
      </c>
      <c r="G393" s="1051" t="str">
        <f>VLOOKUP($B393,DG!A:D,DG!$D$2,)</f>
        <v>tấn</v>
      </c>
      <c r="H393" s="1846">
        <f t="shared" si="71"/>
        <v>0</v>
      </c>
      <c r="I393" s="1846"/>
      <c r="J393" s="1846"/>
      <c r="K393" s="1846"/>
      <c r="L393" s="1846"/>
      <c r="M393" s="1846"/>
      <c r="N393" s="1846"/>
      <c r="O393" s="1846"/>
      <c r="P393" s="1846"/>
      <c r="Q393" s="1058"/>
      <c r="R393" s="1058"/>
      <c r="S393" s="1058"/>
      <c r="T393" s="2059">
        <f t="shared" si="56"/>
        <v>0</v>
      </c>
    </row>
    <row r="394" spans="1:20" ht="22.15" hidden="1" customHeight="1">
      <c r="A394" s="63"/>
      <c r="B394" s="1584" t="s">
        <v>999</v>
      </c>
      <c r="C394" s="64" t="str">
        <f t="shared" si="57"/>
        <v xml:space="preserve"> </v>
      </c>
      <c r="D394" s="1545">
        <f>D380</f>
        <v>53.24</v>
      </c>
      <c r="E394" s="1051" t="str">
        <f>VLOOKUP($B394,DG!A:D,DG!$B$2,)</f>
        <v>04.5101</v>
      </c>
      <c r="F394" s="1052" t="str">
        <f>VLOOKUP($B394,DG!A:D,DG!$C$2,)</f>
        <v>Gia công và lắp dựng cốt thép D&lt;=10</v>
      </c>
      <c r="G394" s="1051" t="str">
        <f>VLOOKUP($B394,DG!A:D,DG!$D$2,)</f>
        <v>kg</v>
      </c>
      <c r="H394" s="1846">
        <f t="shared" si="71"/>
        <v>0</v>
      </c>
      <c r="I394" s="1846"/>
      <c r="J394" s="1846"/>
      <c r="K394" s="1846"/>
      <c r="L394" s="1846"/>
      <c r="M394" s="1846"/>
      <c r="N394" s="1846"/>
      <c r="O394" s="1846"/>
      <c r="P394" s="1846"/>
      <c r="Q394" s="1058"/>
      <c r="R394" s="1058"/>
      <c r="S394" s="1058"/>
      <c r="T394" s="2059">
        <f t="shared" si="56"/>
        <v>0</v>
      </c>
    </row>
    <row r="395" spans="1:20" ht="22.15" hidden="1" customHeight="1">
      <c r="A395" s="63"/>
      <c r="B395" s="1584" t="s">
        <v>1841</v>
      </c>
      <c r="C395" s="64" t="str">
        <f t="shared" si="57"/>
        <v xml:space="preserve"> </v>
      </c>
      <c r="D395" s="1545">
        <v>1.93</v>
      </c>
      <c r="E395" s="1051" t="str">
        <f>VLOOKUP($B395,DG!A:D,DG!$B$2,)</f>
        <v>04.1203b</v>
      </c>
      <c r="F395" s="1052" t="str">
        <f>VLOOKUP($B395,DG!A:D,DG!$C$2,)</f>
        <v>Đổ bê tông mác M150 đá 1x2</v>
      </c>
      <c r="G395" s="1051" t="str">
        <f>VLOOKUP($B395,DG!A:D,DG!$D$2,)</f>
        <v>m3</v>
      </c>
      <c r="H395" s="1846">
        <f t="shared" si="71"/>
        <v>0</v>
      </c>
      <c r="I395" s="1846"/>
      <c r="J395" s="1846"/>
      <c r="K395" s="1846"/>
      <c r="L395" s="1846"/>
      <c r="M395" s="1846"/>
      <c r="N395" s="1846"/>
      <c r="O395" s="1846"/>
      <c r="P395" s="1846"/>
      <c r="Q395" s="1058"/>
      <c r="R395" s="1058"/>
      <c r="S395" s="1058"/>
      <c r="T395" s="2059">
        <f t="shared" si="56"/>
        <v>0</v>
      </c>
    </row>
    <row r="396" spans="1:20" ht="22.15" hidden="1" customHeight="1">
      <c r="A396" s="56" t="s">
        <v>2272</v>
      </c>
      <c r="B396" s="1583" t="s">
        <v>2272</v>
      </c>
      <c r="C396" s="62" t="str">
        <f t="shared" si="57"/>
        <v xml:space="preserve"> </v>
      </c>
      <c r="D396" s="1541"/>
      <c r="E396" s="1048"/>
      <c r="F396" s="1396" t="s">
        <v>2376</v>
      </c>
      <c r="G396" s="1049" t="s">
        <v>2336</v>
      </c>
      <c r="H396" s="1843">
        <f>SUM(I396:O396)</f>
        <v>0</v>
      </c>
      <c r="I396" s="1844"/>
      <c r="J396" s="1844"/>
      <c r="K396" s="1844">
        <f>IFERROR(HLOOKUP(B396,pp3p1m!$1:$3,3,0),0)</f>
        <v>0</v>
      </c>
      <c r="L396" s="1844">
        <f>IFERROR(HLOOKUP(chitiet!B396,pp1p!$1:$3,3,0),0)</f>
        <v>0</v>
      </c>
      <c r="M396" s="1844"/>
      <c r="N396" s="1844"/>
      <c r="O396" s="1844"/>
      <c r="P396" s="1844"/>
      <c r="Q396" s="1050"/>
      <c r="R396" s="1050"/>
      <c r="S396" s="1050"/>
      <c r="T396" s="2059">
        <f>IFERROR(HLOOKUP(B396,pp1p!$1:$3,3,0),0)+IFERROR(HLOOKUP(B396,pp3p1m!$1:$3,3,0),0)</f>
        <v>0</v>
      </c>
    </row>
    <row r="397" spans="1:20" ht="22.15" hidden="1" customHeight="1">
      <c r="A397" s="63"/>
      <c r="B397" s="1584" t="s">
        <v>753</v>
      </c>
      <c r="C397" s="64" t="str">
        <f t="shared" si="57"/>
        <v xml:space="preserve"> </v>
      </c>
      <c r="D397" s="1549">
        <v>510</v>
      </c>
      <c r="E397" s="1051">
        <f>VLOOKUP($B397,DG!A:D,DG!$B$2,)</f>
        <v>0</v>
      </c>
      <c r="F397" s="1052" t="str">
        <f>VLOOKUP($B397,DG!A:D,DG!$C$2,)</f>
        <v>Ximăng (PC40)</v>
      </c>
      <c r="G397" s="1051" t="str">
        <f>VLOOKUP($B397,DG!A:D,DG!$D$2,)</f>
        <v>kg</v>
      </c>
      <c r="H397" s="1846">
        <f>H$396*$D397</f>
        <v>0</v>
      </c>
      <c r="I397" s="1846">
        <f>I$494*$D397</f>
        <v>0</v>
      </c>
      <c r="J397" s="1846">
        <f>J$494*$D397</f>
        <v>0</v>
      </c>
      <c r="K397" s="1846">
        <f>K$396*$D397</f>
        <v>0</v>
      </c>
      <c r="L397" s="1846">
        <f>L$494*$D397</f>
        <v>0</v>
      </c>
      <c r="M397" s="1846">
        <f>M$494*$D397</f>
        <v>0</v>
      </c>
      <c r="N397" s="1846">
        <f>N$494*$D397</f>
        <v>0</v>
      </c>
      <c r="O397" s="1846"/>
      <c r="P397" s="1846"/>
      <c r="Q397" s="1055"/>
      <c r="R397" s="1055"/>
      <c r="S397" s="1055"/>
      <c r="T397" s="2059">
        <f t="shared" si="56"/>
        <v>0</v>
      </c>
    </row>
    <row r="398" spans="1:20" ht="22.15" hidden="1" customHeight="1">
      <c r="A398" s="63"/>
      <c r="B398" s="1585" t="s">
        <v>4447</v>
      </c>
      <c r="C398" s="64" t="str">
        <f t="shared" si="57"/>
        <v xml:space="preserve"> </v>
      </c>
      <c r="D398" s="1545">
        <v>0.89500000000000002</v>
      </c>
      <c r="E398" s="1051">
        <f>VLOOKUP($B398,DG!A:D,DG!$B$2,)</f>
        <v>0</v>
      </c>
      <c r="F398" s="1052" t="str">
        <f>VLOOKUP($B398,DG!A:D,DG!$C$2,)</f>
        <v>Cát vàng</v>
      </c>
      <c r="G398" s="1051" t="str">
        <f>VLOOKUP($B398,DG!A:D,DG!$D$2,)</f>
        <v>m3</v>
      </c>
      <c r="H398" s="1846">
        <f>H$396*$D398</f>
        <v>0</v>
      </c>
      <c r="I398" s="1846"/>
      <c r="J398" s="1846"/>
      <c r="K398" s="1846">
        <f>K$396*$D398</f>
        <v>0</v>
      </c>
      <c r="L398" s="1846"/>
      <c r="M398" s="1846"/>
      <c r="N398" s="1846"/>
      <c r="O398" s="1846"/>
      <c r="P398" s="1846"/>
      <c r="Q398" s="1054"/>
      <c r="R398" s="1054"/>
      <c r="S398" s="1054"/>
      <c r="T398" s="2059">
        <f t="shared" si="56"/>
        <v>0</v>
      </c>
    </row>
    <row r="399" spans="1:20" ht="22.15" hidden="1" customHeight="1">
      <c r="A399" s="63"/>
      <c r="B399" s="1584" t="s">
        <v>869</v>
      </c>
      <c r="C399" s="64" t="str">
        <f t="shared" si="57"/>
        <v xml:space="preserve"> </v>
      </c>
      <c r="D399" s="1545">
        <v>1.617</v>
      </c>
      <c r="E399" s="1051">
        <f>VLOOKUP($B399,DG!A:D,DG!$B$2,)</f>
        <v>0</v>
      </c>
      <c r="F399" s="1052" t="str">
        <f>VLOOKUP($B399,DG!A:D,DG!$C$2,)</f>
        <v>Đá 1x2</v>
      </c>
      <c r="G399" s="1051" t="str">
        <f>VLOOKUP($B399,DG!A:D,DG!$D$2,)</f>
        <v>m3</v>
      </c>
      <c r="H399" s="1846">
        <f>H$396*$D399</f>
        <v>0</v>
      </c>
      <c r="I399" s="1846"/>
      <c r="J399" s="1846"/>
      <c r="K399" s="1846">
        <f>K$396*$D399</f>
        <v>0</v>
      </c>
      <c r="L399" s="1846"/>
      <c r="M399" s="1846"/>
      <c r="N399" s="1846"/>
      <c r="O399" s="1846"/>
      <c r="P399" s="1846"/>
      <c r="Q399" s="1054"/>
      <c r="R399" s="1054"/>
      <c r="S399" s="1054"/>
      <c r="T399" s="2059">
        <f t="shared" si="56"/>
        <v>0</v>
      </c>
    </row>
    <row r="400" spans="1:20" ht="22.15" hidden="1" customHeight="1">
      <c r="A400" s="63"/>
      <c r="B400" s="1584" t="s">
        <v>1397</v>
      </c>
      <c r="C400" s="64" t="str">
        <f t="shared" si="57"/>
        <v xml:space="preserve"> </v>
      </c>
      <c r="D400" s="1545">
        <v>2.09</v>
      </c>
      <c r="E400" s="1051" t="str">
        <f>VLOOKUP($B400,DG!A:D,DG!$B$2,)</f>
        <v>03.1114</v>
      </c>
      <c r="F400" s="1052" t="str">
        <f>VLOOKUP($B400,DG!A:D,DG!$C$2,)</f>
        <v>Đào hố móng đất cấp 4 sâu &gt;1m</v>
      </c>
      <c r="G400" s="1051" t="str">
        <f>VLOOKUP($B400,DG!A:D,DG!$D$2,)</f>
        <v>m3</v>
      </c>
      <c r="H400" s="1846"/>
      <c r="I400" s="1846"/>
      <c r="J400" s="1846"/>
      <c r="K400" s="1846"/>
      <c r="L400" s="1846"/>
      <c r="M400" s="1846"/>
      <c r="N400" s="1846"/>
      <c r="O400" s="1846"/>
      <c r="P400" s="1846"/>
      <c r="Q400" s="1058"/>
      <c r="R400" s="1058"/>
      <c r="S400" s="1058"/>
      <c r="T400" s="2059">
        <f t="shared" si="56"/>
        <v>0</v>
      </c>
    </row>
    <row r="401" spans="1:20" ht="22.15" hidden="1" customHeight="1">
      <c r="A401" s="63"/>
      <c r="B401" s="1584" t="s">
        <v>1832</v>
      </c>
      <c r="C401" s="64" t="str">
        <f t="shared" si="57"/>
        <v xml:space="preserve"> </v>
      </c>
      <c r="D401" s="1546">
        <v>0</v>
      </c>
      <c r="E401" s="1051" t="str">
        <f>VLOOKUP($B401,DG!A:D,DG!$B$2,)</f>
        <v>03.2203</v>
      </c>
      <c r="F401" s="1052" t="str">
        <f>VLOOKUP($B401,DG!A:D,DG!$C$2,)</f>
        <v>Đắp đất hố móng, đất cấp 4</v>
      </c>
      <c r="G401" s="1051" t="str">
        <f>VLOOKUP($B401,DG!A:D,DG!$D$2,)</f>
        <v>m3</v>
      </c>
      <c r="H401" s="1846"/>
      <c r="I401" s="1846"/>
      <c r="J401" s="1846"/>
      <c r="K401" s="1846"/>
      <c r="L401" s="1846"/>
      <c r="M401" s="1846"/>
      <c r="N401" s="1846"/>
      <c r="O401" s="1846"/>
      <c r="P401" s="1846"/>
      <c r="Q401" s="1058"/>
      <c r="R401" s="1058"/>
      <c r="S401" s="1058"/>
      <c r="T401" s="2059">
        <f t="shared" ref="T401:T464" si="73">IFERROR(HLOOKUP(B401,BangKeTru,3,0),0)</f>
        <v>0</v>
      </c>
    </row>
    <row r="402" spans="1:20" ht="22.15" hidden="1" customHeight="1">
      <c r="A402" s="63"/>
      <c r="B402" s="1584" t="s">
        <v>1298</v>
      </c>
      <c r="C402" s="64" t="str">
        <f t="shared" ref="C402:C465" si="74">IF(OR(P402&lt;&gt;0,H402&lt;&gt;0),"x"," ")</f>
        <v xml:space="preserve"> </v>
      </c>
      <c r="D402" s="1546">
        <f>D397</f>
        <v>510</v>
      </c>
      <c r="E402" s="1051" t="str">
        <f>VLOOKUP($B402,DG!A:D,DG!$B$2,)</f>
        <v>02.1101</v>
      </c>
      <c r="F402" s="1052" t="str">
        <f>VLOOKUP($B402,DG!A:D,DG!$C$2,)</f>
        <v>Bốc dỡ xi măng</v>
      </c>
      <c r="G402" s="1051" t="str">
        <f>VLOOKUP($B402,DG!A:D,DG!$D$2,)</f>
        <v>tấn</v>
      </c>
      <c r="H402" s="1846"/>
      <c r="I402" s="1846"/>
      <c r="J402" s="1846"/>
      <c r="K402" s="1846"/>
      <c r="L402" s="1846"/>
      <c r="M402" s="1846"/>
      <c r="N402" s="1846"/>
      <c r="O402" s="1846"/>
      <c r="P402" s="1846"/>
      <c r="Q402" s="1058"/>
      <c r="R402" s="1058"/>
      <c r="S402" s="1058"/>
      <c r="T402" s="2059">
        <f t="shared" si="73"/>
        <v>0</v>
      </c>
    </row>
    <row r="403" spans="1:20" ht="22.15" hidden="1" customHeight="1">
      <c r="A403" s="63"/>
      <c r="B403" s="1584" t="s">
        <v>133</v>
      </c>
      <c r="C403" s="64" t="str">
        <f t="shared" si="74"/>
        <v xml:space="preserve"> </v>
      </c>
      <c r="D403" s="1546">
        <f>D405</f>
        <v>8.9500000000000007E-4</v>
      </c>
      <c r="E403" s="1051" t="str">
        <f>VLOOKUP($B403,DG!A:D,DG!$B$2,)</f>
        <v>02.1103</v>
      </c>
      <c r="F403" s="1052" t="str">
        <f>VLOOKUP($B403,DG!A:D,DG!$C$2,)</f>
        <v>Bốc dỡ cát</v>
      </c>
      <c r="G403" s="1051" t="str">
        <f>VLOOKUP($B403,DG!A:D,DG!$D$2,)</f>
        <v>m3</v>
      </c>
      <c r="H403" s="1846"/>
      <c r="I403" s="1846"/>
      <c r="J403" s="1846"/>
      <c r="K403" s="1846"/>
      <c r="L403" s="1846"/>
      <c r="M403" s="1846"/>
      <c r="N403" s="1846"/>
      <c r="O403" s="1846"/>
      <c r="P403" s="1846"/>
      <c r="Q403" s="1058"/>
      <c r="R403" s="1058"/>
      <c r="S403" s="1058"/>
      <c r="T403" s="2059">
        <f t="shared" si="73"/>
        <v>0</v>
      </c>
    </row>
    <row r="404" spans="1:20" ht="22.15" hidden="1" customHeight="1">
      <c r="A404" s="63"/>
      <c r="B404" s="1584" t="s">
        <v>135</v>
      </c>
      <c r="C404" s="64" t="str">
        <f t="shared" si="74"/>
        <v xml:space="preserve"> </v>
      </c>
      <c r="D404" s="1546">
        <f>D397</f>
        <v>510</v>
      </c>
      <c r="E404" s="1051" t="str">
        <f>VLOOKUP($B404,DG!A:D,DG!$B$2,)</f>
        <v>02.1104</v>
      </c>
      <c r="F404" s="1052" t="str">
        <f>VLOOKUP($B404,DG!A:D,DG!$C$2,)</f>
        <v>Bốc dỡ đá dăm</v>
      </c>
      <c r="G404" s="1051" t="str">
        <f>VLOOKUP($B404,DG!A:D,DG!$D$2,)</f>
        <v>m3</v>
      </c>
      <c r="H404" s="1846"/>
      <c r="I404" s="1846"/>
      <c r="J404" s="1846"/>
      <c r="K404" s="1846"/>
      <c r="L404" s="1846"/>
      <c r="M404" s="1846"/>
      <c r="N404" s="1846"/>
      <c r="O404" s="1846"/>
      <c r="P404" s="1846"/>
      <c r="Q404" s="1058"/>
      <c r="R404" s="1058"/>
      <c r="S404" s="1058"/>
      <c r="T404" s="2059">
        <f t="shared" si="73"/>
        <v>0</v>
      </c>
    </row>
    <row r="405" spans="1:20" ht="22.15" hidden="1" customHeight="1">
      <c r="A405" s="63"/>
      <c r="B405" s="1584" t="s">
        <v>495</v>
      </c>
      <c r="C405" s="64" t="str">
        <f t="shared" si="74"/>
        <v xml:space="preserve"> </v>
      </c>
      <c r="D405" s="1546">
        <f>D398/1000</f>
        <v>8.9500000000000007E-4</v>
      </c>
      <c r="E405" s="1051" t="str">
        <f>VLOOKUP($B405,DG!A:D,DG!$B$2,)</f>
        <v>02.1211</v>
      </c>
      <c r="F405" s="1052" t="str">
        <f>VLOOKUP($B405,DG!A:D,DG!$C$2,)</f>
        <v>V/c xi măng ( cự ly &lt;=100m)</v>
      </c>
      <c r="G405" s="1051" t="str">
        <f>VLOOKUP($B405,DG!A:D,DG!$D$2,)</f>
        <v>tấn</v>
      </c>
      <c r="H405" s="1846"/>
      <c r="I405" s="1846"/>
      <c r="J405" s="1846"/>
      <c r="K405" s="1846"/>
      <c r="L405" s="1846"/>
      <c r="M405" s="1846"/>
      <c r="N405" s="1846"/>
      <c r="O405" s="1846"/>
      <c r="P405" s="1846"/>
      <c r="Q405" s="1058"/>
      <c r="R405" s="1058"/>
      <c r="S405" s="1058"/>
      <c r="T405" s="2059">
        <f t="shared" si="73"/>
        <v>0</v>
      </c>
    </row>
    <row r="406" spans="1:20" ht="22.15" hidden="1" customHeight="1">
      <c r="A406" s="63"/>
      <c r="B406" s="1584" t="s">
        <v>1616</v>
      </c>
      <c r="C406" s="64" t="str">
        <f t="shared" si="74"/>
        <v xml:space="preserve"> </v>
      </c>
      <c r="D406" s="1545">
        <f>D397</f>
        <v>510</v>
      </c>
      <c r="E406" s="1051" t="str">
        <f>VLOOKUP($B406,DG!A:D,DG!$B$2,)</f>
        <v>02.1231</v>
      </c>
      <c r="F406" s="1052" t="str">
        <f>VLOOKUP($B406,DG!A:D,DG!$C$2,)</f>
        <v>V/c cát vàng cự ly &lt;=100m</v>
      </c>
      <c r="G406" s="1051" t="str">
        <f>VLOOKUP($B406,DG!A:D,DG!$D$2,)</f>
        <v>m3</v>
      </c>
      <c r="H406" s="1846"/>
      <c r="I406" s="1846"/>
      <c r="J406" s="1846"/>
      <c r="K406" s="1846"/>
      <c r="L406" s="1846"/>
      <c r="M406" s="1846"/>
      <c r="N406" s="1846"/>
      <c r="O406" s="1846"/>
      <c r="P406" s="1846"/>
      <c r="Q406" s="1058"/>
      <c r="R406" s="1058"/>
      <c r="S406" s="1058"/>
      <c r="T406" s="2059">
        <f t="shared" si="73"/>
        <v>0</v>
      </c>
    </row>
    <row r="407" spans="1:20" ht="22.15" hidden="1" customHeight="1">
      <c r="A407" s="63"/>
      <c r="B407" s="1584" t="s">
        <v>521</v>
      </c>
      <c r="C407" s="64" t="str">
        <f t="shared" si="74"/>
        <v xml:space="preserve"> </v>
      </c>
      <c r="D407" s="1546">
        <f>D400/1000</f>
        <v>2.0899999999999998E-3</v>
      </c>
      <c r="E407" s="1051" t="str">
        <f>VLOOKUP($B407,DG!A:D,DG!$B$2,)</f>
        <v>02.1241</v>
      </c>
      <c r="F407" s="1052" t="str">
        <f>VLOOKUP($B407,DG!A:D,DG!$C$2,)</f>
        <v>V/c đá dăm ( cự ly &lt;=100m)</v>
      </c>
      <c r="G407" s="1051" t="str">
        <f>VLOOKUP($B407,DG!A:D,DG!$D$2,)</f>
        <v>m3</v>
      </c>
      <c r="H407" s="1846"/>
      <c r="I407" s="1846"/>
      <c r="J407" s="1846"/>
      <c r="K407" s="1846"/>
      <c r="L407" s="1846"/>
      <c r="M407" s="1846"/>
      <c r="N407" s="1846"/>
      <c r="O407" s="1846"/>
      <c r="P407" s="1846"/>
      <c r="Q407" s="1058"/>
      <c r="R407" s="1058"/>
      <c r="S407" s="1058"/>
      <c r="T407" s="2059">
        <f t="shared" si="73"/>
        <v>0</v>
      </c>
    </row>
    <row r="408" spans="1:20" ht="22.15" hidden="1" customHeight="1">
      <c r="A408" s="63"/>
      <c r="B408" s="1584" t="s">
        <v>1987</v>
      </c>
      <c r="C408" s="64" t="str">
        <f t="shared" si="74"/>
        <v xml:space="preserve"> </v>
      </c>
      <c r="D408" s="1545">
        <v>0.02</v>
      </c>
      <c r="E408" s="1051" t="str">
        <f>VLOOKUP($B408,DG!A:D,DG!$B$2,)</f>
        <v>02.1482</v>
      </c>
      <c r="F408" s="1052" t="str">
        <f>VLOOKUP($B408,DG!A:D,DG!$C$2,)</f>
        <v>V/c dụng cụ thi công ( cự ly &lt;=100m)</v>
      </c>
      <c r="G408" s="1051" t="str">
        <f>VLOOKUP($B408,DG!A:D,DG!$D$2,)</f>
        <v>tấn</v>
      </c>
      <c r="H408" s="1846"/>
      <c r="I408" s="1846"/>
      <c r="J408" s="1846"/>
      <c r="K408" s="1846"/>
      <c r="L408" s="1846"/>
      <c r="M408" s="1846"/>
      <c r="N408" s="1846"/>
      <c r="O408" s="1846"/>
      <c r="P408" s="1846"/>
      <c r="Q408" s="1058"/>
      <c r="R408" s="1058"/>
      <c r="S408" s="1058"/>
      <c r="T408" s="2059">
        <f t="shared" si="73"/>
        <v>0</v>
      </c>
    </row>
    <row r="409" spans="1:20" ht="22.15" hidden="1" customHeight="1">
      <c r="A409" s="56" t="s">
        <v>782</v>
      </c>
      <c r="B409" s="1583" t="s">
        <v>782</v>
      </c>
      <c r="C409" s="62" t="str">
        <f t="shared" si="74"/>
        <v xml:space="preserve"> </v>
      </c>
      <c r="D409" s="1541"/>
      <c r="E409" s="1048"/>
      <c r="F409" s="1396" t="s">
        <v>2377</v>
      </c>
      <c r="G409" s="1049" t="s">
        <v>2336</v>
      </c>
      <c r="H409" s="1843">
        <f>SUM(I409:O409)</f>
        <v>0</v>
      </c>
      <c r="I409" s="1844"/>
      <c r="J409" s="1844"/>
      <c r="K409" s="1844">
        <f>IFERROR(HLOOKUP(B409,pp3p1m!$1:$3,3,0),0)</f>
        <v>0</v>
      </c>
      <c r="L409" s="1844">
        <f>IFERROR(HLOOKUP(chitiet!B409,pp1p!$1:$3,3,0),0)</f>
        <v>0</v>
      </c>
      <c r="M409" s="1844"/>
      <c r="N409" s="1844"/>
      <c r="O409" s="1844"/>
      <c r="P409" s="1844"/>
      <c r="Q409" s="1050"/>
      <c r="R409" s="1050"/>
      <c r="S409" s="1050"/>
      <c r="T409" s="2059">
        <f>IFERROR(HLOOKUP(B409,pp1p!$1:$3,3,0),0)+IFERROR(HLOOKUP(B409,pp3p1m!$1:$3,3,0),0)</f>
        <v>0</v>
      </c>
    </row>
    <row r="410" spans="1:20" ht="22.15" hidden="1" customHeight="1">
      <c r="A410" s="63"/>
      <c r="B410" s="1599" t="s">
        <v>639</v>
      </c>
      <c r="C410" s="64" t="str">
        <f t="shared" si="74"/>
        <v xml:space="preserve"> </v>
      </c>
      <c r="D410" s="1548">
        <v>0.4</v>
      </c>
      <c r="E410" s="1051"/>
      <c r="F410" s="1052" t="str">
        <f>VLOOKUP($B410,DG!A:D,DG!$C$2,)</f>
        <v>Đào hố móng đất cấp 3 sâu &gt;1m</v>
      </c>
      <c r="G410" s="1051" t="str">
        <f>VLOOKUP($B410,DG!A:D,DG!$D$2,)</f>
        <v>m3</v>
      </c>
      <c r="H410" s="1846">
        <f>$H$409*D410</f>
        <v>0</v>
      </c>
      <c r="I410" s="1846">
        <f t="shared" ref="I410:N410" si="75">I$244*$D410</f>
        <v>0</v>
      </c>
      <c r="J410" s="1846">
        <f t="shared" si="75"/>
        <v>0</v>
      </c>
      <c r="K410" s="1846">
        <f t="shared" si="75"/>
        <v>6</v>
      </c>
      <c r="L410" s="1846">
        <f t="shared" si="75"/>
        <v>0</v>
      </c>
      <c r="M410" s="1846">
        <f t="shared" si="75"/>
        <v>0</v>
      </c>
      <c r="N410" s="1846">
        <f t="shared" si="75"/>
        <v>0</v>
      </c>
      <c r="O410" s="1846"/>
      <c r="P410" s="1846"/>
      <c r="Q410" s="1055"/>
      <c r="R410" s="1055"/>
      <c r="S410" s="1055"/>
      <c r="T410" s="2059">
        <f t="shared" si="73"/>
        <v>0</v>
      </c>
    </row>
    <row r="411" spans="1:20" ht="22.15" hidden="1" customHeight="1">
      <c r="A411" s="59"/>
      <c r="B411" s="1586" t="s">
        <v>21</v>
      </c>
      <c r="C411" s="64" t="str">
        <f t="shared" si="74"/>
        <v xml:space="preserve"> </v>
      </c>
      <c r="D411" s="1550">
        <v>0.4</v>
      </c>
      <c r="E411" s="1047" t="str">
        <f>VLOOKUP($B411,DG!A:D,DG!$B$2,)</f>
        <v>03.4113</v>
      </c>
      <c r="F411" s="1052" t="str">
        <f>VLOOKUP($B411,DG!A:D,DG!$C$2,)</f>
        <v>Đắp đất hố móng, độ chặt k=0,95</v>
      </c>
      <c r="G411" s="1047" t="str">
        <f>VLOOKUP($B411,DG!A:D,DG!$D$2,)</f>
        <v>m3</v>
      </c>
      <c r="H411" s="1846">
        <f>$H$409*D411</f>
        <v>0</v>
      </c>
      <c r="I411" s="1845">
        <f t="shared" ref="I411:N411" si="76">I$18*$D411</f>
        <v>0</v>
      </c>
      <c r="J411" s="1845">
        <f t="shared" si="76"/>
        <v>0</v>
      </c>
      <c r="K411" s="1845">
        <f t="shared" si="76"/>
        <v>0</v>
      </c>
      <c r="L411" s="1845">
        <f t="shared" si="76"/>
        <v>0</v>
      </c>
      <c r="M411" s="1845">
        <f t="shared" si="76"/>
        <v>0</v>
      </c>
      <c r="N411" s="1845">
        <f t="shared" si="76"/>
        <v>0</v>
      </c>
      <c r="O411" s="1845"/>
      <c r="P411" s="1845"/>
      <c r="Q411" s="1056"/>
      <c r="R411" s="1056"/>
      <c r="S411" s="1056"/>
      <c r="T411" s="2059">
        <f t="shared" si="73"/>
        <v>0</v>
      </c>
    </row>
    <row r="412" spans="1:20" ht="22.15" hidden="1" customHeight="1">
      <c r="A412" s="63"/>
      <c r="B412" s="1584" t="s">
        <v>635</v>
      </c>
      <c r="C412" s="64" t="str">
        <f t="shared" si="74"/>
        <v xml:space="preserve"> </v>
      </c>
      <c r="D412" s="1546">
        <v>0.2</v>
      </c>
      <c r="E412" s="1051" t="str">
        <f>VLOOKUP($B412,DG!A:C,2,)</f>
        <v>02.1482</v>
      </c>
      <c r="F412" s="1052" t="str">
        <f>VLOOKUP($B412,DG!A:C,3,)</f>
        <v>V/c dụng cụ thi công vào vị trí (cự ly &lt;=100m)</v>
      </c>
      <c r="G412" s="1051" t="str">
        <f>VLOOKUP($B412,DG!A:D,4,0)</f>
        <v>tấn</v>
      </c>
      <c r="H412" s="1846">
        <f>$H$409*D412</f>
        <v>0</v>
      </c>
      <c r="I412" s="1846"/>
      <c r="J412" s="1846"/>
      <c r="K412" s="1846"/>
      <c r="L412" s="1846"/>
      <c r="M412" s="1846"/>
      <c r="N412" s="1846"/>
      <c r="O412" s="1846"/>
      <c r="P412" s="1846"/>
      <c r="Q412" s="1058"/>
      <c r="R412" s="1058"/>
      <c r="S412" s="1058"/>
      <c r="T412" s="2059">
        <f t="shared" si="73"/>
        <v>0</v>
      </c>
    </row>
    <row r="413" spans="1:20" ht="22.15" hidden="1" customHeight="1">
      <c r="A413" s="56" t="s">
        <v>648</v>
      </c>
      <c r="B413" s="1583" t="s">
        <v>648</v>
      </c>
      <c r="C413" s="62" t="str">
        <f t="shared" si="74"/>
        <v xml:space="preserve"> </v>
      </c>
      <c r="D413" s="1541"/>
      <c r="E413" s="1048"/>
      <c r="F413" s="1396" t="s">
        <v>2378</v>
      </c>
      <c r="G413" s="1049" t="s">
        <v>2336</v>
      </c>
      <c r="H413" s="1843">
        <f>SUM(I413:O413)</f>
        <v>0</v>
      </c>
      <c r="I413" s="1844"/>
      <c r="J413" s="1844"/>
      <c r="K413" s="1844">
        <f>IFERROR(HLOOKUP(B413,pp3p1m!$1:$3,3,0),0)</f>
        <v>0</v>
      </c>
      <c r="L413" s="1844">
        <f>IFERROR(HLOOKUP(chitiet!B413,pp1p!$1:$3,3,0),0)</f>
        <v>0</v>
      </c>
      <c r="M413" s="1844"/>
      <c r="N413" s="1844"/>
      <c r="O413" s="1844"/>
      <c r="P413" s="1844"/>
      <c r="Q413" s="1050"/>
      <c r="R413" s="1050"/>
      <c r="S413" s="1050"/>
      <c r="T413" s="2059">
        <f>IFERROR(HLOOKUP(B413,pp1p!$1:$3,3,0),0)+IFERROR(HLOOKUP(B413,pp3p1m!$1:$3,3,0),0)</f>
        <v>0</v>
      </c>
    </row>
    <row r="414" spans="1:20" ht="22.15" hidden="1" customHeight="1">
      <c r="A414" s="63"/>
      <c r="B414" s="1599" t="s">
        <v>636</v>
      </c>
      <c r="C414" s="64" t="str">
        <f t="shared" si="74"/>
        <v xml:space="preserve"> </v>
      </c>
      <c r="D414" s="1547">
        <v>1</v>
      </c>
      <c r="E414" s="1047" t="str">
        <f>VLOOKUP($B414,DG!A:D,DG!$B$2,)</f>
        <v>04.4001</v>
      </c>
      <c r="F414" s="1057" t="str">
        <f>VLOOKUP($B414,DG!A:D,DG!$C$2,)</f>
        <v>Đà cản BTCT 1,2m</v>
      </c>
      <c r="G414" s="1051" t="str">
        <f>VLOOKUP($B414,DG!A:D,DG!$D$2,)</f>
        <v>cái</v>
      </c>
      <c r="H414" s="1846">
        <f t="shared" ref="H414:N415" si="77">H$413*$D414</f>
        <v>0</v>
      </c>
      <c r="I414" s="1846">
        <f t="shared" si="77"/>
        <v>0</v>
      </c>
      <c r="J414" s="1846">
        <f t="shared" si="77"/>
        <v>0</v>
      </c>
      <c r="K414" s="1846">
        <f t="shared" si="77"/>
        <v>0</v>
      </c>
      <c r="L414" s="1846">
        <f t="shared" si="77"/>
        <v>0</v>
      </c>
      <c r="M414" s="1846">
        <f t="shared" si="77"/>
        <v>0</v>
      </c>
      <c r="N414" s="1846">
        <f t="shared" si="77"/>
        <v>0</v>
      </c>
      <c r="O414" s="1846"/>
      <c r="P414" s="1846"/>
      <c r="Q414" s="1055"/>
      <c r="R414" s="1055"/>
      <c r="S414" s="1055"/>
      <c r="T414" s="2059">
        <f t="shared" si="73"/>
        <v>0</v>
      </c>
    </row>
    <row r="415" spans="1:20" ht="22.15" hidden="1" customHeight="1">
      <c r="A415" s="63"/>
      <c r="B415" s="1599" t="s">
        <v>566</v>
      </c>
      <c r="C415" s="64" t="str">
        <f t="shared" si="74"/>
        <v xml:space="preserve"> </v>
      </c>
      <c r="D415" s="1547">
        <v>1</v>
      </c>
      <c r="E415" s="1051"/>
      <c r="F415" s="1057" t="str">
        <f>VLOOKUP($B415,DG!A:D,DG!$C$2,)</f>
        <v>Boulon 22x650+ 2 long đền vuông D24-50x50x3/Zn</v>
      </c>
      <c r="G415" s="1051" t="str">
        <f>VLOOKUP($B415,DG!A:D,DG!$D$2,)</f>
        <v>bộ</v>
      </c>
      <c r="H415" s="1846">
        <f t="shared" si="77"/>
        <v>0</v>
      </c>
      <c r="I415" s="1846">
        <f t="shared" si="77"/>
        <v>0</v>
      </c>
      <c r="J415" s="1846">
        <f t="shared" si="77"/>
        <v>0</v>
      </c>
      <c r="K415" s="1846">
        <f t="shared" si="77"/>
        <v>0</v>
      </c>
      <c r="L415" s="1846">
        <f t="shared" si="77"/>
        <v>0</v>
      </c>
      <c r="M415" s="1846">
        <f t="shared" si="77"/>
        <v>0</v>
      </c>
      <c r="N415" s="1846">
        <f t="shared" si="77"/>
        <v>0</v>
      </c>
      <c r="O415" s="1846"/>
      <c r="P415" s="1846"/>
      <c r="Q415" s="1055"/>
      <c r="R415" s="1055"/>
      <c r="S415" s="1055"/>
      <c r="T415" s="2059">
        <f t="shared" si="73"/>
        <v>0</v>
      </c>
    </row>
    <row r="416" spans="1:20" ht="22.15" hidden="1" customHeight="1">
      <c r="A416" s="63"/>
      <c r="B416" s="1599" t="s">
        <v>639</v>
      </c>
      <c r="C416" s="64" t="str">
        <f t="shared" si="74"/>
        <v xml:space="preserve"> </v>
      </c>
      <c r="D416" s="1546">
        <v>1.64</v>
      </c>
      <c r="E416" s="1051" t="str">
        <f>VLOOKUP($B416,DG!A:D,DG!$B$2,)</f>
        <v>03.1013</v>
      </c>
      <c r="F416" s="1052" t="str">
        <f>VLOOKUP($B416,DG!A:D,DG!$C$2,)</f>
        <v>Đào hố móng đất cấp 3 sâu &gt;1m</v>
      </c>
      <c r="G416" s="1051" t="str">
        <f>VLOOKUP($B416,DG!A:D,DG!$D$2,)</f>
        <v>m3</v>
      </c>
      <c r="H416" s="1846"/>
      <c r="I416" s="1846"/>
      <c r="J416" s="1846"/>
      <c r="K416" s="1846"/>
      <c r="L416" s="1846"/>
      <c r="M416" s="1846"/>
      <c r="N416" s="1846"/>
      <c r="O416" s="1846"/>
      <c r="P416" s="1846"/>
      <c r="Q416" s="1058"/>
      <c r="R416" s="1058"/>
      <c r="S416" s="1058"/>
      <c r="T416" s="2059">
        <f t="shared" si="73"/>
        <v>0</v>
      </c>
    </row>
    <row r="417" spans="1:20" ht="22.15" hidden="1" customHeight="1">
      <c r="A417" s="63"/>
      <c r="B417" s="1599" t="s">
        <v>21</v>
      </c>
      <c r="C417" s="64" t="str">
        <f t="shared" si="74"/>
        <v xml:space="preserve"> </v>
      </c>
      <c r="D417" s="1546">
        <v>1.42</v>
      </c>
      <c r="E417" s="1051" t="str">
        <f>VLOOKUP($B417,DG!A:D,DG!$B$2,)</f>
        <v>03.4113</v>
      </c>
      <c r="F417" s="1052" t="str">
        <f>VLOOKUP($B417,DG!A:D,DG!$C$2,)</f>
        <v>Đắp đất hố móng, độ chặt k=0,95</v>
      </c>
      <c r="G417" s="1051" t="str">
        <f>VLOOKUP($B417,DG!A:D,DG!$D$2,)</f>
        <v>m3</v>
      </c>
      <c r="H417" s="1846"/>
      <c r="I417" s="1846"/>
      <c r="J417" s="1846"/>
      <c r="K417" s="1846"/>
      <c r="L417" s="1846"/>
      <c r="M417" s="1846"/>
      <c r="N417" s="1846"/>
      <c r="O417" s="1846"/>
      <c r="P417" s="1846"/>
      <c r="Q417" s="1058"/>
      <c r="R417" s="1058"/>
      <c r="S417" s="1058"/>
      <c r="T417" s="2059">
        <f t="shared" si="73"/>
        <v>0</v>
      </c>
    </row>
    <row r="418" spans="1:20" ht="22.15" hidden="1" customHeight="1">
      <c r="A418" s="63"/>
      <c r="B418" s="1599" t="s">
        <v>637</v>
      </c>
      <c r="C418" s="64" t="str">
        <f t="shared" si="74"/>
        <v xml:space="preserve"> </v>
      </c>
      <c r="D418" s="1546"/>
      <c r="E418" s="1051" t="str">
        <f>VLOOKUP($B418,DG!A:D,DG!$B$2,)</f>
        <v>02.1123</v>
      </c>
      <c r="F418" s="1052" t="str">
        <f>VLOOKUP($B418,DG!A:D,DG!$C$2,)</f>
        <v>Bốc dỡ đà cản, đế néo</v>
      </c>
      <c r="G418" s="1051" t="str">
        <f>VLOOKUP($B418,DG!A:D,DG!$D$2,)</f>
        <v>tấn</v>
      </c>
      <c r="H418" s="1846"/>
      <c r="I418" s="1846"/>
      <c r="J418" s="1846"/>
      <c r="K418" s="1846"/>
      <c r="L418" s="1846"/>
      <c r="M418" s="1846"/>
      <c r="N418" s="1846"/>
      <c r="O418" s="1846"/>
      <c r="P418" s="1846"/>
      <c r="Q418" s="1055"/>
      <c r="R418" s="1055"/>
      <c r="S418" s="1055"/>
      <c r="T418" s="2059">
        <f t="shared" si="73"/>
        <v>0</v>
      </c>
    </row>
    <row r="419" spans="1:20" ht="22.15" hidden="1" customHeight="1">
      <c r="A419" s="63"/>
      <c r="B419" s="1584" t="s">
        <v>2071</v>
      </c>
      <c r="C419" s="64" t="str">
        <f t="shared" si="74"/>
        <v xml:space="preserve"> </v>
      </c>
      <c r="D419" s="1546"/>
      <c r="E419" s="1051" t="str">
        <f>VLOOKUP($B419,DG!A:C,2,)</f>
        <v>02.1451</v>
      </c>
      <c r="F419" s="1052" t="str">
        <f>VLOOKUP($B419,DG!A:C,3,)</f>
        <v>V/c đà cản vào vị trí (cự ly &lt;=100m)</v>
      </c>
      <c r="G419" s="1051" t="str">
        <f>VLOOKUP($B419,DG!A:D,4,0)</f>
        <v>tấn</v>
      </c>
      <c r="H419" s="1846"/>
      <c r="I419" s="1846"/>
      <c r="J419" s="1846"/>
      <c r="K419" s="1846"/>
      <c r="L419" s="1846"/>
      <c r="M419" s="1846"/>
      <c r="N419" s="1846"/>
      <c r="O419" s="1846"/>
      <c r="P419" s="1846"/>
      <c r="Q419" s="1058"/>
      <c r="R419" s="1058"/>
      <c r="S419" s="1058"/>
      <c r="T419" s="2059">
        <f t="shared" si="73"/>
        <v>0</v>
      </c>
    </row>
    <row r="420" spans="1:20" ht="22.15" hidden="1" customHeight="1">
      <c r="A420" s="63"/>
      <c r="B420" s="1584" t="s">
        <v>635</v>
      </c>
      <c r="C420" s="64" t="str">
        <f t="shared" si="74"/>
        <v xml:space="preserve"> </v>
      </c>
      <c r="D420" s="1546"/>
      <c r="E420" s="1051" t="str">
        <f>VLOOKUP($B420,DG!A:C,2,)</f>
        <v>02.1482</v>
      </c>
      <c r="F420" s="1052" t="str">
        <f>VLOOKUP($B420,DG!A:C,3,)</f>
        <v>V/c dụng cụ thi công vào vị trí (cự ly &lt;=100m)</v>
      </c>
      <c r="G420" s="1051" t="str">
        <f>VLOOKUP($B420,DG!A:D,4,0)</f>
        <v>tấn</v>
      </c>
      <c r="H420" s="1846"/>
      <c r="I420" s="1846"/>
      <c r="J420" s="1846"/>
      <c r="K420" s="1846"/>
      <c r="L420" s="1846"/>
      <c r="M420" s="1846"/>
      <c r="N420" s="1846"/>
      <c r="O420" s="1846"/>
      <c r="P420" s="1846"/>
      <c r="Q420" s="1058"/>
      <c r="R420" s="1058"/>
      <c r="S420" s="1058"/>
      <c r="T420" s="2059">
        <f t="shared" si="73"/>
        <v>0</v>
      </c>
    </row>
    <row r="421" spans="1:20" ht="22.15" hidden="1" customHeight="1">
      <c r="A421" s="56" t="s">
        <v>752</v>
      </c>
      <c r="B421" s="1583" t="s">
        <v>752</v>
      </c>
      <c r="C421" s="62" t="str">
        <f t="shared" si="74"/>
        <v xml:space="preserve"> </v>
      </c>
      <c r="D421" s="1541"/>
      <c r="E421" s="1048"/>
      <c r="F421" s="1396" t="s">
        <v>2379</v>
      </c>
      <c r="G421" s="1049" t="s">
        <v>2336</v>
      </c>
      <c r="H421" s="1843">
        <f>SUM(I421:O421)</f>
        <v>0</v>
      </c>
      <c r="I421" s="1844"/>
      <c r="J421" s="1844"/>
      <c r="K421" s="1844">
        <f>IFERROR(HLOOKUP(B421,pp3p1m!$1:$3,3,0),0)</f>
        <v>0</v>
      </c>
      <c r="L421" s="1844">
        <f>IFERROR(HLOOKUP(chitiet!B421,pp1p!$1:$3,3,0),0)</f>
        <v>0</v>
      </c>
      <c r="M421" s="1844"/>
      <c r="N421" s="1844"/>
      <c r="O421" s="1844"/>
      <c r="P421" s="1844"/>
      <c r="Q421" s="1050"/>
      <c r="R421" s="1050"/>
      <c r="S421" s="1050"/>
      <c r="T421" s="2059">
        <f>IFERROR(HLOOKUP(B421,pp1p!$1:$3,3,0),0)+IFERROR(HLOOKUP(B421,pp3p1m!$1:$3,3,0),0)</f>
        <v>0</v>
      </c>
    </row>
    <row r="422" spans="1:20" ht="22.15" hidden="1" customHeight="1">
      <c r="A422" s="63"/>
      <c r="B422" s="1599" t="s">
        <v>1580</v>
      </c>
      <c r="C422" s="64" t="str">
        <f t="shared" si="74"/>
        <v xml:space="preserve"> </v>
      </c>
      <c r="D422" s="1547">
        <v>1</v>
      </c>
      <c r="E422" s="1051" t="str">
        <f>VLOOKUP($B422,DG!A:D,DG!$B$2,)</f>
        <v>04.3801</v>
      </c>
      <c r="F422" s="1057" t="str">
        <f>VLOOKUP($B422,DG!A:D,DG!$C$2,)</f>
        <v>Đà cản BTCT 1,5m</v>
      </c>
      <c r="G422" s="1051" t="str">
        <f>VLOOKUP($B422,DG!A:D,DG!$D$2,)</f>
        <v>cái</v>
      </c>
      <c r="H422" s="1846">
        <f t="shared" ref="H422:N423" si="78">H$421*$D422</f>
        <v>0</v>
      </c>
      <c r="I422" s="1846">
        <f t="shared" si="78"/>
        <v>0</v>
      </c>
      <c r="J422" s="1846">
        <f t="shared" si="78"/>
        <v>0</v>
      </c>
      <c r="K422" s="1846">
        <f t="shared" si="78"/>
        <v>0</v>
      </c>
      <c r="L422" s="1846">
        <f t="shared" si="78"/>
        <v>0</v>
      </c>
      <c r="M422" s="1846">
        <f t="shared" si="78"/>
        <v>0</v>
      </c>
      <c r="N422" s="1846">
        <f t="shared" si="78"/>
        <v>0</v>
      </c>
      <c r="O422" s="1846"/>
      <c r="P422" s="1846"/>
      <c r="Q422" s="1055"/>
      <c r="R422" s="1055"/>
      <c r="S422" s="1055"/>
      <c r="T422" s="2059">
        <f t="shared" si="73"/>
        <v>0</v>
      </c>
    </row>
    <row r="423" spans="1:20" ht="22.15" hidden="1" customHeight="1">
      <c r="A423" s="63"/>
      <c r="B423" s="1599" t="s">
        <v>566</v>
      </c>
      <c r="C423" s="64" t="str">
        <f t="shared" si="74"/>
        <v xml:space="preserve"> </v>
      </c>
      <c r="D423" s="1547">
        <v>1</v>
      </c>
      <c r="E423" s="1051"/>
      <c r="F423" s="1057" t="str">
        <f>VLOOKUP($B423,DG!A:D,DG!$C$2,)</f>
        <v>Boulon 22x650+ 2 long đền vuông D24-50x50x3/Zn</v>
      </c>
      <c r="G423" s="1051" t="str">
        <f>VLOOKUP($B423,DG!A:D,DG!$D$2,)</f>
        <v>bộ</v>
      </c>
      <c r="H423" s="1846">
        <f t="shared" si="78"/>
        <v>0</v>
      </c>
      <c r="I423" s="1846">
        <f t="shared" si="78"/>
        <v>0</v>
      </c>
      <c r="J423" s="1846">
        <f t="shared" si="78"/>
        <v>0</v>
      </c>
      <c r="K423" s="1846">
        <f t="shared" si="78"/>
        <v>0</v>
      </c>
      <c r="L423" s="1846">
        <f t="shared" si="78"/>
        <v>0</v>
      </c>
      <c r="M423" s="1846">
        <f t="shared" si="78"/>
        <v>0</v>
      </c>
      <c r="N423" s="1846">
        <f t="shared" si="78"/>
        <v>0</v>
      </c>
      <c r="O423" s="1846"/>
      <c r="P423" s="1846"/>
      <c r="Q423" s="1055"/>
      <c r="R423" s="1055"/>
      <c r="S423" s="1055"/>
      <c r="T423" s="2059">
        <f t="shared" si="73"/>
        <v>0</v>
      </c>
    </row>
    <row r="424" spans="1:20" ht="22.15" hidden="1" customHeight="1">
      <c r="A424" s="59"/>
      <c r="B424" s="1586" t="s">
        <v>1818</v>
      </c>
      <c r="C424" s="64" t="str">
        <f t="shared" si="74"/>
        <v xml:space="preserve"> </v>
      </c>
      <c r="D424" s="1542">
        <v>0.42099999999999999</v>
      </c>
      <c r="E424" s="1047">
        <f>VLOOKUP($B424,DG!A:D,DG!$B$2,)</f>
        <v>0</v>
      </c>
      <c r="F424" s="1052" t="str">
        <f>VLOOKUP($B424,DG!A:D,DG!$C$2,)</f>
        <v>Đá 2x4</v>
      </c>
      <c r="G424" s="1047" t="str">
        <f>VLOOKUP($B424,DG!A:D,DG!$D$2,)</f>
        <v>m3</v>
      </c>
      <c r="H424" s="1845">
        <f t="shared" ref="H424:N424" si="79">H$18*$D424</f>
        <v>0</v>
      </c>
      <c r="I424" s="1845">
        <f t="shared" si="79"/>
        <v>0</v>
      </c>
      <c r="J424" s="1845">
        <f t="shared" si="79"/>
        <v>0</v>
      </c>
      <c r="K424" s="1845">
        <f t="shared" si="79"/>
        <v>0</v>
      </c>
      <c r="L424" s="1845">
        <f t="shared" si="79"/>
        <v>0</v>
      </c>
      <c r="M424" s="1845">
        <f t="shared" si="79"/>
        <v>0</v>
      </c>
      <c r="N424" s="1845">
        <f t="shared" si="79"/>
        <v>0</v>
      </c>
      <c r="O424" s="1845"/>
      <c r="P424" s="1845"/>
      <c r="Q424" s="1056"/>
      <c r="R424" s="1056"/>
      <c r="S424" s="1056"/>
      <c r="T424" s="2059">
        <f t="shared" si="73"/>
        <v>0</v>
      </c>
    </row>
    <row r="425" spans="1:20" ht="22.15" hidden="1" customHeight="1">
      <c r="A425" s="63"/>
      <c r="B425" s="1599" t="s">
        <v>639</v>
      </c>
      <c r="C425" s="64" t="str">
        <f t="shared" si="74"/>
        <v xml:space="preserve"> </v>
      </c>
      <c r="D425" s="1546">
        <v>3.3</v>
      </c>
      <c r="E425" s="1051" t="str">
        <f>VLOOKUP($B425,DG!A:D,DG!$B$2,)</f>
        <v>03.1013</v>
      </c>
      <c r="F425" s="1052" t="str">
        <f>VLOOKUP($B425,DG!A:D,DG!$C$2,)</f>
        <v>Đào hố móng đất cấp 3 sâu &gt;1m</v>
      </c>
      <c r="G425" s="1051" t="str">
        <f>VLOOKUP($B425,DG!A:D,DG!$D$2,)</f>
        <v>m3</v>
      </c>
      <c r="H425" s="1846"/>
      <c r="I425" s="1846"/>
      <c r="J425" s="1846"/>
      <c r="K425" s="1846"/>
      <c r="L425" s="1846"/>
      <c r="M425" s="1846"/>
      <c r="N425" s="1846"/>
      <c r="O425" s="1846"/>
      <c r="P425" s="1846"/>
      <c r="Q425" s="1058"/>
      <c r="R425" s="1058"/>
      <c r="S425" s="1058"/>
      <c r="T425" s="2059">
        <f t="shared" si="73"/>
        <v>0</v>
      </c>
    </row>
    <row r="426" spans="1:20" ht="22.15" hidden="1" customHeight="1">
      <c r="A426" s="63"/>
      <c r="B426" s="1599" t="s">
        <v>21</v>
      </c>
      <c r="C426" s="64" t="str">
        <f t="shared" si="74"/>
        <v xml:space="preserve"> </v>
      </c>
      <c r="D426" s="1546">
        <v>3.49</v>
      </c>
      <c r="E426" s="1051" t="str">
        <f>VLOOKUP($B426,DG!A:D,DG!$B$2,)</f>
        <v>03.4113</v>
      </c>
      <c r="F426" s="1052" t="str">
        <f>VLOOKUP($B426,DG!A:D,DG!$C$2,)</f>
        <v>Đắp đất hố móng, độ chặt k=0,95</v>
      </c>
      <c r="G426" s="1051" t="str">
        <f>VLOOKUP($B426,DG!A:D,DG!$D$2,)</f>
        <v>m3</v>
      </c>
      <c r="H426" s="1846"/>
      <c r="I426" s="1846"/>
      <c r="J426" s="1846"/>
      <c r="K426" s="1846"/>
      <c r="L426" s="1846"/>
      <c r="M426" s="1846"/>
      <c r="N426" s="1846"/>
      <c r="O426" s="1846"/>
      <c r="P426" s="1846"/>
      <c r="Q426" s="1058"/>
      <c r="R426" s="1058"/>
      <c r="S426" s="1058"/>
      <c r="T426" s="2059">
        <f t="shared" si="73"/>
        <v>0</v>
      </c>
    </row>
    <row r="427" spans="1:20" ht="22.15" hidden="1" customHeight="1">
      <c r="A427" s="63"/>
      <c r="B427" s="1599" t="s">
        <v>637</v>
      </c>
      <c r="C427" s="64" t="str">
        <f t="shared" si="74"/>
        <v xml:space="preserve"> </v>
      </c>
      <c r="D427" s="1546">
        <v>0.255</v>
      </c>
      <c r="E427" s="1051" t="str">
        <f>VLOOKUP($B427,DG!A:D,DG!$B$2,)</f>
        <v>02.1123</v>
      </c>
      <c r="F427" s="1052" t="str">
        <f>VLOOKUP($B427,DG!A:D,DG!$C$2,)</f>
        <v>Bốc dỡ đà cản, đế néo</v>
      </c>
      <c r="G427" s="1051" t="str">
        <f>VLOOKUP($B427,DG!A:D,DG!$D$2,)</f>
        <v>tấn</v>
      </c>
      <c r="H427" s="1846"/>
      <c r="I427" s="1846"/>
      <c r="J427" s="1846"/>
      <c r="K427" s="1846"/>
      <c r="L427" s="1846"/>
      <c r="M427" s="1846"/>
      <c r="N427" s="1846"/>
      <c r="O427" s="1846"/>
      <c r="P427" s="1846"/>
      <c r="Q427" s="1055"/>
      <c r="R427" s="1055"/>
      <c r="S427" s="1055"/>
      <c r="T427" s="2059">
        <f t="shared" si="73"/>
        <v>0</v>
      </c>
    </row>
    <row r="428" spans="1:20" ht="22.15" hidden="1" customHeight="1">
      <c r="A428" s="63"/>
      <c r="B428" s="1584" t="s">
        <v>2071</v>
      </c>
      <c r="C428" s="64" t="str">
        <f t="shared" si="74"/>
        <v xml:space="preserve"> </v>
      </c>
      <c r="D428" s="1546">
        <f>+D427</f>
        <v>0.255</v>
      </c>
      <c r="E428" s="1051" t="str">
        <f>VLOOKUP($B428,DG!A:C,2,)</f>
        <v>02.1451</v>
      </c>
      <c r="F428" s="1052" t="str">
        <f>VLOOKUP($B428,DG!A:C,3,)</f>
        <v>V/c đà cản vào vị trí (cự ly &lt;=100m)</v>
      </c>
      <c r="G428" s="1051" t="str">
        <f>VLOOKUP($B428,DG!A:D,4,0)</f>
        <v>tấn</v>
      </c>
      <c r="H428" s="1846"/>
      <c r="I428" s="1846"/>
      <c r="J428" s="1846"/>
      <c r="K428" s="1846"/>
      <c r="L428" s="1846"/>
      <c r="M428" s="1846"/>
      <c r="N428" s="1846"/>
      <c r="O428" s="1846"/>
      <c r="P428" s="1846"/>
      <c r="Q428" s="1058"/>
      <c r="R428" s="1058"/>
      <c r="S428" s="1058"/>
      <c r="T428" s="2059">
        <f t="shared" si="73"/>
        <v>0</v>
      </c>
    </row>
    <row r="429" spans="1:20" ht="22.15" hidden="1" customHeight="1">
      <c r="A429" s="59"/>
      <c r="B429" s="1598" t="s">
        <v>674</v>
      </c>
      <c r="C429" s="64" t="str">
        <f t="shared" si="74"/>
        <v xml:space="preserve"> </v>
      </c>
      <c r="D429" s="1542">
        <f>D424</f>
        <v>0.42099999999999999</v>
      </c>
      <c r="E429" s="1047" t="str">
        <f>VLOOKUP($B429,DG!A:C,2,)</f>
        <v>02.1241</v>
      </c>
      <c r="F429" s="1052" t="str">
        <f>VLOOKUP($B429,DG!A:C,3,)</f>
        <v>V/c đá dăm ( cự ly &lt;=100m)</v>
      </c>
      <c r="G429" s="1047" t="str">
        <f>VLOOKUP($B429,DG!A:D,4,0)</f>
        <v>m3</v>
      </c>
      <c r="H429" s="1845"/>
      <c r="I429" s="1845"/>
      <c r="J429" s="1845"/>
      <c r="K429" s="1845"/>
      <c r="L429" s="1845"/>
      <c r="M429" s="1845"/>
      <c r="N429" s="1845"/>
      <c r="O429" s="1845"/>
      <c r="P429" s="1845"/>
      <c r="Q429" s="1061"/>
      <c r="R429" s="1061"/>
      <c r="S429" s="1061"/>
      <c r="T429" s="2059">
        <f t="shared" si="73"/>
        <v>0</v>
      </c>
    </row>
    <row r="430" spans="1:20" ht="22.15" hidden="1" customHeight="1">
      <c r="A430" s="63"/>
      <c r="B430" s="1584" t="s">
        <v>635</v>
      </c>
      <c r="C430" s="64" t="str">
        <f t="shared" si="74"/>
        <v xml:space="preserve"> </v>
      </c>
      <c r="D430" s="1546">
        <v>0.2</v>
      </c>
      <c r="E430" s="1051" t="str">
        <f>VLOOKUP($B430,DG!A:C,2,)</f>
        <v>02.1482</v>
      </c>
      <c r="F430" s="1052" t="str">
        <f>VLOOKUP($B430,DG!A:C,3,)</f>
        <v>V/c dụng cụ thi công vào vị trí (cự ly &lt;=100m)</v>
      </c>
      <c r="G430" s="1051" t="str">
        <f>VLOOKUP($B430,DG!A:D,4,0)</f>
        <v>tấn</v>
      </c>
      <c r="H430" s="1846"/>
      <c r="I430" s="1846"/>
      <c r="J430" s="1846"/>
      <c r="K430" s="1846"/>
      <c r="L430" s="1846"/>
      <c r="M430" s="1846"/>
      <c r="N430" s="1846"/>
      <c r="O430" s="1846"/>
      <c r="P430" s="1846"/>
      <c r="Q430" s="1058"/>
      <c r="R430" s="1058"/>
      <c r="S430" s="1058"/>
      <c r="T430" s="2059">
        <f t="shared" si="73"/>
        <v>0</v>
      </c>
    </row>
    <row r="431" spans="1:20" ht="22.15" hidden="1" customHeight="1">
      <c r="A431" s="56" t="s">
        <v>2315</v>
      </c>
      <c r="B431" s="1583" t="s">
        <v>2315</v>
      </c>
      <c r="C431" s="62" t="str">
        <f t="shared" si="74"/>
        <v xml:space="preserve"> </v>
      </c>
      <c r="D431" s="1541"/>
      <c r="E431" s="1048"/>
      <c r="F431" s="1396" t="s">
        <v>2380</v>
      </c>
      <c r="G431" s="1049" t="s">
        <v>2336</v>
      </c>
      <c r="H431" s="1843">
        <f>SUM(I431:O431)</f>
        <v>0</v>
      </c>
      <c r="I431" s="1844"/>
      <c r="J431" s="1844"/>
      <c r="K431" s="1844">
        <f>IFERROR(HLOOKUP(B431,pp3p1m!$1:$3,3,0),0)</f>
        <v>0</v>
      </c>
      <c r="L431" s="1844">
        <f>IFERROR(HLOOKUP(chitiet!B431,pp1p!$1:$3,3,0),0)</f>
        <v>0</v>
      </c>
      <c r="M431" s="1844"/>
      <c r="N431" s="1844"/>
      <c r="O431" s="1844"/>
      <c r="P431" s="1844"/>
      <c r="Q431" s="1050"/>
      <c r="R431" s="1050"/>
      <c r="S431" s="1050"/>
      <c r="T431" s="2059">
        <f>IFERROR(HLOOKUP(B431,pp1p!$1:$3,3,0),0)+IFERROR(HLOOKUP(B431,pp3p1m!$1:$3,3,0),0)</f>
        <v>0</v>
      </c>
    </row>
    <row r="432" spans="1:20" ht="22.15" hidden="1" customHeight="1">
      <c r="A432" s="63"/>
      <c r="B432" s="1584" t="s">
        <v>753</v>
      </c>
      <c r="C432" s="64" t="str">
        <f t="shared" si="74"/>
        <v xml:space="preserve"> </v>
      </c>
      <c r="D432" s="1548">
        <v>336</v>
      </c>
      <c r="E432" s="1051">
        <f>VLOOKUP($B432,DG!A:D,DG!$B$2,)</f>
        <v>0</v>
      </c>
      <c r="F432" s="1052" t="str">
        <f>VLOOKUP($B432,DG!A:D,DG!$C$2,)</f>
        <v>Ximăng (PC40)</v>
      </c>
      <c r="G432" s="1051" t="str">
        <f>VLOOKUP($B432,DG!A:D,DG!$D$2,)</f>
        <v>kg</v>
      </c>
      <c r="H432" s="1846">
        <f t="shared" ref="H432:H447" si="80">$H$431*$D432</f>
        <v>0</v>
      </c>
      <c r="I432" s="1846">
        <f t="shared" ref="I432:O436" si="81">I$431*$D432</f>
        <v>0</v>
      </c>
      <c r="J432" s="1846">
        <f t="shared" si="81"/>
        <v>0</v>
      </c>
      <c r="K432" s="1846">
        <f t="shared" si="81"/>
        <v>0</v>
      </c>
      <c r="L432" s="1846">
        <f t="shared" si="81"/>
        <v>0</v>
      </c>
      <c r="M432" s="1846">
        <f t="shared" si="81"/>
        <v>0</v>
      </c>
      <c r="N432" s="1846">
        <f t="shared" si="81"/>
        <v>0</v>
      </c>
      <c r="O432" s="1846">
        <f t="shared" si="81"/>
        <v>0</v>
      </c>
      <c r="P432" s="1846"/>
      <c r="Q432" s="1055"/>
      <c r="R432" s="1055"/>
      <c r="S432" s="1055"/>
      <c r="T432" s="2059">
        <f t="shared" si="73"/>
        <v>0</v>
      </c>
    </row>
    <row r="433" spans="1:20" ht="22.15" hidden="1" customHeight="1">
      <c r="A433" s="63"/>
      <c r="B433" s="1585" t="s">
        <v>4447</v>
      </c>
      <c r="C433" s="64" t="str">
        <f t="shared" si="74"/>
        <v xml:space="preserve"> </v>
      </c>
      <c r="D433" s="1545">
        <v>0.53900000000000003</v>
      </c>
      <c r="E433" s="1051">
        <f>VLOOKUP($B433,DG!A:D,DG!$B$2,)</f>
        <v>0</v>
      </c>
      <c r="F433" s="1052" t="str">
        <f>VLOOKUP($B433,DG!A:D,DG!$C$2,)</f>
        <v>Cát vàng</v>
      </c>
      <c r="G433" s="1051" t="str">
        <f>VLOOKUP($B433,DG!A:D,DG!$D$2,)</f>
        <v>m3</v>
      </c>
      <c r="H433" s="1846">
        <f t="shared" si="80"/>
        <v>0</v>
      </c>
      <c r="I433" s="1846">
        <f t="shared" si="81"/>
        <v>0</v>
      </c>
      <c r="J433" s="1846">
        <f t="shared" si="81"/>
        <v>0</v>
      </c>
      <c r="K433" s="1846">
        <f t="shared" si="81"/>
        <v>0</v>
      </c>
      <c r="L433" s="1846">
        <f t="shared" si="81"/>
        <v>0</v>
      </c>
      <c r="M433" s="1846">
        <f t="shared" si="81"/>
        <v>0</v>
      </c>
      <c r="N433" s="1846">
        <f t="shared" si="81"/>
        <v>0</v>
      </c>
      <c r="O433" s="1846">
        <f t="shared" si="81"/>
        <v>0</v>
      </c>
      <c r="P433" s="1846"/>
      <c r="Q433" s="1053"/>
      <c r="R433" s="1053"/>
      <c r="S433" s="1053"/>
      <c r="T433" s="2059">
        <f t="shared" si="73"/>
        <v>0</v>
      </c>
    </row>
    <row r="434" spans="1:20" ht="22.15" hidden="1" customHeight="1">
      <c r="A434" s="63" t="s">
        <v>1018</v>
      </c>
      <c r="B434" s="1584" t="s">
        <v>869</v>
      </c>
      <c r="C434" s="64" t="str">
        <f t="shared" si="74"/>
        <v xml:space="preserve"> </v>
      </c>
      <c r="D434" s="1545">
        <v>0.999</v>
      </c>
      <c r="E434" s="1051">
        <f>VLOOKUP($B434,DG!A:D,DG!$B$2,)</f>
        <v>0</v>
      </c>
      <c r="F434" s="1052" t="str">
        <f>VLOOKUP($B434,DG!A:D,DG!$C$2,)</f>
        <v>Đá 1x2</v>
      </c>
      <c r="G434" s="1051" t="str">
        <f>VLOOKUP($B434,DG!A:D,DG!$D$2,)</f>
        <v>m3</v>
      </c>
      <c r="H434" s="1846">
        <f t="shared" si="80"/>
        <v>0</v>
      </c>
      <c r="I434" s="1846">
        <f t="shared" si="81"/>
        <v>0</v>
      </c>
      <c r="J434" s="1846">
        <f t="shared" si="81"/>
        <v>0</v>
      </c>
      <c r="K434" s="1846">
        <f t="shared" si="81"/>
        <v>0</v>
      </c>
      <c r="L434" s="1846">
        <f t="shared" si="81"/>
        <v>0</v>
      </c>
      <c r="M434" s="1846">
        <f t="shared" si="81"/>
        <v>0</v>
      </c>
      <c r="N434" s="1846">
        <f t="shared" si="81"/>
        <v>0</v>
      </c>
      <c r="O434" s="1846">
        <f t="shared" si="81"/>
        <v>0</v>
      </c>
      <c r="P434" s="1846"/>
      <c r="Q434" s="1053"/>
      <c r="R434" s="1053"/>
      <c r="S434" s="1053"/>
      <c r="T434" s="2059">
        <f t="shared" si="73"/>
        <v>0</v>
      </c>
    </row>
    <row r="435" spans="1:20" ht="22.15" hidden="1" customHeight="1">
      <c r="A435" s="63"/>
      <c r="B435" s="1584" t="s">
        <v>997</v>
      </c>
      <c r="C435" s="64" t="str">
        <f t="shared" si="74"/>
        <v xml:space="preserve"> </v>
      </c>
      <c r="D435" s="1545">
        <v>31.1</v>
      </c>
      <c r="E435" s="1051">
        <f>VLOOKUP($B435,DG!A:D,DG!$B$2,)</f>
        <v>0</v>
      </c>
      <c r="F435" s="1057" t="str">
        <f>VLOOKUP($B435,DG!A:D,DG!$C$2,)</f>
        <v>Sắt Ø10</v>
      </c>
      <c r="G435" s="1051" t="str">
        <f>VLOOKUP($B435,DG!A:D,DG!$D$2,)</f>
        <v>kg</v>
      </c>
      <c r="H435" s="1846">
        <f t="shared" si="80"/>
        <v>0</v>
      </c>
      <c r="I435" s="1846">
        <f t="shared" si="81"/>
        <v>0</v>
      </c>
      <c r="J435" s="1846">
        <f t="shared" si="81"/>
        <v>0</v>
      </c>
      <c r="K435" s="1846">
        <f t="shared" si="81"/>
        <v>0</v>
      </c>
      <c r="L435" s="1846">
        <f t="shared" si="81"/>
        <v>0</v>
      </c>
      <c r="M435" s="1846">
        <f t="shared" si="81"/>
        <v>0</v>
      </c>
      <c r="N435" s="1846">
        <f t="shared" si="81"/>
        <v>0</v>
      </c>
      <c r="O435" s="1846">
        <f t="shared" si="81"/>
        <v>0</v>
      </c>
      <c r="P435" s="1846"/>
      <c r="Q435" s="1053"/>
      <c r="R435" s="1053"/>
      <c r="S435" s="1053"/>
      <c r="T435" s="2059">
        <f t="shared" si="73"/>
        <v>0</v>
      </c>
    </row>
    <row r="436" spans="1:20" ht="22.15" hidden="1" customHeight="1">
      <c r="A436" s="63" t="s">
        <v>1018</v>
      </c>
      <c r="B436" s="1584" t="s">
        <v>998</v>
      </c>
      <c r="C436" s="64" t="str">
        <f t="shared" si="74"/>
        <v xml:space="preserve"> </v>
      </c>
      <c r="D436" s="1545">
        <v>0.67</v>
      </c>
      <c r="E436" s="1051">
        <f>VLOOKUP($B436,DG!A:D,DG!$B$2,)</f>
        <v>0</v>
      </c>
      <c r="F436" s="1057" t="str">
        <f>VLOOKUP($B436,DG!A:D,DG!$C$2,)</f>
        <v>Kẽm</v>
      </c>
      <c r="G436" s="1051" t="str">
        <f>VLOOKUP($B436,DG!A:D,DG!$D$2,)</f>
        <v>kg</v>
      </c>
      <c r="H436" s="1846">
        <f t="shared" si="80"/>
        <v>0</v>
      </c>
      <c r="I436" s="1846">
        <f t="shared" si="81"/>
        <v>0</v>
      </c>
      <c r="J436" s="1846">
        <f t="shared" si="81"/>
        <v>0</v>
      </c>
      <c r="K436" s="1846">
        <f t="shared" si="81"/>
        <v>0</v>
      </c>
      <c r="L436" s="1846">
        <f t="shared" si="81"/>
        <v>0</v>
      </c>
      <c r="M436" s="1846">
        <f t="shared" si="81"/>
        <v>0</v>
      </c>
      <c r="N436" s="1846">
        <f t="shared" si="81"/>
        <v>0</v>
      </c>
      <c r="O436" s="1846">
        <f t="shared" si="81"/>
        <v>0</v>
      </c>
      <c r="P436" s="1846"/>
      <c r="Q436" s="1053"/>
      <c r="R436" s="1053"/>
      <c r="S436" s="1053"/>
      <c r="T436" s="2059">
        <f t="shared" si="73"/>
        <v>0</v>
      </c>
    </row>
    <row r="437" spans="1:20" ht="22.15" hidden="1" customHeight="1">
      <c r="A437" s="63"/>
      <c r="B437" s="1584" t="s">
        <v>639</v>
      </c>
      <c r="C437" s="64" t="str">
        <f t="shared" si="74"/>
        <v xml:space="preserve"> </v>
      </c>
      <c r="D437" s="1545">
        <v>1.36</v>
      </c>
      <c r="E437" s="1051" t="str">
        <f>VLOOKUP($B437,DG!A:D,DG!$B$2,)</f>
        <v>03.1013</v>
      </c>
      <c r="F437" s="1052" t="str">
        <f>VLOOKUP($B437,DG!A:D,DG!$C$2,)</f>
        <v>Đào hố móng đất cấp 3 sâu &gt;1m</v>
      </c>
      <c r="G437" s="1051" t="str">
        <f>VLOOKUP($B437,DG!A:D,DG!$D$2,)</f>
        <v>m3</v>
      </c>
      <c r="H437" s="1846">
        <f t="shared" si="80"/>
        <v>0</v>
      </c>
      <c r="I437" s="1846"/>
      <c r="J437" s="1846"/>
      <c r="K437" s="1846"/>
      <c r="L437" s="1846"/>
      <c r="M437" s="1846"/>
      <c r="N437" s="1846"/>
      <c r="O437" s="1846"/>
      <c r="P437" s="1846"/>
      <c r="Q437" s="1058"/>
      <c r="R437" s="1058"/>
      <c r="S437" s="1058"/>
      <c r="T437" s="2059">
        <f t="shared" si="73"/>
        <v>0</v>
      </c>
    </row>
    <row r="438" spans="1:20" ht="22.15" hidden="1" customHeight="1">
      <c r="A438" s="63"/>
      <c r="B438" s="1584" t="s">
        <v>21</v>
      </c>
      <c r="C438" s="64" t="str">
        <f t="shared" si="74"/>
        <v xml:space="preserve"> </v>
      </c>
      <c r="D438" s="1545">
        <v>0</v>
      </c>
      <c r="E438" s="1051" t="str">
        <f>VLOOKUP($B438,DG!A:D,DG!$B$2,)</f>
        <v>03.4113</v>
      </c>
      <c r="F438" s="1052" t="str">
        <f>VLOOKUP($B438,DG!A:D,DG!$C$2,)</f>
        <v>Đắp đất hố móng, độ chặt k=0,95</v>
      </c>
      <c r="G438" s="1051" t="str">
        <f>VLOOKUP($B438,DG!A:D,DG!$D$2,)</f>
        <v>m3</v>
      </c>
      <c r="H438" s="1846">
        <f t="shared" si="80"/>
        <v>0</v>
      </c>
      <c r="I438" s="1846"/>
      <c r="J438" s="1846"/>
      <c r="K438" s="1846"/>
      <c r="L438" s="1846"/>
      <c r="M438" s="1846"/>
      <c r="N438" s="1846"/>
      <c r="O438" s="1846"/>
      <c r="P438" s="1846"/>
      <c r="Q438" s="1058"/>
      <c r="R438" s="1058"/>
      <c r="S438" s="1058"/>
      <c r="T438" s="2059">
        <f t="shared" si="73"/>
        <v>0</v>
      </c>
    </row>
    <row r="439" spans="1:20" ht="22.15" hidden="1" customHeight="1">
      <c r="A439" s="63"/>
      <c r="B439" s="1584" t="s">
        <v>1298</v>
      </c>
      <c r="C439" s="64" t="str">
        <f t="shared" si="74"/>
        <v xml:space="preserve"> </v>
      </c>
      <c r="D439" s="1545"/>
      <c r="E439" s="1051" t="str">
        <f>VLOOKUP($B439,DG!A:D,DG!$B$2,)</f>
        <v>02.1101</v>
      </c>
      <c r="F439" s="1052" t="str">
        <f>VLOOKUP($B439,DG!A:D,DG!$C$2,)</f>
        <v>Bốc dỡ xi măng</v>
      </c>
      <c r="G439" s="1051" t="str">
        <f>VLOOKUP($B439,DG!A:D,DG!$D$2,)</f>
        <v>tấn</v>
      </c>
      <c r="H439" s="1846">
        <f t="shared" si="80"/>
        <v>0</v>
      </c>
      <c r="I439" s="1846"/>
      <c r="J439" s="1846"/>
      <c r="K439" s="1846"/>
      <c r="L439" s="1846"/>
      <c r="M439" s="1846"/>
      <c r="N439" s="1846"/>
      <c r="O439" s="1846"/>
      <c r="P439" s="1846"/>
      <c r="Q439" s="1058"/>
      <c r="R439" s="1058"/>
      <c r="S439" s="1058"/>
      <c r="T439" s="2059">
        <f t="shared" si="73"/>
        <v>0</v>
      </c>
    </row>
    <row r="440" spans="1:20" ht="22.15" hidden="1" customHeight="1">
      <c r="A440" s="63"/>
      <c r="B440" s="1584" t="s">
        <v>133</v>
      </c>
      <c r="C440" s="64" t="str">
        <f t="shared" si="74"/>
        <v xml:space="preserve"> </v>
      </c>
      <c r="D440" s="1545"/>
      <c r="E440" s="1051" t="str">
        <f>VLOOKUP($B440,DG!A:D,DG!$B$2,)</f>
        <v>02.1103</v>
      </c>
      <c r="F440" s="1052" t="str">
        <f>VLOOKUP($B440,DG!A:D,DG!$C$2,)</f>
        <v>Bốc dỡ cát</v>
      </c>
      <c r="G440" s="1051" t="str">
        <f>VLOOKUP($B440,DG!A:D,DG!$D$2,)</f>
        <v>m3</v>
      </c>
      <c r="H440" s="1846">
        <f t="shared" si="80"/>
        <v>0</v>
      </c>
      <c r="I440" s="1846"/>
      <c r="J440" s="1846"/>
      <c r="K440" s="1846"/>
      <c r="L440" s="1846"/>
      <c r="M440" s="1846"/>
      <c r="N440" s="1846"/>
      <c r="O440" s="1846"/>
      <c r="P440" s="1846"/>
      <c r="Q440" s="1058"/>
      <c r="R440" s="1058"/>
      <c r="S440" s="1058"/>
      <c r="T440" s="2059">
        <f t="shared" si="73"/>
        <v>0</v>
      </c>
    </row>
    <row r="441" spans="1:20" ht="22.15" hidden="1" customHeight="1">
      <c r="A441" s="63"/>
      <c r="B441" s="1584" t="s">
        <v>135</v>
      </c>
      <c r="C441" s="64" t="str">
        <f t="shared" si="74"/>
        <v xml:space="preserve"> </v>
      </c>
      <c r="D441" s="1545"/>
      <c r="E441" s="1051" t="str">
        <f>VLOOKUP($B441,DG!A:D,DG!$B$2,)</f>
        <v>02.1104</v>
      </c>
      <c r="F441" s="1052" t="str">
        <f>VLOOKUP($B441,DG!A:D,DG!$C$2,)</f>
        <v>Bốc dỡ đá dăm</v>
      </c>
      <c r="G441" s="1051" t="str">
        <f>VLOOKUP($B441,DG!A:D,DG!$D$2,)</f>
        <v>m3</v>
      </c>
      <c r="H441" s="1846">
        <f t="shared" si="80"/>
        <v>0</v>
      </c>
      <c r="I441" s="1846"/>
      <c r="J441" s="1846"/>
      <c r="K441" s="1846"/>
      <c r="L441" s="1846"/>
      <c r="M441" s="1846"/>
      <c r="N441" s="1846"/>
      <c r="O441" s="1846"/>
      <c r="P441" s="1846"/>
      <c r="Q441" s="1058"/>
      <c r="R441" s="1058"/>
      <c r="S441" s="1058"/>
      <c r="T441" s="2059">
        <f t="shared" si="73"/>
        <v>0</v>
      </c>
    </row>
    <row r="442" spans="1:20" ht="22.15" hidden="1" customHeight="1">
      <c r="A442" s="63"/>
      <c r="B442" s="1584" t="s">
        <v>495</v>
      </c>
      <c r="C442" s="64" t="str">
        <f t="shared" si="74"/>
        <v xml:space="preserve"> </v>
      </c>
      <c r="D442" s="1545"/>
      <c r="E442" s="1051" t="str">
        <f>VLOOKUP($B442,DG!A:D,DG!$B$2,)</f>
        <v>02.1211</v>
      </c>
      <c r="F442" s="1052" t="str">
        <f>VLOOKUP($B442,DG!A:D,DG!$C$2,)</f>
        <v>V/c xi măng ( cự ly &lt;=100m)</v>
      </c>
      <c r="G442" s="1051" t="str">
        <f>VLOOKUP($B442,DG!A:D,DG!$D$2,)</f>
        <v>tấn</v>
      </c>
      <c r="H442" s="1846">
        <f t="shared" si="80"/>
        <v>0</v>
      </c>
      <c r="I442" s="1846"/>
      <c r="J442" s="1846"/>
      <c r="K442" s="1846"/>
      <c r="L442" s="1846"/>
      <c r="M442" s="1846"/>
      <c r="N442" s="1846"/>
      <c r="O442" s="1846"/>
      <c r="P442" s="1846"/>
      <c r="Q442" s="1058"/>
      <c r="R442" s="1058"/>
      <c r="S442" s="1058"/>
      <c r="T442" s="2059">
        <f t="shared" si="73"/>
        <v>0</v>
      </c>
    </row>
    <row r="443" spans="1:20" ht="22.15" hidden="1" customHeight="1">
      <c r="A443" s="63"/>
      <c r="B443" s="1584" t="s">
        <v>1616</v>
      </c>
      <c r="C443" s="64" t="str">
        <f t="shared" si="74"/>
        <v xml:space="preserve"> </v>
      </c>
      <c r="D443" s="1545"/>
      <c r="E443" s="1051" t="str">
        <f>VLOOKUP($B443,DG!A:D,DG!$B$2,)</f>
        <v>02.1231</v>
      </c>
      <c r="F443" s="1052" t="str">
        <f>VLOOKUP($B443,DG!A:D,DG!$C$2,)</f>
        <v>V/c cát vàng cự ly &lt;=100m</v>
      </c>
      <c r="G443" s="1051" t="str">
        <f>VLOOKUP($B443,DG!A:D,DG!$D$2,)</f>
        <v>m3</v>
      </c>
      <c r="H443" s="1846">
        <f t="shared" si="80"/>
        <v>0</v>
      </c>
      <c r="I443" s="1846"/>
      <c r="J443" s="1846"/>
      <c r="K443" s="1846"/>
      <c r="L443" s="1846"/>
      <c r="M443" s="1846"/>
      <c r="N443" s="1846"/>
      <c r="O443" s="1846"/>
      <c r="P443" s="1846"/>
      <c r="Q443" s="1058"/>
      <c r="R443" s="1058"/>
      <c r="S443" s="1058"/>
      <c r="T443" s="2059">
        <f t="shared" si="73"/>
        <v>0</v>
      </c>
    </row>
    <row r="444" spans="1:20" ht="22.15" hidden="1" customHeight="1">
      <c r="A444" s="63"/>
      <c r="B444" s="1584" t="s">
        <v>521</v>
      </c>
      <c r="C444" s="64" t="str">
        <f t="shared" si="74"/>
        <v xml:space="preserve"> </v>
      </c>
      <c r="D444" s="1545"/>
      <c r="E444" s="1051" t="str">
        <f>VLOOKUP($B444,DG!A:D,DG!$B$2,)</f>
        <v>02.1241</v>
      </c>
      <c r="F444" s="1052" t="str">
        <f>VLOOKUP($B444,DG!A:D,DG!$C$2,)</f>
        <v>V/c đá dăm ( cự ly &lt;=100m)</v>
      </c>
      <c r="G444" s="1051" t="str">
        <f>VLOOKUP($B444,DG!A:D,DG!$D$2,)</f>
        <v>m3</v>
      </c>
      <c r="H444" s="1846">
        <f t="shared" si="80"/>
        <v>0</v>
      </c>
      <c r="I444" s="1846"/>
      <c r="J444" s="1846"/>
      <c r="K444" s="1846"/>
      <c r="L444" s="1846"/>
      <c r="M444" s="1846"/>
      <c r="N444" s="1846"/>
      <c r="O444" s="1846"/>
      <c r="P444" s="1846"/>
      <c r="Q444" s="1058"/>
      <c r="R444" s="1058"/>
      <c r="S444" s="1058"/>
      <c r="T444" s="2059">
        <f t="shared" si="73"/>
        <v>0</v>
      </c>
    </row>
    <row r="445" spans="1:20" ht="22.15" hidden="1" customHeight="1">
      <c r="A445" s="63"/>
      <c r="B445" s="1584" t="s">
        <v>1987</v>
      </c>
      <c r="C445" s="64" t="str">
        <f t="shared" si="74"/>
        <v xml:space="preserve"> </v>
      </c>
      <c r="D445" s="1545"/>
      <c r="E445" s="1051" t="str">
        <f>VLOOKUP($B445,DG!A:D,DG!$B$2,)</f>
        <v>02.1482</v>
      </c>
      <c r="F445" s="1052" t="str">
        <f>VLOOKUP($B445,DG!A:D,DG!$C$2,)</f>
        <v>V/c dụng cụ thi công ( cự ly &lt;=100m)</v>
      </c>
      <c r="G445" s="1051" t="str">
        <f>VLOOKUP($B445,DG!A:D,DG!$D$2,)</f>
        <v>tấn</v>
      </c>
      <c r="H445" s="1846">
        <f t="shared" si="80"/>
        <v>0</v>
      </c>
      <c r="I445" s="1846"/>
      <c r="J445" s="1846"/>
      <c r="K445" s="1846"/>
      <c r="L445" s="1846"/>
      <c r="M445" s="1846"/>
      <c r="N445" s="1846"/>
      <c r="O445" s="1846"/>
      <c r="P445" s="1846"/>
      <c r="Q445" s="1058"/>
      <c r="R445" s="1058"/>
      <c r="S445" s="1058"/>
      <c r="T445" s="2059">
        <f t="shared" si="73"/>
        <v>0</v>
      </c>
    </row>
    <row r="446" spans="1:20" ht="22.15" hidden="1" customHeight="1">
      <c r="A446" s="63"/>
      <c r="B446" s="1584" t="s">
        <v>999</v>
      </c>
      <c r="C446" s="64" t="str">
        <f t="shared" si="74"/>
        <v xml:space="preserve"> </v>
      </c>
      <c r="D446" s="1545">
        <f>D435</f>
        <v>31.1</v>
      </c>
      <c r="E446" s="1051" t="str">
        <f>VLOOKUP($B446,DG!A:D,DG!$B$2,)</f>
        <v>04.5101</v>
      </c>
      <c r="F446" s="1052" t="str">
        <f>VLOOKUP($B446,DG!A:D,DG!$C$2,)</f>
        <v>Gia công và lắp dựng cốt thép D&lt;=10</v>
      </c>
      <c r="G446" s="1051" t="str">
        <f>VLOOKUP($B446,DG!A:D,DG!$D$2,)</f>
        <v>kg</v>
      </c>
      <c r="H446" s="1846">
        <f t="shared" si="80"/>
        <v>0</v>
      </c>
      <c r="I446" s="1846"/>
      <c r="J446" s="1846"/>
      <c r="K446" s="1846"/>
      <c r="L446" s="1846"/>
      <c r="M446" s="1846"/>
      <c r="N446" s="1846"/>
      <c r="O446" s="1846"/>
      <c r="P446" s="1846"/>
      <c r="Q446" s="1058"/>
      <c r="R446" s="1058"/>
      <c r="S446" s="1058"/>
      <c r="T446" s="2059">
        <f t="shared" si="73"/>
        <v>0</v>
      </c>
    </row>
    <row r="447" spans="1:20" ht="22.15" hidden="1" customHeight="1">
      <c r="A447" s="63"/>
      <c r="B447" s="1584" t="s">
        <v>1841</v>
      </c>
      <c r="C447" s="64" t="str">
        <f t="shared" si="74"/>
        <v xml:space="preserve"> </v>
      </c>
      <c r="D447" s="1545">
        <v>1.1339999999999999</v>
      </c>
      <c r="E447" s="1051" t="str">
        <f>VLOOKUP($B447,DG!A:D,DG!$B$2,)</f>
        <v>04.1203b</v>
      </c>
      <c r="F447" s="1052" t="str">
        <f>VLOOKUP($B447,DG!A:D,DG!$C$2,)</f>
        <v>Đổ bê tông mác M150 đá 1x2</v>
      </c>
      <c r="G447" s="1051" t="str">
        <f>VLOOKUP($B447,DG!A:D,DG!$D$2,)</f>
        <v>m3</v>
      </c>
      <c r="H447" s="1846">
        <f t="shared" si="80"/>
        <v>0</v>
      </c>
      <c r="I447" s="1846"/>
      <c r="J447" s="1846"/>
      <c r="K447" s="1846"/>
      <c r="L447" s="1846"/>
      <c r="M447" s="1846"/>
      <c r="N447" s="1846"/>
      <c r="O447" s="1846"/>
      <c r="P447" s="1846"/>
      <c r="Q447" s="1058"/>
      <c r="R447" s="1058"/>
      <c r="S447" s="1058"/>
      <c r="T447" s="2059">
        <f t="shared" si="73"/>
        <v>0</v>
      </c>
    </row>
    <row r="448" spans="1:20" ht="22.15" hidden="1" customHeight="1">
      <c r="A448" s="56" t="s">
        <v>649</v>
      </c>
      <c r="B448" s="1583" t="s">
        <v>649</v>
      </c>
      <c r="C448" s="62" t="str">
        <f t="shared" si="74"/>
        <v xml:space="preserve"> </v>
      </c>
      <c r="D448" s="1541"/>
      <c r="E448" s="1048"/>
      <c r="F448" s="1396" t="s">
        <v>2381</v>
      </c>
      <c r="G448" s="1049" t="s">
        <v>2336</v>
      </c>
      <c r="H448" s="1843">
        <f>SUM(I448:O448)</f>
        <v>0</v>
      </c>
      <c r="I448" s="1844"/>
      <c r="J448" s="1844"/>
      <c r="K448" s="1844">
        <f>IFERROR(HLOOKUP(B448,pp3p1m!$1:$3,3,0),0)</f>
        <v>0</v>
      </c>
      <c r="L448" s="1844">
        <f>IFERROR(HLOOKUP(chitiet!B448,pp1p!$1:$3,3,0),0)</f>
        <v>0</v>
      </c>
      <c r="M448" s="1844"/>
      <c r="N448" s="1844"/>
      <c r="O448" s="1844"/>
      <c r="P448" s="1844"/>
      <c r="Q448" s="1050"/>
      <c r="R448" s="1050"/>
      <c r="S448" s="1050"/>
      <c r="T448" s="2059">
        <f>IFERROR(HLOOKUP(B448,pp1p!$1:$3,3,0),0)+IFERROR(HLOOKUP(B448,pp3p1m!$1:$3,3,0),0)</f>
        <v>0</v>
      </c>
    </row>
    <row r="449" spans="1:20" ht="22.15" hidden="1" customHeight="1">
      <c r="A449" s="63"/>
      <c r="B449" s="1599" t="s">
        <v>636</v>
      </c>
      <c r="C449" s="64" t="str">
        <f t="shared" si="74"/>
        <v xml:space="preserve"> </v>
      </c>
      <c r="D449" s="1547">
        <v>2</v>
      </c>
      <c r="E449" s="1047" t="str">
        <f>VLOOKUP($B449,DG!A:D,DG!$B$2,)</f>
        <v>04.4001</v>
      </c>
      <c r="F449" s="1057" t="str">
        <f>VLOOKUP($B449,DG!A:D,DG!$C$2,)</f>
        <v>Đà cản BTCT 1,2m</v>
      </c>
      <c r="G449" s="1051" t="str">
        <f>VLOOKUP($B449,DG!A:D,DG!$D$2,)</f>
        <v>cái</v>
      </c>
      <c r="H449" s="1846">
        <f t="shared" ref="H449:N450" si="82">H$448*$D449</f>
        <v>0</v>
      </c>
      <c r="I449" s="1846">
        <f t="shared" si="82"/>
        <v>0</v>
      </c>
      <c r="J449" s="1846">
        <f t="shared" si="82"/>
        <v>0</v>
      </c>
      <c r="K449" s="1846">
        <f t="shared" si="82"/>
        <v>0</v>
      </c>
      <c r="L449" s="1846">
        <f t="shared" si="82"/>
        <v>0</v>
      </c>
      <c r="M449" s="1846">
        <f t="shared" si="82"/>
        <v>0</v>
      </c>
      <c r="N449" s="1846">
        <f t="shared" si="82"/>
        <v>0</v>
      </c>
      <c r="O449" s="1846"/>
      <c r="P449" s="1846"/>
      <c r="Q449" s="1055"/>
      <c r="R449" s="1055"/>
      <c r="S449" s="1055"/>
      <c r="T449" s="2059">
        <f t="shared" si="73"/>
        <v>0</v>
      </c>
    </row>
    <row r="450" spans="1:20" ht="22.15" hidden="1" customHeight="1">
      <c r="A450" s="63"/>
      <c r="B450" s="1599" t="s">
        <v>566</v>
      </c>
      <c r="C450" s="64" t="str">
        <f t="shared" si="74"/>
        <v xml:space="preserve"> </v>
      </c>
      <c r="D450" s="1547">
        <v>2</v>
      </c>
      <c r="E450" s="1051"/>
      <c r="F450" s="1057" t="str">
        <f>VLOOKUP($B450,DG!A:D,DG!$C$2,)</f>
        <v>Boulon 22x650+ 2 long đền vuông D24-50x50x3/Zn</v>
      </c>
      <c r="G450" s="1051" t="str">
        <f>VLOOKUP($B450,DG!A:D,DG!$D$2,)</f>
        <v>bộ</v>
      </c>
      <c r="H450" s="1846">
        <f t="shared" si="82"/>
        <v>0</v>
      </c>
      <c r="I450" s="1846">
        <f t="shared" si="82"/>
        <v>0</v>
      </c>
      <c r="J450" s="1846">
        <f t="shared" si="82"/>
        <v>0</v>
      </c>
      <c r="K450" s="1846">
        <f t="shared" si="82"/>
        <v>0</v>
      </c>
      <c r="L450" s="1846">
        <f t="shared" si="82"/>
        <v>0</v>
      </c>
      <c r="M450" s="1846">
        <f t="shared" si="82"/>
        <v>0</v>
      </c>
      <c r="N450" s="1846">
        <f t="shared" si="82"/>
        <v>0</v>
      </c>
      <c r="O450" s="1846"/>
      <c r="P450" s="1846"/>
      <c r="Q450" s="1055"/>
      <c r="R450" s="1055"/>
      <c r="S450" s="1055"/>
      <c r="T450" s="2059">
        <f t="shared" si="73"/>
        <v>0</v>
      </c>
    </row>
    <row r="451" spans="1:20" ht="22.15" hidden="1" customHeight="1">
      <c r="A451" s="63"/>
      <c r="B451" s="1599" t="s">
        <v>639</v>
      </c>
      <c r="C451" s="64" t="str">
        <f t="shared" si="74"/>
        <v xml:space="preserve"> </v>
      </c>
      <c r="D451" s="1546">
        <v>10.33</v>
      </c>
      <c r="E451" s="1051" t="str">
        <f>VLOOKUP($B451,DG!A:D,DG!$B$2,)</f>
        <v>03.1013</v>
      </c>
      <c r="F451" s="1052" t="str">
        <f>VLOOKUP($B451,DG!A:D,DG!$C$2,)</f>
        <v>Đào hố móng đất cấp 3 sâu &gt;1m</v>
      </c>
      <c r="G451" s="1051" t="str">
        <f>VLOOKUP($B451,DG!A:D,DG!$D$2,)</f>
        <v>m3</v>
      </c>
      <c r="H451" s="1846"/>
      <c r="I451" s="1846"/>
      <c r="J451" s="1846"/>
      <c r="K451" s="1846"/>
      <c r="L451" s="1846"/>
      <c r="M451" s="1846"/>
      <c r="N451" s="1846"/>
      <c r="O451" s="1846"/>
      <c r="P451" s="1846"/>
      <c r="Q451" s="1058"/>
      <c r="R451" s="1058"/>
      <c r="S451" s="1058"/>
      <c r="T451" s="2059">
        <f t="shared" si="73"/>
        <v>0</v>
      </c>
    </row>
    <row r="452" spans="1:20" ht="22.15" hidden="1" customHeight="1">
      <c r="A452" s="63"/>
      <c r="B452" s="1599" t="s">
        <v>21</v>
      </c>
      <c r="C452" s="64" t="str">
        <f t="shared" si="74"/>
        <v xml:space="preserve"> </v>
      </c>
      <c r="D452" s="1546">
        <v>11.93</v>
      </c>
      <c r="E452" s="1051" t="str">
        <f>VLOOKUP($B452,DG!A:D,DG!$B$2,)</f>
        <v>03.4113</v>
      </c>
      <c r="F452" s="1052" t="str">
        <f>VLOOKUP($B452,DG!A:D,DG!$C$2,)</f>
        <v>Đắp đất hố móng, độ chặt k=0,95</v>
      </c>
      <c r="G452" s="1051" t="str">
        <f>VLOOKUP($B452,DG!A:D,DG!$D$2,)</f>
        <v>m3</v>
      </c>
      <c r="H452" s="1846"/>
      <c r="I452" s="1846"/>
      <c r="J452" s="1846"/>
      <c r="K452" s="1846"/>
      <c r="L452" s="1846"/>
      <c r="M452" s="1846"/>
      <c r="N452" s="1846"/>
      <c r="O452" s="1846"/>
      <c r="P452" s="1846"/>
      <c r="Q452" s="1058"/>
      <c r="R452" s="1058"/>
      <c r="S452" s="1058"/>
      <c r="T452" s="2059">
        <f t="shared" si="73"/>
        <v>0</v>
      </c>
    </row>
    <row r="453" spans="1:20" ht="22.15" hidden="1" customHeight="1">
      <c r="A453" s="63"/>
      <c r="B453" s="1599" t="s">
        <v>637</v>
      </c>
      <c r="C453" s="64" t="str">
        <f t="shared" si="74"/>
        <v xml:space="preserve"> </v>
      </c>
      <c r="D453" s="1546">
        <f>0.1*D449</f>
        <v>0.2</v>
      </c>
      <c r="E453" s="1051" t="str">
        <f>VLOOKUP($B453,DG!A:D,DG!$B$2,)</f>
        <v>02.1123</v>
      </c>
      <c r="F453" s="1052" t="str">
        <f>VLOOKUP($B453,DG!A:D,DG!$C$2,)</f>
        <v>Bốc dỡ đà cản, đế néo</v>
      </c>
      <c r="G453" s="1051" t="str">
        <f>VLOOKUP($B453,DG!A:D,DG!$D$2,)</f>
        <v>tấn</v>
      </c>
      <c r="H453" s="1846"/>
      <c r="I453" s="1846"/>
      <c r="J453" s="1846"/>
      <c r="K453" s="1846"/>
      <c r="L453" s="1846"/>
      <c r="M453" s="1846"/>
      <c r="N453" s="1846"/>
      <c r="O453" s="1846"/>
      <c r="P453" s="1846"/>
      <c r="Q453" s="1055"/>
      <c r="R453" s="1055"/>
      <c r="S453" s="1055"/>
      <c r="T453" s="2059">
        <f t="shared" si="73"/>
        <v>0</v>
      </c>
    </row>
    <row r="454" spans="1:20" ht="22.15" hidden="1" customHeight="1">
      <c r="A454" s="63"/>
      <c r="B454" s="1584" t="s">
        <v>2071</v>
      </c>
      <c r="C454" s="64" t="str">
        <f t="shared" si="74"/>
        <v xml:space="preserve"> </v>
      </c>
      <c r="D454" s="1546">
        <f>+D453</f>
        <v>0.2</v>
      </c>
      <c r="E454" s="1051" t="str">
        <f>VLOOKUP($B454,DG!A:C,2,)</f>
        <v>02.1451</v>
      </c>
      <c r="F454" s="1052" t="str">
        <f>VLOOKUP($B454,DG!A:C,3,)</f>
        <v>V/c đà cản vào vị trí (cự ly &lt;=100m)</v>
      </c>
      <c r="G454" s="1051" t="str">
        <f>VLOOKUP($B454,DG!A:D,4,0)</f>
        <v>tấn</v>
      </c>
      <c r="H454" s="1846"/>
      <c r="I454" s="1846"/>
      <c r="J454" s="1846"/>
      <c r="K454" s="1846"/>
      <c r="L454" s="1846"/>
      <c r="M454" s="1846"/>
      <c r="N454" s="1846"/>
      <c r="O454" s="1846"/>
      <c r="P454" s="1846"/>
      <c r="Q454" s="1058"/>
      <c r="R454" s="1058"/>
      <c r="S454" s="1058"/>
      <c r="T454" s="2059">
        <f t="shared" si="73"/>
        <v>0</v>
      </c>
    </row>
    <row r="455" spans="1:20" ht="22.15" hidden="1" customHeight="1">
      <c r="A455" s="63"/>
      <c r="B455" s="1584" t="s">
        <v>635</v>
      </c>
      <c r="C455" s="64" t="str">
        <f t="shared" si="74"/>
        <v xml:space="preserve"> </v>
      </c>
      <c r="D455" s="1546">
        <v>0.2</v>
      </c>
      <c r="E455" s="1051" t="str">
        <f>VLOOKUP($B455,DG!A:C,2,)</f>
        <v>02.1482</v>
      </c>
      <c r="F455" s="1052" t="str">
        <f>VLOOKUP($B455,DG!A:C,3,)</f>
        <v>V/c dụng cụ thi công vào vị trí (cự ly &lt;=100m)</v>
      </c>
      <c r="G455" s="1051" t="str">
        <f>VLOOKUP($B455,DG!A:D,4,0)</f>
        <v>tấn</v>
      </c>
      <c r="H455" s="1846"/>
      <c r="I455" s="1846"/>
      <c r="J455" s="1846"/>
      <c r="K455" s="1846"/>
      <c r="L455" s="1846"/>
      <c r="M455" s="1846"/>
      <c r="N455" s="1846"/>
      <c r="O455" s="1846"/>
      <c r="P455" s="1846"/>
      <c r="Q455" s="1058"/>
      <c r="R455" s="1058"/>
      <c r="S455" s="1058"/>
      <c r="T455" s="2059">
        <f t="shared" si="73"/>
        <v>0</v>
      </c>
    </row>
    <row r="456" spans="1:20" ht="22.15" hidden="1" customHeight="1">
      <c r="A456" s="56" t="s">
        <v>483</v>
      </c>
      <c r="B456" s="1583" t="s">
        <v>483</v>
      </c>
      <c r="C456" s="62" t="str">
        <f t="shared" si="74"/>
        <v xml:space="preserve"> </v>
      </c>
      <c r="D456" s="1541"/>
      <c r="E456" s="1048"/>
      <c r="F456" s="1396" t="s">
        <v>2382</v>
      </c>
      <c r="G456" s="1049" t="s">
        <v>2336</v>
      </c>
      <c r="H456" s="1843">
        <f>SUM(I456:O456)</f>
        <v>0</v>
      </c>
      <c r="I456" s="1844"/>
      <c r="J456" s="1844"/>
      <c r="K456" s="1844">
        <f>IFERROR(HLOOKUP(B456,pp3p1m!$1:$3,3,0),0)</f>
        <v>0</v>
      </c>
      <c r="L456" s="1844">
        <f>IFERROR(HLOOKUP(chitiet!B456,pp1p!$1:$3,3,0),0)</f>
        <v>0</v>
      </c>
      <c r="M456" s="1844"/>
      <c r="N456" s="1844"/>
      <c r="O456" s="1844"/>
      <c r="P456" s="1844"/>
      <c r="Q456" s="1050"/>
      <c r="R456" s="1050"/>
      <c r="S456" s="1050"/>
      <c r="T456" s="2059">
        <f>IFERROR(HLOOKUP(B456,pp1p!$1:$3,3,0),0)+IFERROR(HLOOKUP(B456,pp3p1m!$1:$3,3,0),0)</f>
        <v>0</v>
      </c>
    </row>
    <row r="457" spans="1:20" ht="22.15" hidden="1" customHeight="1">
      <c r="A457" s="63"/>
      <c r="B457" s="1599" t="s">
        <v>1580</v>
      </c>
      <c r="C457" s="64" t="str">
        <f t="shared" si="74"/>
        <v xml:space="preserve"> </v>
      </c>
      <c r="D457" s="1547">
        <v>1</v>
      </c>
      <c r="E457" s="1047" t="str">
        <f>VLOOKUP($B457,DG!A:D,DG!$B$2,)</f>
        <v>04.3801</v>
      </c>
      <c r="F457" s="1057" t="str">
        <f>VLOOKUP($B457,DG!A:D,DG!$C$2,)</f>
        <v>Đà cản BTCT 1,5m</v>
      </c>
      <c r="G457" s="1051" t="str">
        <f>VLOOKUP($B457,DG!A:D,DG!$D$2,)</f>
        <v>cái</v>
      </c>
      <c r="H457" s="1846">
        <f t="shared" ref="H457:N459" si="83">H$456*$D457</f>
        <v>0</v>
      </c>
      <c r="I457" s="1846">
        <f t="shared" si="83"/>
        <v>0</v>
      </c>
      <c r="J457" s="1846">
        <f t="shared" si="83"/>
        <v>0</v>
      </c>
      <c r="K457" s="1846">
        <f t="shared" si="83"/>
        <v>0</v>
      </c>
      <c r="L457" s="1846">
        <f t="shared" si="83"/>
        <v>0</v>
      </c>
      <c r="M457" s="1846">
        <f t="shared" si="83"/>
        <v>0</v>
      </c>
      <c r="N457" s="1846">
        <f t="shared" si="83"/>
        <v>0</v>
      </c>
      <c r="O457" s="1846"/>
      <c r="P457" s="1846"/>
      <c r="Q457" s="1055"/>
      <c r="R457" s="1055"/>
      <c r="S457" s="1055"/>
      <c r="T457" s="2059">
        <f t="shared" si="73"/>
        <v>0</v>
      </c>
    </row>
    <row r="458" spans="1:20" ht="22.15" hidden="1" customHeight="1">
      <c r="A458" s="63"/>
      <c r="B458" s="1599" t="s">
        <v>636</v>
      </c>
      <c r="C458" s="64" t="str">
        <f t="shared" si="74"/>
        <v xml:space="preserve"> </v>
      </c>
      <c r="D458" s="1547">
        <v>1</v>
      </c>
      <c r="E458" s="1047" t="str">
        <f>VLOOKUP($B458,DG!A:D,DG!$B$2,)</f>
        <v>04.4001</v>
      </c>
      <c r="F458" s="1057" t="str">
        <f>VLOOKUP($B458,DG!A:D,DG!$C$2,)</f>
        <v>Đà cản BTCT 1,2m</v>
      </c>
      <c r="G458" s="1051" t="str">
        <f>VLOOKUP($B458,DG!A:D,DG!$D$2,)</f>
        <v>cái</v>
      </c>
      <c r="H458" s="1846">
        <f t="shared" si="83"/>
        <v>0</v>
      </c>
      <c r="I458" s="1846">
        <f t="shared" si="83"/>
        <v>0</v>
      </c>
      <c r="J458" s="1846">
        <f t="shared" si="83"/>
        <v>0</v>
      </c>
      <c r="K458" s="1846">
        <f t="shared" si="83"/>
        <v>0</v>
      </c>
      <c r="L458" s="1846">
        <f t="shared" si="83"/>
        <v>0</v>
      </c>
      <c r="M458" s="1846">
        <f t="shared" si="83"/>
        <v>0</v>
      </c>
      <c r="N458" s="1846">
        <f t="shared" si="83"/>
        <v>0</v>
      </c>
      <c r="O458" s="1846"/>
      <c r="P458" s="1846"/>
      <c r="Q458" s="1055"/>
      <c r="R458" s="1055"/>
      <c r="S458" s="1055"/>
      <c r="T458" s="2059">
        <f t="shared" si="73"/>
        <v>0</v>
      </c>
    </row>
    <row r="459" spans="1:20" ht="22.15" hidden="1" customHeight="1">
      <c r="A459" s="63"/>
      <c r="B459" s="1599" t="s">
        <v>566</v>
      </c>
      <c r="C459" s="64" t="str">
        <f t="shared" si="74"/>
        <v xml:space="preserve"> </v>
      </c>
      <c r="D459" s="1547">
        <v>2</v>
      </c>
      <c r="E459" s="1051"/>
      <c r="F459" s="1057" t="str">
        <f>VLOOKUP($B459,DG!A:D,DG!$C$2,)</f>
        <v>Boulon 22x650+ 2 long đền vuông D24-50x50x3/Zn</v>
      </c>
      <c r="G459" s="1051" t="str">
        <f>VLOOKUP($B459,DG!A:D,DG!$D$2,)</f>
        <v>bộ</v>
      </c>
      <c r="H459" s="1846">
        <f t="shared" si="83"/>
        <v>0</v>
      </c>
      <c r="I459" s="1846">
        <f t="shared" si="83"/>
        <v>0</v>
      </c>
      <c r="J459" s="1846">
        <f t="shared" si="83"/>
        <v>0</v>
      </c>
      <c r="K459" s="1846">
        <f t="shared" si="83"/>
        <v>0</v>
      </c>
      <c r="L459" s="1846">
        <f t="shared" si="83"/>
        <v>0</v>
      </c>
      <c r="M459" s="1846">
        <f t="shared" si="83"/>
        <v>0</v>
      </c>
      <c r="N459" s="1846">
        <f t="shared" si="83"/>
        <v>0</v>
      </c>
      <c r="O459" s="1846"/>
      <c r="P459" s="1846"/>
      <c r="Q459" s="1055"/>
      <c r="R459" s="1055"/>
      <c r="S459" s="1055"/>
      <c r="T459" s="2059">
        <f t="shared" si="73"/>
        <v>0</v>
      </c>
    </row>
    <row r="460" spans="1:20" ht="22.15" hidden="1" customHeight="1">
      <c r="A460" s="63"/>
      <c r="B460" s="1599" t="s">
        <v>639</v>
      </c>
      <c r="C460" s="64" t="str">
        <f t="shared" si="74"/>
        <v xml:space="preserve"> </v>
      </c>
      <c r="D460" s="1546">
        <v>10.63</v>
      </c>
      <c r="E460" s="1051" t="str">
        <f>VLOOKUP($B460,DG!A:D,DG!$B$2,)</f>
        <v>03.1013</v>
      </c>
      <c r="F460" s="1052" t="str">
        <f>VLOOKUP($B460,DG!A:D,DG!$C$2,)</f>
        <v>Đào hố móng đất cấp 3 sâu &gt;1m</v>
      </c>
      <c r="G460" s="1051" t="str">
        <f>VLOOKUP($B460,DG!A:D,DG!$D$2,)</f>
        <v>m3</v>
      </c>
      <c r="H460" s="1846"/>
      <c r="I460" s="1846"/>
      <c r="J460" s="1846"/>
      <c r="K460" s="1846"/>
      <c r="L460" s="1846"/>
      <c r="M460" s="1846"/>
      <c r="N460" s="1846"/>
      <c r="O460" s="1846"/>
      <c r="P460" s="1846"/>
      <c r="Q460" s="1058"/>
      <c r="R460" s="1058"/>
      <c r="S460" s="1058"/>
      <c r="T460" s="2059">
        <f t="shared" si="73"/>
        <v>0</v>
      </c>
    </row>
    <row r="461" spans="1:20" ht="22.15" hidden="1" customHeight="1">
      <c r="A461" s="63"/>
      <c r="B461" s="1599" t="s">
        <v>21</v>
      </c>
      <c r="C461" s="64" t="str">
        <f t="shared" si="74"/>
        <v xml:space="preserve"> </v>
      </c>
      <c r="D461" s="1546">
        <v>12.23</v>
      </c>
      <c r="E461" s="1051" t="str">
        <f>VLOOKUP($B461,DG!A:D,DG!$B$2,)</f>
        <v>03.4113</v>
      </c>
      <c r="F461" s="1052" t="str">
        <f>VLOOKUP($B461,DG!A:D,DG!$C$2,)</f>
        <v>Đắp đất hố móng, độ chặt k=0,95</v>
      </c>
      <c r="G461" s="1051" t="str">
        <f>VLOOKUP($B461,DG!A:D,DG!$D$2,)</f>
        <v>m3</v>
      </c>
      <c r="H461" s="1846"/>
      <c r="I461" s="1846"/>
      <c r="J461" s="1846"/>
      <c r="K461" s="1846"/>
      <c r="L461" s="1846"/>
      <c r="M461" s="1846"/>
      <c r="N461" s="1846"/>
      <c r="O461" s="1846"/>
      <c r="P461" s="1846"/>
      <c r="Q461" s="1058"/>
      <c r="R461" s="1058"/>
      <c r="S461" s="1058"/>
      <c r="T461" s="2059">
        <f t="shared" si="73"/>
        <v>0</v>
      </c>
    </row>
    <row r="462" spans="1:20" ht="22.15" hidden="1" customHeight="1">
      <c r="A462" s="63"/>
      <c r="B462" s="1599" t="s">
        <v>637</v>
      </c>
      <c r="C462" s="64" t="str">
        <f t="shared" si="74"/>
        <v xml:space="preserve"> </v>
      </c>
      <c r="D462" s="1546">
        <f>0.255+0.1</f>
        <v>0.35499999999999998</v>
      </c>
      <c r="E462" s="1051" t="str">
        <f>VLOOKUP($B462,DG!A:D,DG!$B$2,)</f>
        <v>02.1123</v>
      </c>
      <c r="F462" s="1052" t="str">
        <f>VLOOKUP($B462,DG!A:D,DG!$C$2,)</f>
        <v>Bốc dỡ đà cản, đế néo</v>
      </c>
      <c r="G462" s="1051" t="str">
        <f>VLOOKUP($B462,DG!A:D,DG!$D$2,)</f>
        <v>tấn</v>
      </c>
      <c r="H462" s="1846"/>
      <c r="I462" s="1846"/>
      <c r="J462" s="1846"/>
      <c r="K462" s="1846"/>
      <c r="L462" s="1846"/>
      <c r="M462" s="1846"/>
      <c r="N462" s="1846"/>
      <c r="O462" s="1846"/>
      <c r="P462" s="1846"/>
      <c r="Q462" s="1055"/>
      <c r="R462" s="1055"/>
      <c r="S462" s="1055"/>
      <c r="T462" s="2059">
        <f t="shared" si="73"/>
        <v>0</v>
      </c>
    </row>
    <row r="463" spans="1:20" ht="22.15" hidden="1" customHeight="1">
      <c r="A463" s="63"/>
      <c r="B463" s="1584" t="s">
        <v>2071</v>
      </c>
      <c r="C463" s="64" t="str">
        <f t="shared" si="74"/>
        <v xml:space="preserve"> </v>
      </c>
      <c r="D463" s="1546">
        <f>D462</f>
        <v>0.35499999999999998</v>
      </c>
      <c r="E463" s="1051" t="str">
        <f>VLOOKUP($B463,DG!A:C,2,)</f>
        <v>02.1451</v>
      </c>
      <c r="F463" s="1052" t="str">
        <f>VLOOKUP($B463,DG!A:C,3,)</f>
        <v>V/c đà cản vào vị trí (cự ly &lt;=100m)</v>
      </c>
      <c r="G463" s="1051" t="str">
        <f>VLOOKUP($B463,DG!A:D,4,0)</f>
        <v>tấn</v>
      </c>
      <c r="H463" s="1846"/>
      <c r="I463" s="1846"/>
      <c r="J463" s="1846"/>
      <c r="K463" s="1846"/>
      <c r="L463" s="1846"/>
      <c r="M463" s="1846"/>
      <c r="N463" s="1846"/>
      <c r="O463" s="1846"/>
      <c r="P463" s="1846"/>
      <c r="Q463" s="1058"/>
      <c r="R463" s="1058"/>
      <c r="S463" s="1058"/>
      <c r="T463" s="2059">
        <f t="shared" si="73"/>
        <v>0</v>
      </c>
    </row>
    <row r="464" spans="1:20" ht="22.15" hidden="1" customHeight="1">
      <c r="A464" s="63"/>
      <c r="B464" s="1584" t="s">
        <v>635</v>
      </c>
      <c r="C464" s="64" t="str">
        <f t="shared" si="74"/>
        <v xml:space="preserve"> </v>
      </c>
      <c r="D464" s="1546">
        <v>0.2</v>
      </c>
      <c r="E464" s="1051" t="str">
        <f>VLOOKUP($B464,DG!A:C,2,)</f>
        <v>02.1482</v>
      </c>
      <c r="F464" s="1052" t="str">
        <f>VLOOKUP($B464,DG!A:C,3,)</f>
        <v>V/c dụng cụ thi công vào vị trí (cự ly &lt;=100m)</v>
      </c>
      <c r="G464" s="1051" t="str">
        <f>VLOOKUP($B464,DG!A:D,4,0)</f>
        <v>tấn</v>
      </c>
      <c r="H464" s="1846"/>
      <c r="I464" s="1846"/>
      <c r="J464" s="1846"/>
      <c r="K464" s="1846"/>
      <c r="L464" s="1846"/>
      <c r="M464" s="1846"/>
      <c r="N464" s="1846"/>
      <c r="O464" s="1846"/>
      <c r="P464" s="1846"/>
      <c r="Q464" s="1058"/>
      <c r="R464" s="1058"/>
      <c r="S464" s="1058"/>
      <c r="T464" s="2059">
        <f t="shared" si="73"/>
        <v>0</v>
      </c>
    </row>
    <row r="465" spans="1:20" ht="22.15" hidden="1" customHeight="1">
      <c r="A465" s="56" t="s">
        <v>484</v>
      </c>
      <c r="B465" s="1583" t="s">
        <v>484</v>
      </c>
      <c r="C465" s="62" t="str">
        <f t="shared" si="74"/>
        <v xml:space="preserve"> </v>
      </c>
      <c r="D465" s="1541"/>
      <c r="E465" s="1048"/>
      <c r="F465" s="1396" t="s">
        <v>2383</v>
      </c>
      <c r="G465" s="1049" t="s">
        <v>2336</v>
      </c>
      <c r="H465" s="1843">
        <f>SUM(I465:O465)</f>
        <v>0</v>
      </c>
      <c r="I465" s="1844"/>
      <c r="J465" s="1844"/>
      <c r="K465" s="1844">
        <f>IFERROR(HLOOKUP(B465,pp3p1m!$1:$3,3,0),0)</f>
        <v>0</v>
      </c>
      <c r="L465" s="1844">
        <f>IFERROR(HLOOKUP(chitiet!B465,pp1p!$1:$3,3,0),0)</f>
        <v>0</v>
      </c>
      <c r="M465" s="1844"/>
      <c r="N465" s="1844"/>
      <c r="O465" s="1844"/>
      <c r="P465" s="1844"/>
      <c r="Q465" s="1050"/>
      <c r="R465" s="1050"/>
      <c r="S465" s="1050"/>
      <c r="T465" s="2059">
        <f>IFERROR(HLOOKUP(B465,pp1p!$1:$3,3,0),0)+IFERROR(HLOOKUP(B465,pp3p1m!$1:$3,3,0),0)</f>
        <v>0</v>
      </c>
    </row>
    <row r="466" spans="1:20" ht="22.15" hidden="1" customHeight="1">
      <c r="A466" s="63"/>
      <c r="B466" s="1599" t="s">
        <v>1580</v>
      </c>
      <c r="C466" s="64" t="str">
        <f t="shared" ref="C466:C529" si="84">IF(OR(P466&lt;&gt;0,H466&lt;&gt;0),"x"," ")</f>
        <v xml:space="preserve"> </v>
      </c>
      <c r="D466" s="1547">
        <v>2</v>
      </c>
      <c r="E466" s="1047" t="str">
        <f>VLOOKUP($B466,DG!A:D,DG!$B$2,)</f>
        <v>04.3801</v>
      </c>
      <c r="F466" s="1057" t="str">
        <f>VLOOKUP($B466,DG!A:D,DG!$C$2,)</f>
        <v>Đà cản BTCT 1,5m</v>
      </c>
      <c r="G466" s="1051" t="str">
        <f>VLOOKUP($B466,DG!A:D,DG!$D$2,)</f>
        <v>cái</v>
      </c>
      <c r="H466" s="1846">
        <f t="shared" ref="H466:N467" si="85">H$465*$D466</f>
        <v>0</v>
      </c>
      <c r="I466" s="1846">
        <f t="shared" si="85"/>
        <v>0</v>
      </c>
      <c r="J466" s="1846">
        <f t="shared" si="85"/>
        <v>0</v>
      </c>
      <c r="K466" s="1846">
        <f t="shared" si="85"/>
        <v>0</v>
      </c>
      <c r="L466" s="1846">
        <f t="shared" si="85"/>
        <v>0</v>
      </c>
      <c r="M466" s="1846">
        <f t="shared" si="85"/>
        <v>0</v>
      </c>
      <c r="N466" s="1846">
        <f t="shared" si="85"/>
        <v>0</v>
      </c>
      <c r="O466" s="1846"/>
      <c r="P466" s="1846"/>
      <c r="Q466" s="1055"/>
      <c r="R466" s="1055"/>
      <c r="S466" s="1055"/>
      <c r="T466" s="2059">
        <f t="shared" ref="T466:T528" si="86">IFERROR(HLOOKUP(B466,BangKeTru,3,0),0)</f>
        <v>0</v>
      </c>
    </row>
    <row r="467" spans="1:20" ht="22.15" hidden="1" customHeight="1">
      <c r="A467" s="63"/>
      <c r="B467" s="1599" t="s">
        <v>566</v>
      </c>
      <c r="C467" s="64" t="str">
        <f t="shared" si="84"/>
        <v xml:space="preserve"> </v>
      </c>
      <c r="D467" s="1547">
        <v>2</v>
      </c>
      <c r="E467" s="1051"/>
      <c r="F467" s="1057" t="str">
        <f>VLOOKUP($B467,DG!A:D,DG!$C$2,)</f>
        <v>Boulon 22x650+ 2 long đền vuông D24-50x50x3/Zn</v>
      </c>
      <c r="G467" s="1051" t="str">
        <f>VLOOKUP($B467,DG!A:D,DG!$D$2,)</f>
        <v>bộ</v>
      </c>
      <c r="H467" s="1846">
        <f t="shared" si="85"/>
        <v>0</v>
      </c>
      <c r="I467" s="1846">
        <f t="shared" si="85"/>
        <v>0</v>
      </c>
      <c r="J467" s="1846">
        <f t="shared" si="85"/>
        <v>0</v>
      </c>
      <c r="K467" s="1846">
        <f t="shared" si="85"/>
        <v>0</v>
      </c>
      <c r="L467" s="1846">
        <f t="shared" si="85"/>
        <v>0</v>
      </c>
      <c r="M467" s="1846">
        <f t="shared" si="85"/>
        <v>0</v>
      </c>
      <c r="N467" s="1846">
        <f t="shared" si="85"/>
        <v>0</v>
      </c>
      <c r="O467" s="1846"/>
      <c r="P467" s="1846"/>
      <c r="Q467" s="1055"/>
      <c r="R467" s="1055"/>
      <c r="S467" s="1055"/>
      <c r="T467" s="2059">
        <f t="shared" si="86"/>
        <v>0</v>
      </c>
    </row>
    <row r="468" spans="1:20" ht="22.15" hidden="1" customHeight="1">
      <c r="A468" s="63"/>
      <c r="B468" s="1599" t="s">
        <v>639</v>
      </c>
      <c r="C468" s="64" t="str">
        <f t="shared" si="84"/>
        <v xml:space="preserve"> </v>
      </c>
      <c r="D468" s="1546">
        <v>13.55</v>
      </c>
      <c r="E468" s="1051" t="str">
        <f>VLOOKUP($B468,DG!A:D,DG!$B$2,)</f>
        <v>03.1013</v>
      </c>
      <c r="F468" s="1052" t="str">
        <f>VLOOKUP($B468,DG!A:D,DG!$C$2,)</f>
        <v>Đào hố móng đất cấp 3 sâu &gt;1m</v>
      </c>
      <c r="G468" s="1051" t="str">
        <f>VLOOKUP($B468,DG!A:D,DG!$D$2,)</f>
        <v>m3</v>
      </c>
      <c r="H468" s="1846"/>
      <c r="I468" s="1846"/>
      <c r="J468" s="1846"/>
      <c r="K468" s="1846"/>
      <c r="L468" s="1846"/>
      <c r="M468" s="1846"/>
      <c r="N468" s="1846"/>
      <c r="O468" s="1846"/>
      <c r="P468" s="1846"/>
      <c r="Q468" s="1058"/>
      <c r="R468" s="1058"/>
      <c r="S468" s="1058"/>
      <c r="T468" s="2059">
        <f t="shared" si="86"/>
        <v>0</v>
      </c>
    </row>
    <row r="469" spans="1:20" ht="22.15" hidden="1" customHeight="1">
      <c r="A469" s="63"/>
      <c r="B469" s="1599" t="s">
        <v>21</v>
      </c>
      <c r="C469" s="64" t="str">
        <f t="shared" si="84"/>
        <v xml:space="preserve"> </v>
      </c>
      <c r="D469" s="1546">
        <v>15.44</v>
      </c>
      <c r="E469" s="1051" t="str">
        <f>VLOOKUP($B469,DG!A:D,DG!$B$2,)</f>
        <v>03.4113</v>
      </c>
      <c r="F469" s="1052" t="str">
        <f>VLOOKUP($B469,DG!A:D,DG!$C$2,)</f>
        <v>Đắp đất hố móng, độ chặt k=0,95</v>
      </c>
      <c r="G469" s="1051" t="str">
        <f>VLOOKUP($B469,DG!A:D,DG!$D$2,)</f>
        <v>m3</v>
      </c>
      <c r="H469" s="1846"/>
      <c r="I469" s="1846"/>
      <c r="J469" s="1846"/>
      <c r="K469" s="1846"/>
      <c r="L469" s="1846"/>
      <c r="M469" s="1846"/>
      <c r="N469" s="1846"/>
      <c r="O469" s="1846"/>
      <c r="P469" s="1846"/>
      <c r="Q469" s="1058"/>
      <c r="R469" s="1058"/>
      <c r="S469" s="1058"/>
      <c r="T469" s="2059">
        <f t="shared" si="86"/>
        <v>0</v>
      </c>
    </row>
    <row r="470" spans="1:20" ht="22.15" hidden="1" customHeight="1">
      <c r="A470" s="63"/>
      <c r="B470" s="1599" t="s">
        <v>637</v>
      </c>
      <c r="C470" s="64" t="str">
        <f t="shared" si="84"/>
        <v xml:space="preserve"> </v>
      </c>
      <c r="D470" s="1546">
        <f>0.255*2</f>
        <v>0.51</v>
      </c>
      <c r="E470" s="1051" t="str">
        <f>VLOOKUP($B470,DG!A:D,DG!$B$2,)</f>
        <v>02.1123</v>
      </c>
      <c r="F470" s="1052" t="str">
        <f>VLOOKUP($B470,DG!A:D,DG!$C$2,)</f>
        <v>Bốc dỡ đà cản, đế néo</v>
      </c>
      <c r="G470" s="1051" t="str">
        <f>VLOOKUP($B470,DG!A:D,DG!$D$2,)</f>
        <v>tấn</v>
      </c>
      <c r="H470" s="1846"/>
      <c r="I470" s="1846"/>
      <c r="J470" s="1846"/>
      <c r="K470" s="1846"/>
      <c r="L470" s="1846"/>
      <c r="M470" s="1846"/>
      <c r="N470" s="1846"/>
      <c r="O470" s="1846"/>
      <c r="P470" s="1846"/>
      <c r="Q470" s="1055"/>
      <c r="R470" s="1055"/>
      <c r="S470" s="1055"/>
      <c r="T470" s="2059">
        <f t="shared" si="86"/>
        <v>0</v>
      </c>
    </row>
    <row r="471" spans="1:20" ht="22.15" hidden="1" customHeight="1">
      <c r="A471" s="63"/>
      <c r="B471" s="1584" t="s">
        <v>2071</v>
      </c>
      <c r="C471" s="64" t="str">
        <f t="shared" si="84"/>
        <v xml:space="preserve"> </v>
      </c>
      <c r="D471" s="1546">
        <f>D470</f>
        <v>0.51</v>
      </c>
      <c r="E471" s="1051" t="str">
        <f>VLOOKUP($B471,DG!A:C,2,)</f>
        <v>02.1451</v>
      </c>
      <c r="F471" s="1052" t="str">
        <f>VLOOKUP($B471,DG!A:C,3,)</f>
        <v>V/c đà cản vào vị trí (cự ly &lt;=100m)</v>
      </c>
      <c r="G471" s="1051" t="str">
        <f>VLOOKUP($B471,DG!A:D,4,0)</f>
        <v>tấn</v>
      </c>
      <c r="H471" s="1846"/>
      <c r="I471" s="1846"/>
      <c r="J471" s="1846"/>
      <c r="K471" s="1846"/>
      <c r="L471" s="1846"/>
      <c r="M471" s="1846"/>
      <c r="N471" s="1846"/>
      <c r="O471" s="1846"/>
      <c r="P471" s="1846"/>
      <c r="Q471" s="1058"/>
      <c r="R471" s="1058"/>
      <c r="S471" s="1058"/>
      <c r="T471" s="2059">
        <f t="shared" si="86"/>
        <v>0</v>
      </c>
    </row>
    <row r="472" spans="1:20" ht="22.15" hidden="1" customHeight="1">
      <c r="A472" s="63"/>
      <c r="B472" s="1584" t="s">
        <v>635</v>
      </c>
      <c r="C472" s="64" t="str">
        <f t="shared" si="84"/>
        <v xml:space="preserve"> </v>
      </c>
      <c r="D472" s="1546">
        <v>0.2</v>
      </c>
      <c r="E472" s="1051" t="str">
        <f>VLOOKUP($B472,DG!A:C,2,)</f>
        <v>02.1482</v>
      </c>
      <c r="F472" s="1052" t="str">
        <f>VLOOKUP($B472,DG!A:C,3,)</f>
        <v>V/c dụng cụ thi công vào vị trí (cự ly &lt;=100m)</v>
      </c>
      <c r="G472" s="1051" t="str">
        <f>VLOOKUP($B472,DG!A:D,4,0)</f>
        <v>tấn</v>
      </c>
      <c r="H472" s="1846"/>
      <c r="I472" s="1846"/>
      <c r="J472" s="1846"/>
      <c r="K472" s="1846"/>
      <c r="L472" s="1846"/>
      <c r="M472" s="1846"/>
      <c r="N472" s="1846"/>
      <c r="O472" s="1846"/>
      <c r="P472" s="1846"/>
      <c r="Q472" s="1058"/>
      <c r="R472" s="1058"/>
      <c r="S472" s="1058"/>
      <c r="T472" s="2059">
        <f t="shared" si="86"/>
        <v>0</v>
      </c>
    </row>
    <row r="473" spans="1:20" ht="22.15" hidden="1" customHeight="1">
      <c r="A473" s="56" t="s">
        <v>285</v>
      </c>
      <c r="B473" s="1583" t="s">
        <v>285</v>
      </c>
      <c r="C473" s="62" t="str">
        <f t="shared" si="84"/>
        <v xml:space="preserve"> </v>
      </c>
      <c r="D473" s="1541"/>
      <c r="E473" s="1048"/>
      <c r="F473" s="1396" t="s">
        <v>2384</v>
      </c>
      <c r="G473" s="1049" t="s">
        <v>2336</v>
      </c>
      <c r="H473" s="1843">
        <f>SUM(I473:O473)</f>
        <v>0</v>
      </c>
      <c r="I473" s="1844"/>
      <c r="J473" s="1844"/>
      <c r="K473" s="1844">
        <f>IFERROR(HLOOKUP(B473,pp3p1m!$1:$3,3,0),0)</f>
        <v>0</v>
      </c>
      <c r="L473" s="1844">
        <f>IFERROR(HLOOKUP(chitiet!B473,pp1p!$1:$3,3,0),0)</f>
        <v>0</v>
      </c>
      <c r="M473" s="1844"/>
      <c r="N473" s="1844"/>
      <c r="O473" s="1844"/>
      <c r="P473" s="1844"/>
      <c r="Q473" s="1050"/>
      <c r="R473" s="1050"/>
      <c r="S473" s="1050"/>
      <c r="T473" s="2059">
        <f>IFERROR(HLOOKUP(B473,pp1p!$1:$3,3,0),0)+IFERROR(HLOOKUP(B473,pp3p1m!$1:$3,3,0),0)</f>
        <v>0</v>
      </c>
    </row>
    <row r="474" spans="1:20" ht="22.15" hidden="1" customHeight="1">
      <c r="A474" s="59"/>
      <c r="B474" s="1586" t="s">
        <v>224</v>
      </c>
      <c r="C474" s="64" t="str">
        <f t="shared" si="84"/>
        <v xml:space="preserve"> </v>
      </c>
      <c r="D474" s="1544">
        <v>28</v>
      </c>
      <c r="E474" s="1047" t="str">
        <f>VLOOKUP($B474,DG!A:D,DG!$B$2,)</f>
        <v>04.5142</v>
      </c>
      <c r="F474" s="1059" t="str">
        <f>VLOOKUP($B474,DG!A:D,DG!$C$2,)</f>
        <v>Cừ tràm 5m</v>
      </c>
      <c r="G474" s="1047" t="str">
        <f>VLOOKUP($B474,DG!A:D,DG!$D$2,)</f>
        <v>cây</v>
      </c>
      <c r="H474" s="1845">
        <f t="shared" ref="H474:N477" si="87">H$473*$D474</f>
        <v>0</v>
      </c>
      <c r="I474" s="1845">
        <f t="shared" si="87"/>
        <v>0</v>
      </c>
      <c r="J474" s="1845">
        <f t="shared" si="87"/>
        <v>0</v>
      </c>
      <c r="K474" s="1845">
        <f t="shared" si="87"/>
        <v>0</v>
      </c>
      <c r="L474" s="1845">
        <f t="shared" si="87"/>
        <v>0</v>
      </c>
      <c r="M474" s="1845">
        <f t="shared" si="87"/>
        <v>0</v>
      </c>
      <c r="N474" s="1845">
        <f t="shared" si="87"/>
        <v>0</v>
      </c>
      <c r="O474" s="1845"/>
      <c r="P474" s="1845"/>
      <c r="Q474" s="1056"/>
      <c r="R474" s="1056"/>
      <c r="S474" s="1056"/>
      <c r="T474" s="2059">
        <f t="shared" si="86"/>
        <v>0</v>
      </c>
    </row>
    <row r="475" spans="1:20" ht="22.15" hidden="1" customHeight="1">
      <c r="A475" s="59"/>
      <c r="B475" s="1586" t="s">
        <v>1580</v>
      </c>
      <c r="C475" s="64" t="str">
        <f t="shared" si="84"/>
        <v xml:space="preserve"> </v>
      </c>
      <c r="D475" s="1544">
        <v>2</v>
      </c>
      <c r="E475" s="1047" t="str">
        <f>VLOOKUP($B475,DG!A:D,DG!$B$2,)</f>
        <v>04.3801</v>
      </c>
      <c r="F475" s="1059" t="str">
        <f>VLOOKUP($B475,DG!A:D,DG!$C$2,)</f>
        <v>Đà cản BTCT 1,5m</v>
      </c>
      <c r="G475" s="1047" t="str">
        <f>VLOOKUP($B475,DG!A:D,DG!$D$2,)</f>
        <v>cái</v>
      </c>
      <c r="H475" s="1845">
        <f t="shared" si="87"/>
        <v>0</v>
      </c>
      <c r="I475" s="1845">
        <f t="shared" si="87"/>
        <v>0</v>
      </c>
      <c r="J475" s="1845">
        <f t="shared" si="87"/>
        <v>0</v>
      </c>
      <c r="K475" s="1845">
        <f t="shared" si="87"/>
        <v>0</v>
      </c>
      <c r="L475" s="1845">
        <f t="shared" si="87"/>
        <v>0</v>
      </c>
      <c r="M475" s="1845">
        <f t="shared" si="87"/>
        <v>0</v>
      </c>
      <c r="N475" s="1845">
        <f t="shared" si="87"/>
        <v>0</v>
      </c>
      <c r="O475" s="1845"/>
      <c r="P475" s="1845"/>
      <c r="Q475" s="1056"/>
      <c r="R475" s="1056"/>
      <c r="S475" s="1056"/>
      <c r="T475" s="2059">
        <f t="shared" si="86"/>
        <v>0</v>
      </c>
    </row>
    <row r="476" spans="1:20" ht="22.15" hidden="1" customHeight="1">
      <c r="A476" s="59"/>
      <c r="B476" s="1586" t="s">
        <v>724</v>
      </c>
      <c r="C476" s="64" t="str">
        <f t="shared" si="84"/>
        <v xml:space="preserve"> </v>
      </c>
      <c r="D476" s="1544">
        <v>1</v>
      </c>
      <c r="E476" s="1047"/>
      <c r="F476" s="1059" t="str">
        <f>VLOOKUP($B476,DG!A:D,DG!$C$2,)</f>
        <v>Boulon 22x850+ 2 long đền vuông D24-50x50x3/Zn</v>
      </c>
      <c r="G476" s="1047" t="str">
        <f>VLOOKUP($B476,DG!A:D,DG!$D$2,)</f>
        <v>bộ</v>
      </c>
      <c r="H476" s="1845">
        <f t="shared" si="87"/>
        <v>0</v>
      </c>
      <c r="I476" s="1845">
        <f t="shared" si="87"/>
        <v>0</v>
      </c>
      <c r="J476" s="1845">
        <f t="shared" si="87"/>
        <v>0</v>
      </c>
      <c r="K476" s="1845">
        <f t="shared" si="87"/>
        <v>0</v>
      </c>
      <c r="L476" s="1845">
        <f t="shared" si="87"/>
        <v>0</v>
      </c>
      <c r="M476" s="1845">
        <f t="shared" si="87"/>
        <v>0</v>
      </c>
      <c r="N476" s="1845">
        <f t="shared" si="87"/>
        <v>0</v>
      </c>
      <c r="O476" s="1845"/>
      <c r="P476" s="1845"/>
      <c r="Q476" s="1056"/>
      <c r="R476" s="1056"/>
      <c r="S476" s="1056"/>
      <c r="T476" s="2059">
        <f t="shared" si="86"/>
        <v>0</v>
      </c>
    </row>
    <row r="477" spans="1:20" ht="22.15" hidden="1" customHeight="1">
      <c r="A477" s="59"/>
      <c r="B477" s="1586" t="s">
        <v>566</v>
      </c>
      <c r="C477" s="64" t="str">
        <f t="shared" si="84"/>
        <v xml:space="preserve"> </v>
      </c>
      <c r="D477" s="1544">
        <v>2</v>
      </c>
      <c r="E477" s="1047"/>
      <c r="F477" s="1059" t="str">
        <f>VLOOKUP($B477,DG!A:D,DG!$C$2,)</f>
        <v>Boulon 22x650+ 2 long đền vuông D24-50x50x3/Zn</v>
      </c>
      <c r="G477" s="1047" t="str">
        <f>VLOOKUP($B477,DG!A:D,DG!$D$2,)</f>
        <v>bộ</v>
      </c>
      <c r="H477" s="1845">
        <f t="shared" si="87"/>
        <v>0</v>
      </c>
      <c r="I477" s="1845">
        <f t="shared" si="87"/>
        <v>0</v>
      </c>
      <c r="J477" s="1845">
        <f t="shared" si="87"/>
        <v>0</v>
      </c>
      <c r="K477" s="1845">
        <f t="shared" si="87"/>
        <v>0</v>
      </c>
      <c r="L477" s="1845">
        <f t="shared" si="87"/>
        <v>0</v>
      </c>
      <c r="M477" s="1845">
        <f t="shared" si="87"/>
        <v>0</v>
      </c>
      <c r="N477" s="1845">
        <f t="shared" si="87"/>
        <v>0</v>
      </c>
      <c r="O477" s="1845"/>
      <c r="P477" s="1845"/>
      <c r="Q477" s="1056"/>
      <c r="R477" s="1056"/>
      <c r="S477" s="1056"/>
      <c r="T477" s="2059">
        <f t="shared" si="86"/>
        <v>0</v>
      </c>
    </row>
    <row r="478" spans="1:20" ht="22.15" hidden="1" customHeight="1">
      <c r="A478" s="59"/>
      <c r="B478" s="1586" t="s">
        <v>639</v>
      </c>
      <c r="C478" s="64" t="str">
        <f t="shared" si="84"/>
        <v xml:space="preserve"> </v>
      </c>
      <c r="D478" s="1546">
        <v>4.03</v>
      </c>
      <c r="E478" s="1047" t="str">
        <f>VLOOKUP($B478,DG!A:D,DG!$B$2,)</f>
        <v>03.1013</v>
      </c>
      <c r="F478" s="1052" t="str">
        <f>VLOOKUP($B478,DG!A:D,DG!$C$2,)</f>
        <v>Đào hố móng đất cấp 3 sâu &gt;1m</v>
      </c>
      <c r="G478" s="1047" t="str">
        <f>VLOOKUP($B478,DG!A:D,DG!$D$2,)</f>
        <v>m3</v>
      </c>
      <c r="H478" s="1845"/>
      <c r="I478" s="1845"/>
      <c r="J478" s="1845"/>
      <c r="K478" s="1845"/>
      <c r="L478" s="1845"/>
      <c r="M478" s="1845"/>
      <c r="N478" s="1845"/>
      <c r="O478" s="1845"/>
      <c r="P478" s="1845"/>
      <c r="Q478" s="1061"/>
      <c r="R478" s="1061"/>
      <c r="S478" s="1061"/>
      <c r="T478" s="2059">
        <f t="shared" si="86"/>
        <v>0</v>
      </c>
    </row>
    <row r="479" spans="1:20" ht="22.15" hidden="1" customHeight="1">
      <c r="A479" s="59"/>
      <c r="B479" s="1586" t="s">
        <v>21</v>
      </c>
      <c r="C479" s="64" t="str">
        <f t="shared" si="84"/>
        <v xml:space="preserve"> </v>
      </c>
      <c r="D479" s="1546">
        <v>4.3140000000000001</v>
      </c>
      <c r="E479" s="1047" t="str">
        <f>VLOOKUP($B479,DG!A:D,DG!$B$2,)</f>
        <v>03.4113</v>
      </c>
      <c r="F479" s="1052" t="str">
        <f>VLOOKUP($B479,DG!A:D,DG!$C$2,)</f>
        <v>Đắp đất hố móng, độ chặt k=0,95</v>
      </c>
      <c r="G479" s="1047" t="str">
        <f>VLOOKUP($B479,DG!A:D,DG!$D$2,)</f>
        <v>m3</v>
      </c>
      <c r="H479" s="1845"/>
      <c r="I479" s="1845"/>
      <c r="J479" s="1845"/>
      <c r="K479" s="1845"/>
      <c r="L479" s="1845"/>
      <c r="M479" s="1845"/>
      <c r="N479" s="1845"/>
      <c r="O479" s="1845"/>
      <c r="P479" s="1845"/>
      <c r="Q479" s="1061"/>
      <c r="R479" s="1061"/>
      <c r="S479" s="1061"/>
      <c r="T479" s="2059">
        <f t="shared" si="86"/>
        <v>0</v>
      </c>
    </row>
    <row r="480" spans="1:20" ht="22.15" hidden="1" customHeight="1">
      <c r="A480" s="59"/>
      <c r="B480" s="1586" t="s">
        <v>637</v>
      </c>
      <c r="C480" s="64" t="str">
        <f t="shared" si="84"/>
        <v xml:space="preserve"> </v>
      </c>
      <c r="D480" s="1543">
        <f>0.255*2</f>
        <v>0.51</v>
      </c>
      <c r="E480" s="1047" t="str">
        <f>VLOOKUP($B480,DG!A:D,DG!$B$2,)</f>
        <v>02.1123</v>
      </c>
      <c r="F480" s="1052" t="str">
        <f>VLOOKUP($B480,DG!A:D,DG!$C$2,)</f>
        <v>Bốc dỡ đà cản, đế néo</v>
      </c>
      <c r="G480" s="1047" t="str">
        <f>VLOOKUP($B480,DG!A:D,DG!$D$2,)</f>
        <v>tấn</v>
      </c>
      <c r="H480" s="1845"/>
      <c r="I480" s="1845"/>
      <c r="J480" s="1845"/>
      <c r="K480" s="1845"/>
      <c r="L480" s="1845"/>
      <c r="M480" s="1845"/>
      <c r="N480" s="1845"/>
      <c r="O480" s="1845"/>
      <c r="P480" s="1845"/>
      <c r="Q480" s="1061"/>
      <c r="R480" s="1061"/>
      <c r="S480" s="1061"/>
      <c r="T480" s="2059">
        <f t="shared" si="86"/>
        <v>0</v>
      </c>
    </row>
    <row r="481" spans="1:20" ht="22.15" hidden="1" customHeight="1">
      <c r="A481" s="59"/>
      <c r="B481" s="1586" t="s">
        <v>1582</v>
      </c>
      <c r="C481" s="64" t="str">
        <f t="shared" si="84"/>
        <v xml:space="preserve"> </v>
      </c>
      <c r="D481" s="1544">
        <f>D474</f>
        <v>28</v>
      </c>
      <c r="E481" s="1047" t="str">
        <f>VLOOKUP($B481,DG!A:D,DG!$B$2,)</f>
        <v>02.1119</v>
      </c>
      <c r="F481" s="1052" t="str">
        <f>VLOOKUP($B481,DG!A:D,DG!$C$2,)</f>
        <v>Bốc dỡ cừ tràm 5m</v>
      </c>
      <c r="G481" s="1047" t="str">
        <f>VLOOKUP($B481,DG!A:D,DG!$D$2,)</f>
        <v>cây</v>
      </c>
      <c r="H481" s="1845"/>
      <c r="I481" s="1845"/>
      <c r="J481" s="1845"/>
      <c r="K481" s="1845"/>
      <c r="L481" s="1845"/>
      <c r="M481" s="1845"/>
      <c r="N481" s="1845"/>
      <c r="O481" s="1845"/>
      <c r="P481" s="1845"/>
      <c r="Q481" s="1061"/>
      <c r="R481" s="1061"/>
      <c r="S481" s="1061"/>
      <c r="T481" s="2059">
        <f t="shared" si="86"/>
        <v>0</v>
      </c>
    </row>
    <row r="482" spans="1:20" ht="22.15" hidden="1" customHeight="1">
      <c r="A482" s="59"/>
      <c r="B482" s="1600" t="s">
        <v>634</v>
      </c>
      <c r="C482" s="64" t="str">
        <f t="shared" si="84"/>
        <v xml:space="preserve"> </v>
      </c>
      <c r="D482" s="1544">
        <f>D474</f>
        <v>28</v>
      </c>
      <c r="E482" s="1047" t="str">
        <f>VLOOKUP($B482,DG!A:C,2,)</f>
        <v>02.1411</v>
      </c>
      <c r="F482" s="1052" t="str">
        <f>VLOOKUP($B482,DG!A:C,3,)</f>
        <v>V/c cừ tràm 5m ( cự ly &lt;=100m)</v>
      </c>
      <c r="G482" s="1047" t="str">
        <f>VLOOKUP($B482,DG!A:D,4,0)</f>
        <v>cây</v>
      </c>
      <c r="H482" s="1845"/>
      <c r="I482" s="1845"/>
      <c r="J482" s="1845"/>
      <c r="K482" s="1845"/>
      <c r="L482" s="1845"/>
      <c r="M482" s="1845"/>
      <c r="N482" s="1845"/>
      <c r="O482" s="1845"/>
      <c r="P482" s="1845"/>
      <c r="Q482" s="1061"/>
      <c r="R482" s="1061"/>
      <c r="S482" s="1061"/>
      <c r="T482" s="2059">
        <f t="shared" si="86"/>
        <v>0</v>
      </c>
    </row>
    <row r="483" spans="1:20" ht="22.15" hidden="1" customHeight="1">
      <c r="A483" s="59"/>
      <c r="B483" s="1598" t="s">
        <v>2071</v>
      </c>
      <c r="C483" s="64" t="str">
        <f t="shared" si="84"/>
        <v xml:space="preserve"> </v>
      </c>
      <c r="D483" s="1543">
        <f>D480</f>
        <v>0.51</v>
      </c>
      <c r="E483" s="1047" t="str">
        <f>VLOOKUP($B483,DG!A:C,2,)</f>
        <v>02.1451</v>
      </c>
      <c r="F483" s="1052" t="str">
        <f>VLOOKUP($B483,DG!A:C,3,)</f>
        <v>V/c đà cản vào vị trí (cự ly &lt;=100m)</v>
      </c>
      <c r="G483" s="1047" t="str">
        <f>VLOOKUP($B483,DG!A:D,4,0)</f>
        <v>tấn</v>
      </c>
      <c r="H483" s="1845"/>
      <c r="I483" s="1845"/>
      <c r="J483" s="1845"/>
      <c r="K483" s="1845"/>
      <c r="L483" s="1845"/>
      <c r="M483" s="1845"/>
      <c r="N483" s="1845"/>
      <c r="O483" s="1845"/>
      <c r="P483" s="1845"/>
      <c r="Q483" s="1061"/>
      <c r="R483" s="1061"/>
      <c r="S483" s="1061"/>
      <c r="T483" s="2059">
        <f t="shared" si="86"/>
        <v>0</v>
      </c>
    </row>
    <row r="484" spans="1:20" ht="22.15" hidden="1" customHeight="1">
      <c r="A484" s="59"/>
      <c r="B484" s="1598" t="s">
        <v>635</v>
      </c>
      <c r="C484" s="64" t="str">
        <f t="shared" si="84"/>
        <v xml:space="preserve"> </v>
      </c>
      <c r="D484" s="1543">
        <v>0.2</v>
      </c>
      <c r="E484" s="1047" t="str">
        <f>VLOOKUP($B484,DG!A:C,2,)</f>
        <v>02.1482</v>
      </c>
      <c r="F484" s="1052" t="str">
        <f>VLOOKUP($B484,DG!A:C,3,)</f>
        <v>V/c dụng cụ thi công vào vị trí (cự ly &lt;=100m)</v>
      </c>
      <c r="G484" s="1047" t="str">
        <f>VLOOKUP($B484,DG!A:D,4,0)</f>
        <v>tấn</v>
      </c>
      <c r="H484" s="1845"/>
      <c r="I484" s="1845"/>
      <c r="J484" s="1845"/>
      <c r="K484" s="1845"/>
      <c r="L484" s="1845"/>
      <c r="M484" s="1845"/>
      <c r="N484" s="1845"/>
      <c r="O484" s="1845"/>
      <c r="P484" s="1845"/>
      <c r="Q484" s="1061"/>
      <c r="R484" s="1061"/>
      <c r="S484" s="1061"/>
      <c r="T484" s="2059">
        <f t="shared" si="86"/>
        <v>0</v>
      </c>
    </row>
    <row r="485" spans="1:20" ht="22.15" hidden="1" customHeight="1">
      <c r="A485" s="56" t="s">
        <v>650</v>
      </c>
      <c r="B485" s="1583" t="s">
        <v>650</v>
      </c>
      <c r="C485" s="62" t="str">
        <f t="shared" si="84"/>
        <v xml:space="preserve"> </v>
      </c>
      <c r="D485" s="1541"/>
      <c r="E485" s="1048"/>
      <c r="F485" s="1396" t="s">
        <v>2385</v>
      </c>
      <c r="G485" s="1049" t="s">
        <v>2336</v>
      </c>
      <c r="H485" s="1843">
        <f>SUM(I485:O485)</f>
        <v>0</v>
      </c>
      <c r="I485" s="1844"/>
      <c r="J485" s="1844"/>
      <c r="K485" s="1844">
        <f>IFERROR(HLOOKUP(B485,pp3p1m!$1:$3,3,0),0)</f>
        <v>0</v>
      </c>
      <c r="L485" s="1844">
        <f>IFERROR(HLOOKUP(chitiet!B485,pp1p!$1:$3,3,0),0)</f>
        <v>0</v>
      </c>
      <c r="M485" s="1844"/>
      <c r="N485" s="1844"/>
      <c r="O485" s="1844"/>
      <c r="P485" s="1844"/>
      <c r="Q485" s="1050"/>
      <c r="R485" s="1050"/>
      <c r="S485" s="1050"/>
      <c r="T485" s="2059">
        <f>IFERROR(HLOOKUP(B485,pp1p!$1:$3,3,0),0)+IFERROR(HLOOKUP(B485,pp3p1m!$1:$3,3,0),0)</f>
        <v>0</v>
      </c>
    </row>
    <row r="486" spans="1:20" ht="22.15" hidden="1" customHeight="1">
      <c r="A486" s="63"/>
      <c r="B486" s="1599" t="s">
        <v>636</v>
      </c>
      <c r="C486" s="64" t="str">
        <f t="shared" si="84"/>
        <v xml:space="preserve"> </v>
      </c>
      <c r="D486" s="1547">
        <v>2</v>
      </c>
      <c r="E486" s="1047" t="str">
        <f>VLOOKUP($B486,DG!A:D,DG!$B$2,)</f>
        <v>04.4001</v>
      </c>
      <c r="F486" s="1057" t="str">
        <f>VLOOKUP($B486,DG!A:D,DG!$C$2,)</f>
        <v>Đà cản BTCT 1,2m</v>
      </c>
      <c r="G486" s="1051" t="str">
        <f>VLOOKUP($B486,DG!A:D,DG!$D$2,)</f>
        <v>cái</v>
      </c>
      <c r="H486" s="1846">
        <f t="shared" ref="H486:N487" si="88">H$485*$D486</f>
        <v>0</v>
      </c>
      <c r="I486" s="1846">
        <f t="shared" si="88"/>
        <v>0</v>
      </c>
      <c r="J486" s="1846">
        <f t="shared" si="88"/>
        <v>0</v>
      </c>
      <c r="K486" s="1846">
        <f t="shared" si="88"/>
        <v>0</v>
      </c>
      <c r="L486" s="1846">
        <f t="shared" si="88"/>
        <v>0</v>
      </c>
      <c r="M486" s="1846">
        <f t="shared" si="88"/>
        <v>0</v>
      </c>
      <c r="N486" s="1846">
        <f t="shared" si="88"/>
        <v>0</v>
      </c>
      <c r="O486" s="1846"/>
      <c r="P486" s="1846"/>
      <c r="Q486" s="1055"/>
      <c r="R486" s="1055"/>
      <c r="S486" s="1055"/>
      <c r="T486" s="2059">
        <f t="shared" si="86"/>
        <v>0</v>
      </c>
    </row>
    <row r="487" spans="1:20" ht="22.15" hidden="1" customHeight="1">
      <c r="A487" s="63"/>
      <c r="B487" s="1599" t="s">
        <v>1834</v>
      </c>
      <c r="C487" s="64" t="str">
        <f t="shared" si="84"/>
        <v xml:space="preserve"> </v>
      </c>
      <c r="D487" s="1547">
        <v>1</v>
      </c>
      <c r="E487" s="1051"/>
      <c r="F487" s="1057" t="str">
        <f>VLOOKUP($B487,DG!A:D,DG!$C$2,)</f>
        <v>Boulon 22x700+ 2 long đền vuông D24-50x50x3/Zn</v>
      </c>
      <c r="G487" s="1051" t="str">
        <f>VLOOKUP($B487,DG!A:D,DG!$D$2,)</f>
        <v>bộ</v>
      </c>
      <c r="H487" s="1846">
        <f t="shared" si="88"/>
        <v>0</v>
      </c>
      <c r="I487" s="1846">
        <f t="shared" si="88"/>
        <v>0</v>
      </c>
      <c r="J487" s="1846">
        <f t="shared" si="88"/>
        <v>0</v>
      </c>
      <c r="K487" s="1846">
        <f t="shared" si="88"/>
        <v>0</v>
      </c>
      <c r="L487" s="1846">
        <f t="shared" si="88"/>
        <v>0</v>
      </c>
      <c r="M487" s="1846">
        <f t="shared" si="88"/>
        <v>0</v>
      </c>
      <c r="N487" s="1846">
        <f t="shared" si="88"/>
        <v>0</v>
      </c>
      <c r="O487" s="1846"/>
      <c r="P487" s="1846"/>
      <c r="Q487" s="1055"/>
      <c r="R487" s="1055"/>
      <c r="S487" s="1055"/>
      <c r="T487" s="2059">
        <f t="shared" si="86"/>
        <v>0</v>
      </c>
    </row>
    <row r="488" spans="1:20" ht="22.15" hidden="1" customHeight="1">
      <c r="A488" s="59"/>
      <c r="B488" s="1586" t="s">
        <v>1818</v>
      </c>
      <c r="C488" s="64" t="str">
        <f t="shared" si="84"/>
        <v xml:space="preserve"> </v>
      </c>
      <c r="D488" s="1542">
        <v>0.42099999999999999</v>
      </c>
      <c r="E488" s="1047">
        <f>VLOOKUP($B488,DG!A:D,DG!$B$2,)</f>
        <v>0</v>
      </c>
      <c r="F488" s="1052" t="str">
        <f>VLOOKUP($B488,DG!A:D,DG!$C$2,)</f>
        <v>Đá 2x4</v>
      </c>
      <c r="G488" s="1047" t="str">
        <f>VLOOKUP($B488,DG!A:D,DG!$D$2,)</f>
        <v>m3</v>
      </c>
      <c r="H488" s="1845">
        <f t="shared" ref="H488:N488" si="89">H$18*$D488</f>
        <v>0</v>
      </c>
      <c r="I488" s="1845">
        <f t="shared" si="89"/>
        <v>0</v>
      </c>
      <c r="J488" s="1845">
        <f t="shared" si="89"/>
        <v>0</v>
      </c>
      <c r="K488" s="1845">
        <f t="shared" si="89"/>
        <v>0</v>
      </c>
      <c r="L488" s="1845">
        <f t="shared" si="89"/>
        <v>0</v>
      </c>
      <c r="M488" s="1845">
        <f t="shared" si="89"/>
        <v>0</v>
      </c>
      <c r="N488" s="1845">
        <f t="shared" si="89"/>
        <v>0</v>
      </c>
      <c r="O488" s="1845"/>
      <c r="P488" s="1845"/>
      <c r="Q488" s="1056"/>
      <c r="R488" s="1056"/>
      <c r="S488" s="1056"/>
      <c r="T488" s="2059">
        <f t="shared" si="86"/>
        <v>0</v>
      </c>
    </row>
    <row r="489" spans="1:20" ht="22.15" hidden="1" customHeight="1">
      <c r="A489" s="63"/>
      <c r="B489" s="1599" t="s">
        <v>639</v>
      </c>
      <c r="C489" s="64" t="str">
        <f t="shared" si="84"/>
        <v xml:space="preserve"> </v>
      </c>
      <c r="D489" s="1546">
        <v>3.25</v>
      </c>
      <c r="E489" s="1051" t="str">
        <f>VLOOKUP($B489,DG!A:D,DG!$B$2,)</f>
        <v>03.1013</v>
      </c>
      <c r="F489" s="1052" t="str">
        <f>VLOOKUP($B489,DG!A:D,DG!$C$2,)</f>
        <v>Đào hố móng đất cấp 3 sâu &gt;1m</v>
      </c>
      <c r="G489" s="1051" t="str">
        <f>VLOOKUP($B489,DG!A:D,DG!$D$2,)</f>
        <v>m3</v>
      </c>
      <c r="H489" s="1846"/>
      <c r="I489" s="1846"/>
      <c r="J489" s="1846"/>
      <c r="K489" s="1846"/>
      <c r="L489" s="1846"/>
      <c r="M489" s="1846"/>
      <c r="N489" s="1846"/>
      <c r="O489" s="1846"/>
      <c r="P489" s="1846"/>
      <c r="Q489" s="1058"/>
      <c r="R489" s="1058"/>
      <c r="S489" s="1058"/>
      <c r="T489" s="2059">
        <f t="shared" si="86"/>
        <v>0</v>
      </c>
    </row>
    <row r="490" spans="1:20" ht="22.15" hidden="1" customHeight="1">
      <c r="A490" s="63"/>
      <c r="B490" s="1599" t="s">
        <v>21</v>
      </c>
      <c r="C490" s="64" t="str">
        <f t="shared" si="84"/>
        <v xml:space="preserve"> </v>
      </c>
      <c r="D490" s="1546">
        <v>3.44</v>
      </c>
      <c r="E490" s="1051" t="str">
        <f>VLOOKUP($B490,DG!A:D,DG!$B$2,)</f>
        <v>03.4113</v>
      </c>
      <c r="F490" s="1052" t="str">
        <f>VLOOKUP($B490,DG!A:D,DG!$C$2,)</f>
        <v>Đắp đất hố móng, độ chặt k=0,95</v>
      </c>
      <c r="G490" s="1051" t="str">
        <f>VLOOKUP($B490,DG!A:D,DG!$D$2,)</f>
        <v>m3</v>
      </c>
      <c r="H490" s="1846"/>
      <c r="I490" s="1846"/>
      <c r="J490" s="1846"/>
      <c r="K490" s="1846"/>
      <c r="L490" s="1846"/>
      <c r="M490" s="1846"/>
      <c r="N490" s="1846"/>
      <c r="O490" s="1846"/>
      <c r="P490" s="1846"/>
      <c r="Q490" s="1058"/>
      <c r="R490" s="1058"/>
      <c r="S490" s="1058"/>
      <c r="T490" s="2059">
        <f t="shared" si="86"/>
        <v>0</v>
      </c>
    </row>
    <row r="491" spans="1:20" ht="22.15" hidden="1" customHeight="1">
      <c r="A491" s="63"/>
      <c r="B491" s="1599" t="s">
        <v>637</v>
      </c>
      <c r="C491" s="64" t="str">
        <f t="shared" si="84"/>
        <v xml:space="preserve"> </v>
      </c>
      <c r="D491" s="1546">
        <f>0.1*2</f>
        <v>0.2</v>
      </c>
      <c r="E491" s="1051" t="str">
        <f>VLOOKUP($B491,DG!A:D,DG!$B$2,)</f>
        <v>02.1123</v>
      </c>
      <c r="F491" s="1052" t="str">
        <f>VLOOKUP($B491,DG!A:D,DG!$C$2,)</f>
        <v>Bốc dỡ đà cản, đế néo</v>
      </c>
      <c r="G491" s="1051" t="str">
        <f>VLOOKUP($B491,DG!A:D,DG!$D$2,)</f>
        <v>tấn</v>
      </c>
      <c r="H491" s="1846"/>
      <c r="I491" s="1846"/>
      <c r="J491" s="1846"/>
      <c r="K491" s="1846"/>
      <c r="L491" s="1846"/>
      <c r="M491" s="1846"/>
      <c r="N491" s="1846"/>
      <c r="O491" s="1846"/>
      <c r="P491" s="1846"/>
      <c r="Q491" s="1055"/>
      <c r="R491" s="1055"/>
      <c r="S491" s="1055"/>
      <c r="T491" s="2059">
        <f t="shared" si="86"/>
        <v>0</v>
      </c>
    </row>
    <row r="492" spans="1:20" ht="22.15" hidden="1" customHeight="1">
      <c r="A492" s="63"/>
      <c r="B492" s="1584" t="s">
        <v>2071</v>
      </c>
      <c r="C492" s="64" t="str">
        <f t="shared" si="84"/>
        <v xml:space="preserve"> </v>
      </c>
      <c r="D492" s="1546">
        <f>D491</f>
        <v>0.2</v>
      </c>
      <c r="E492" s="1051" t="str">
        <f>VLOOKUP($B492,DG!A:C,2,)</f>
        <v>02.1451</v>
      </c>
      <c r="F492" s="1052" t="str">
        <f>VLOOKUP($B492,DG!A:C,3,)</f>
        <v>V/c đà cản vào vị trí (cự ly &lt;=100m)</v>
      </c>
      <c r="G492" s="1051" t="str">
        <f>VLOOKUP($B492,DG!A:D,4,0)</f>
        <v>tấn</v>
      </c>
      <c r="H492" s="1846"/>
      <c r="I492" s="1846"/>
      <c r="J492" s="1846"/>
      <c r="K492" s="1846"/>
      <c r="L492" s="1846"/>
      <c r="M492" s="1846"/>
      <c r="N492" s="1846"/>
      <c r="O492" s="1846"/>
      <c r="P492" s="1846"/>
      <c r="Q492" s="1058"/>
      <c r="R492" s="1058"/>
      <c r="S492" s="1058"/>
      <c r="T492" s="2059">
        <f t="shared" si="86"/>
        <v>0</v>
      </c>
    </row>
    <row r="493" spans="1:20" ht="22.15" hidden="1" customHeight="1">
      <c r="A493" s="59"/>
      <c r="B493" s="1598" t="s">
        <v>674</v>
      </c>
      <c r="C493" s="64" t="str">
        <f t="shared" si="84"/>
        <v xml:space="preserve"> </v>
      </c>
      <c r="D493" s="1542">
        <f>D488</f>
        <v>0.42099999999999999</v>
      </c>
      <c r="E493" s="1047" t="str">
        <f>VLOOKUP($B493,DG!A:C,2,)</f>
        <v>02.1241</v>
      </c>
      <c r="F493" s="1052" t="str">
        <f>VLOOKUP($B493,DG!A:C,3,)</f>
        <v>V/c đá dăm ( cự ly &lt;=100m)</v>
      </c>
      <c r="G493" s="1047" t="str">
        <f>VLOOKUP($B493,DG!A:D,4,0)</f>
        <v>m3</v>
      </c>
      <c r="H493" s="1845"/>
      <c r="I493" s="1845"/>
      <c r="J493" s="1845"/>
      <c r="K493" s="1845"/>
      <c r="L493" s="1845"/>
      <c r="M493" s="1845"/>
      <c r="N493" s="1845"/>
      <c r="O493" s="1845"/>
      <c r="P493" s="1845"/>
      <c r="Q493" s="1061"/>
      <c r="R493" s="1061"/>
      <c r="S493" s="1061"/>
      <c r="T493" s="2059">
        <f t="shared" si="86"/>
        <v>0</v>
      </c>
    </row>
    <row r="494" spans="1:20" ht="22.15" hidden="1" customHeight="1">
      <c r="A494" s="63"/>
      <c r="B494" s="1584" t="s">
        <v>635</v>
      </c>
      <c r="C494" s="64" t="str">
        <f t="shared" si="84"/>
        <v xml:space="preserve"> </v>
      </c>
      <c r="D494" s="1546">
        <v>0.2</v>
      </c>
      <c r="E494" s="1051" t="str">
        <f>VLOOKUP($B494,DG!A:C,2,)</f>
        <v>02.1482</v>
      </c>
      <c r="F494" s="1052" t="str">
        <f>VLOOKUP($B494,DG!A:C,3,)</f>
        <v>V/c dụng cụ thi công vào vị trí (cự ly &lt;=100m)</v>
      </c>
      <c r="G494" s="1051" t="str">
        <f>VLOOKUP($B494,DG!A:D,4,0)</f>
        <v>tấn</v>
      </c>
      <c r="H494" s="1846"/>
      <c r="I494" s="1846"/>
      <c r="J494" s="1846"/>
      <c r="K494" s="1846"/>
      <c r="L494" s="1846"/>
      <c r="M494" s="1846"/>
      <c r="N494" s="1846"/>
      <c r="O494" s="1846"/>
      <c r="P494" s="1846"/>
      <c r="Q494" s="1058"/>
      <c r="R494" s="1058"/>
      <c r="S494" s="1058"/>
      <c r="T494" s="2059">
        <f t="shared" si="86"/>
        <v>0</v>
      </c>
    </row>
    <row r="495" spans="1:20" ht="22.15" hidden="1" customHeight="1">
      <c r="A495" s="56" t="s">
        <v>1647</v>
      </c>
      <c r="B495" s="1583" t="s">
        <v>1647</v>
      </c>
      <c r="C495" s="62" t="str">
        <f t="shared" si="84"/>
        <v xml:space="preserve"> </v>
      </c>
      <c r="D495" s="1541"/>
      <c r="E495" s="1048"/>
      <c r="F495" s="1396" t="s">
        <v>2386</v>
      </c>
      <c r="G495" s="1049" t="s">
        <v>2336</v>
      </c>
      <c r="H495" s="1843">
        <f>SUM(I495:O495)</f>
        <v>0</v>
      </c>
      <c r="I495" s="1844"/>
      <c r="J495" s="1844"/>
      <c r="K495" s="1844">
        <f>IFERROR(HLOOKUP(B495,pp3p1m!$1:$3,3,0),0)</f>
        <v>0</v>
      </c>
      <c r="L495" s="1844">
        <f>IFERROR(HLOOKUP(chitiet!B495,pp1p!$1:$3,3,0),0)</f>
        <v>0</v>
      </c>
      <c r="M495" s="1844"/>
      <c r="N495" s="1844"/>
      <c r="O495" s="1844"/>
      <c r="P495" s="1844"/>
      <c r="Q495" s="1050"/>
      <c r="R495" s="1050"/>
      <c r="S495" s="1050"/>
      <c r="T495" s="2059">
        <f>IFERROR(HLOOKUP(B495,pp1p!$1:$3,3,0),0)+IFERROR(HLOOKUP(B495,pp3p1m!$1:$3,3,0),0)</f>
        <v>0</v>
      </c>
    </row>
    <row r="496" spans="1:20" ht="22.15" hidden="1" customHeight="1">
      <c r="A496" s="63"/>
      <c r="B496" s="1599" t="s">
        <v>1580</v>
      </c>
      <c r="C496" s="64" t="str">
        <f t="shared" si="84"/>
        <v xml:space="preserve"> </v>
      </c>
      <c r="D496" s="1547">
        <v>2</v>
      </c>
      <c r="E496" s="1047" t="str">
        <f>VLOOKUP($B496,DG!A:D,DG!$B$2,)</f>
        <v>04.3801</v>
      </c>
      <c r="F496" s="1057" t="str">
        <f>VLOOKUP($B496,DG!A:D,DG!$C$2,)</f>
        <v>Đà cản BTCT 1,5m</v>
      </c>
      <c r="G496" s="1051" t="str">
        <f>VLOOKUP($B496,DG!A:D,DG!$D$2,)</f>
        <v>cái</v>
      </c>
      <c r="H496" s="1846">
        <f t="shared" ref="H496:N497" si="90">H$495*$D496</f>
        <v>0</v>
      </c>
      <c r="I496" s="1846">
        <f t="shared" si="90"/>
        <v>0</v>
      </c>
      <c r="J496" s="1846">
        <f t="shared" si="90"/>
        <v>0</v>
      </c>
      <c r="K496" s="1846">
        <f t="shared" si="90"/>
        <v>0</v>
      </c>
      <c r="L496" s="1846">
        <f t="shared" si="90"/>
        <v>0</v>
      </c>
      <c r="M496" s="1846">
        <f t="shared" si="90"/>
        <v>0</v>
      </c>
      <c r="N496" s="1846">
        <f t="shared" si="90"/>
        <v>0</v>
      </c>
      <c r="O496" s="1846"/>
      <c r="P496" s="1846"/>
      <c r="Q496" s="1055"/>
      <c r="R496" s="1055"/>
      <c r="S496" s="1055"/>
      <c r="T496" s="2059">
        <f t="shared" si="86"/>
        <v>0</v>
      </c>
    </row>
    <row r="497" spans="1:20" ht="22.15" hidden="1" customHeight="1">
      <c r="A497" s="63"/>
      <c r="B497" s="1599" t="s">
        <v>416</v>
      </c>
      <c r="C497" s="64" t="str">
        <f t="shared" si="84"/>
        <v xml:space="preserve"> </v>
      </c>
      <c r="D497" s="1547">
        <v>1</v>
      </c>
      <c r="E497" s="1051"/>
      <c r="F497" s="1057" t="str">
        <f>VLOOKUP($B497,DG!A:D,DG!$C$2,)</f>
        <v>Boulon 22x800+ 2 long đền vuông D24-50x50x3/Zn</v>
      </c>
      <c r="G497" s="1051" t="str">
        <f>VLOOKUP($B497,DG!A:D,DG!$D$2,)</f>
        <v>bộ</v>
      </c>
      <c r="H497" s="1846">
        <f t="shared" si="90"/>
        <v>0</v>
      </c>
      <c r="I497" s="1846">
        <f t="shared" si="90"/>
        <v>0</v>
      </c>
      <c r="J497" s="1846">
        <f t="shared" si="90"/>
        <v>0</v>
      </c>
      <c r="K497" s="1846">
        <f t="shared" si="90"/>
        <v>0</v>
      </c>
      <c r="L497" s="1846">
        <f t="shared" si="90"/>
        <v>0</v>
      </c>
      <c r="M497" s="1846">
        <f t="shared" si="90"/>
        <v>0</v>
      </c>
      <c r="N497" s="1846">
        <f t="shared" si="90"/>
        <v>0</v>
      </c>
      <c r="O497" s="1846"/>
      <c r="P497" s="1846"/>
      <c r="Q497" s="1055"/>
      <c r="R497" s="1055"/>
      <c r="S497" s="1055"/>
      <c r="T497" s="2059">
        <f t="shared" si="86"/>
        <v>0</v>
      </c>
    </row>
    <row r="498" spans="1:20" ht="22.15" hidden="1" customHeight="1">
      <c r="A498" s="59"/>
      <c r="B498" s="1586" t="s">
        <v>1818</v>
      </c>
      <c r="C498" s="64" t="str">
        <f t="shared" si="84"/>
        <v xml:space="preserve"> </v>
      </c>
      <c r="D498" s="1542">
        <v>0.42099999999999999</v>
      </c>
      <c r="E498" s="1047">
        <f>VLOOKUP($B498,DG!A:D,DG!$B$2,)</f>
        <v>0</v>
      </c>
      <c r="F498" s="1052" t="str">
        <f>VLOOKUP($B498,DG!A:D,DG!$C$2,)</f>
        <v>Đá 2x4</v>
      </c>
      <c r="G498" s="1047" t="str">
        <f>VLOOKUP($B498,DG!A:D,DG!$D$2,)</f>
        <v>m3</v>
      </c>
      <c r="H498" s="1845">
        <f t="shared" ref="H498:N498" si="91">H$18*$D498</f>
        <v>0</v>
      </c>
      <c r="I498" s="1845">
        <f t="shared" si="91"/>
        <v>0</v>
      </c>
      <c r="J498" s="1845">
        <f t="shared" si="91"/>
        <v>0</v>
      </c>
      <c r="K498" s="1845">
        <f t="shared" si="91"/>
        <v>0</v>
      </c>
      <c r="L498" s="1845">
        <f t="shared" si="91"/>
        <v>0</v>
      </c>
      <c r="M498" s="1845">
        <f t="shared" si="91"/>
        <v>0</v>
      </c>
      <c r="N498" s="1845">
        <f t="shared" si="91"/>
        <v>0</v>
      </c>
      <c r="O498" s="1845"/>
      <c r="P498" s="1845"/>
      <c r="Q498" s="1056"/>
      <c r="R498" s="1056"/>
      <c r="S498" s="1056"/>
      <c r="T498" s="2059">
        <f t="shared" si="86"/>
        <v>0</v>
      </c>
    </row>
    <row r="499" spans="1:20" ht="22.15" hidden="1" customHeight="1">
      <c r="A499" s="63"/>
      <c r="B499" s="1599" t="s">
        <v>639</v>
      </c>
      <c r="C499" s="64" t="str">
        <f t="shared" si="84"/>
        <v xml:space="preserve"> </v>
      </c>
      <c r="D499" s="1546">
        <v>4.03</v>
      </c>
      <c r="E499" s="1051" t="str">
        <f>VLOOKUP($B499,DG!A:D,DG!$B$2,)</f>
        <v>03.1013</v>
      </c>
      <c r="F499" s="1052" t="str">
        <f>VLOOKUP($B499,DG!A:D,DG!$C$2,)</f>
        <v>Đào hố móng đất cấp 3 sâu &gt;1m</v>
      </c>
      <c r="G499" s="1051" t="str">
        <f>VLOOKUP($B499,DG!A:D,DG!$D$2,)</f>
        <v>m3</v>
      </c>
      <c r="H499" s="1846"/>
      <c r="I499" s="1846"/>
      <c r="J499" s="1846"/>
      <c r="K499" s="1846"/>
      <c r="L499" s="1846"/>
      <c r="M499" s="1846"/>
      <c r="N499" s="1846"/>
      <c r="O499" s="1846"/>
      <c r="P499" s="1846"/>
      <c r="Q499" s="1058"/>
      <c r="R499" s="1058"/>
      <c r="S499" s="1058"/>
      <c r="T499" s="2059">
        <f t="shared" si="86"/>
        <v>0</v>
      </c>
    </row>
    <row r="500" spans="1:20" ht="22.15" hidden="1" customHeight="1">
      <c r="A500" s="63"/>
      <c r="B500" s="1599" t="s">
        <v>21</v>
      </c>
      <c r="C500" s="64" t="str">
        <f t="shared" si="84"/>
        <v xml:space="preserve"> </v>
      </c>
      <c r="D500" s="1546">
        <v>4.3140000000000001</v>
      </c>
      <c r="E500" s="1051" t="str">
        <f>VLOOKUP($B500,DG!A:D,DG!$B$2,)</f>
        <v>03.4113</v>
      </c>
      <c r="F500" s="1052" t="str">
        <f>VLOOKUP($B500,DG!A:D,DG!$C$2,)</f>
        <v>Đắp đất hố móng, độ chặt k=0,95</v>
      </c>
      <c r="G500" s="1051" t="str">
        <f>VLOOKUP($B500,DG!A:D,DG!$D$2,)</f>
        <v>m3</v>
      </c>
      <c r="H500" s="1846"/>
      <c r="I500" s="1846"/>
      <c r="J500" s="1846"/>
      <c r="K500" s="1846"/>
      <c r="L500" s="1846"/>
      <c r="M500" s="1846"/>
      <c r="N500" s="1846"/>
      <c r="O500" s="1846"/>
      <c r="P500" s="1846"/>
      <c r="Q500" s="1058"/>
      <c r="R500" s="1058"/>
      <c r="S500" s="1058"/>
      <c r="T500" s="2059">
        <f t="shared" si="86"/>
        <v>0</v>
      </c>
    </row>
    <row r="501" spans="1:20" ht="22.15" hidden="1" customHeight="1">
      <c r="A501" s="63"/>
      <c r="B501" s="1599" t="s">
        <v>637</v>
      </c>
      <c r="C501" s="64" t="str">
        <f t="shared" si="84"/>
        <v xml:space="preserve"> </v>
      </c>
      <c r="D501" s="1546">
        <f>0.255*2</f>
        <v>0.51</v>
      </c>
      <c r="E501" s="1051" t="str">
        <f>VLOOKUP($B501,DG!A:D,DG!$B$2,)</f>
        <v>02.1123</v>
      </c>
      <c r="F501" s="1052" t="str">
        <f>VLOOKUP($B501,DG!A:D,DG!$C$2,)</f>
        <v>Bốc dỡ đà cản, đế néo</v>
      </c>
      <c r="G501" s="1051" t="str">
        <f>VLOOKUP($B501,DG!A:D,DG!$D$2,)</f>
        <v>tấn</v>
      </c>
      <c r="H501" s="1846"/>
      <c r="I501" s="1846"/>
      <c r="J501" s="1846"/>
      <c r="K501" s="1846"/>
      <c r="L501" s="1846"/>
      <c r="M501" s="1846"/>
      <c r="N501" s="1846"/>
      <c r="O501" s="1846"/>
      <c r="P501" s="1846"/>
      <c r="Q501" s="1055"/>
      <c r="R501" s="1055"/>
      <c r="S501" s="1055"/>
      <c r="T501" s="2059">
        <f t="shared" si="86"/>
        <v>0</v>
      </c>
    </row>
    <row r="502" spans="1:20" ht="22.15" hidden="1" customHeight="1">
      <c r="A502" s="63"/>
      <c r="B502" s="1584" t="s">
        <v>2071</v>
      </c>
      <c r="C502" s="64" t="str">
        <f t="shared" si="84"/>
        <v xml:space="preserve"> </v>
      </c>
      <c r="D502" s="1546">
        <f>D501</f>
        <v>0.51</v>
      </c>
      <c r="E502" s="1051" t="str">
        <f>VLOOKUP($B502,DG!A:C,2,)</f>
        <v>02.1451</v>
      </c>
      <c r="F502" s="1052" t="str">
        <f>VLOOKUP($B502,DG!A:C,3,)</f>
        <v>V/c đà cản vào vị trí (cự ly &lt;=100m)</v>
      </c>
      <c r="G502" s="1051" t="str">
        <f>VLOOKUP($B502,DG!A:D,4,0)</f>
        <v>tấn</v>
      </c>
      <c r="H502" s="1846"/>
      <c r="I502" s="1846"/>
      <c r="J502" s="1846"/>
      <c r="K502" s="1846"/>
      <c r="L502" s="1846"/>
      <c r="M502" s="1846"/>
      <c r="N502" s="1846"/>
      <c r="O502" s="1846"/>
      <c r="P502" s="1846"/>
      <c r="Q502" s="1058"/>
      <c r="R502" s="1058"/>
      <c r="S502" s="1058"/>
      <c r="T502" s="2059">
        <f t="shared" si="86"/>
        <v>0</v>
      </c>
    </row>
    <row r="503" spans="1:20" ht="22.15" hidden="1" customHeight="1">
      <c r="A503" s="59"/>
      <c r="B503" s="1598" t="s">
        <v>674</v>
      </c>
      <c r="C503" s="64" t="str">
        <f t="shared" si="84"/>
        <v xml:space="preserve"> </v>
      </c>
      <c r="D503" s="1542">
        <f>D498</f>
        <v>0.42099999999999999</v>
      </c>
      <c r="E503" s="1047" t="str">
        <f>VLOOKUP($B503,DG!A:C,2,)</f>
        <v>02.1241</v>
      </c>
      <c r="F503" s="1052" t="str">
        <f>VLOOKUP($B503,DG!A:C,3,)</f>
        <v>V/c đá dăm ( cự ly &lt;=100m)</v>
      </c>
      <c r="G503" s="1047" t="str">
        <f>VLOOKUP($B503,DG!A:D,4,0)</f>
        <v>m3</v>
      </c>
      <c r="H503" s="1845"/>
      <c r="I503" s="1845"/>
      <c r="J503" s="1845"/>
      <c r="K503" s="1845"/>
      <c r="L503" s="1845"/>
      <c r="M503" s="1845"/>
      <c r="N503" s="1845"/>
      <c r="O503" s="1845"/>
      <c r="P503" s="1845"/>
      <c r="Q503" s="1061"/>
      <c r="R503" s="1061"/>
      <c r="S503" s="1061"/>
      <c r="T503" s="2059">
        <f t="shared" si="86"/>
        <v>0</v>
      </c>
    </row>
    <row r="504" spans="1:20" ht="22.15" hidden="1" customHeight="1">
      <c r="A504" s="63"/>
      <c r="B504" s="1584" t="s">
        <v>635</v>
      </c>
      <c r="C504" s="64" t="str">
        <f t="shared" si="84"/>
        <v xml:space="preserve"> </v>
      </c>
      <c r="D504" s="1546">
        <v>0.2</v>
      </c>
      <c r="E504" s="1051" t="str">
        <f>VLOOKUP($B504,DG!A:C,2,)</f>
        <v>02.1482</v>
      </c>
      <c r="F504" s="1052" t="str">
        <f>VLOOKUP($B504,DG!A:C,3,)</f>
        <v>V/c dụng cụ thi công vào vị trí (cự ly &lt;=100m)</v>
      </c>
      <c r="G504" s="1051" t="str">
        <f>VLOOKUP($B504,DG!A:D,4,0)</f>
        <v>tấn</v>
      </c>
      <c r="H504" s="1846"/>
      <c r="I504" s="1846"/>
      <c r="J504" s="1846"/>
      <c r="K504" s="1846"/>
      <c r="L504" s="1846"/>
      <c r="M504" s="1846"/>
      <c r="N504" s="1846"/>
      <c r="O504" s="1846"/>
      <c r="P504" s="1846"/>
      <c r="Q504" s="1058"/>
      <c r="R504" s="1058"/>
      <c r="S504" s="1058"/>
      <c r="T504" s="2059">
        <f t="shared" si="86"/>
        <v>0</v>
      </c>
    </row>
    <row r="505" spans="1:20" ht="22.15" hidden="1" customHeight="1">
      <c r="A505" s="56" t="s">
        <v>989</v>
      </c>
      <c r="B505" s="1583" t="s">
        <v>989</v>
      </c>
      <c r="C505" s="62" t="str">
        <f t="shared" si="84"/>
        <v xml:space="preserve"> </v>
      </c>
      <c r="D505" s="1541"/>
      <c r="E505" s="1048"/>
      <c r="F505" s="1396" t="s">
        <v>2387</v>
      </c>
      <c r="G505" s="1049" t="s">
        <v>2336</v>
      </c>
      <c r="H505" s="1843">
        <f>SUM(I505:O505)</f>
        <v>0</v>
      </c>
      <c r="I505" s="1844"/>
      <c r="J505" s="1844"/>
      <c r="K505" s="1844">
        <f>IFERROR(HLOOKUP(B505,pp3p1m!$1:$3,3,0),0)</f>
        <v>0</v>
      </c>
      <c r="L505" s="1844">
        <f>IFERROR(HLOOKUP(chitiet!B505,pp1p!$1:$3,3,0),0)</f>
        <v>0</v>
      </c>
      <c r="M505" s="1844"/>
      <c r="N505" s="1844"/>
      <c r="O505" s="1844"/>
      <c r="P505" s="1844"/>
      <c r="Q505" s="1050"/>
      <c r="R505" s="1050"/>
      <c r="S505" s="1050"/>
      <c r="T505" s="2059">
        <f>IFERROR(HLOOKUP(B505,pp1p!$1:$3,3,0),0)+IFERROR(HLOOKUP(B505,pp3p1m!$1:$3,3,0),0)</f>
        <v>0</v>
      </c>
    </row>
    <row r="506" spans="1:20" ht="22.15" hidden="1" customHeight="1">
      <c r="A506" s="63"/>
      <c r="B506" s="1599" t="s">
        <v>1580</v>
      </c>
      <c r="C506" s="64" t="str">
        <f t="shared" si="84"/>
        <v xml:space="preserve"> </v>
      </c>
      <c r="D506" s="1547">
        <v>4</v>
      </c>
      <c r="E506" s="1047" t="str">
        <f>VLOOKUP($B506,DG!A:D,DG!$B$2,)</f>
        <v>04.3801</v>
      </c>
      <c r="F506" s="1057" t="str">
        <f>VLOOKUP($B506,DG!A:D,DG!$C$2,)</f>
        <v>Đà cản BTCT 1,5m</v>
      </c>
      <c r="G506" s="1051" t="str">
        <f>VLOOKUP($B506,DG!A:D,DG!$D$2,)</f>
        <v>cái</v>
      </c>
      <c r="H506" s="1846">
        <f t="shared" ref="H506:N507" si="92">H$505*$D506</f>
        <v>0</v>
      </c>
      <c r="I506" s="1846">
        <f t="shared" si="92"/>
        <v>0</v>
      </c>
      <c r="J506" s="1846">
        <f t="shared" si="92"/>
        <v>0</v>
      </c>
      <c r="K506" s="1846">
        <f t="shared" si="92"/>
        <v>0</v>
      </c>
      <c r="L506" s="1846">
        <f t="shared" si="92"/>
        <v>0</v>
      </c>
      <c r="M506" s="1846">
        <f t="shared" si="92"/>
        <v>0</v>
      </c>
      <c r="N506" s="1846">
        <f t="shared" si="92"/>
        <v>0</v>
      </c>
      <c r="O506" s="1846"/>
      <c r="P506" s="1846"/>
      <c r="Q506" s="1055"/>
      <c r="R506" s="1055"/>
      <c r="S506" s="1055"/>
      <c r="T506" s="2059">
        <f t="shared" si="86"/>
        <v>0</v>
      </c>
    </row>
    <row r="507" spans="1:20" ht="22.15" hidden="1" customHeight="1">
      <c r="A507" s="63"/>
      <c r="B507" s="1599" t="s">
        <v>566</v>
      </c>
      <c r="C507" s="64" t="str">
        <f t="shared" si="84"/>
        <v xml:space="preserve"> </v>
      </c>
      <c r="D507" s="1547">
        <v>4</v>
      </c>
      <c r="E507" s="1047"/>
      <c r="F507" s="1057" t="str">
        <f>VLOOKUP($B507,DG!A:D,DG!$C$2,)</f>
        <v>Boulon 22x650+ 2 long đền vuông D24-50x50x3/Zn</v>
      </c>
      <c r="G507" s="1051" t="str">
        <f>VLOOKUP($B507,DG!A:D,DG!$D$2,)</f>
        <v>bộ</v>
      </c>
      <c r="H507" s="1846">
        <f t="shared" si="92"/>
        <v>0</v>
      </c>
      <c r="I507" s="1846">
        <f t="shared" si="92"/>
        <v>0</v>
      </c>
      <c r="J507" s="1846">
        <f t="shared" si="92"/>
        <v>0</v>
      </c>
      <c r="K507" s="1846">
        <f t="shared" si="92"/>
        <v>0</v>
      </c>
      <c r="L507" s="1846">
        <f t="shared" si="92"/>
        <v>0</v>
      </c>
      <c r="M507" s="1846">
        <f t="shared" si="92"/>
        <v>0</v>
      </c>
      <c r="N507" s="1846">
        <f t="shared" si="92"/>
        <v>0</v>
      </c>
      <c r="O507" s="1846"/>
      <c r="P507" s="1846"/>
      <c r="Q507" s="1055"/>
      <c r="R507" s="1055"/>
      <c r="S507" s="1055"/>
      <c r="T507" s="2059">
        <f t="shared" si="86"/>
        <v>0</v>
      </c>
    </row>
    <row r="508" spans="1:20" ht="22.15" hidden="1" customHeight="1">
      <c r="A508" s="63"/>
      <c r="B508" s="1599" t="s">
        <v>639</v>
      </c>
      <c r="C508" s="64" t="str">
        <f t="shared" si="84"/>
        <v xml:space="preserve"> </v>
      </c>
      <c r="D508" s="1546">
        <v>10.63</v>
      </c>
      <c r="E508" s="1051" t="str">
        <f>VLOOKUP($B508,DG!A:D,DG!$B$2,)</f>
        <v>03.1013</v>
      </c>
      <c r="F508" s="1052" t="str">
        <f>VLOOKUP($B508,DG!A:D,DG!$C$2,)</f>
        <v>Đào hố móng đất cấp 3 sâu &gt;1m</v>
      </c>
      <c r="G508" s="1051" t="str">
        <f>VLOOKUP($B508,DG!A:D,DG!$D$2,)</f>
        <v>m3</v>
      </c>
      <c r="H508" s="1846"/>
      <c r="I508" s="1846"/>
      <c r="J508" s="1846"/>
      <c r="K508" s="1846"/>
      <c r="L508" s="1846"/>
      <c r="M508" s="1846"/>
      <c r="N508" s="1846"/>
      <c r="O508" s="1846"/>
      <c r="P508" s="1846"/>
      <c r="Q508" s="1058"/>
      <c r="R508" s="1058"/>
      <c r="S508" s="1058"/>
      <c r="T508" s="2059">
        <f t="shared" si="86"/>
        <v>0</v>
      </c>
    </row>
    <row r="509" spans="1:20" ht="22.15" hidden="1" customHeight="1">
      <c r="A509" s="63"/>
      <c r="B509" s="1599" t="s">
        <v>21</v>
      </c>
      <c r="C509" s="64" t="str">
        <f t="shared" si="84"/>
        <v xml:space="preserve"> </v>
      </c>
      <c r="D509" s="1546">
        <v>10.63</v>
      </c>
      <c r="E509" s="1051" t="str">
        <f>VLOOKUP($B509,DG!A:D,DG!$B$2,)</f>
        <v>03.4113</v>
      </c>
      <c r="F509" s="1052" t="str">
        <f>VLOOKUP($B509,DG!A:D,DG!$C$2,)</f>
        <v>Đắp đất hố móng, độ chặt k=0,95</v>
      </c>
      <c r="G509" s="1051" t="str">
        <f>VLOOKUP($B509,DG!A:D,DG!$D$2,)</f>
        <v>m3</v>
      </c>
      <c r="H509" s="1846"/>
      <c r="I509" s="1846"/>
      <c r="J509" s="1846"/>
      <c r="K509" s="1846"/>
      <c r="L509" s="1846"/>
      <c r="M509" s="1846"/>
      <c r="N509" s="1846"/>
      <c r="O509" s="1846"/>
      <c r="P509" s="1846"/>
      <c r="Q509" s="1058"/>
      <c r="R509" s="1058"/>
      <c r="S509" s="1058"/>
      <c r="T509" s="2059">
        <f t="shared" si="86"/>
        <v>0</v>
      </c>
    </row>
    <row r="510" spans="1:20" ht="22.15" hidden="1" customHeight="1">
      <c r="A510" s="63"/>
      <c r="B510" s="1599" t="s">
        <v>637</v>
      </c>
      <c r="C510" s="64" t="str">
        <f t="shared" si="84"/>
        <v xml:space="preserve"> </v>
      </c>
      <c r="D510" s="1546">
        <f>0.255*D506</f>
        <v>1.02</v>
      </c>
      <c r="E510" s="1051" t="str">
        <f>VLOOKUP($B510,DG!A:D,DG!$B$2,)</f>
        <v>02.1123</v>
      </c>
      <c r="F510" s="1052" t="str">
        <f>VLOOKUP($B510,DG!A:D,DG!$C$2,)</f>
        <v>Bốc dỡ đà cản, đế néo</v>
      </c>
      <c r="G510" s="1051" t="str">
        <f>VLOOKUP($B510,DG!A:D,DG!$D$2,)</f>
        <v>tấn</v>
      </c>
      <c r="H510" s="1846"/>
      <c r="I510" s="1846"/>
      <c r="J510" s="1846"/>
      <c r="K510" s="1846"/>
      <c r="L510" s="1846"/>
      <c r="M510" s="1846"/>
      <c r="N510" s="1846"/>
      <c r="O510" s="1846"/>
      <c r="P510" s="1846"/>
      <c r="Q510" s="1055"/>
      <c r="R510" s="1055"/>
      <c r="S510" s="1055"/>
      <c r="T510" s="2059">
        <f t="shared" si="86"/>
        <v>0</v>
      </c>
    </row>
    <row r="511" spans="1:20" ht="22.15" hidden="1" customHeight="1">
      <c r="A511" s="63"/>
      <c r="B511" s="1584" t="s">
        <v>2071</v>
      </c>
      <c r="C511" s="64" t="str">
        <f t="shared" si="84"/>
        <v xml:space="preserve"> </v>
      </c>
      <c r="D511" s="1546">
        <f>D510</f>
        <v>1.02</v>
      </c>
      <c r="E511" s="1051" t="str">
        <f>VLOOKUP($B511,DG!A:C,2,)</f>
        <v>02.1451</v>
      </c>
      <c r="F511" s="1052" t="str">
        <f>VLOOKUP($B511,DG!A:C,3,)</f>
        <v>V/c đà cản vào vị trí (cự ly &lt;=100m)</v>
      </c>
      <c r="G511" s="1051" t="str">
        <f>VLOOKUP($B511,DG!A:D,4,0)</f>
        <v>tấn</v>
      </c>
      <c r="H511" s="1846"/>
      <c r="I511" s="1846"/>
      <c r="J511" s="1846"/>
      <c r="K511" s="1846"/>
      <c r="L511" s="1846"/>
      <c r="M511" s="1846"/>
      <c r="N511" s="1846"/>
      <c r="O511" s="1846"/>
      <c r="P511" s="1846"/>
      <c r="Q511" s="1058"/>
      <c r="R511" s="1058"/>
      <c r="S511" s="1058"/>
      <c r="T511" s="2059">
        <f t="shared" si="86"/>
        <v>0</v>
      </c>
    </row>
    <row r="512" spans="1:20" ht="22.15" hidden="1" customHeight="1">
      <c r="A512" s="63"/>
      <c r="B512" s="1584" t="s">
        <v>635</v>
      </c>
      <c r="C512" s="64" t="str">
        <f t="shared" si="84"/>
        <v xml:space="preserve"> </v>
      </c>
      <c r="D512" s="1546">
        <v>0.2</v>
      </c>
      <c r="E512" s="1051" t="str">
        <f>VLOOKUP($B512,DG!A:C,2,)</f>
        <v>02.1482</v>
      </c>
      <c r="F512" s="1052" t="str">
        <f>VLOOKUP($B512,DG!A:C,3,)</f>
        <v>V/c dụng cụ thi công vào vị trí (cự ly &lt;=100m)</v>
      </c>
      <c r="G512" s="1051" t="str">
        <f>VLOOKUP($B512,DG!A:D,4,0)</f>
        <v>tấn</v>
      </c>
      <c r="H512" s="1846"/>
      <c r="I512" s="1846"/>
      <c r="J512" s="1846"/>
      <c r="K512" s="1846"/>
      <c r="L512" s="1846"/>
      <c r="M512" s="1846"/>
      <c r="N512" s="1846"/>
      <c r="O512" s="1846"/>
      <c r="P512" s="1846"/>
      <c r="Q512" s="1058"/>
      <c r="R512" s="1058"/>
      <c r="S512" s="1058"/>
      <c r="T512" s="2059">
        <f t="shared" si="86"/>
        <v>0</v>
      </c>
    </row>
    <row r="513" spans="1:20" ht="22.15" hidden="1" customHeight="1">
      <c r="A513" s="56" t="s">
        <v>312</v>
      </c>
      <c r="B513" s="1583" t="s">
        <v>312</v>
      </c>
      <c r="C513" s="62" t="str">
        <f t="shared" si="84"/>
        <v xml:space="preserve"> </v>
      </c>
      <c r="D513" s="1541"/>
      <c r="E513" s="1048"/>
      <c r="F513" s="1396" t="s">
        <v>2388</v>
      </c>
      <c r="G513" s="1049" t="s">
        <v>2336</v>
      </c>
      <c r="H513" s="1843">
        <f>SUM(I513:O513)</f>
        <v>0</v>
      </c>
      <c r="I513" s="1844"/>
      <c r="J513" s="1844"/>
      <c r="K513" s="1844">
        <f>IFERROR(HLOOKUP(B513,pp3p1m!$1:$3,3,0),0)</f>
        <v>0</v>
      </c>
      <c r="L513" s="1844">
        <f>IFERROR(HLOOKUP(chitiet!B513,pp1p!$1:$3,3,0),0)</f>
        <v>0</v>
      </c>
      <c r="M513" s="1844"/>
      <c r="N513" s="1844"/>
      <c r="O513" s="1844"/>
      <c r="P513" s="1844"/>
      <c r="Q513" s="1050"/>
      <c r="R513" s="1050"/>
      <c r="S513" s="1050"/>
      <c r="T513" s="2059">
        <f>IFERROR(HLOOKUP(B513,pp1p!$1:$3,3,0),0)+IFERROR(HLOOKUP(B513,pp3p1m!$1:$3,3,0),0)</f>
        <v>0</v>
      </c>
    </row>
    <row r="514" spans="1:20" ht="22.15" hidden="1" customHeight="1">
      <c r="A514" s="63"/>
      <c r="B514" s="1599" t="s">
        <v>1842</v>
      </c>
      <c r="C514" s="64" t="str">
        <f t="shared" si="84"/>
        <v xml:space="preserve"> </v>
      </c>
      <c r="D514" s="1545">
        <v>2.0139999999999998</v>
      </c>
      <c r="E514" s="1051" t="str">
        <f>VLOOKUP($B514,DG!A:D,DG!$B$2,)</f>
        <v>04.1203c</v>
      </c>
      <c r="F514" s="1052" t="str">
        <f>VLOOKUP($B514,DG!A:D,DG!$C$2,)</f>
        <v>Đổ bê tông móng trụ &lt;=250cm-M200 đá 1x2</v>
      </c>
      <c r="G514" s="1051" t="str">
        <f>VLOOKUP($B514,DG!A:D,DG!$D$2,)</f>
        <v>m3</v>
      </c>
      <c r="H514" s="1846">
        <f t="shared" ref="H514:N517" si="93">H$513*$D514</f>
        <v>0</v>
      </c>
      <c r="I514" s="1846">
        <f t="shared" si="93"/>
        <v>0</v>
      </c>
      <c r="J514" s="1846">
        <f t="shared" si="93"/>
        <v>0</v>
      </c>
      <c r="K514" s="1846">
        <f t="shared" si="93"/>
        <v>0</v>
      </c>
      <c r="L514" s="1846">
        <f t="shared" si="93"/>
        <v>0</v>
      </c>
      <c r="M514" s="1846">
        <f t="shared" si="93"/>
        <v>0</v>
      </c>
      <c r="N514" s="1846">
        <f t="shared" si="93"/>
        <v>0</v>
      </c>
      <c r="O514" s="1846"/>
      <c r="P514" s="1846"/>
      <c r="Q514" s="1055"/>
      <c r="R514" s="1055"/>
      <c r="S514" s="1055"/>
      <c r="T514" s="2059">
        <f t="shared" si="86"/>
        <v>0</v>
      </c>
    </row>
    <row r="515" spans="1:20" ht="22.15" hidden="1" customHeight="1">
      <c r="A515" s="63"/>
      <c r="B515" s="1599" t="s">
        <v>1961</v>
      </c>
      <c r="C515" s="64" t="str">
        <f t="shared" si="84"/>
        <v xml:space="preserve"> </v>
      </c>
      <c r="D515" s="1545">
        <v>0.20399999999999999</v>
      </c>
      <c r="E515" s="1051" t="str">
        <f>VLOOKUP($B515,DG!A:D,DG!$B$2,)</f>
        <v>04.3112</v>
      </c>
      <c r="F515" s="1052" t="str">
        <f>VLOOKUP($B515,DG!A:D,DG!$C$2,)</f>
        <v>Đổ bê tông mác M100 đá 4x6</v>
      </c>
      <c r="G515" s="1051" t="str">
        <f>VLOOKUP($B515,DG!A:D,DG!$D$2,)</f>
        <v>m3</v>
      </c>
      <c r="H515" s="1846">
        <f t="shared" si="93"/>
        <v>0</v>
      </c>
      <c r="I515" s="1846">
        <f t="shared" si="93"/>
        <v>0</v>
      </c>
      <c r="J515" s="1846">
        <f t="shared" si="93"/>
        <v>0</v>
      </c>
      <c r="K515" s="1846">
        <f t="shared" si="93"/>
        <v>0</v>
      </c>
      <c r="L515" s="1846">
        <f t="shared" si="93"/>
        <v>0</v>
      </c>
      <c r="M515" s="1846">
        <f t="shared" si="93"/>
        <v>0</v>
      </c>
      <c r="N515" s="1846">
        <f t="shared" si="93"/>
        <v>0</v>
      </c>
      <c r="O515" s="1846"/>
      <c r="P515" s="1846"/>
      <c r="Q515" s="1055"/>
      <c r="R515" s="1055"/>
      <c r="S515" s="1055"/>
      <c r="T515" s="2059">
        <f t="shared" si="86"/>
        <v>0</v>
      </c>
    </row>
    <row r="516" spans="1:20" ht="22.15" hidden="1" customHeight="1">
      <c r="A516" s="63"/>
      <c r="B516" s="1585" t="s">
        <v>4447</v>
      </c>
      <c r="C516" s="64" t="str">
        <f t="shared" si="84"/>
        <v xml:space="preserve"> </v>
      </c>
      <c r="D516" s="1549">
        <v>0.24</v>
      </c>
      <c r="E516" s="1051"/>
      <c r="F516" s="1052" t="str">
        <f>VLOOKUP($B516,DG!A:D,DG!$C$2,)</f>
        <v>Cát vàng</v>
      </c>
      <c r="G516" s="1051" t="str">
        <f>VLOOKUP($B516,DG!A:D,DG!$D$2,)</f>
        <v>m3</v>
      </c>
      <c r="H516" s="1846">
        <f t="shared" si="93"/>
        <v>0</v>
      </c>
      <c r="I516" s="1846">
        <f t="shared" si="93"/>
        <v>0</v>
      </c>
      <c r="J516" s="1846">
        <f t="shared" si="93"/>
        <v>0</v>
      </c>
      <c r="K516" s="1846">
        <f t="shared" si="93"/>
        <v>0</v>
      </c>
      <c r="L516" s="1846">
        <f t="shared" si="93"/>
        <v>0</v>
      </c>
      <c r="M516" s="1846">
        <f t="shared" si="93"/>
        <v>0</v>
      </c>
      <c r="N516" s="1846">
        <f t="shared" si="93"/>
        <v>0</v>
      </c>
      <c r="O516" s="1846"/>
      <c r="P516" s="1846"/>
      <c r="Q516" s="1055"/>
      <c r="R516" s="1055"/>
      <c r="S516" s="1055"/>
      <c r="T516" s="2059">
        <f t="shared" si="86"/>
        <v>0</v>
      </c>
    </row>
    <row r="517" spans="1:20" ht="22.15" hidden="1" customHeight="1">
      <c r="A517" s="63"/>
      <c r="B517" s="1599" t="s">
        <v>1979</v>
      </c>
      <c r="C517" s="64" t="str">
        <f t="shared" si="84"/>
        <v xml:space="preserve"> </v>
      </c>
      <c r="D517" s="1547">
        <v>193.05</v>
      </c>
      <c r="E517" s="1051"/>
      <c r="F517" s="1057" t="str">
        <f>VLOOKUP($B517,DG!A:D,DG!$C$2,)</f>
        <v>Sắt Ø6</v>
      </c>
      <c r="G517" s="1051" t="str">
        <f>VLOOKUP($B517,DG!A:D,DG!$D$2,)</f>
        <v>kg</v>
      </c>
      <c r="H517" s="1846">
        <f t="shared" si="93"/>
        <v>0</v>
      </c>
      <c r="I517" s="1846">
        <f t="shared" si="93"/>
        <v>0</v>
      </c>
      <c r="J517" s="1846">
        <f t="shared" si="93"/>
        <v>0</v>
      </c>
      <c r="K517" s="1846">
        <f t="shared" si="93"/>
        <v>0</v>
      </c>
      <c r="L517" s="1846">
        <f t="shared" si="93"/>
        <v>0</v>
      </c>
      <c r="M517" s="1846">
        <f t="shared" si="93"/>
        <v>0</v>
      </c>
      <c r="N517" s="1846">
        <f t="shared" si="93"/>
        <v>0</v>
      </c>
      <c r="O517" s="1846"/>
      <c r="P517" s="1846"/>
      <c r="Q517" s="1055"/>
      <c r="R517" s="1055"/>
      <c r="S517" s="1055"/>
      <c r="T517" s="2059">
        <f t="shared" si="86"/>
        <v>0</v>
      </c>
    </row>
    <row r="518" spans="1:20" ht="22.15" hidden="1" customHeight="1">
      <c r="A518" s="63"/>
      <c r="B518" s="1599" t="s">
        <v>639</v>
      </c>
      <c r="C518" s="64" t="str">
        <f t="shared" si="84"/>
        <v xml:space="preserve"> </v>
      </c>
      <c r="D518" s="1551">
        <v>5.3040000000000003</v>
      </c>
      <c r="E518" s="1051" t="str">
        <f>VLOOKUP($B518,DG!A:D,DG!$B$2,)</f>
        <v>03.1013</v>
      </c>
      <c r="F518" s="1052" t="str">
        <f>VLOOKUP($B518,DG!A:D,DG!$C$2,)</f>
        <v>Đào hố móng đất cấp 3 sâu &gt;1m</v>
      </c>
      <c r="G518" s="1051" t="str">
        <f>VLOOKUP($B518,DG!A:D,DG!$D$2,)</f>
        <v>m3</v>
      </c>
      <c r="H518" s="1846"/>
      <c r="I518" s="1846"/>
      <c r="J518" s="1846"/>
      <c r="K518" s="1846"/>
      <c r="L518" s="1846"/>
      <c r="M518" s="1846"/>
      <c r="N518" s="1846"/>
      <c r="O518" s="1846"/>
      <c r="P518" s="1846"/>
      <c r="Q518" s="1058"/>
      <c r="R518" s="1058"/>
      <c r="S518" s="1058"/>
      <c r="T518" s="2059">
        <f t="shared" si="86"/>
        <v>0</v>
      </c>
    </row>
    <row r="519" spans="1:20" ht="22.15" hidden="1" customHeight="1">
      <c r="A519" s="63"/>
      <c r="B519" s="1599" t="s">
        <v>21</v>
      </c>
      <c r="C519" s="64" t="str">
        <f t="shared" si="84"/>
        <v xml:space="preserve"> </v>
      </c>
      <c r="D519" s="1551">
        <v>2.8450000000000002</v>
      </c>
      <c r="E519" s="1051" t="str">
        <f>VLOOKUP($B519,DG!A:D,DG!$B$2,)</f>
        <v>03.4113</v>
      </c>
      <c r="F519" s="1052" t="str">
        <f>VLOOKUP($B519,DG!A:D,DG!$C$2,)</f>
        <v>Đắp đất hố móng, độ chặt k=0,95</v>
      </c>
      <c r="G519" s="1051" t="str">
        <f>VLOOKUP($B519,DG!A:D,DG!$D$2,)</f>
        <v>m3</v>
      </c>
      <c r="H519" s="1846"/>
      <c r="I519" s="1846"/>
      <c r="J519" s="1846"/>
      <c r="K519" s="1846"/>
      <c r="L519" s="1846"/>
      <c r="M519" s="1846"/>
      <c r="N519" s="1846"/>
      <c r="O519" s="1846"/>
      <c r="P519" s="1846"/>
      <c r="Q519" s="1058"/>
      <c r="R519" s="1058"/>
      <c r="S519" s="1058"/>
      <c r="T519" s="2059">
        <f t="shared" si="86"/>
        <v>0</v>
      </c>
    </row>
    <row r="520" spans="1:20" ht="22.15" hidden="1" customHeight="1">
      <c r="A520" s="63"/>
      <c r="B520" s="1599" t="s">
        <v>1080</v>
      </c>
      <c r="C520" s="64" t="str">
        <f t="shared" si="84"/>
        <v xml:space="preserve"> </v>
      </c>
      <c r="D520" s="1546">
        <f>D516</f>
        <v>0.24</v>
      </c>
      <c r="E520" s="1051" t="str">
        <f>VLOOKUP($B520,DG!A:D,DG!$B$2,)</f>
        <v>03.7000</v>
      </c>
      <c r="F520" s="1052" t="str">
        <f>VLOOKUP($B520,DG!A:D,DG!$C$2,)&amp;"san phaúng ñaàu cöø"</f>
        <v>Đắp cát san phaúng ñaàu cöø</v>
      </c>
      <c r="G520" s="1051" t="str">
        <f>VLOOKUP($B520,DG!A:D,DG!$D$2,)</f>
        <v>m3</v>
      </c>
      <c r="H520" s="1846"/>
      <c r="I520" s="1846"/>
      <c r="J520" s="1846"/>
      <c r="K520" s="1846"/>
      <c r="L520" s="1846"/>
      <c r="M520" s="1846"/>
      <c r="N520" s="1846"/>
      <c r="O520" s="1846"/>
      <c r="P520" s="1846"/>
      <c r="Q520" s="1055"/>
      <c r="R520" s="1055"/>
      <c r="S520" s="1055"/>
      <c r="T520" s="2059">
        <f t="shared" si="86"/>
        <v>0</v>
      </c>
    </row>
    <row r="521" spans="1:20" ht="22.15" hidden="1" customHeight="1">
      <c r="A521" s="63"/>
      <c r="B521" s="1599" t="s">
        <v>9</v>
      </c>
      <c r="C521" s="64" t="str">
        <f t="shared" si="84"/>
        <v xml:space="preserve"> </v>
      </c>
      <c r="D521" s="1547">
        <f>D517</f>
        <v>193.05</v>
      </c>
      <c r="E521" s="1051" t="str">
        <f>VLOOKUP($B521,DG!A:D,DG!$B$2,)</f>
        <v>04.5101</v>
      </c>
      <c r="F521" s="1052" t="str">
        <f>VLOOKUP($B521,DG!A:D,DG!$C$2,)</f>
        <v>Gia công và lắp dựng cốt thép D&lt;=10</v>
      </c>
      <c r="G521" s="1051" t="str">
        <f>VLOOKUP($B521,DG!A:D,DG!$D$2,)</f>
        <v>kg</v>
      </c>
      <c r="H521" s="1846"/>
      <c r="I521" s="1846"/>
      <c r="J521" s="1846"/>
      <c r="K521" s="1846"/>
      <c r="L521" s="1846"/>
      <c r="M521" s="1846"/>
      <c r="N521" s="1846"/>
      <c r="O521" s="1846"/>
      <c r="P521" s="1846"/>
      <c r="Q521" s="1055"/>
      <c r="R521" s="1055"/>
      <c r="S521" s="1055"/>
      <c r="T521" s="2059">
        <f t="shared" si="86"/>
        <v>0</v>
      </c>
    </row>
    <row r="522" spans="1:20" ht="22.15" hidden="1" customHeight="1">
      <c r="A522" s="63"/>
      <c r="B522" s="1599" t="s">
        <v>10</v>
      </c>
      <c r="C522" s="64" t="str">
        <f t="shared" si="84"/>
        <v xml:space="preserve"> </v>
      </c>
      <c r="D522" s="1546">
        <v>8</v>
      </c>
      <c r="E522" s="1051" t="str">
        <f>VLOOKUP($B522,DG!A:D,DG!$B$2,)</f>
        <v>04.2001</v>
      </c>
      <c r="F522" s="1052" t="str">
        <f>VLOOKUP($B522,DG!A:D,DG!$C$2,)</f>
        <v>Gia công và lắp dựng ván khuôn</v>
      </c>
      <c r="G522" s="1051" t="str">
        <f>VLOOKUP($B522,DG!A:D,DG!$D$2,)</f>
        <v>m2</v>
      </c>
      <c r="H522" s="1846"/>
      <c r="I522" s="1846"/>
      <c r="J522" s="1846"/>
      <c r="K522" s="1846"/>
      <c r="L522" s="1846"/>
      <c r="M522" s="1846"/>
      <c r="N522" s="1846"/>
      <c r="O522" s="1846"/>
      <c r="P522" s="1846"/>
      <c r="Q522" s="1055"/>
      <c r="R522" s="1055"/>
      <c r="S522" s="1055"/>
      <c r="T522" s="2059">
        <f t="shared" si="86"/>
        <v>0</v>
      </c>
    </row>
    <row r="523" spans="1:20" ht="22.15" hidden="1" customHeight="1">
      <c r="A523" s="63"/>
      <c r="B523" s="1584" t="s">
        <v>17</v>
      </c>
      <c r="C523" s="64" t="str">
        <f t="shared" si="84"/>
        <v xml:space="preserve"> </v>
      </c>
      <c r="D523" s="1546">
        <f>D517/1000</f>
        <v>0.19305</v>
      </c>
      <c r="E523" s="1051" t="str">
        <f>VLOOKUP($B523,DG!A:C,2,)</f>
        <v>02.1351</v>
      </c>
      <c r="F523" s="1052" t="str">
        <f>VLOOKUP($B523,DG!A:C,3,)</f>
        <v>V/c cốt thép ( cự ly &lt;=100m)</v>
      </c>
      <c r="G523" s="1051" t="str">
        <f>VLOOKUP($B523,DG!A:D,4,0)</f>
        <v>tấn</v>
      </c>
      <c r="H523" s="1846"/>
      <c r="I523" s="1846"/>
      <c r="J523" s="1846"/>
      <c r="K523" s="1846"/>
      <c r="L523" s="1846"/>
      <c r="M523" s="1846"/>
      <c r="N523" s="1846"/>
      <c r="O523" s="1846"/>
      <c r="P523" s="1846"/>
      <c r="Q523" s="1058"/>
      <c r="R523" s="1058"/>
      <c r="S523" s="1058"/>
      <c r="T523" s="2059">
        <f t="shared" si="86"/>
        <v>0</v>
      </c>
    </row>
    <row r="524" spans="1:20" ht="22.15" hidden="1" customHeight="1">
      <c r="A524" s="63"/>
      <c r="B524" s="1584" t="s">
        <v>19</v>
      </c>
      <c r="C524" s="64" t="str">
        <f t="shared" si="84"/>
        <v xml:space="preserve"> </v>
      </c>
      <c r="D524" s="1546">
        <f>D516</f>
        <v>0.24</v>
      </c>
      <c r="E524" s="1051">
        <f>VLOOKUP($B524,DG!A:C,2,)</f>
        <v>0</v>
      </c>
      <c r="F524" s="1052" t="str">
        <f>VLOOKUP($B524,DG!A:C,3,)</f>
        <v>Cát vàng</v>
      </c>
      <c r="G524" s="1051" t="str">
        <f>VLOOKUP($B524,DG!A:D,4,0)</f>
        <v>m3</v>
      </c>
      <c r="H524" s="1846"/>
      <c r="I524" s="1846"/>
      <c r="J524" s="1846"/>
      <c r="K524" s="1846"/>
      <c r="L524" s="1846"/>
      <c r="M524" s="1846"/>
      <c r="N524" s="1846"/>
      <c r="O524" s="1846"/>
      <c r="P524" s="1846"/>
      <c r="Q524" s="1058"/>
      <c r="R524" s="1058"/>
      <c r="S524" s="1058"/>
      <c r="T524" s="2059">
        <f t="shared" si="86"/>
        <v>0</v>
      </c>
    </row>
    <row r="525" spans="1:20" ht="22.15" hidden="1" customHeight="1">
      <c r="A525" s="63"/>
      <c r="B525" s="1584" t="s">
        <v>635</v>
      </c>
      <c r="C525" s="64" t="str">
        <f t="shared" si="84"/>
        <v xml:space="preserve"> </v>
      </c>
      <c r="D525" s="1546">
        <v>0.2</v>
      </c>
      <c r="E525" s="1051" t="str">
        <f>VLOOKUP($B525,DG!A:C,2,)</f>
        <v>02.1482</v>
      </c>
      <c r="F525" s="1052" t="str">
        <f>VLOOKUP($B525,DG!A:C,3,)</f>
        <v>V/c dụng cụ thi công vào vị trí (cự ly &lt;=100m)</v>
      </c>
      <c r="G525" s="1051" t="str">
        <f>VLOOKUP($B525,DG!A:D,4,0)</f>
        <v>tấn</v>
      </c>
      <c r="H525" s="1846"/>
      <c r="I525" s="1846"/>
      <c r="J525" s="1846"/>
      <c r="K525" s="1846"/>
      <c r="L525" s="1846"/>
      <c r="M525" s="1846"/>
      <c r="N525" s="1846"/>
      <c r="O525" s="1846"/>
      <c r="P525" s="1846"/>
      <c r="Q525" s="1058"/>
      <c r="R525" s="1058"/>
      <c r="S525" s="1058"/>
      <c r="T525" s="2059">
        <f t="shared" si="86"/>
        <v>0</v>
      </c>
    </row>
    <row r="526" spans="1:20" ht="22.15" hidden="1" customHeight="1">
      <c r="A526" s="56" t="s">
        <v>893</v>
      </c>
      <c r="B526" s="1583" t="s">
        <v>893</v>
      </c>
      <c r="C526" s="62" t="str">
        <f t="shared" si="84"/>
        <v xml:space="preserve"> </v>
      </c>
      <c r="D526" s="1541"/>
      <c r="E526" s="1048"/>
      <c r="F526" s="1396" t="s">
        <v>2389</v>
      </c>
      <c r="G526" s="1049" t="s">
        <v>2336</v>
      </c>
      <c r="H526" s="1843">
        <f>SUM(I526:O526)</f>
        <v>0</v>
      </c>
      <c r="I526" s="1844"/>
      <c r="J526" s="1844"/>
      <c r="K526" s="1844">
        <f>IFERROR(HLOOKUP(B526,pp3p1m!$1:$3,3,0),0)</f>
        <v>0</v>
      </c>
      <c r="L526" s="1844">
        <f>IFERROR(HLOOKUP(chitiet!B526,pp1p!$1:$3,3,0),0)</f>
        <v>0</v>
      </c>
      <c r="M526" s="1844"/>
      <c r="N526" s="1844"/>
      <c r="O526" s="1844"/>
      <c r="P526" s="1844"/>
      <c r="Q526" s="1050"/>
      <c r="R526" s="1050"/>
      <c r="S526" s="1050"/>
      <c r="T526" s="2059">
        <f>IFERROR(HLOOKUP(B526,pp1p!$1:$3,3,0),0)+IFERROR(HLOOKUP(B526,pp3p1m!$1:$3,3,0),0)</f>
        <v>0</v>
      </c>
    </row>
    <row r="527" spans="1:20" ht="22.15" hidden="1" customHeight="1">
      <c r="A527" s="63"/>
      <c r="B527" s="1599" t="s">
        <v>1580</v>
      </c>
      <c r="C527" s="64" t="str">
        <f t="shared" si="84"/>
        <v xml:space="preserve"> </v>
      </c>
      <c r="D527" s="1547">
        <v>4</v>
      </c>
      <c r="E527" s="1047" t="str">
        <f>VLOOKUP($B527,DG!A:D,DG!$B$2,)</f>
        <v>04.3801</v>
      </c>
      <c r="F527" s="1057" t="str">
        <f>VLOOKUP($B527,DG!A:D,DG!$C$2,)</f>
        <v>Đà cản BTCT 1,5m</v>
      </c>
      <c r="G527" s="1051" t="str">
        <f>VLOOKUP($B527,DG!A:D,DG!$D$2,)</f>
        <v>cái</v>
      </c>
      <c r="H527" s="1846">
        <f t="shared" ref="H527:N528" si="94">H$526*$D527</f>
        <v>0</v>
      </c>
      <c r="I527" s="1846">
        <f t="shared" si="94"/>
        <v>0</v>
      </c>
      <c r="J527" s="1846">
        <f t="shared" si="94"/>
        <v>0</v>
      </c>
      <c r="K527" s="1846">
        <f t="shared" si="94"/>
        <v>0</v>
      </c>
      <c r="L527" s="1846">
        <f t="shared" si="94"/>
        <v>0</v>
      </c>
      <c r="M527" s="1846">
        <f t="shared" si="94"/>
        <v>0</v>
      </c>
      <c r="N527" s="1846">
        <f t="shared" si="94"/>
        <v>0</v>
      </c>
      <c r="O527" s="1846"/>
      <c r="P527" s="1846"/>
      <c r="Q527" s="1055"/>
      <c r="R527" s="1055"/>
      <c r="S527" s="1055"/>
      <c r="T527" s="2059">
        <f t="shared" si="86"/>
        <v>0</v>
      </c>
    </row>
    <row r="528" spans="1:20" ht="22.15" hidden="1" customHeight="1">
      <c r="A528" s="63"/>
      <c r="B528" s="1599" t="s">
        <v>416</v>
      </c>
      <c r="C528" s="64" t="str">
        <f t="shared" si="84"/>
        <v xml:space="preserve"> </v>
      </c>
      <c r="D528" s="1547">
        <v>4</v>
      </c>
      <c r="E528" s="1047"/>
      <c r="F528" s="1395" t="str">
        <f>VLOOKUP($B528,DG!A:D,DG!$C$2,)</f>
        <v>Boulon 22x800+ 2 long đền vuông D24-50x50x3/Zn</v>
      </c>
      <c r="G528" s="1051" t="str">
        <f>VLOOKUP($B528,DG!A:D,DG!$D$2,)</f>
        <v>bộ</v>
      </c>
      <c r="H528" s="1846">
        <f t="shared" si="94"/>
        <v>0</v>
      </c>
      <c r="I528" s="1846">
        <f t="shared" si="94"/>
        <v>0</v>
      </c>
      <c r="J528" s="1846">
        <f t="shared" si="94"/>
        <v>0</v>
      </c>
      <c r="K528" s="1846">
        <f t="shared" si="94"/>
        <v>0</v>
      </c>
      <c r="L528" s="1846">
        <f t="shared" si="94"/>
        <v>0</v>
      </c>
      <c r="M528" s="1846">
        <f t="shared" si="94"/>
        <v>0</v>
      </c>
      <c r="N528" s="1846">
        <f t="shared" si="94"/>
        <v>0</v>
      </c>
      <c r="O528" s="1846"/>
      <c r="P528" s="1846"/>
      <c r="Q528" s="1055"/>
      <c r="R528" s="1055"/>
      <c r="S528" s="1055"/>
      <c r="T528" s="2059">
        <f t="shared" si="86"/>
        <v>0</v>
      </c>
    </row>
    <row r="529" spans="1:20" ht="22.15" hidden="1" customHeight="1">
      <c r="A529" s="63"/>
      <c r="B529" s="1599" t="s">
        <v>639</v>
      </c>
      <c r="C529" s="64" t="str">
        <f t="shared" si="84"/>
        <v xml:space="preserve"> </v>
      </c>
      <c r="D529" s="1546">
        <v>21.8</v>
      </c>
      <c r="E529" s="1051" t="str">
        <f>VLOOKUP($B529,DG!A:D,DG!$B$2,)</f>
        <v>03.1013</v>
      </c>
      <c r="F529" s="1052" t="str">
        <f>VLOOKUP($B529,DG!A:D,DG!$C$2,)</f>
        <v>Đào hố móng đất cấp 3 sâu &gt;1m</v>
      </c>
      <c r="G529" s="1051" t="str">
        <f>VLOOKUP($B529,DG!A:D,DG!$D$2,)</f>
        <v>m3</v>
      </c>
      <c r="H529" s="1846"/>
      <c r="I529" s="1846"/>
      <c r="J529" s="1846"/>
      <c r="K529" s="1846"/>
      <c r="L529" s="1846"/>
      <c r="M529" s="1846"/>
      <c r="N529" s="1846"/>
      <c r="O529" s="1846"/>
      <c r="P529" s="1846"/>
      <c r="Q529" s="1058"/>
      <c r="R529" s="1058"/>
      <c r="S529" s="1058"/>
      <c r="T529" s="2059">
        <f t="shared" ref="T529:T592" si="95">IFERROR(HLOOKUP(B529,BangKeTru,3,0),0)</f>
        <v>0</v>
      </c>
    </row>
    <row r="530" spans="1:20" ht="22.15" hidden="1" customHeight="1">
      <c r="A530" s="63"/>
      <c r="B530" s="1599" t="s">
        <v>21</v>
      </c>
      <c r="C530" s="64" t="str">
        <f t="shared" ref="C530:C593" si="96">IF(OR(P530&lt;&gt;0,H530&lt;&gt;0),"x"," ")</f>
        <v xml:space="preserve"> </v>
      </c>
      <c r="D530" s="1546">
        <v>23.1</v>
      </c>
      <c r="E530" s="1051" t="str">
        <f>VLOOKUP($B530,DG!A:D,DG!$B$2,)</f>
        <v>03.4113</v>
      </c>
      <c r="F530" s="1052" t="str">
        <f>VLOOKUP($B530,DG!A:D,DG!$C$2,)</f>
        <v>Đắp đất hố móng, độ chặt k=0,95</v>
      </c>
      <c r="G530" s="1051" t="str">
        <f>VLOOKUP($B530,DG!A:D,DG!$D$2,)</f>
        <v>m3</v>
      </c>
      <c r="H530" s="1846"/>
      <c r="I530" s="1846"/>
      <c r="J530" s="1846"/>
      <c r="K530" s="1846"/>
      <c r="L530" s="1846"/>
      <c r="M530" s="1846"/>
      <c r="N530" s="1846"/>
      <c r="O530" s="1846"/>
      <c r="P530" s="1846"/>
      <c r="Q530" s="1058"/>
      <c r="R530" s="1058"/>
      <c r="S530" s="1058"/>
      <c r="T530" s="2059">
        <f t="shared" si="95"/>
        <v>0</v>
      </c>
    </row>
    <row r="531" spans="1:20" ht="22.15" hidden="1" customHeight="1">
      <c r="A531" s="63"/>
      <c r="B531" s="1599" t="s">
        <v>637</v>
      </c>
      <c r="C531" s="64" t="str">
        <f t="shared" si="96"/>
        <v xml:space="preserve"> </v>
      </c>
      <c r="D531" s="1546">
        <f>0.255*D527</f>
        <v>1.02</v>
      </c>
      <c r="E531" s="1051" t="str">
        <f>VLOOKUP($B531,DG!A:D,DG!$B$2,)</f>
        <v>02.1123</v>
      </c>
      <c r="F531" s="1052" t="str">
        <f>VLOOKUP($B531,DG!A:D,DG!$C$2,)</f>
        <v>Bốc dỡ đà cản, đế néo</v>
      </c>
      <c r="G531" s="1051" t="str">
        <f>VLOOKUP($B531,DG!A:D,DG!$D$2,)</f>
        <v>tấn</v>
      </c>
      <c r="H531" s="1846"/>
      <c r="I531" s="1846"/>
      <c r="J531" s="1846"/>
      <c r="K531" s="1846"/>
      <c r="L531" s="1846"/>
      <c r="M531" s="1846"/>
      <c r="N531" s="1846"/>
      <c r="O531" s="1846"/>
      <c r="P531" s="1846"/>
      <c r="Q531" s="1055"/>
      <c r="R531" s="1055"/>
      <c r="S531" s="1055"/>
      <c r="T531" s="2059">
        <f t="shared" si="95"/>
        <v>0</v>
      </c>
    </row>
    <row r="532" spans="1:20" ht="22.15" hidden="1" customHeight="1">
      <c r="A532" s="63"/>
      <c r="B532" s="1584" t="s">
        <v>2071</v>
      </c>
      <c r="C532" s="64" t="str">
        <f t="shared" si="96"/>
        <v xml:space="preserve"> </v>
      </c>
      <c r="D532" s="1546">
        <f>D531</f>
        <v>1.02</v>
      </c>
      <c r="E532" s="1051" t="str">
        <f>VLOOKUP($B532,DG!A:C,2,)</f>
        <v>02.1451</v>
      </c>
      <c r="F532" s="1052" t="str">
        <f>VLOOKUP($B532,DG!A:C,3,)</f>
        <v>V/c đà cản vào vị trí (cự ly &lt;=100m)</v>
      </c>
      <c r="G532" s="1051" t="str">
        <f>VLOOKUP($B532,DG!A:D,4,0)</f>
        <v>tấn</v>
      </c>
      <c r="H532" s="1846"/>
      <c r="I532" s="1846"/>
      <c r="J532" s="1846"/>
      <c r="K532" s="1846"/>
      <c r="L532" s="1846"/>
      <c r="M532" s="1846"/>
      <c r="N532" s="1846"/>
      <c r="O532" s="1846"/>
      <c r="P532" s="1846"/>
      <c r="Q532" s="1058"/>
      <c r="R532" s="1058"/>
      <c r="S532" s="1058"/>
      <c r="T532" s="2059">
        <f t="shared" si="95"/>
        <v>0</v>
      </c>
    </row>
    <row r="533" spans="1:20" ht="22.15" hidden="1" customHeight="1">
      <c r="A533" s="63"/>
      <c r="B533" s="1584" t="s">
        <v>635</v>
      </c>
      <c r="C533" s="64" t="str">
        <f t="shared" si="96"/>
        <v xml:space="preserve"> </v>
      </c>
      <c r="D533" s="1546">
        <v>0.2</v>
      </c>
      <c r="E533" s="1051" t="str">
        <f>VLOOKUP($B533,DG!A:C,2,)</f>
        <v>02.1482</v>
      </c>
      <c r="F533" s="1052" t="str">
        <f>VLOOKUP($B533,DG!A:C,3,)</f>
        <v>V/c dụng cụ thi công vào vị trí (cự ly &lt;=100m)</v>
      </c>
      <c r="G533" s="1051" t="str">
        <f>VLOOKUP($B533,DG!A:D,4,0)</f>
        <v>tấn</v>
      </c>
      <c r="H533" s="1846"/>
      <c r="I533" s="1846"/>
      <c r="J533" s="1846"/>
      <c r="K533" s="1846"/>
      <c r="L533" s="1846"/>
      <c r="M533" s="1846"/>
      <c r="N533" s="1846"/>
      <c r="O533" s="1846"/>
      <c r="P533" s="1846"/>
      <c r="Q533" s="1058"/>
      <c r="R533" s="1058"/>
      <c r="S533" s="1058"/>
      <c r="T533" s="2059">
        <f t="shared" si="95"/>
        <v>0</v>
      </c>
    </row>
    <row r="534" spans="1:20" ht="22.15" hidden="1" customHeight="1">
      <c r="A534" s="56" t="s">
        <v>513</v>
      </c>
      <c r="B534" s="1583" t="s">
        <v>513</v>
      </c>
      <c r="C534" s="62" t="str">
        <f t="shared" si="96"/>
        <v xml:space="preserve"> </v>
      </c>
      <c r="D534" s="1541"/>
      <c r="E534" s="1048"/>
      <c r="F534" s="1396" t="s">
        <v>2390</v>
      </c>
      <c r="G534" s="1049" t="s">
        <v>2391</v>
      </c>
      <c r="H534" s="1843">
        <f>SUM(I534:O534)</f>
        <v>0</v>
      </c>
      <c r="I534" s="1844"/>
      <c r="J534" s="1844"/>
      <c r="K534" s="1844">
        <f>IFERROR(HLOOKUP(B534,pp3p1m!$1:$3,3,0),0)</f>
        <v>0</v>
      </c>
      <c r="L534" s="1844">
        <f>IFERROR(HLOOKUP(chitiet!B534,pp1p!$1:$3,3,0),0)</f>
        <v>0</v>
      </c>
      <c r="M534" s="1844"/>
      <c r="N534" s="1844"/>
      <c r="O534" s="1844"/>
      <c r="P534" s="1844"/>
      <c r="Q534" s="1050"/>
      <c r="R534" s="1050"/>
      <c r="S534" s="1050"/>
      <c r="T534" s="2059">
        <f>IFERROR(HLOOKUP(B534,pp1p!$1:$3,3,0),0)+IFERROR(HLOOKUP(B534,pp3p1m!$1:$3,3,0),0)</f>
        <v>0</v>
      </c>
    </row>
    <row r="535" spans="1:20" ht="22.15" hidden="1" customHeight="1">
      <c r="A535" s="63"/>
      <c r="B535" s="1584" t="s">
        <v>753</v>
      </c>
      <c r="C535" s="64" t="str">
        <f t="shared" si="96"/>
        <v xml:space="preserve"> </v>
      </c>
      <c r="D535" s="1545">
        <f>D548*P548+D549*P549</f>
        <v>0</v>
      </c>
      <c r="E535" s="1047"/>
      <c r="F535" s="1052" t="str">
        <f>VLOOKUP($B535,DG!A:D,DG!$C$2,)</f>
        <v>Ximăng (PC40)</v>
      </c>
      <c r="G535" s="1051" t="str">
        <f>VLOOKUP($B535,DG!A:D,DG!$D$2,)</f>
        <v>kg</v>
      </c>
      <c r="H535" s="1845">
        <f t="shared" ref="H535:N537" si="97">H$534*$D535</f>
        <v>0</v>
      </c>
      <c r="I535" s="1845">
        <f t="shared" si="97"/>
        <v>0</v>
      </c>
      <c r="J535" s="1845">
        <f t="shared" si="97"/>
        <v>0</v>
      </c>
      <c r="K535" s="1845">
        <f t="shared" si="97"/>
        <v>0</v>
      </c>
      <c r="L535" s="1845">
        <f t="shared" si="97"/>
        <v>0</v>
      </c>
      <c r="M535" s="1845">
        <f t="shared" si="97"/>
        <v>0</v>
      </c>
      <c r="N535" s="1845">
        <f t="shared" si="97"/>
        <v>0</v>
      </c>
      <c r="O535" s="1845"/>
      <c r="P535" s="1845"/>
      <c r="Q535" s="1056"/>
      <c r="R535" s="1056"/>
      <c r="S535" s="1056"/>
      <c r="T535" s="2059">
        <f t="shared" si="95"/>
        <v>0</v>
      </c>
    </row>
    <row r="536" spans="1:20" ht="22.15" hidden="1" customHeight="1">
      <c r="A536" s="63"/>
      <c r="B536" s="1585" t="s">
        <v>4447</v>
      </c>
      <c r="C536" s="64" t="str">
        <f t="shared" si="96"/>
        <v xml:space="preserve"> </v>
      </c>
      <c r="D536" s="1545">
        <f>D548*Q548+D549*Q549</f>
        <v>0</v>
      </c>
      <c r="E536" s="1051"/>
      <c r="F536" s="1052" t="str">
        <f>VLOOKUP($B536,DG!A:D,DG!$C$2,)</f>
        <v>Cát vàng</v>
      </c>
      <c r="G536" s="1051" t="str">
        <f>VLOOKUP($B536,DG!A:D,DG!$D$2,)</f>
        <v>m3</v>
      </c>
      <c r="H536" s="1845">
        <f t="shared" si="97"/>
        <v>0</v>
      </c>
      <c r="I536" s="1845">
        <f t="shared" si="97"/>
        <v>0</v>
      </c>
      <c r="J536" s="1845">
        <f t="shared" si="97"/>
        <v>0</v>
      </c>
      <c r="K536" s="1845">
        <f t="shared" si="97"/>
        <v>0</v>
      </c>
      <c r="L536" s="1845">
        <f t="shared" si="97"/>
        <v>0</v>
      </c>
      <c r="M536" s="1845">
        <f t="shared" si="97"/>
        <v>0</v>
      </c>
      <c r="N536" s="1845">
        <f t="shared" si="97"/>
        <v>0</v>
      </c>
      <c r="O536" s="1845"/>
      <c r="P536" s="1845"/>
      <c r="Q536" s="1056"/>
      <c r="R536" s="1056"/>
      <c r="S536" s="1056"/>
      <c r="T536" s="2059">
        <f t="shared" si="95"/>
        <v>0</v>
      </c>
    </row>
    <row r="537" spans="1:20" ht="22.15" hidden="1" customHeight="1">
      <c r="A537" s="63"/>
      <c r="B537" s="1584" t="s">
        <v>869</v>
      </c>
      <c r="C537" s="64" t="str">
        <f t="shared" si="96"/>
        <v xml:space="preserve"> </v>
      </c>
      <c r="D537" s="1545">
        <f>D549*R549</f>
        <v>0</v>
      </c>
      <c r="E537" s="1051" t="s">
        <v>725</v>
      </c>
      <c r="F537" s="1052" t="str">
        <f>VLOOKUP($B537,DG!A:D,DG!$C$2,)</f>
        <v>Đá 1x2</v>
      </c>
      <c r="G537" s="1051" t="str">
        <f>VLOOKUP($B537,DG!A:D,DG!$D$2,)</f>
        <v>m3</v>
      </c>
      <c r="H537" s="1845">
        <f t="shared" si="97"/>
        <v>0</v>
      </c>
      <c r="I537" s="1845">
        <f t="shared" si="97"/>
        <v>0</v>
      </c>
      <c r="J537" s="1845">
        <f t="shared" si="97"/>
        <v>0</v>
      </c>
      <c r="K537" s="1845">
        <f t="shared" si="97"/>
        <v>0</v>
      </c>
      <c r="L537" s="1845">
        <f t="shared" si="97"/>
        <v>0</v>
      </c>
      <c r="M537" s="1845">
        <f t="shared" si="97"/>
        <v>0</v>
      </c>
      <c r="N537" s="1845">
        <f t="shared" si="97"/>
        <v>0</v>
      </c>
      <c r="O537" s="1845"/>
      <c r="P537" s="1845"/>
      <c r="Q537" s="1056"/>
      <c r="R537" s="1056"/>
      <c r="S537" s="1056"/>
      <c r="T537" s="2059">
        <f t="shared" si="95"/>
        <v>0</v>
      </c>
    </row>
    <row r="538" spans="1:20" ht="22.15" hidden="1" customHeight="1">
      <c r="A538" s="63"/>
      <c r="B538" s="1584" t="s">
        <v>1985</v>
      </c>
      <c r="C538" s="64" t="str">
        <f t="shared" si="96"/>
        <v xml:space="preserve"> </v>
      </c>
      <c r="D538" s="1545">
        <f>D548*R548</f>
        <v>0</v>
      </c>
      <c r="E538" s="1051" t="s">
        <v>725</v>
      </c>
      <c r="F538" s="1052" t="str">
        <f>VLOOKUP($B538,DG!A:D,DG!$C$2,)</f>
        <v>Đá 4x6</v>
      </c>
      <c r="G538" s="1051" t="str">
        <f>VLOOKUP($B538,DG!A:D,DG!$D$2,)</f>
        <v>m3</v>
      </c>
      <c r="H538" s="1845"/>
      <c r="I538" s="1845"/>
      <c r="J538" s="1845"/>
      <c r="K538" s="1845"/>
      <c r="L538" s="1845"/>
      <c r="M538" s="1845"/>
      <c r="N538" s="1845"/>
      <c r="O538" s="1845"/>
      <c r="P538" s="1845"/>
      <c r="Q538" s="1056"/>
      <c r="R538" s="1056"/>
      <c r="S538" s="1056"/>
      <c r="T538" s="2059">
        <f t="shared" si="95"/>
        <v>0</v>
      </c>
    </row>
    <row r="539" spans="1:20" ht="22.15" hidden="1" customHeight="1">
      <c r="A539" s="63"/>
      <c r="B539" s="1584" t="s">
        <v>1979</v>
      </c>
      <c r="C539" s="64" t="str">
        <f t="shared" si="96"/>
        <v xml:space="preserve"> </v>
      </c>
      <c r="D539" s="1545">
        <v>4.74</v>
      </c>
      <c r="E539" s="1051" t="s">
        <v>725</v>
      </c>
      <c r="F539" s="1057" t="str">
        <f>VLOOKUP($B539,DG!A:D,DG!$C$2,)</f>
        <v>Sắt Ø6</v>
      </c>
      <c r="G539" s="1051" t="str">
        <f>VLOOKUP($B539,DG!A:D,DG!$D$2,)</f>
        <v>kg</v>
      </c>
      <c r="H539" s="1845"/>
      <c r="I539" s="1845"/>
      <c r="J539" s="1845"/>
      <c r="K539" s="1845"/>
      <c r="L539" s="1845"/>
      <c r="M539" s="1845"/>
      <c r="N539" s="1845"/>
      <c r="O539" s="1845"/>
      <c r="P539" s="1845"/>
      <c r="Q539" s="1056"/>
      <c r="R539" s="1056"/>
      <c r="S539" s="1056"/>
      <c r="T539" s="2059">
        <f t="shared" si="95"/>
        <v>0</v>
      </c>
    </row>
    <row r="540" spans="1:20" ht="22.15" hidden="1" customHeight="1">
      <c r="A540" s="63"/>
      <c r="B540" s="1584" t="s">
        <v>859</v>
      </c>
      <c r="C540" s="64" t="str">
        <f t="shared" si="96"/>
        <v xml:space="preserve"> </v>
      </c>
      <c r="D540" s="1552">
        <f>S549*D549</f>
        <v>0</v>
      </c>
      <c r="E540" s="1051" t="s">
        <v>725</v>
      </c>
      <c r="F540" s="1057" t="str">
        <f>VLOOKUP($B540,DG!A:D,DG!$C$2,)</f>
        <v>Gỗ ván khuôn</v>
      </c>
      <c r="G540" s="1051" t="str">
        <f>VLOOKUP($B540,DG!A:D,DG!$D$2,)</f>
        <v>m3</v>
      </c>
      <c r="H540" s="1845"/>
      <c r="I540" s="1845"/>
      <c r="J540" s="1845"/>
      <c r="K540" s="1845"/>
      <c r="L540" s="1845"/>
      <c r="M540" s="1845"/>
      <c r="N540" s="1845"/>
      <c r="O540" s="1845"/>
      <c r="P540" s="1845"/>
      <c r="Q540" s="1056"/>
      <c r="R540" s="1056"/>
      <c r="S540" s="1056"/>
      <c r="T540" s="2059">
        <f t="shared" si="95"/>
        <v>0</v>
      </c>
    </row>
    <row r="541" spans="1:20" ht="22.15" hidden="1" customHeight="1">
      <c r="A541" s="63"/>
      <c r="B541" s="1584" t="s">
        <v>873</v>
      </c>
      <c r="C541" s="64" t="str">
        <f t="shared" si="96"/>
        <v xml:space="preserve"> </v>
      </c>
      <c r="D541" s="1549">
        <v>0.1</v>
      </c>
      <c r="E541" s="1051" t="s">
        <v>725</v>
      </c>
      <c r="F541" s="1057" t="str">
        <f>VLOOKUP($B541,DG!A:D,DG!$C$2,)</f>
        <v>Dây thép buộc A70</v>
      </c>
      <c r="G541" s="1051" t="str">
        <f>VLOOKUP($B541,DG!A:D,DG!$D$2,)</f>
        <v>kg</v>
      </c>
      <c r="H541" s="1845"/>
      <c r="I541" s="1845"/>
      <c r="J541" s="1845"/>
      <c r="K541" s="1845"/>
      <c r="L541" s="1845"/>
      <c r="M541" s="1845"/>
      <c r="N541" s="1845"/>
      <c r="O541" s="1845"/>
      <c r="P541" s="1845"/>
      <c r="Q541" s="1056"/>
      <c r="R541" s="1056"/>
      <c r="S541" s="1056"/>
      <c r="T541" s="2059">
        <f t="shared" si="95"/>
        <v>0</v>
      </c>
    </row>
    <row r="542" spans="1:20" ht="22.15" hidden="1" customHeight="1">
      <c r="A542" s="63"/>
      <c r="B542" s="1584" t="s">
        <v>639</v>
      </c>
      <c r="C542" s="64" t="str">
        <f t="shared" si="96"/>
        <v xml:space="preserve"> </v>
      </c>
      <c r="D542" s="1542">
        <v>0.29599999999999999</v>
      </c>
      <c r="E542" s="1051" t="s">
        <v>709</v>
      </c>
      <c r="F542" s="1052" t="str">
        <f>VLOOKUP($B542,DG!A:D,DG!$C$2,)</f>
        <v>Đào hố móng đất cấp 3 sâu &gt;1m</v>
      </c>
      <c r="G542" s="1051" t="str">
        <f>VLOOKUP($B542,DG!A:D,DG!$D$2,)</f>
        <v>m3</v>
      </c>
      <c r="H542" s="1845">
        <f t="shared" ref="H542:N543" si="98">H$534*$D542</f>
        <v>0</v>
      </c>
      <c r="I542" s="1845">
        <f t="shared" si="98"/>
        <v>0</v>
      </c>
      <c r="J542" s="1845">
        <f t="shared" si="98"/>
        <v>0</v>
      </c>
      <c r="K542" s="1845">
        <f t="shared" si="98"/>
        <v>0</v>
      </c>
      <c r="L542" s="1845">
        <f t="shared" si="98"/>
        <v>0</v>
      </c>
      <c r="M542" s="1845">
        <f t="shared" si="98"/>
        <v>0</v>
      </c>
      <c r="N542" s="1845">
        <f t="shared" si="98"/>
        <v>0</v>
      </c>
      <c r="O542" s="1845"/>
      <c r="P542" s="1845"/>
      <c r="Q542" s="1056"/>
      <c r="R542" s="1056"/>
      <c r="S542" s="1056"/>
      <c r="T542" s="2059">
        <f t="shared" si="95"/>
        <v>0</v>
      </c>
    </row>
    <row r="543" spans="1:20" ht="22.15" hidden="1" customHeight="1">
      <c r="A543" s="63"/>
      <c r="B543" s="1584" t="s">
        <v>21</v>
      </c>
      <c r="C543" s="64" t="str">
        <f t="shared" si="96"/>
        <v xml:space="preserve"> </v>
      </c>
      <c r="D543" s="1542">
        <v>0.218</v>
      </c>
      <c r="E543" s="1051" t="s">
        <v>22</v>
      </c>
      <c r="F543" s="1052" t="str">
        <f>VLOOKUP($B543,DG!A:D,DG!$C$2,)</f>
        <v>Đắp đất hố móng, độ chặt k=0,95</v>
      </c>
      <c r="G543" s="1051" t="str">
        <f>VLOOKUP($B543,DG!A:D,DG!$D$2,)</f>
        <v>m3</v>
      </c>
      <c r="H543" s="1845">
        <f t="shared" si="98"/>
        <v>0</v>
      </c>
      <c r="I543" s="1845">
        <f t="shared" si="98"/>
        <v>0</v>
      </c>
      <c r="J543" s="1845">
        <f t="shared" si="98"/>
        <v>0</v>
      </c>
      <c r="K543" s="1845">
        <f t="shared" si="98"/>
        <v>0</v>
      </c>
      <c r="L543" s="1845">
        <f t="shared" si="98"/>
        <v>0</v>
      </c>
      <c r="M543" s="1845">
        <f t="shared" si="98"/>
        <v>0</v>
      </c>
      <c r="N543" s="1845">
        <f t="shared" si="98"/>
        <v>0</v>
      </c>
      <c r="O543" s="1845"/>
      <c r="P543" s="1845"/>
      <c r="Q543" s="1056"/>
      <c r="R543" s="1056"/>
      <c r="S543" s="1056"/>
      <c r="T543" s="2059">
        <f t="shared" si="95"/>
        <v>0</v>
      </c>
    </row>
    <row r="544" spans="1:20" ht="22.15" hidden="1" customHeight="1">
      <c r="A544" s="59"/>
      <c r="B544" s="1584" t="s">
        <v>495</v>
      </c>
      <c r="C544" s="64" t="str">
        <f t="shared" si="96"/>
        <v xml:space="preserve"> </v>
      </c>
      <c r="D544" s="1542">
        <f>D535/1000</f>
        <v>0</v>
      </c>
      <c r="E544" s="1051" t="str">
        <f>VLOOKUP($B544,DG!A:D,DG!$B$2,)</f>
        <v>02.1211</v>
      </c>
      <c r="F544" s="1052" t="str">
        <f>VLOOKUP($B544,DG!A:D,DG!$C$2,)</f>
        <v>V/c xi măng ( cự ly &lt;=100m)</v>
      </c>
      <c r="G544" s="1051" t="str">
        <f>VLOOKUP($B544,DG!A:D,DG!$D$2,)</f>
        <v>tấn</v>
      </c>
      <c r="H544" s="1845"/>
      <c r="I544" s="1845"/>
      <c r="J544" s="1845"/>
      <c r="K544" s="1845"/>
      <c r="L544" s="1845"/>
      <c r="M544" s="1845"/>
      <c r="N544" s="1845"/>
      <c r="O544" s="1845"/>
      <c r="P544" s="1845"/>
      <c r="Q544" s="1056"/>
      <c r="R544" s="1056"/>
      <c r="S544" s="1056"/>
      <c r="T544" s="2059">
        <f t="shared" si="95"/>
        <v>0</v>
      </c>
    </row>
    <row r="545" spans="1:20" ht="22.15" hidden="1" customHeight="1">
      <c r="A545" s="59"/>
      <c r="B545" s="1584" t="s">
        <v>1616</v>
      </c>
      <c r="C545" s="64" t="str">
        <f t="shared" si="96"/>
        <v xml:space="preserve"> </v>
      </c>
      <c r="D545" s="1542">
        <f>D536</f>
        <v>0</v>
      </c>
      <c r="E545" s="1051" t="str">
        <f>VLOOKUP($B545,DG!A:D,DG!$B$2,)</f>
        <v>02.1231</v>
      </c>
      <c r="F545" s="1052" t="str">
        <f>VLOOKUP($B545,DG!A:D,DG!$C$2,)</f>
        <v>V/c cát vàng cự ly &lt;=100m</v>
      </c>
      <c r="G545" s="1051" t="str">
        <f>VLOOKUP($B545,DG!A:D,DG!$D$2,)</f>
        <v>m3</v>
      </c>
      <c r="H545" s="1845"/>
      <c r="I545" s="1845"/>
      <c r="J545" s="1845"/>
      <c r="K545" s="1845"/>
      <c r="L545" s="1845"/>
      <c r="M545" s="1845"/>
      <c r="N545" s="1845"/>
      <c r="O545" s="1845"/>
      <c r="P545" s="1845"/>
      <c r="Q545" s="1056"/>
      <c r="R545" s="1056"/>
      <c r="S545" s="1056"/>
      <c r="T545" s="2059">
        <f t="shared" si="95"/>
        <v>0</v>
      </c>
    </row>
    <row r="546" spans="1:20" ht="22.15" hidden="1" customHeight="1">
      <c r="A546" s="59"/>
      <c r="B546" s="1584" t="s">
        <v>521</v>
      </c>
      <c r="C546" s="64" t="str">
        <f t="shared" si="96"/>
        <v xml:space="preserve"> </v>
      </c>
      <c r="D546" s="1542">
        <f>D537</f>
        <v>0</v>
      </c>
      <c r="E546" s="1051" t="str">
        <f>VLOOKUP($B546,DG!A:D,DG!$B$2,)</f>
        <v>02.1241</v>
      </c>
      <c r="F546" s="1052" t="str">
        <f>VLOOKUP($B546,DG!A:D,DG!$C$2,)</f>
        <v>V/c đá dăm ( cự ly &lt;=100m)</v>
      </c>
      <c r="G546" s="1051" t="str">
        <f>VLOOKUP($B546,DG!A:D,DG!$D$2,)</f>
        <v>m3</v>
      </c>
      <c r="H546" s="1845"/>
      <c r="I546" s="1845"/>
      <c r="J546" s="1845"/>
      <c r="K546" s="1845"/>
      <c r="L546" s="1845"/>
      <c r="M546" s="1845"/>
      <c r="N546" s="1845"/>
      <c r="O546" s="1845"/>
      <c r="P546" s="1845"/>
      <c r="Q546" s="1056"/>
      <c r="R546" s="1056"/>
      <c r="S546" s="1056"/>
      <c r="T546" s="2059">
        <f t="shared" si="95"/>
        <v>0</v>
      </c>
    </row>
    <row r="547" spans="1:20" ht="22.15" hidden="1" customHeight="1">
      <c r="A547" s="59"/>
      <c r="B547" s="1584" t="s">
        <v>9</v>
      </c>
      <c r="C547" s="64" t="str">
        <f t="shared" si="96"/>
        <v xml:space="preserve"> </v>
      </c>
      <c r="D547" s="1542">
        <f>D539</f>
        <v>4.74</v>
      </c>
      <c r="E547" s="1051" t="str">
        <f>VLOOKUP($B547,DG!A:D,DG!$B$2,)</f>
        <v>04.5101</v>
      </c>
      <c r="F547" s="1052" t="str">
        <f>VLOOKUP($B547,DG!A:D,DG!$C$2,)</f>
        <v>Gia công và lắp dựng cốt thép D&lt;=10</v>
      </c>
      <c r="G547" s="1051" t="str">
        <f>VLOOKUP($B547,DG!A:D,DG!$D$2,)</f>
        <v>kg</v>
      </c>
      <c r="H547" s="1845"/>
      <c r="I547" s="1845"/>
      <c r="J547" s="1845"/>
      <c r="K547" s="1845"/>
      <c r="L547" s="1845"/>
      <c r="M547" s="1845"/>
      <c r="N547" s="1845"/>
      <c r="O547" s="1845"/>
      <c r="P547" s="1845"/>
      <c r="Q547" s="1056"/>
      <c r="R547" s="1056"/>
      <c r="S547" s="1056"/>
      <c r="T547" s="2059">
        <f t="shared" si="95"/>
        <v>0</v>
      </c>
    </row>
    <row r="548" spans="1:20" ht="22.15" hidden="1" customHeight="1">
      <c r="A548" s="59"/>
      <c r="B548" s="1584" t="s">
        <v>1961</v>
      </c>
      <c r="C548" s="64" t="str">
        <f t="shared" si="96"/>
        <v xml:space="preserve"> </v>
      </c>
      <c r="D548" s="1552">
        <v>3.5000000000000003E-2</v>
      </c>
      <c r="E548" s="1051" t="str">
        <f>VLOOKUP($B548,DG!A:D,DG!$B$2,)</f>
        <v>04.3112</v>
      </c>
      <c r="F548" s="1052" t="str">
        <f>VLOOKUP($B548,DG!A:D,DG!$C$2,)</f>
        <v>Đổ bê tông mác M100 đá 4x6</v>
      </c>
      <c r="G548" s="1051" t="str">
        <f>VLOOKUP($B548,DG!A:D,DG!$D$2,)</f>
        <v>m3</v>
      </c>
      <c r="H548" s="1846"/>
      <c r="I548" s="1846"/>
      <c r="J548" s="1846"/>
      <c r="K548" s="1846"/>
      <c r="L548" s="1846"/>
      <c r="M548" s="1846"/>
      <c r="N548" s="1846"/>
      <c r="O548" s="1846"/>
      <c r="P548" s="1846"/>
      <c r="Q548" s="1058"/>
      <c r="R548" s="1058"/>
      <c r="S548" s="1058"/>
      <c r="T548" s="2059">
        <f t="shared" si="95"/>
        <v>0</v>
      </c>
    </row>
    <row r="549" spans="1:20" ht="22.15" hidden="1" customHeight="1">
      <c r="A549" s="59"/>
      <c r="B549" s="1584" t="s">
        <v>1842</v>
      </c>
      <c r="C549" s="64" t="str">
        <f t="shared" si="96"/>
        <v xml:space="preserve"> </v>
      </c>
      <c r="D549" s="1552">
        <v>5.0500000000000003E-2</v>
      </c>
      <c r="E549" s="1051" t="str">
        <f>VLOOKUP($B549,DG!A:D,DG!$B$2,)</f>
        <v>04.1203c</v>
      </c>
      <c r="F549" s="1052" t="str">
        <f>VLOOKUP($B549,DG!A:D,DG!$C$2,)</f>
        <v>Đổ bê tông móng trụ &lt;=250cm-M200 đá 1x2</v>
      </c>
      <c r="G549" s="1051" t="str">
        <f>VLOOKUP($B549,DG!A:D,DG!$D$2,)</f>
        <v>m3</v>
      </c>
      <c r="H549" s="1846"/>
      <c r="I549" s="1846"/>
      <c r="J549" s="1846"/>
      <c r="K549" s="1846"/>
      <c r="L549" s="1846"/>
      <c r="M549" s="1846"/>
      <c r="N549" s="1846"/>
      <c r="O549" s="1846"/>
      <c r="P549" s="1846"/>
      <c r="Q549" s="1058"/>
      <c r="R549" s="1058"/>
      <c r="S549" s="1058"/>
      <c r="T549" s="2059">
        <f t="shared" si="95"/>
        <v>0</v>
      </c>
    </row>
    <row r="550" spans="1:20" ht="22.15" hidden="1" customHeight="1">
      <c r="A550" s="56" t="s">
        <v>549</v>
      </c>
      <c r="B550" s="1583" t="s">
        <v>549</v>
      </c>
      <c r="C550" s="62" t="str">
        <f t="shared" si="96"/>
        <v xml:space="preserve"> </v>
      </c>
      <c r="D550" s="1541"/>
      <c r="E550" s="1048"/>
      <c r="F550" s="1396" t="s">
        <v>2392</v>
      </c>
      <c r="G550" s="1049" t="s">
        <v>2391</v>
      </c>
      <c r="H550" s="1843">
        <f>SUM(I550:O550)</f>
        <v>0</v>
      </c>
      <c r="I550" s="1844"/>
      <c r="J550" s="1844"/>
      <c r="K550" s="1844">
        <f>IFERROR(HLOOKUP(B550,pp3p1m!$1:$3,3,0),0)</f>
        <v>0</v>
      </c>
      <c r="L550" s="1844">
        <f>IFERROR(HLOOKUP(chitiet!B550,pp1p!$1:$3,3,0),0)</f>
        <v>0</v>
      </c>
      <c r="M550" s="1844"/>
      <c r="N550" s="1844"/>
      <c r="O550" s="1844"/>
      <c r="P550" s="1844"/>
      <c r="Q550" s="1050"/>
      <c r="R550" s="1050"/>
      <c r="S550" s="1050"/>
      <c r="T550" s="2059">
        <f>IFERROR(HLOOKUP(B550,pp1p!$1:$3,3,0),0)+IFERROR(HLOOKUP(B550,pp3p1m!$1:$3,3,0),0)</f>
        <v>0</v>
      </c>
    </row>
    <row r="551" spans="1:20" ht="22.15" hidden="1" customHeight="1">
      <c r="A551" s="63"/>
      <c r="B551" s="1584" t="s">
        <v>753</v>
      </c>
      <c r="C551" s="64" t="str">
        <f t="shared" si="96"/>
        <v xml:space="preserve"> </v>
      </c>
      <c r="D551" s="1545">
        <f>D564*P564+D565*P565</f>
        <v>0</v>
      </c>
      <c r="E551" s="1047"/>
      <c r="F551" s="1052" t="str">
        <f>VLOOKUP($B551,DG!A:D,DG!$C$2,)</f>
        <v>Ximăng (PC40)</v>
      </c>
      <c r="G551" s="1051" t="str">
        <f>VLOOKUP($B551,DG!A:D,DG!$D$2,)</f>
        <v>kg</v>
      </c>
      <c r="H551" s="1845">
        <f>H$550*$D551</f>
        <v>0</v>
      </c>
      <c r="I551" s="1845"/>
      <c r="J551" s="1845"/>
      <c r="K551" s="1845"/>
      <c r="L551" s="1845"/>
      <c r="M551" s="1845"/>
      <c r="N551" s="1845"/>
      <c r="O551" s="1845"/>
      <c r="P551" s="1845"/>
      <c r="Q551" s="1060"/>
      <c r="R551" s="1060"/>
      <c r="S551" s="1060"/>
      <c r="T551" s="2059">
        <f t="shared" si="95"/>
        <v>0</v>
      </c>
    </row>
    <row r="552" spans="1:20" ht="22.15" hidden="1" customHeight="1">
      <c r="A552" s="63"/>
      <c r="B552" s="1585" t="s">
        <v>4447</v>
      </c>
      <c r="C552" s="64" t="str">
        <f t="shared" si="96"/>
        <v xml:space="preserve"> </v>
      </c>
      <c r="D552" s="1545">
        <f>D564*Q564+D565*Q565</f>
        <v>0</v>
      </c>
      <c r="E552" s="1051"/>
      <c r="F552" s="1052" t="str">
        <f>VLOOKUP($B552,DG!A:D,DG!$C$2,)</f>
        <v>Cát vàng</v>
      </c>
      <c r="G552" s="1051" t="str">
        <f>VLOOKUP($B552,DG!A:D,DG!$D$2,)</f>
        <v>m3</v>
      </c>
      <c r="H552" s="1845">
        <f>H$550*$D552</f>
        <v>0</v>
      </c>
      <c r="I552" s="1845"/>
      <c r="J552" s="1845"/>
      <c r="K552" s="1845"/>
      <c r="L552" s="1845"/>
      <c r="M552" s="1845"/>
      <c r="N552" s="1845"/>
      <c r="O552" s="1845"/>
      <c r="P552" s="1845"/>
      <c r="Q552" s="1060"/>
      <c r="R552" s="1060"/>
      <c r="S552" s="1060"/>
      <c r="T552" s="2059">
        <f t="shared" si="95"/>
        <v>0</v>
      </c>
    </row>
    <row r="553" spans="1:20" ht="22.15" hidden="1" customHeight="1">
      <c r="A553" s="63"/>
      <c r="B553" s="1584" t="s">
        <v>869</v>
      </c>
      <c r="C553" s="64" t="str">
        <f t="shared" si="96"/>
        <v xml:space="preserve"> </v>
      </c>
      <c r="D553" s="1545">
        <f>D565*R565</f>
        <v>0</v>
      </c>
      <c r="E553" s="1051" t="s">
        <v>725</v>
      </c>
      <c r="F553" s="1052" t="str">
        <f>VLOOKUP($B553,DG!A:D,DG!$C$2,)</f>
        <v>Đá 1x2</v>
      </c>
      <c r="G553" s="1051" t="str">
        <f>VLOOKUP($B553,DG!A:D,DG!$D$2,)</f>
        <v>m3</v>
      </c>
      <c r="H553" s="1845">
        <f>H$550*$D553</f>
        <v>0</v>
      </c>
      <c r="I553" s="1845"/>
      <c r="J553" s="1845"/>
      <c r="K553" s="1845"/>
      <c r="L553" s="1845"/>
      <c r="M553" s="1845"/>
      <c r="N553" s="1845"/>
      <c r="O553" s="1845"/>
      <c r="P553" s="1845"/>
      <c r="Q553" s="1060"/>
      <c r="R553" s="1060"/>
      <c r="S553" s="1060"/>
      <c r="T553" s="2059">
        <f t="shared" si="95"/>
        <v>0</v>
      </c>
    </row>
    <row r="554" spans="1:20" ht="22.15" hidden="1" customHeight="1">
      <c r="A554" s="63"/>
      <c r="B554" s="1584" t="s">
        <v>1985</v>
      </c>
      <c r="C554" s="64" t="str">
        <f t="shared" si="96"/>
        <v xml:space="preserve"> </v>
      </c>
      <c r="D554" s="1545">
        <f>D564*R564</f>
        <v>0</v>
      </c>
      <c r="E554" s="1051" t="s">
        <v>725</v>
      </c>
      <c r="F554" s="1052" t="str">
        <f>VLOOKUP($B554,DG!A:D,DG!$C$2,)</f>
        <v>Đá 4x6</v>
      </c>
      <c r="G554" s="1051" t="str">
        <f>VLOOKUP($B554,DG!A:D,DG!$D$2,)</f>
        <v>m3</v>
      </c>
      <c r="H554" s="1845">
        <f>H$550*$D554</f>
        <v>0</v>
      </c>
      <c r="I554" s="1845"/>
      <c r="J554" s="1845"/>
      <c r="K554" s="1845"/>
      <c r="L554" s="1845"/>
      <c r="M554" s="1845"/>
      <c r="N554" s="1845"/>
      <c r="O554" s="1845"/>
      <c r="P554" s="1845"/>
      <c r="Q554" s="1060"/>
      <c r="R554" s="1060"/>
      <c r="S554" s="1060"/>
      <c r="T554" s="2059">
        <f t="shared" si="95"/>
        <v>0</v>
      </c>
    </row>
    <row r="555" spans="1:20" ht="22.15" hidden="1" customHeight="1">
      <c r="A555" s="63"/>
      <c r="B555" s="1584" t="s">
        <v>1979</v>
      </c>
      <c r="C555" s="64" t="str">
        <f t="shared" si="96"/>
        <v xml:space="preserve"> </v>
      </c>
      <c r="D555" s="1545">
        <v>4.74</v>
      </c>
      <c r="E555" s="1051" t="s">
        <v>725</v>
      </c>
      <c r="F555" s="1057" t="str">
        <f>VLOOKUP($B555,DG!A:D,DG!$C$2,)</f>
        <v>Sắt Ø6</v>
      </c>
      <c r="G555" s="1051" t="str">
        <f>VLOOKUP($B555,DG!A:D,DG!$D$2,)</f>
        <v>kg</v>
      </c>
      <c r="H555" s="1845"/>
      <c r="I555" s="1845"/>
      <c r="J555" s="1845"/>
      <c r="K555" s="1845"/>
      <c r="L555" s="1845"/>
      <c r="M555" s="1845"/>
      <c r="N555" s="1845"/>
      <c r="O555" s="1845"/>
      <c r="P555" s="1845"/>
      <c r="Q555" s="1056"/>
      <c r="R555" s="1056"/>
      <c r="S555" s="1056"/>
      <c r="T555" s="2059">
        <f t="shared" si="95"/>
        <v>0</v>
      </c>
    </row>
    <row r="556" spans="1:20" ht="22.15" hidden="1" customHeight="1">
      <c r="A556" s="63"/>
      <c r="B556" s="1584" t="s">
        <v>859</v>
      </c>
      <c r="C556" s="64" t="str">
        <f t="shared" si="96"/>
        <v xml:space="preserve"> </v>
      </c>
      <c r="D556" s="1552">
        <f>S565*D565</f>
        <v>0</v>
      </c>
      <c r="E556" s="1051" t="s">
        <v>725</v>
      </c>
      <c r="F556" s="1057" t="str">
        <f>VLOOKUP($B556,DG!A:D,DG!$C$2,)</f>
        <v>Gỗ ván khuôn</v>
      </c>
      <c r="G556" s="1051" t="str">
        <f>VLOOKUP($B556,DG!A:D,DG!$D$2,)</f>
        <v>m3</v>
      </c>
      <c r="H556" s="1845">
        <f>H$550*$D556</f>
        <v>0</v>
      </c>
      <c r="I556" s="1845"/>
      <c r="J556" s="1845"/>
      <c r="K556" s="1845"/>
      <c r="L556" s="1845"/>
      <c r="M556" s="1845"/>
      <c r="N556" s="1845"/>
      <c r="O556" s="1845"/>
      <c r="P556" s="1845"/>
      <c r="Q556" s="1060"/>
      <c r="R556" s="1060"/>
      <c r="S556" s="1060"/>
      <c r="T556" s="2059">
        <f t="shared" si="95"/>
        <v>0</v>
      </c>
    </row>
    <row r="557" spans="1:20" ht="22.15" hidden="1" customHeight="1">
      <c r="A557" s="63"/>
      <c r="B557" s="1584" t="s">
        <v>873</v>
      </c>
      <c r="C557" s="64" t="str">
        <f t="shared" si="96"/>
        <v xml:space="preserve"> </v>
      </c>
      <c r="D557" s="1549">
        <v>0.1</v>
      </c>
      <c r="E557" s="1051" t="s">
        <v>725</v>
      </c>
      <c r="F557" s="1057" t="str">
        <f>VLOOKUP($B557,DG!A:D,DG!$C$2,)</f>
        <v>Dây thép buộc A70</v>
      </c>
      <c r="G557" s="1051" t="str">
        <f>VLOOKUP($B557,DG!A:D,DG!$D$2,)</f>
        <v>kg</v>
      </c>
      <c r="H557" s="1845"/>
      <c r="I557" s="1845"/>
      <c r="J557" s="1845"/>
      <c r="K557" s="1845"/>
      <c r="L557" s="1845"/>
      <c r="M557" s="1845"/>
      <c r="N557" s="1845"/>
      <c r="O557" s="1845"/>
      <c r="P557" s="1845"/>
      <c r="Q557" s="1056"/>
      <c r="R557" s="1056"/>
      <c r="S557" s="1056"/>
      <c r="T557" s="2059">
        <f t="shared" si="95"/>
        <v>0</v>
      </c>
    </row>
    <row r="558" spans="1:20" ht="22.15" hidden="1" customHeight="1">
      <c r="A558" s="63"/>
      <c r="B558" s="1584" t="s">
        <v>639</v>
      </c>
      <c r="C558" s="64" t="str">
        <f t="shared" si="96"/>
        <v xml:space="preserve"> </v>
      </c>
      <c r="D558" s="1542">
        <v>0.29599999999999999</v>
      </c>
      <c r="E558" s="1051" t="s">
        <v>709</v>
      </c>
      <c r="F558" s="1052" t="str">
        <f>VLOOKUP($B558,DG!A:D,DG!$C$2,)</f>
        <v>Đào hố móng đất cấp 3 sâu &gt;1m</v>
      </c>
      <c r="G558" s="1051" t="str">
        <f>VLOOKUP($B558,DG!A:D,DG!$D$2,)</f>
        <v>m3</v>
      </c>
      <c r="H558" s="1845">
        <f>H$534*$D558</f>
        <v>0</v>
      </c>
      <c r="I558" s="1845"/>
      <c r="J558" s="1845"/>
      <c r="K558" s="1845"/>
      <c r="L558" s="1845"/>
      <c r="M558" s="1845"/>
      <c r="N558" s="1845"/>
      <c r="O558" s="1845"/>
      <c r="P558" s="1845"/>
      <c r="Q558" s="1056"/>
      <c r="R558" s="1056"/>
      <c r="S558" s="1056"/>
      <c r="T558" s="2059">
        <f t="shared" si="95"/>
        <v>0</v>
      </c>
    </row>
    <row r="559" spans="1:20" ht="22.15" hidden="1" customHeight="1">
      <c r="A559" s="63"/>
      <c r="B559" s="1584" t="s">
        <v>21</v>
      </c>
      <c r="C559" s="64" t="str">
        <f t="shared" si="96"/>
        <v xml:space="preserve"> </v>
      </c>
      <c r="D559" s="1542">
        <v>0.218</v>
      </c>
      <c r="E559" s="1051" t="s">
        <v>22</v>
      </c>
      <c r="F559" s="1052" t="str">
        <f>VLOOKUP($B559,DG!A:D,DG!$C$2,)</f>
        <v>Đắp đất hố móng, độ chặt k=0,95</v>
      </c>
      <c r="G559" s="1051" t="str">
        <f>VLOOKUP($B559,DG!A:D,DG!$D$2,)</f>
        <v>m3</v>
      </c>
      <c r="H559" s="1845">
        <f>H$534*$D559</f>
        <v>0</v>
      </c>
      <c r="I559" s="1845"/>
      <c r="J559" s="1845"/>
      <c r="K559" s="1845"/>
      <c r="L559" s="1845"/>
      <c r="M559" s="1845"/>
      <c r="N559" s="1845"/>
      <c r="O559" s="1845"/>
      <c r="P559" s="1845"/>
      <c r="Q559" s="1056"/>
      <c r="R559" s="1056"/>
      <c r="S559" s="1056"/>
      <c r="T559" s="2059">
        <f t="shared" si="95"/>
        <v>0</v>
      </c>
    </row>
    <row r="560" spans="1:20" ht="22.15" hidden="1" customHeight="1">
      <c r="A560" s="59"/>
      <c r="B560" s="1584" t="s">
        <v>495</v>
      </c>
      <c r="C560" s="64" t="str">
        <f t="shared" si="96"/>
        <v xml:space="preserve"> </v>
      </c>
      <c r="D560" s="1542">
        <f>D551/1000</f>
        <v>0</v>
      </c>
      <c r="E560" s="1051" t="str">
        <f>VLOOKUP($B560,DG!A:D,DG!$B$2,)</f>
        <v>02.1211</v>
      </c>
      <c r="F560" s="1052" t="str">
        <f>VLOOKUP($B560,DG!A:D,DG!$C$2,)</f>
        <v>V/c xi măng ( cự ly &lt;=100m)</v>
      </c>
      <c r="G560" s="1051" t="str">
        <f>VLOOKUP($B560,DG!A:D,DG!$D$2,)</f>
        <v>tấn</v>
      </c>
      <c r="H560" s="1845"/>
      <c r="I560" s="1845"/>
      <c r="J560" s="1845"/>
      <c r="K560" s="1845"/>
      <c r="L560" s="1845"/>
      <c r="M560" s="1845"/>
      <c r="N560" s="1845"/>
      <c r="O560" s="1845"/>
      <c r="P560" s="1845"/>
      <c r="Q560" s="1056"/>
      <c r="R560" s="1056"/>
      <c r="S560" s="1056"/>
      <c r="T560" s="2059">
        <f t="shared" si="95"/>
        <v>0</v>
      </c>
    </row>
    <row r="561" spans="1:20" ht="22.15" hidden="1" customHeight="1">
      <c r="A561" s="59"/>
      <c r="B561" s="1584" t="s">
        <v>1616</v>
      </c>
      <c r="C561" s="64" t="str">
        <f t="shared" si="96"/>
        <v xml:space="preserve"> </v>
      </c>
      <c r="D561" s="1542">
        <f>D552</f>
        <v>0</v>
      </c>
      <c r="E561" s="1051" t="str">
        <f>VLOOKUP($B561,DG!A:D,DG!$B$2,)</f>
        <v>02.1231</v>
      </c>
      <c r="F561" s="1052" t="str">
        <f>VLOOKUP($B561,DG!A:D,DG!$C$2,)</f>
        <v>V/c cát vàng cự ly &lt;=100m</v>
      </c>
      <c r="G561" s="1051" t="str">
        <f>VLOOKUP($B561,DG!A:D,DG!$D$2,)</f>
        <v>m3</v>
      </c>
      <c r="H561" s="1845"/>
      <c r="I561" s="1845"/>
      <c r="J561" s="1845"/>
      <c r="K561" s="1845"/>
      <c r="L561" s="1845"/>
      <c r="M561" s="1845"/>
      <c r="N561" s="1845"/>
      <c r="O561" s="1845"/>
      <c r="P561" s="1845"/>
      <c r="Q561" s="1056"/>
      <c r="R561" s="1056"/>
      <c r="S561" s="1056"/>
      <c r="T561" s="2059">
        <f t="shared" si="95"/>
        <v>0</v>
      </c>
    </row>
    <row r="562" spans="1:20" ht="22.15" hidden="1" customHeight="1">
      <c r="A562" s="59"/>
      <c r="B562" s="1584" t="s">
        <v>521</v>
      </c>
      <c r="C562" s="64" t="str">
        <f t="shared" si="96"/>
        <v xml:space="preserve"> </v>
      </c>
      <c r="D562" s="1542">
        <f>D553</f>
        <v>0</v>
      </c>
      <c r="E562" s="1051" t="str">
        <f>VLOOKUP($B562,DG!A:D,DG!$B$2,)</f>
        <v>02.1241</v>
      </c>
      <c r="F562" s="1052" t="str">
        <f>VLOOKUP($B562,DG!A:D,DG!$C$2,)</f>
        <v>V/c đá dăm ( cự ly &lt;=100m)</v>
      </c>
      <c r="G562" s="1051" t="str">
        <f>VLOOKUP($B562,DG!A:D,DG!$D$2,)</f>
        <v>m3</v>
      </c>
      <c r="H562" s="1845"/>
      <c r="I562" s="1845"/>
      <c r="J562" s="1845"/>
      <c r="K562" s="1845"/>
      <c r="L562" s="1845"/>
      <c r="M562" s="1845"/>
      <c r="N562" s="1845"/>
      <c r="O562" s="1845"/>
      <c r="P562" s="1845"/>
      <c r="Q562" s="1056"/>
      <c r="R562" s="1056"/>
      <c r="S562" s="1056"/>
      <c r="T562" s="2059">
        <f t="shared" si="95"/>
        <v>0</v>
      </c>
    </row>
    <row r="563" spans="1:20" ht="22.15" hidden="1" customHeight="1">
      <c r="A563" s="59"/>
      <c r="B563" s="1584" t="s">
        <v>9</v>
      </c>
      <c r="C563" s="64" t="str">
        <f t="shared" si="96"/>
        <v xml:space="preserve"> </v>
      </c>
      <c r="D563" s="1542">
        <f>D555</f>
        <v>4.74</v>
      </c>
      <c r="E563" s="1051" t="str">
        <f>VLOOKUP($B563,DG!A:D,DG!$B$2,)</f>
        <v>04.5101</v>
      </c>
      <c r="F563" s="1052" t="str">
        <f>VLOOKUP($B563,DG!A:D,DG!$C$2,)</f>
        <v>Gia công và lắp dựng cốt thép D&lt;=10</v>
      </c>
      <c r="G563" s="1051" t="str">
        <f>VLOOKUP($B563,DG!A:D,DG!$D$2,)</f>
        <v>kg</v>
      </c>
      <c r="H563" s="1845"/>
      <c r="I563" s="1845"/>
      <c r="J563" s="1845"/>
      <c r="K563" s="1845"/>
      <c r="L563" s="1845"/>
      <c r="M563" s="1845"/>
      <c r="N563" s="1845"/>
      <c r="O563" s="1845"/>
      <c r="P563" s="1845"/>
      <c r="Q563" s="1056"/>
      <c r="R563" s="1056"/>
      <c r="S563" s="1056"/>
      <c r="T563" s="2059">
        <f t="shared" si="95"/>
        <v>0</v>
      </c>
    </row>
    <row r="564" spans="1:20" ht="22.15" hidden="1" customHeight="1">
      <c r="A564" s="59"/>
      <c r="B564" s="1584" t="s">
        <v>1961</v>
      </c>
      <c r="C564" s="64" t="str">
        <f t="shared" si="96"/>
        <v xml:space="preserve"> </v>
      </c>
      <c r="D564" s="1552">
        <v>3.5000000000000003E-2</v>
      </c>
      <c r="E564" s="1051" t="str">
        <f>VLOOKUP($B564,DG!A:D,DG!$B$2,)</f>
        <v>04.3112</v>
      </c>
      <c r="F564" s="1052" t="str">
        <f>VLOOKUP($B564,DG!A:D,DG!$C$2,)</f>
        <v>Đổ bê tông mác M100 đá 4x6</v>
      </c>
      <c r="G564" s="1051" t="str">
        <f>VLOOKUP($B564,DG!A:D,DG!$D$2,)</f>
        <v>m3</v>
      </c>
      <c r="H564" s="1846"/>
      <c r="I564" s="1846"/>
      <c r="J564" s="1846"/>
      <c r="K564" s="1846"/>
      <c r="L564" s="1846"/>
      <c r="M564" s="1846"/>
      <c r="N564" s="1846"/>
      <c r="O564" s="1846"/>
      <c r="P564" s="1846"/>
      <c r="Q564" s="1058"/>
      <c r="R564" s="1058"/>
      <c r="S564" s="1058"/>
      <c r="T564" s="2059">
        <f t="shared" si="95"/>
        <v>0</v>
      </c>
    </row>
    <row r="565" spans="1:20" ht="22.15" hidden="1" customHeight="1">
      <c r="A565" s="59"/>
      <c r="B565" s="1584" t="s">
        <v>1842</v>
      </c>
      <c r="C565" s="64" t="str">
        <f t="shared" si="96"/>
        <v xml:space="preserve"> </v>
      </c>
      <c r="D565" s="1552">
        <v>5.0500000000000003E-2</v>
      </c>
      <c r="E565" s="1051" t="str">
        <f>VLOOKUP($B565,DG!A:D,DG!$B$2,)</f>
        <v>04.1203c</v>
      </c>
      <c r="F565" s="1052" t="str">
        <f>VLOOKUP($B565,DG!A:D,DG!$C$2,)</f>
        <v>Đổ bê tông móng trụ &lt;=250cm-M200 đá 1x2</v>
      </c>
      <c r="G565" s="1051" t="str">
        <f>VLOOKUP($B565,DG!A:D,DG!$D$2,)</f>
        <v>m3</v>
      </c>
      <c r="H565" s="1846"/>
      <c r="I565" s="1846"/>
      <c r="J565" s="1846"/>
      <c r="K565" s="1846"/>
      <c r="L565" s="1846"/>
      <c r="M565" s="1846"/>
      <c r="N565" s="1846"/>
      <c r="O565" s="1846"/>
      <c r="P565" s="1846"/>
      <c r="Q565" s="1058"/>
      <c r="R565" s="1058"/>
      <c r="S565" s="1058"/>
      <c r="T565" s="2059">
        <f t="shared" si="95"/>
        <v>0</v>
      </c>
    </row>
    <row r="566" spans="1:20" ht="22.15" hidden="1" customHeight="1">
      <c r="A566" s="56" t="s">
        <v>1567</v>
      </c>
      <c r="B566" s="1583" t="s">
        <v>1567</v>
      </c>
      <c r="C566" s="62" t="str">
        <f t="shared" si="96"/>
        <v xml:space="preserve"> </v>
      </c>
      <c r="D566" s="1541"/>
      <c r="E566" s="1048"/>
      <c r="F566" s="1396" t="s">
        <v>2393</v>
      </c>
      <c r="G566" s="1049" t="s">
        <v>2394</v>
      </c>
      <c r="H566" s="1843">
        <f>SUM(I566:O566)</f>
        <v>0</v>
      </c>
      <c r="I566" s="1844"/>
      <c r="J566" s="1844"/>
      <c r="K566" s="1844">
        <f>IFERROR(HLOOKUP(B566,pp3p1m!$1:$3,3,0),0)</f>
        <v>0</v>
      </c>
      <c r="L566" s="1844">
        <f>IFERROR(HLOOKUP(chitiet!B566,pp1p!$1:$3,3,0),0)</f>
        <v>0</v>
      </c>
      <c r="M566" s="1844"/>
      <c r="N566" s="1844"/>
      <c r="O566" s="1844"/>
      <c r="P566" s="1844">
        <f>H566+Q566-R566</f>
        <v>0</v>
      </c>
      <c r="Q566" s="1050"/>
      <c r="R566" s="1050"/>
      <c r="S566" s="1050"/>
      <c r="T566" s="2059">
        <f>IFERROR(HLOOKUP(B566,pp1p!$1:$3,3,0),0)+IFERROR(HLOOKUP(B566,pp3p1m!$1:$3,3,0),0)</f>
        <v>0</v>
      </c>
    </row>
    <row r="567" spans="1:20" ht="22.15" hidden="1" customHeight="1">
      <c r="A567" s="59"/>
      <c r="B567" s="1586" t="s">
        <v>103</v>
      </c>
      <c r="C567" s="64" t="str">
        <f t="shared" si="96"/>
        <v xml:space="preserve"> </v>
      </c>
      <c r="D567" s="1543">
        <v>3.36</v>
      </c>
      <c r="E567" s="1047"/>
      <c r="F567" s="1059" t="str">
        <f>VLOOKUP($B567,DG!A:D,DG!$C$2,)</f>
        <v>Cáp đồng trần M25mm2</v>
      </c>
      <c r="G567" s="1047" t="str">
        <f>VLOOKUP($B567,DG!A:D,DG!$D$2,)</f>
        <v>kg</v>
      </c>
      <c r="H567" s="1845">
        <f>H$566*$D567</f>
        <v>0</v>
      </c>
      <c r="I567" s="1845"/>
      <c r="J567" s="1845"/>
      <c r="K567" s="1845"/>
      <c r="L567" s="1845"/>
      <c r="M567" s="1845">
        <f t="shared" ref="M567:O569" si="99">M$566*$D567</f>
        <v>0</v>
      </c>
      <c r="N567" s="1845">
        <f t="shared" si="99"/>
        <v>0</v>
      </c>
      <c r="O567" s="1845">
        <f t="shared" si="99"/>
        <v>0</v>
      </c>
      <c r="P567" s="1845">
        <f>$P$566*D567</f>
        <v>0</v>
      </c>
      <c r="Q567" s="1056"/>
      <c r="R567" s="1056"/>
      <c r="S567" s="1056"/>
      <c r="T567" s="2059">
        <f t="shared" si="95"/>
        <v>0</v>
      </c>
    </row>
    <row r="568" spans="1:20" ht="22.15" hidden="1" customHeight="1">
      <c r="A568" s="59"/>
      <c r="B568" s="1586" t="s">
        <v>1513</v>
      </c>
      <c r="C568" s="64" t="str">
        <f t="shared" si="96"/>
        <v xml:space="preserve"> </v>
      </c>
      <c r="D568" s="1544">
        <v>1</v>
      </c>
      <c r="E568" s="1047"/>
      <c r="F568" s="1059" t="str">
        <f>VLOOKUP($B568,DG!A:D,DG!$C$2,)</f>
        <v>Cọc tiếp đất Þ 16- 2,4m + kẹp cọc mạ đồng</v>
      </c>
      <c r="G568" s="1047" t="str">
        <f>VLOOKUP($B568,DG!A:D,DG!$D$2,)</f>
        <v>bộ</v>
      </c>
      <c r="H568" s="1845">
        <f>H$566*$D568</f>
        <v>0</v>
      </c>
      <c r="I568" s="1845"/>
      <c r="J568" s="1845"/>
      <c r="K568" s="1845"/>
      <c r="L568" s="1845"/>
      <c r="M568" s="1845">
        <f t="shared" si="99"/>
        <v>0</v>
      </c>
      <c r="N568" s="1845">
        <f t="shared" si="99"/>
        <v>0</v>
      </c>
      <c r="O568" s="1845">
        <f t="shared" si="99"/>
        <v>0</v>
      </c>
      <c r="P568" s="1845">
        <f>$P$566*D568</f>
        <v>0</v>
      </c>
      <c r="Q568" s="1056"/>
      <c r="R568" s="1056"/>
      <c r="S568" s="1056"/>
      <c r="T568" s="2059">
        <f t="shared" si="95"/>
        <v>0</v>
      </c>
    </row>
    <row r="569" spans="1:20" ht="22.15" hidden="1" customHeight="1">
      <c r="A569" s="59"/>
      <c r="B569" s="1586" t="s">
        <v>2209</v>
      </c>
      <c r="C569" s="64" t="str">
        <f t="shared" si="96"/>
        <v xml:space="preserve"> </v>
      </c>
      <c r="D569" s="1544">
        <v>0</v>
      </c>
      <c r="E569" s="1047"/>
      <c r="F569" s="1059" t="s">
        <v>2395</v>
      </c>
      <c r="G569" s="1047" t="str">
        <f>VLOOKUP($B569,DG!A:D,DG!$D$2,)</f>
        <v>cái</v>
      </c>
      <c r="H569" s="1845">
        <f>H$566*$D569</f>
        <v>0</v>
      </c>
      <c r="I569" s="1845"/>
      <c r="J569" s="1845"/>
      <c r="K569" s="1845"/>
      <c r="L569" s="1845"/>
      <c r="M569" s="1845">
        <f t="shared" si="99"/>
        <v>0</v>
      </c>
      <c r="N569" s="1845">
        <f t="shared" si="99"/>
        <v>0</v>
      </c>
      <c r="O569" s="1845">
        <f t="shared" si="99"/>
        <v>0</v>
      </c>
      <c r="P569" s="1845"/>
      <c r="Q569" s="1056"/>
      <c r="R569" s="1056"/>
      <c r="S569" s="1056"/>
      <c r="T569" s="2059">
        <f t="shared" si="95"/>
        <v>0</v>
      </c>
    </row>
    <row r="570" spans="1:20" ht="22.15" hidden="1" customHeight="1">
      <c r="A570" s="59"/>
      <c r="B570" s="1586" t="s">
        <v>1522</v>
      </c>
      <c r="C570" s="64" t="str">
        <f t="shared" si="96"/>
        <v xml:space="preserve"> </v>
      </c>
      <c r="D570" s="1543">
        <f>D567</f>
        <v>3.36</v>
      </c>
      <c r="E570" s="1047" t="str">
        <f>VLOOKUP($B570,DG!A:D,DG!$B$2,)</f>
        <v>05.7001</v>
      </c>
      <c r="F570" s="1052" t="str">
        <f>VLOOKUP($B570,DG!A:D,DG!$C$2,)</f>
        <v xml:space="preserve">Kéo dây tiếp địa </v>
      </c>
      <c r="G570" s="1047" t="str">
        <f>VLOOKUP($B570,DG!A:D,DG!$D$2,)</f>
        <v>mét</v>
      </c>
      <c r="H570" s="1845">
        <f>H$566*$D570</f>
        <v>0</v>
      </c>
      <c r="I570" s="1845"/>
      <c r="J570" s="1845"/>
      <c r="K570" s="1845"/>
      <c r="L570" s="1845"/>
      <c r="M570" s="1845"/>
      <c r="N570" s="1845"/>
      <c r="O570" s="1845"/>
      <c r="P570" s="1845">
        <f>$P$566*D570</f>
        <v>0</v>
      </c>
      <c r="Q570" s="1061"/>
      <c r="R570" s="1061"/>
      <c r="S570" s="1061"/>
      <c r="T570" s="2059">
        <f t="shared" si="95"/>
        <v>0</v>
      </c>
    </row>
    <row r="571" spans="1:20" ht="22.15" hidden="1" customHeight="1">
      <c r="A571" s="59"/>
      <c r="B571" s="1586" t="s">
        <v>1106</v>
      </c>
      <c r="C571" s="64" t="str">
        <f t="shared" si="96"/>
        <v xml:space="preserve"> </v>
      </c>
      <c r="D571" s="1544">
        <v>1</v>
      </c>
      <c r="E571" s="1047" t="str">
        <f>VLOOKUP($B571,DG!A:D,DG!$B$2,)</f>
        <v>05.8103</v>
      </c>
      <c r="F571" s="1052" t="str">
        <f>VLOOKUP($B571,DG!A:D,DG!$C$2,)</f>
        <v>Đóng cọc tiếp địa đất cấp 3</v>
      </c>
      <c r="G571" s="1047" t="str">
        <f>VLOOKUP($B571,DG!A:D,DG!$D$2,)</f>
        <v>cọc</v>
      </c>
      <c r="H571" s="1845">
        <f>H$566*$D571</f>
        <v>0</v>
      </c>
      <c r="I571" s="1845"/>
      <c r="J571" s="1845"/>
      <c r="K571" s="1845"/>
      <c r="L571" s="1845"/>
      <c r="M571" s="1845"/>
      <c r="N571" s="1845"/>
      <c r="O571" s="1845"/>
      <c r="P571" s="1845">
        <f>$P$566*D571</f>
        <v>0</v>
      </c>
      <c r="Q571" s="1056"/>
      <c r="R571" s="1056"/>
      <c r="S571" s="1056"/>
      <c r="T571" s="2059">
        <f t="shared" si="95"/>
        <v>0</v>
      </c>
    </row>
    <row r="572" spans="1:20" ht="22.15" hidden="1" customHeight="1">
      <c r="A572" s="59"/>
      <c r="B572" s="1586" t="s">
        <v>1908</v>
      </c>
      <c r="C572" s="64" t="str">
        <f t="shared" si="96"/>
        <v xml:space="preserve"> </v>
      </c>
      <c r="D572" s="1542"/>
      <c r="E572" s="1047" t="str">
        <f>VLOOKUP($B572,DG!A:D,DG!$B$2,)</f>
        <v>02.1120</v>
      </c>
      <c r="F572" s="1052" t="str">
        <f>VLOOKUP($B572,DG!A:D,DG!$C$2,)</f>
        <v>Bốc dỡ phụ kiện</v>
      </c>
      <c r="G572" s="1047" t="str">
        <f>VLOOKUP($B572,DG!A:D,DG!$D$2,)</f>
        <v>tấn</v>
      </c>
      <c r="H572" s="1845"/>
      <c r="I572" s="1845"/>
      <c r="J572" s="1845"/>
      <c r="K572" s="1845"/>
      <c r="L572" s="1845"/>
      <c r="M572" s="1845"/>
      <c r="N572" s="1845"/>
      <c r="O572" s="1845"/>
      <c r="P572" s="1845"/>
      <c r="Q572" s="1056"/>
      <c r="R572" s="1056"/>
      <c r="S572" s="1056"/>
      <c r="T572" s="2059">
        <f t="shared" si="95"/>
        <v>0</v>
      </c>
    </row>
    <row r="573" spans="1:20" ht="22.15" hidden="1" customHeight="1">
      <c r="A573" s="59"/>
      <c r="B573" s="1598" t="s">
        <v>1909</v>
      </c>
      <c r="C573" s="64" t="str">
        <f t="shared" si="96"/>
        <v xml:space="preserve"> </v>
      </c>
      <c r="D573" s="1542"/>
      <c r="E573" s="1047" t="str">
        <f>VLOOKUP($B573,DG!A:C,2,)</f>
        <v>02.1351</v>
      </c>
      <c r="F573" s="1052" t="str">
        <f>VLOOKUP($B573,DG!A:C,3,)</f>
        <v>V/c tiếp địa vào vị trí ( cự ly &lt;=100m)</v>
      </c>
      <c r="G573" s="1047" t="str">
        <f>VLOOKUP($B573,DG!A:D,4,0)</f>
        <v>tấn</v>
      </c>
      <c r="H573" s="1845"/>
      <c r="I573" s="1845"/>
      <c r="J573" s="1845"/>
      <c r="K573" s="1845"/>
      <c r="L573" s="1845"/>
      <c r="M573" s="1845"/>
      <c r="N573" s="1845"/>
      <c r="O573" s="1845"/>
      <c r="P573" s="1845"/>
      <c r="Q573" s="1061"/>
      <c r="R573" s="1061"/>
      <c r="S573" s="1061"/>
      <c r="T573" s="2059">
        <f t="shared" si="95"/>
        <v>0</v>
      </c>
    </row>
    <row r="574" spans="1:20" ht="22.15" hidden="1" customHeight="1">
      <c r="A574" s="56" t="s">
        <v>1568</v>
      </c>
      <c r="B574" s="1583" t="s">
        <v>1568</v>
      </c>
      <c r="C574" s="62" t="str">
        <f t="shared" si="96"/>
        <v xml:space="preserve"> </v>
      </c>
      <c r="D574" s="1541"/>
      <c r="E574" s="1048"/>
      <c r="F574" s="1396" t="s">
        <v>2396</v>
      </c>
      <c r="G574" s="1049" t="s">
        <v>2394</v>
      </c>
      <c r="H574" s="1843">
        <f>SUM(I574:O574)</f>
        <v>0</v>
      </c>
      <c r="I574" s="1844"/>
      <c r="J574" s="1844"/>
      <c r="K574" s="1844">
        <f>IFERROR(HLOOKUP(B574,pp3p1m!$1:$3,3,0),0)</f>
        <v>0</v>
      </c>
      <c r="L574" s="1844">
        <f>IFERROR(HLOOKUP(chitiet!B574,pp1p!$1:$3,3,0),0)</f>
        <v>0</v>
      </c>
      <c r="M574" s="1844"/>
      <c r="N574" s="1844"/>
      <c r="O574" s="1844"/>
      <c r="P574" s="1844"/>
      <c r="Q574" s="1050"/>
      <c r="R574" s="1050"/>
      <c r="S574" s="1050"/>
      <c r="T574" s="2059">
        <f>IFERROR(HLOOKUP(B574,pp1p!$1:$3,3,0),0)+IFERROR(HLOOKUP(B574,pp3p1m!$1:$3,3,0),0)</f>
        <v>0</v>
      </c>
    </row>
    <row r="575" spans="1:20" ht="22.15" hidden="1" customHeight="1">
      <c r="A575" s="59"/>
      <c r="B575" s="1586" t="s">
        <v>103</v>
      </c>
      <c r="C575" s="64" t="str">
        <f t="shared" si="96"/>
        <v xml:space="preserve"> </v>
      </c>
      <c r="D575" s="1543">
        <f>9*0.224</f>
        <v>2.016</v>
      </c>
      <c r="E575" s="1047"/>
      <c r="F575" s="1059" t="str">
        <f>VLOOKUP($B575,DG!A:D,DG!$C$2,)&amp;" : 9m"</f>
        <v>Cáp đồng trần M25mm2 : 9m</v>
      </c>
      <c r="G575" s="1047" t="str">
        <f>VLOOKUP($B575,DG!A:D,DG!$D$2,)</f>
        <v>kg</v>
      </c>
      <c r="H575" s="1845">
        <f>H$574*$D575</f>
        <v>0</v>
      </c>
      <c r="I575" s="1845"/>
      <c r="J575" s="1845"/>
      <c r="K575" s="1845"/>
      <c r="L575" s="1845"/>
      <c r="M575" s="1845">
        <f t="shared" ref="M575:O577" si="100">M$574*$D575</f>
        <v>0</v>
      </c>
      <c r="N575" s="1845">
        <f t="shared" si="100"/>
        <v>0</v>
      </c>
      <c r="O575" s="1845">
        <f t="shared" si="100"/>
        <v>0</v>
      </c>
      <c r="P575" s="1845"/>
      <c r="Q575" s="1056"/>
      <c r="R575" s="1056"/>
      <c r="S575" s="1056"/>
      <c r="T575" s="2059">
        <f t="shared" si="95"/>
        <v>0</v>
      </c>
    </row>
    <row r="576" spans="1:20" ht="22.15" hidden="1" customHeight="1">
      <c r="A576" s="59"/>
      <c r="B576" s="1586" t="s">
        <v>1513</v>
      </c>
      <c r="C576" s="64" t="str">
        <f t="shared" si="96"/>
        <v xml:space="preserve"> </v>
      </c>
      <c r="D576" s="1544">
        <v>1</v>
      </c>
      <c r="E576" s="1047"/>
      <c r="F576" s="1059" t="str">
        <f>VLOOKUP($B576,DG!A:D,DG!$C$2,)</f>
        <v>Cọc tiếp đất Þ 16- 2,4m + kẹp cọc mạ đồng</v>
      </c>
      <c r="G576" s="1047" t="str">
        <f>VLOOKUP($B576,DG!A:D,DG!$D$2,)</f>
        <v>bộ</v>
      </c>
      <c r="H576" s="1845">
        <f>H$574*$D576</f>
        <v>0</v>
      </c>
      <c r="I576" s="1845"/>
      <c r="J576" s="1845"/>
      <c r="K576" s="1845"/>
      <c r="L576" s="1845"/>
      <c r="M576" s="1845">
        <f t="shared" si="100"/>
        <v>0</v>
      </c>
      <c r="N576" s="1845">
        <f t="shared" si="100"/>
        <v>0</v>
      </c>
      <c r="O576" s="1845">
        <f t="shared" si="100"/>
        <v>0</v>
      </c>
      <c r="P576" s="1845"/>
      <c r="Q576" s="1056"/>
      <c r="R576" s="1056"/>
      <c r="S576" s="1056"/>
      <c r="T576" s="2059">
        <f t="shared" si="95"/>
        <v>0</v>
      </c>
    </row>
    <row r="577" spans="1:20" ht="22.15" hidden="1" customHeight="1">
      <c r="A577" s="59"/>
      <c r="B577" s="1586" t="s">
        <v>531</v>
      </c>
      <c r="C577" s="64" t="str">
        <f t="shared" si="96"/>
        <v xml:space="preserve"> </v>
      </c>
      <c r="D577" s="1544">
        <v>2</v>
      </c>
      <c r="E577" s="1047"/>
      <c r="F577" s="1059" t="str">
        <f>VLOOKUP($B577,DG!A:D,DG!$C$2,)</f>
        <v>Kẹp ép WR cỡ dây 50mm2</v>
      </c>
      <c r="G577" s="1047" t="str">
        <f>VLOOKUP($B577,DG!A:D,DG!$D$2,)</f>
        <v>cái</v>
      </c>
      <c r="H577" s="1845">
        <f>H$574*$D577</f>
        <v>0</v>
      </c>
      <c r="I577" s="1845"/>
      <c r="J577" s="1845"/>
      <c r="K577" s="1845"/>
      <c r="L577" s="1845"/>
      <c r="M577" s="1845">
        <f t="shared" si="100"/>
        <v>0</v>
      </c>
      <c r="N577" s="1845">
        <f t="shared" si="100"/>
        <v>0</v>
      </c>
      <c r="O577" s="1845">
        <f t="shared" si="100"/>
        <v>0</v>
      </c>
      <c r="P577" s="1845"/>
      <c r="Q577" s="1056"/>
      <c r="R577" s="1056"/>
      <c r="S577" s="1056"/>
      <c r="T577" s="2059">
        <f t="shared" si="95"/>
        <v>0</v>
      </c>
    </row>
    <row r="578" spans="1:20" ht="22.15" hidden="1" customHeight="1">
      <c r="A578" s="59"/>
      <c r="B578" s="1586" t="s">
        <v>1054</v>
      </c>
      <c r="C578" s="64" t="str">
        <f t="shared" si="96"/>
        <v xml:space="preserve"> </v>
      </c>
      <c r="D578" s="1544">
        <v>2</v>
      </c>
      <c r="E578" s="1047"/>
      <c r="F578" s="1059" t="str">
        <f>VLOOKUP($B578,DG!A:D,DG!$C$2,)</f>
        <v>Đầu cosse ép Cu 25mm2</v>
      </c>
      <c r="G578" s="1047" t="str">
        <f>VLOOKUP($B578,DG!A:D,DG!$D$2,)</f>
        <v>cái</v>
      </c>
      <c r="H578" s="1845"/>
      <c r="I578" s="1845"/>
      <c r="J578" s="1845"/>
      <c r="K578" s="1845"/>
      <c r="L578" s="1845"/>
      <c r="M578" s="1845"/>
      <c r="N578" s="1845"/>
      <c r="O578" s="1845"/>
      <c r="P578" s="1845"/>
      <c r="Q578" s="1056"/>
      <c r="R578" s="1056"/>
      <c r="S578" s="1056"/>
      <c r="T578" s="2059">
        <f t="shared" si="95"/>
        <v>0</v>
      </c>
    </row>
    <row r="579" spans="1:20" ht="22.15" hidden="1" customHeight="1">
      <c r="A579" s="59"/>
      <c r="B579" s="1586" t="s">
        <v>2025</v>
      </c>
      <c r="C579" s="64" t="str">
        <f t="shared" si="96"/>
        <v xml:space="preserve"> </v>
      </c>
      <c r="D579" s="1544">
        <v>1</v>
      </c>
      <c r="E579" s="1047"/>
      <c r="F579" s="1059" t="str">
        <f>VLOOKUP($B579,DG!A:D,DG!$C$2,)</f>
        <v>Boulon 12x40+ 2 long đền vuông D14-50x50x3/Zn</v>
      </c>
      <c r="G579" s="1047" t="str">
        <f>VLOOKUP($B579,DG!A:D,DG!$D$2,)</f>
        <v>bộ</v>
      </c>
      <c r="H579" s="1845"/>
      <c r="I579" s="1845"/>
      <c r="J579" s="1845"/>
      <c r="K579" s="1845"/>
      <c r="L579" s="1845"/>
      <c r="M579" s="1845"/>
      <c r="N579" s="1845"/>
      <c r="O579" s="1845"/>
      <c r="P579" s="1845"/>
      <c r="Q579" s="1056"/>
      <c r="R579" s="1056"/>
      <c r="S579" s="1056"/>
      <c r="T579" s="2059">
        <f t="shared" si="95"/>
        <v>0</v>
      </c>
    </row>
    <row r="580" spans="1:20" ht="22.15" hidden="1" customHeight="1">
      <c r="A580" s="59"/>
      <c r="B580" s="1586" t="s">
        <v>1522</v>
      </c>
      <c r="C580" s="64" t="str">
        <f t="shared" si="96"/>
        <v xml:space="preserve"> </v>
      </c>
      <c r="D580" s="1543">
        <f>D575</f>
        <v>2.016</v>
      </c>
      <c r="E580" s="1047" t="str">
        <f>VLOOKUP($B580,DG!A:D,DG!$B$2,)</f>
        <v>05.7001</v>
      </c>
      <c r="F580" s="1052" t="str">
        <f>VLOOKUP($B580,DG!A:D,DG!$C$2,)</f>
        <v xml:space="preserve">Kéo dây tiếp địa </v>
      </c>
      <c r="G580" s="1047" t="str">
        <f>VLOOKUP($B580,DG!A:D,DG!$D$2,)</f>
        <v>mét</v>
      </c>
      <c r="H580" s="1845"/>
      <c r="I580" s="1845"/>
      <c r="J580" s="1845"/>
      <c r="K580" s="1845"/>
      <c r="L580" s="1845"/>
      <c r="M580" s="1845"/>
      <c r="N580" s="1845"/>
      <c r="O580" s="1845"/>
      <c r="P580" s="1845"/>
      <c r="Q580" s="1061"/>
      <c r="R580" s="1061"/>
      <c r="S580" s="1061"/>
      <c r="T580" s="2059">
        <f t="shared" si="95"/>
        <v>0</v>
      </c>
    </row>
    <row r="581" spans="1:20" ht="22.15" hidden="1" customHeight="1">
      <c r="A581" s="59"/>
      <c r="B581" s="1586" t="s">
        <v>1106</v>
      </c>
      <c r="C581" s="64" t="str">
        <f t="shared" si="96"/>
        <v xml:space="preserve"> </v>
      </c>
      <c r="D581" s="1544">
        <v>1</v>
      </c>
      <c r="E581" s="1047" t="str">
        <f>VLOOKUP($B581,DG!A:D,DG!$B$2,)</f>
        <v>05.8103</v>
      </c>
      <c r="F581" s="1052" t="str">
        <f>VLOOKUP($B581,DG!A:D,DG!$C$2,)</f>
        <v>Đóng cọc tiếp địa đất cấp 3</v>
      </c>
      <c r="G581" s="1047" t="str">
        <f>VLOOKUP($B581,DG!A:D,DG!$D$2,)</f>
        <v>cọc</v>
      </c>
      <c r="H581" s="1845"/>
      <c r="I581" s="1845"/>
      <c r="J581" s="1845"/>
      <c r="K581" s="1845"/>
      <c r="L581" s="1845"/>
      <c r="M581" s="1845"/>
      <c r="N581" s="1845"/>
      <c r="O581" s="1845"/>
      <c r="P581" s="1845"/>
      <c r="Q581" s="1056"/>
      <c r="R581" s="1056"/>
      <c r="S581" s="1056"/>
      <c r="T581" s="2059">
        <f t="shared" si="95"/>
        <v>0</v>
      </c>
    </row>
    <row r="582" spans="1:20" ht="22.15" hidden="1" customHeight="1">
      <c r="A582" s="59"/>
      <c r="B582" s="1586" t="s">
        <v>1908</v>
      </c>
      <c r="C582" s="64" t="str">
        <f t="shared" si="96"/>
        <v xml:space="preserve"> </v>
      </c>
      <c r="D582" s="1542"/>
      <c r="E582" s="1047" t="str">
        <f>VLOOKUP($B582,DG!A:D,DG!$B$2,)</f>
        <v>02.1120</v>
      </c>
      <c r="F582" s="1052" t="str">
        <f>VLOOKUP($B582,DG!A:D,DG!$C$2,)</f>
        <v>Bốc dỡ phụ kiện</v>
      </c>
      <c r="G582" s="1047" t="str">
        <f>VLOOKUP($B582,DG!A:D,DG!$D$2,)</f>
        <v>tấn</v>
      </c>
      <c r="H582" s="1845"/>
      <c r="I582" s="1845"/>
      <c r="J582" s="1845"/>
      <c r="K582" s="1845"/>
      <c r="L582" s="1845"/>
      <c r="M582" s="1845"/>
      <c r="N582" s="1845"/>
      <c r="O582" s="1845"/>
      <c r="P582" s="1845"/>
      <c r="Q582" s="1056"/>
      <c r="R582" s="1056"/>
      <c r="S582" s="1056"/>
      <c r="T582" s="2059">
        <f t="shared" si="95"/>
        <v>0</v>
      </c>
    </row>
    <row r="583" spans="1:20" ht="22.15" hidden="1" customHeight="1">
      <c r="A583" s="59"/>
      <c r="B583" s="1598" t="s">
        <v>1909</v>
      </c>
      <c r="C583" s="64" t="str">
        <f t="shared" si="96"/>
        <v xml:space="preserve"> </v>
      </c>
      <c r="D583" s="1542"/>
      <c r="E583" s="1047" t="str">
        <f>VLOOKUP($B583,DG!A:C,2,)</f>
        <v>02.1351</v>
      </c>
      <c r="F583" s="1052" t="str">
        <f>VLOOKUP($B583,DG!A:C,3,)</f>
        <v>V/c tiếp địa vào vị trí ( cự ly &lt;=100m)</v>
      </c>
      <c r="G583" s="1047" t="str">
        <f>VLOOKUP($B583,DG!A:D,4,0)</f>
        <v>tấn</v>
      </c>
      <c r="H583" s="1845"/>
      <c r="I583" s="1845"/>
      <c r="J583" s="1845"/>
      <c r="K583" s="1845"/>
      <c r="L583" s="1845"/>
      <c r="M583" s="1845"/>
      <c r="N583" s="1845"/>
      <c r="O583" s="1845"/>
      <c r="P583" s="1845"/>
      <c r="Q583" s="1061"/>
      <c r="R583" s="1061"/>
      <c r="S583" s="1061"/>
      <c r="T583" s="2059">
        <f t="shared" si="95"/>
        <v>0</v>
      </c>
    </row>
    <row r="584" spans="1:20" ht="22.15" hidden="1" customHeight="1">
      <c r="A584" s="56" t="s">
        <v>5</v>
      </c>
      <c r="B584" s="1583" t="s">
        <v>5</v>
      </c>
      <c r="C584" s="62" t="str">
        <f t="shared" si="96"/>
        <v xml:space="preserve"> </v>
      </c>
      <c r="D584" s="1541"/>
      <c r="E584" s="1048"/>
      <c r="F584" s="1396" t="s">
        <v>4586</v>
      </c>
      <c r="G584" s="1049" t="s">
        <v>2394</v>
      </c>
      <c r="H584" s="1843">
        <f>SUM(I584:O584)</f>
        <v>0</v>
      </c>
      <c r="I584" s="1844"/>
      <c r="J584" s="1844"/>
      <c r="K584" s="1844">
        <f>IFERROR(HLOOKUP(B584,pp3p1m!$1:$3,3,0),0)</f>
        <v>0</v>
      </c>
      <c r="L584" s="1844">
        <f>IFERROR(HLOOKUP(chitiet!B584,pp1p!$1:$3,3,0),0)</f>
        <v>0</v>
      </c>
      <c r="M584" s="1844"/>
      <c r="N584" s="1844"/>
      <c r="O584" s="1844"/>
      <c r="P584" s="1844">
        <f>H584+Q584-R584</f>
        <v>0</v>
      </c>
      <c r="Q584" s="1050"/>
      <c r="R584" s="1050"/>
      <c r="S584" s="1050"/>
      <c r="T584" s="2059">
        <f>IFERROR(HLOOKUP(B584,pp1p!$1:$3,3,0),0)+IFERROR(HLOOKUP(B584,pp3p1m!$1:$3,3,0),0)</f>
        <v>0</v>
      </c>
    </row>
    <row r="585" spans="1:20" ht="22.15" hidden="1" customHeight="1">
      <c r="A585" s="59"/>
      <c r="B585" s="1586" t="s">
        <v>103</v>
      </c>
      <c r="C585" s="64" t="str">
        <f t="shared" si="96"/>
        <v xml:space="preserve"> </v>
      </c>
      <c r="D585" s="1543">
        <f>8*0.224</f>
        <v>1.792</v>
      </c>
      <c r="E585" s="1047"/>
      <c r="F585" s="1059" t="str">
        <f>VLOOKUP($B585,DG!A:D,DG!$C$2,)&amp;" : 8m"</f>
        <v>Cáp đồng trần M25mm2 : 8m</v>
      </c>
      <c r="G585" s="1047" t="str">
        <f>VLOOKUP($B585,DG!A:D,DG!$D$2,)</f>
        <v>kg</v>
      </c>
      <c r="H585" s="1845">
        <f t="shared" ref="H585:H591" si="101">H$584*$D585</f>
        <v>0</v>
      </c>
      <c r="I585" s="1845"/>
      <c r="J585" s="1845"/>
      <c r="K585" s="1845"/>
      <c r="L585" s="1845"/>
      <c r="M585" s="1845">
        <f t="shared" ref="M585:O587" si="102">M$574*$D585</f>
        <v>0</v>
      </c>
      <c r="N585" s="1845">
        <f t="shared" si="102"/>
        <v>0</v>
      </c>
      <c r="O585" s="1845">
        <f t="shared" si="102"/>
        <v>0</v>
      </c>
      <c r="P585" s="1844">
        <f>H585+Q585-R585</f>
        <v>0</v>
      </c>
      <c r="Q585" s="1062"/>
      <c r="R585" s="1062"/>
      <c r="S585" s="1062"/>
      <c r="T585" s="2059">
        <f t="shared" si="95"/>
        <v>0</v>
      </c>
    </row>
    <row r="586" spans="1:20" ht="22.15" hidden="1" customHeight="1">
      <c r="A586" s="59"/>
      <c r="B586" s="1586" t="s">
        <v>1513</v>
      </c>
      <c r="C586" s="64" t="str">
        <f t="shared" si="96"/>
        <v xml:space="preserve"> </v>
      </c>
      <c r="D586" s="1544">
        <v>1</v>
      </c>
      <c r="E586" s="1047"/>
      <c r="F586" s="1059" t="str">
        <f>VLOOKUP($B586,DG!A:D,DG!$C$2,)</f>
        <v>Cọc tiếp đất Þ 16- 2,4m + kẹp cọc mạ đồng</v>
      </c>
      <c r="G586" s="1047" t="str">
        <f>VLOOKUP($B586,DG!A:D,DG!$D$2,)</f>
        <v>bộ</v>
      </c>
      <c r="H586" s="1845">
        <f t="shared" si="101"/>
        <v>0</v>
      </c>
      <c r="I586" s="1845"/>
      <c r="J586" s="1845"/>
      <c r="K586" s="1845"/>
      <c r="L586" s="1845"/>
      <c r="M586" s="1845">
        <f t="shared" si="102"/>
        <v>0</v>
      </c>
      <c r="N586" s="1845">
        <f t="shared" si="102"/>
        <v>0</v>
      </c>
      <c r="O586" s="1845">
        <f t="shared" si="102"/>
        <v>0</v>
      </c>
      <c r="P586" s="1844">
        <f>H586+Q586-R586</f>
        <v>0</v>
      </c>
      <c r="Q586" s="1056"/>
      <c r="R586" s="1056"/>
      <c r="S586" s="1056"/>
      <c r="T586" s="2059">
        <f t="shared" si="95"/>
        <v>0</v>
      </c>
    </row>
    <row r="587" spans="1:20" ht="22.15" hidden="1" customHeight="1">
      <c r="A587" s="59"/>
      <c r="B587" s="1586" t="s">
        <v>2209</v>
      </c>
      <c r="C587" s="64" t="str">
        <f t="shared" si="96"/>
        <v xml:space="preserve"> </v>
      </c>
      <c r="D587" s="1544">
        <v>1</v>
      </c>
      <c r="E587" s="1047"/>
      <c r="F587" s="1059" t="s">
        <v>2395</v>
      </c>
      <c r="G587" s="1047" t="str">
        <f>VLOOKUP($B587,DG!A:D,DG!$D$2,)</f>
        <v>cái</v>
      </c>
      <c r="H587" s="1845">
        <f t="shared" si="101"/>
        <v>0</v>
      </c>
      <c r="I587" s="1845"/>
      <c r="J587" s="1845"/>
      <c r="K587" s="1845"/>
      <c r="L587" s="1845"/>
      <c r="M587" s="1845">
        <f t="shared" si="102"/>
        <v>0</v>
      </c>
      <c r="N587" s="1845">
        <f t="shared" si="102"/>
        <v>0</v>
      </c>
      <c r="O587" s="1845">
        <f t="shared" si="102"/>
        <v>0</v>
      </c>
      <c r="P587" s="1844">
        <f>H587+Q587-R587</f>
        <v>0</v>
      </c>
      <c r="Q587" s="1056"/>
      <c r="R587" s="1056"/>
      <c r="S587" s="1056"/>
      <c r="T587" s="2059">
        <f t="shared" si="95"/>
        <v>0</v>
      </c>
    </row>
    <row r="588" spans="1:20" ht="22.15" hidden="1" customHeight="1">
      <c r="A588" s="59"/>
      <c r="B588" s="1586" t="s">
        <v>1054</v>
      </c>
      <c r="C588" s="64" t="str">
        <f t="shared" si="96"/>
        <v xml:space="preserve"> </v>
      </c>
      <c r="D588" s="1544">
        <v>2</v>
      </c>
      <c r="E588" s="1047"/>
      <c r="F588" s="1059" t="str">
        <f>VLOOKUP($B588,DG!A:D,DG!C$2,)</f>
        <v>Đầu cosse ép Cu 25mm2</v>
      </c>
      <c r="G588" s="1047" t="str">
        <f>VLOOKUP($B588,DG!A:D,DG!$D$2,)</f>
        <v>cái</v>
      </c>
      <c r="H588" s="1845">
        <f t="shared" si="101"/>
        <v>0</v>
      </c>
      <c r="I588" s="1845">
        <f t="shared" ref="I588:O589" si="103">I$612*$D588</f>
        <v>0</v>
      </c>
      <c r="J588" s="1845">
        <f t="shared" si="103"/>
        <v>0</v>
      </c>
      <c r="K588" s="1845">
        <f t="shared" si="103"/>
        <v>0</v>
      </c>
      <c r="L588" s="1845">
        <f t="shared" si="103"/>
        <v>0</v>
      </c>
      <c r="M588" s="1845">
        <f t="shared" si="103"/>
        <v>0</v>
      </c>
      <c r="N588" s="1845">
        <f t="shared" si="103"/>
        <v>0</v>
      </c>
      <c r="O588" s="1845">
        <f t="shared" si="103"/>
        <v>0</v>
      </c>
      <c r="P588" s="1845">
        <f>$P$584*D588</f>
        <v>0</v>
      </c>
      <c r="Q588" s="1056"/>
      <c r="R588" s="1056"/>
      <c r="S588" s="1056"/>
      <c r="T588" s="2059">
        <f t="shared" si="95"/>
        <v>0</v>
      </c>
    </row>
    <row r="589" spans="1:20" ht="22.15" hidden="1" customHeight="1">
      <c r="A589" s="59"/>
      <c r="B589" s="1586" t="s">
        <v>2025</v>
      </c>
      <c r="C589" s="64" t="str">
        <f t="shared" si="96"/>
        <v xml:space="preserve"> </v>
      </c>
      <c r="D589" s="1544">
        <v>2</v>
      </c>
      <c r="E589" s="1047"/>
      <c r="F589" s="1059" t="str">
        <f>VLOOKUP($B589,DG!A:D,DG!C$2,)</f>
        <v>Boulon 12x40+ 2 long đền vuông D14-50x50x3/Zn</v>
      </c>
      <c r="G589" s="1047" t="str">
        <f>VLOOKUP($B589,DG!A:D,DG!$D$2,)</f>
        <v>bộ</v>
      </c>
      <c r="H589" s="1845">
        <f t="shared" si="101"/>
        <v>0</v>
      </c>
      <c r="I589" s="1845">
        <f t="shared" si="103"/>
        <v>0</v>
      </c>
      <c r="J589" s="1845">
        <f t="shared" si="103"/>
        <v>0</v>
      </c>
      <c r="K589" s="1845">
        <f t="shared" si="103"/>
        <v>0</v>
      </c>
      <c r="L589" s="1845">
        <f t="shared" si="103"/>
        <v>0</v>
      </c>
      <c r="M589" s="1845">
        <f t="shared" si="103"/>
        <v>0</v>
      </c>
      <c r="N589" s="1845">
        <f t="shared" si="103"/>
        <v>0</v>
      </c>
      <c r="O589" s="1845">
        <f t="shared" si="103"/>
        <v>0</v>
      </c>
      <c r="P589" s="1845">
        <f>$P$584*D589</f>
        <v>0</v>
      </c>
      <c r="Q589" s="1056"/>
      <c r="R589" s="1056"/>
      <c r="S589" s="1056"/>
      <c r="T589" s="2059">
        <f t="shared" si="95"/>
        <v>0</v>
      </c>
    </row>
    <row r="590" spans="1:20" ht="22.15" hidden="1" customHeight="1">
      <c r="A590" s="59"/>
      <c r="B590" s="1586" t="s">
        <v>1522</v>
      </c>
      <c r="C590" s="64" t="str">
        <f t="shared" si="96"/>
        <v xml:space="preserve"> </v>
      </c>
      <c r="D590" s="1543">
        <v>8</v>
      </c>
      <c r="E590" s="1047" t="str">
        <f>VLOOKUP($B590,DG!A:D,DG!$B$2,)</f>
        <v>05.7001</v>
      </c>
      <c r="F590" s="1052" t="str">
        <f>VLOOKUP($B590,DG!A:D,DG!$C$2,)</f>
        <v xml:space="preserve">Kéo dây tiếp địa </v>
      </c>
      <c r="G590" s="1047" t="str">
        <f>VLOOKUP($B590,DG!A:D,DG!$D$2,)</f>
        <v>mét</v>
      </c>
      <c r="H590" s="1845">
        <f t="shared" si="101"/>
        <v>0</v>
      </c>
      <c r="I590" s="1845"/>
      <c r="J590" s="1845"/>
      <c r="K590" s="1845"/>
      <c r="L590" s="1845"/>
      <c r="M590" s="1845"/>
      <c r="N590" s="1845"/>
      <c r="O590" s="1845"/>
      <c r="P590" s="1844">
        <f>H590+Q590-R590</f>
        <v>0</v>
      </c>
      <c r="Q590" s="1062"/>
      <c r="R590" s="1062"/>
      <c r="S590" s="1062"/>
      <c r="T590" s="2059">
        <f t="shared" si="95"/>
        <v>0</v>
      </c>
    </row>
    <row r="591" spans="1:20" ht="22.15" hidden="1" customHeight="1">
      <c r="A591" s="59"/>
      <c r="B591" s="1586" t="s">
        <v>1106</v>
      </c>
      <c r="C591" s="64" t="str">
        <f t="shared" si="96"/>
        <v xml:space="preserve"> </v>
      </c>
      <c r="D591" s="1544">
        <v>1</v>
      </c>
      <c r="E591" s="1047" t="str">
        <f>VLOOKUP($B591,DG!A:D,DG!$B$2,)</f>
        <v>05.8103</v>
      </c>
      <c r="F591" s="1052" t="str">
        <f>VLOOKUP($B591,DG!A:D,DG!$C$2,)</f>
        <v>Đóng cọc tiếp địa đất cấp 3</v>
      </c>
      <c r="G591" s="1047" t="str">
        <f>VLOOKUP($B591,DG!A:D,DG!$D$2,)</f>
        <v>cọc</v>
      </c>
      <c r="H591" s="1845">
        <f t="shared" si="101"/>
        <v>0</v>
      </c>
      <c r="I591" s="1845"/>
      <c r="J591" s="1845"/>
      <c r="K591" s="1845"/>
      <c r="L591" s="1845"/>
      <c r="M591" s="1845"/>
      <c r="N591" s="1845"/>
      <c r="O591" s="1845"/>
      <c r="P591" s="1844">
        <f>H591+Q591-R591</f>
        <v>0</v>
      </c>
      <c r="Q591" s="1056"/>
      <c r="R591" s="1056"/>
      <c r="S591" s="1056"/>
      <c r="T591" s="2059">
        <f t="shared" si="95"/>
        <v>0</v>
      </c>
    </row>
    <row r="592" spans="1:20" ht="22.15" hidden="1" customHeight="1">
      <c r="A592" s="59"/>
      <c r="B592" s="1586" t="s">
        <v>1908</v>
      </c>
      <c r="C592" s="64" t="str">
        <f t="shared" si="96"/>
        <v xml:space="preserve"> </v>
      </c>
      <c r="D592" s="1542"/>
      <c r="E592" s="1047" t="str">
        <f>VLOOKUP($B592,DG!A:D,DG!$B$2,)</f>
        <v>02.1120</v>
      </c>
      <c r="F592" s="1052" t="str">
        <f>VLOOKUP($B592,DG!A:D,DG!$C$2,)</f>
        <v>Bốc dỡ phụ kiện</v>
      </c>
      <c r="G592" s="1047" t="str">
        <f>VLOOKUP($B592,DG!A:D,DG!$D$2,)</f>
        <v>tấn</v>
      </c>
      <c r="H592" s="1845"/>
      <c r="I592" s="1845"/>
      <c r="J592" s="1845"/>
      <c r="K592" s="1845"/>
      <c r="L592" s="1845"/>
      <c r="M592" s="1845"/>
      <c r="N592" s="1845"/>
      <c r="O592" s="1845"/>
      <c r="P592" s="1845"/>
      <c r="Q592" s="1056"/>
      <c r="R592" s="1056"/>
      <c r="S592" s="1056"/>
      <c r="T592" s="2059">
        <f t="shared" si="95"/>
        <v>0</v>
      </c>
    </row>
    <row r="593" spans="1:20" ht="22.15" hidden="1" customHeight="1">
      <c r="A593" s="59"/>
      <c r="B593" s="1598" t="s">
        <v>1909</v>
      </c>
      <c r="C593" s="64" t="str">
        <f t="shared" si="96"/>
        <v xml:space="preserve"> </v>
      </c>
      <c r="D593" s="1542"/>
      <c r="E593" s="1047" t="str">
        <f>VLOOKUP($B593,DG!A:C,2,)</f>
        <v>02.1351</v>
      </c>
      <c r="F593" s="1052" t="str">
        <f>VLOOKUP($B593,DG!A:C,3,)</f>
        <v>V/c tiếp địa vào vị trí ( cự ly &lt;=100m)</v>
      </c>
      <c r="G593" s="1047" t="str">
        <f>VLOOKUP($B593,DG!A:D,4,0)</f>
        <v>tấn</v>
      </c>
      <c r="H593" s="1845"/>
      <c r="I593" s="1845"/>
      <c r="J593" s="1845"/>
      <c r="K593" s="1845"/>
      <c r="L593" s="1845"/>
      <c r="M593" s="1845"/>
      <c r="N593" s="1845"/>
      <c r="O593" s="1845"/>
      <c r="P593" s="1845"/>
      <c r="Q593" s="1061"/>
      <c r="R593" s="1061"/>
      <c r="S593" s="1061"/>
      <c r="T593" s="2059">
        <f t="shared" ref="T593:T668" si="104">IFERROR(HLOOKUP(B593,BangKeTru,3,0),0)</f>
        <v>0</v>
      </c>
    </row>
    <row r="594" spans="1:20" ht="22.15" hidden="1" customHeight="1">
      <c r="A594" s="56" t="s">
        <v>515</v>
      </c>
      <c r="B594" s="1583" t="s">
        <v>515</v>
      </c>
      <c r="C594" s="62" t="str">
        <f t="shared" ref="C594:C669" si="105">IF(OR(P594&lt;&gt;0,H594&lt;&gt;0),"x"," ")</f>
        <v xml:space="preserve"> </v>
      </c>
      <c r="D594" s="1541"/>
      <c r="E594" s="1048"/>
      <c r="F594" s="1396" t="s">
        <v>2398</v>
      </c>
      <c r="G594" s="1049" t="s">
        <v>2394</v>
      </c>
      <c r="H594" s="1843">
        <f>SUM(I594:O594)</f>
        <v>0</v>
      </c>
      <c r="I594" s="1844"/>
      <c r="J594" s="1844"/>
      <c r="K594" s="1844">
        <f>IFERROR(HLOOKUP(B594,pp3p1m!$1:$3,3,0),0)</f>
        <v>0</v>
      </c>
      <c r="L594" s="1844">
        <f>IFERROR(HLOOKUP(chitiet!B594,pp1p!$1:$3,3,0),0)</f>
        <v>0</v>
      </c>
      <c r="M594" s="1844"/>
      <c r="N594" s="1844"/>
      <c r="O594" s="1844"/>
      <c r="P594" s="1844"/>
      <c r="Q594" s="1050"/>
      <c r="R594" s="1050"/>
      <c r="S594" s="1050"/>
      <c r="T594" s="2059">
        <f>IFERROR(HLOOKUP(B594,pp1p!$1:$3,3,0),0)+IFERROR(HLOOKUP(B594,pp3p1m!$1:$3,3,0),0)</f>
        <v>0</v>
      </c>
    </row>
    <row r="595" spans="1:20" ht="22.15" hidden="1" customHeight="1">
      <c r="A595" s="59"/>
      <c r="B595" s="1586" t="s">
        <v>103</v>
      </c>
      <c r="C595" s="64" t="str">
        <f t="shared" si="105"/>
        <v xml:space="preserve"> </v>
      </c>
      <c r="D595" s="1543">
        <f>3*0.224</f>
        <v>0.67200000000000004</v>
      </c>
      <c r="E595" s="1047"/>
      <c r="F595" s="1059" t="str">
        <f>VLOOKUP($B595,DG!A:D,DG!$C$2,)&amp;" : 3m"</f>
        <v>Cáp đồng trần M25mm2 : 3m</v>
      </c>
      <c r="G595" s="1047" t="str">
        <f>VLOOKUP($B595,DG!A:D,DG!$D$2,)</f>
        <v>kg</v>
      </c>
      <c r="H595" s="1845">
        <f>H$574*$D595</f>
        <v>0</v>
      </c>
      <c r="I595" s="1845"/>
      <c r="J595" s="1845"/>
      <c r="K595" s="1845"/>
      <c r="L595" s="1845"/>
      <c r="M595" s="1845">
        <f t="shared" ref="M595:O597" si="106">M$574*$D595</f>
        <v>0</v>
      </c>
      <c r="N595" s="1845">
        <f t="shared" si="106"/>
        <v>0</v>
      </c>
      <c r="O595" s="1845">
        <f t="shared" si="106"/>
        <v>0</v>
      </c>
      <c r="P595" s="1845"/>
      <c r="Q595" s="1056"/>
      <c r="R595" s="1056"/>
      <c r="S595" s="1056"/>
      <c r="T595" s="2059">
        <f t="shared" si="104"/>
        <v>0</v>
      </c>
    </row>
    <row r="596" spans="1:20" ht="22.15" hidden="1" customHeight="1">
      <c r="A596" s="59"/>
      <c r="B596" s="1586" t="s">
        <v>1513</v>
      </c>
      <c r="C596" s="64" t="str">
        <f t="shared" si="105"/>
        <v xml:space="preserve"> </v>
      </c>
      <c r="D596" s="1544">
        <v>1</v>
      </c>
      <c r="E596" s="1047"/>
      <c r="F596" s="1059" t="str">
        <f>VLOOKUP($B596,DG!A:D,DG!$C$2,)</f>
        <v>Cọc tiếp đất Þ 16- 2,4m + kẹp cọc mạ đồng</v>
      </c>
      <c r="G596" s="1047" t="str">
        <f>VLOOKUP($B596,DG!A:D,DG!$D$2,)</f>
        <v>bộ</v>
      </c>
      <c r="H596" s="1845">
        <f>H$574*$D596</f>
        <v>0</v>
      </c>
      <c r="I596" s="1845"/>
      <c r="J596" s="1845"/>
      <c r="K596" s="1845"/>
      <c r="L596" s="1845"/>
      <c r="M596" s="1845">
        <f t="shared" si="106"/>
        <v>0</v>
      </c>
      <c r="N596" s="1845">
        <f t="shared" si="106"/>
        <v>0</v>
      </c>
      <c r="O596" s="1845">
        <f t="shared" si="106"/>
        <v>0</v>
      </c>
      <c r="P596" s="1845"/>
      <c r="Q596" s="1056"/>
      <c r="R596" s="1056"/>
      <c r="S596" s="1056"/>
      <c r="T596" s="2059">
        <f t="shared" si="104"/>
        <v>0</v>
      </c>
    </row>
    <row r="597" spans="1:20" ht="22.15" hidden="1" customHeight="1">
      <c r="A597" s="59"/>
      <c r="B597" s="1586" t="s">
        <v>2220</v>
      </c>
      <c r="C597" s="64" t="str">
        <f t="shared" si="105"/>
        <v xml:space="preserve"> </v>
      </c>
      <c r="D597" s="1544">
        <v>1</v>
      </c>
      <c r="E597" s="1047"/>
      <c r="F597" s="1059" t="str">
        <f>VLOOKUP($B597,DG!A:D,DG!$C$2,)</f>
        <v>Ghíp nối IPC 50-35</v>
      </c>
      <c r="G597" s="1047" t="str">
        <f>VLOOKUP($B597,DG!A:D,DG!$D$2,)</f>
        <v>cái</v>
      </c>
      <c r="H597" s="1845">
        <f>H$574*$D597</f>
        <v>0</v>
      </c>
      <c r="I597" s="1845"/>
      <c r="J597" s="1845"/>
      <c r="K597" s="1845"/>
      <c r="L597" s="1845"/>
      <c r="M597" s="1845">
        <f t="shared" si="106"/>
        <v>0</v>
      </c>
      <c r="N597" s="1845">
        <f t="shared" si="106"/>
        <v>0</v>
      </c>
      <c r="O597" s="1845">
        <f t="shared" si="106"/>
        <v>0</v>
      </c>
      <c r="P597" s="1845"/>
      <c r="Q597" s="1056"/>
      <c r="R597" s="1056"/>
      <c r="S597" s="1056"/>
      <c r="T597" s="2059">
        <f t="shared" si="104"/>
        <v>0</v>
      </c>
    </row>
    <row r="598" spans="1:20" ht="22.15" hidden="1" customHeight="1">
      <c r="A598" s="59"/>
      <c r="B598" s="1586" t="s">
        <v>1522</v>
      </c>
      <c r="C598" s="64" t="str">
        <f t="shared" si="105"/>
        <v xml:space="preserve"> </v>
      </c>
      <c r="D598" s="1543">
        <f>D595</f>
        <v>0.67200000000000004</v>
      </c>
      <c r="E598" s="1047" t="str">
        <f>VLOOKUP($B598,DG!A:D,DG!$B$2,)</f>
        <v>05.7001</v>
      </c>
      <c r="F598" s="1052" t="str">
        <f>VLOOKUP($B598,DG!A:D,DG!$C$2,)</f>
        <v xml:space="preserve">Kéo dây tiếp địa </v>
      </c>
      <c r="G598" s="1047" t="str">
        <f>VLOOKUP($B598,DG!A:D,DG!$D$2,)</f>
        <v>mét</v>
      </c>
      <c r="H598" s="1845"/>
      <c r="I598" s="1845"/>
      <c r="J598" s="1845"/>
      <c r="K598" s="1845"/>
      <c r="L598" s="1845"/>
      <c r="M598" s="1845"/>
      <c r="N598" s="1845"/>
      <c r="O598" s="1845"/>
      <c r="P598" s="1845"/>
      <c r="Q598" s="1061"/>
      <c r="R598" s="1061"/>
      <c r="S598" s="1061"/>
      <c r="T598" s="2059">
        <f t="shared" si="104"/>
        <v>0</v>
      </c>
    </row>
    <row r="599" spans="1:20" ht="22.15" hidden="1" customHeight="1">
      <c r="A599" s="59"/>
      <c r="B599" s="1586" t="s">
        <v>1106</v>
      </c>
      <c r="C599" s="64" t="str">
        <f t="shared" si="105"/>
        <v xml:space="preserve"> </v>
      </c>
      <c r="D599" s="1544">
        <v>1</v>
      </c>
      <c r="E599" s="1047" t="str">
        <f>VLOOKUP($B599,DG!A:D,DG!$B$2,)</f>
        <v>05.8103</v>
      </c>
      <c r="F599" s="1052" t="str">
        <f>VLOOKUP($B599,DG!A:D,DG!$C$2,)</f>
        <v>Đóng cọc tiếp địa đất cấp 3</v>
      </c>
      <c r="G599" s="1047" t="str">
        <f>VLOOKUP($B599,DG!A:D,DG!$D$2,)</f>
        <v>cọc</v>
      </c>
      <c r="H599" s="1845"/>
      <c r="I599" s="1845"/>
      <c r="J599" s="1845"/>
      <c r="K599" s="1845"/>
      <c r="L599" s="1845"/>
      <c r="M599" s="1845"/>
      <c r="N599" s="1845"/>
      <c r="O599" s="1845"/>
      <c r="P599" s="1845"/>
      <c r="Q599" s="1056"/>
      <c r="R599" s="1056"/>
      <c r="S599" s="1056"/>
      <c r="T599" s="2059">
        <f t="shared" si="104"/>
        <v>0</v>
      </c>
    </row>
    <row r="600" spans="1:20" ht="22.15" hidden="1" customHeight="1">
      <c r="A600" s="59"/>
      <c r="B600" s="1586" t="s">
        <v>1908</v>
      </c>
      <c r="C600" s="64" t="str">
        <f t="shared" si="105"/>
        <v xml:space="preserve"> </v>
      </c>
      <c r="D600" s="1542"/>
      <c r="E600" s="1047" t="str">
        <f>VLOOKUP($B600,DG!A:D,DG!$B$2,)</f>
        <v>02.1120</v>
      </c>
      <c r="F600" s="1052" t="str">
        <f>VLOOKUP($B600,DG!A:D,DG!$C$2,)</f>
        <v>Bốc dỡ phụ kiện</v>
      </c>
      <c r="G600" s="1047" t="str">
        <f>VLOOKUP($B600,DG!A:D,DG!$D$2,)</f>
        <v>tấn</v>
      </c>
      <c r="H600" s="1845"/>
      <c r="I600" s="1845"/>
      <c r="J600" s="1845"/>
      <c r="K600" s="1845"/>
      <c r="L600" s="1845"/>
      <c r="M600" s="1845"/>
      <c r="N600" s="1845"/>
      <c r="O600" s="1845"/>
      <c r="P600" s="1845"/>
      <c r="Q600" s="1056"/>
      <c r="R600" s="1056"/>
      <c r="S600" s="1056"/>
      <c r="T600" s="2059">
        <f t="shared" si="104"/>
        <v>0</v>
      </c>
    </row>
    <row r="601" spans="1:20" ht="22.15" hidden="1" customHeight="1">
      <c r="A601" s="59"/>
      <c r="B601" s="1598" t="s">
        <v>1909</v>
      </c>
      <c r="C601" s="64" t="str">
        <f t="shared" si="105"/>
        <v xml:space="preserve"> </v>
      </c>
      <c r="D601" s="1542"/>
      <c r="E601" s="1047" t="str">
        <f>VLOOKUP($B601,DG!A:C,2,)</f>
        <v>02.1351</v>
      </c>
      <c r="F601" s="1052" t="str">
        <f>VLOOKUP($B601,DG!A:C,3,)</f>
        <v>V/c tiếp địa vào vị trí ( cự ly &lt;=100m)</v>
      </c>
      <c r="G601" s="1047" t="str">
        <f>VLOOKUP($B601,DG!A:D,4,0)</f>
        <v>tấn</v>
      </c>
      <c r="H601" s="1845"/>
      <c r="I601" s="1845"/>
      <c r="J601" s="1845"/>
      <c r="K601" s="1845"/>
      <c r="L601" s="1845"/>
      <c r="M601" s="1845"/>
      <c r="N601" s="1845"/>
      <c r="O601" s="1845"/>
      <c r="P601" s="1845"/>
      <c r="Q601" s="1061"/>
      <c r="R601" s="1061"/>
      <c r="S601" s="1061"/>
      <c r="T601" s="2059">
        <f t="shared" si="104"/>
        <v>0</v>
      </c>
    </row>
    <row r="602" spans="1:20" ht="22.15" hidden="1" customHeight="1" collapsed="1">
      <c r="A602" s="56" t="s">
        <v>2150</v>
      </c>
      <c r="B602" s="1583" t="s">
        <v>2150</v>
      </c>
      <c r="C602" s="62" t="str">
        <f t="shared" si="105"/>
        <v xml:space="preserve"> </v>
      </c>
      <c r="D602" s="1541"/>
      <c r="E602" s="1048"/>
      <c r="F602" s="1396" t="s">
        <v>2399</v>
      </c>
      <c r="G602" s="1049" t="s">
        <v>2394</v>
      </c>
      <c r="H602" s="1843">
        <f>SUM(I602:O602)</f>
        <v>0</v>
      </c>
      <c r="I602" s="1844"/>
      <c r="J602" s="1844"/>
      <c r="K602" s="1844">
        <f>IFERROR(HLOOKUP(B602,pp3p1m!$1:$3,3,0),0)</f>
        <v>0</v>
      </c>
      <c r="L602" s="1844">
        <f>IFERROR(HLOOKUP(chitiet!B602,pp1p!$1:$3,3,0),0)</f>
        <v>0</v>
      </c>
      <c r="M602" s="1844"/>
      <c r="N602" s="1844"/>
      <c r="O602" s="1844"/>
      <c r="P602" s="1844"/>
      <c r="Q602" s="1050"/>
      <c r="R602" s="1050"/>
      <c r="S602" s="1050"/>
      <c r="T602" s="2059">
        <f>IFERROR(HLOOKUP(B602,pp1p!$1:$3,3,0),0)+IFERROR(HLOOKUP(B602,pp3p1m!$1:$3,3,0),0)</f>
        <v>0</v>
      </c>
    </row>
    <row r="603" spans="1:20" ht="22.15" hidden="1" customHeight="1">
      <c r="A603" s="59"/>
      <c r="B603" s="1586" t="s">
        <v>103</v>
      </c>
      <c r="C603" s="64" t="str">
        <f t="shared" si="105"/>
        <v xml:space="preserve"> </v>
      </c>
      <c r="D603" s="1543">
        <f>10*0.224</f>
        <v>2.2400000000000002</v>
      </c>
      <c r="E603" s="1047"/>
      <c r="F603" s="1059" t="str">
        <f>VLOOKUP($B603,DG!A:D,DG!C$2,)&amp;" : 10m"</f>
        <v>Cáp đồng trần M25mm2 : 10m</v>
      </c>
      <c r="G603" s="1047" t="str">
        <f>VLOOKUP($B603,DG!A:D,DG!$D$2,)</f>
        <v>kg</v>
      </c>
      <c r="H603" s="1845">
        <f t="shared" ref="H603:O605" si="107">H$602*$D603</f>
        <v>0</v>
      </c>
      <c r="I603" s="1845">
        <f t="shared" si="107"/>
        <v>0</v>
      </c>
      <c r="J603" s="1845">
        <f t="shared" si="107"/>
        <v>0</v>
      </c>
      <c r="K603" s="1845">
        <f t="shared" si="107"/>
        <v>0</v>
      </c>
      <c r="L603" s="1845">
        <f t="shared" si="107"/>
        <v>0</v>
      </c>
      <c r="M603" s="1845">
        <f t="shared" si="107"/>
        <v>0</v>
      </c>
      <c r="N603" s="1845">
        <f t="shared" si="107"/>
        <v>0</v>
      </c>
      <c r="O603" s="1845">
        <f t="shared" si="107"/>
        <v>0</v>
      </c>
      <c r="P603" s="1845"/>
      <c r="Q603" s="1056"/>
      <c r="R603" s="1056"/>
      <c r="S603" s="1056"/>
      <c r="T603" s="2059">
        <f t="shared" si="104"/>
        <v>0</v>
      </c>
    </row>
    <row r="604" spans="1:20" ht="22.15" hidden="1" customHeight="1">
      <c r="A604" s="59"/>
      <c r="B604" s="1586" t="s">
        <v>1513</v>
      </c>
      <c r="C604" s="64" t="str">
        <f t="shared" si="105"/>
        <v xml:space="preserve"> </v>
      </c>
      <c r="D604" s="1544">
        <v>1</v>
      </c>
      <c r="E604" s="1047"/>
      <c r="F604" s="1059" t="str">
        <f>VLOOKUP($B604,DG!A:D,DG!C$2,)</f>
        <v>Cọc tiếp đất Þ 16- 2,4m + kẹp cọc mạ đồng</v>
      </c>
      <c r="G604" s="1047" t="str">
        <f>VLOOKUP($B604,DG!A:D,DG!$D$2,)</f>
        <v>bộ</v>
      </c>
      <c r="H604" s="1845">
        <f t="shared" si="107"/>
        <v>0</v>
      </c>
      <c r="I604" s="1845">
        <f t="shared" si="107"/>
        <v>0</v>
      </c>
      <c r="J604" s="1845">
        <f t="shared" si="107"/>
        <v>0</v>
      </c>
      <c r="K604" s="1845">
        <f t="shared" si="107"/>
        <v>0</v>
      </c>
      <c r="L604" s="1845">
        <f t="shared" si="107"/>
        <v>0</v>
      </c>
      <c r="M604" s="1845">
        <f t="shared" si="107"/>
        <v>0</v>
      </c>
      <c r="N604" s="1845">
        <f t="shared" si="107"/>
        <v>0</v>
      </c>
      <c r="O604" s="1845">
        <f t="shared" si="107"/>
        <v>0</v>
      </c>
      <c r="P604" s="1845"/>
      <c r="Q604" s="1056"/>
      <c r="R604" s="1056"/>
      <c r="S604" s="1056"/>
      <c r="T604" s="2059">
        <f t="shared" si="104"/>
        <v>0</v>
      </c>
    </row>
    <row r="605" spans="1:20" ht="22.15" hidden="1" customHeight="1">
      <c r="A605" s="59"/>
      <c r="B605" s="1586" t="s">
        <v>1483</v>
      </c>
      <c r="C605" s="64" t="str">
        <f t="shared" si="105"/>
        <v xml:space="preserve"> </v>
      </c>
      <c r="D605" s="1544">
        <v>2</v>
      </c>
      <c r="E605" s="1047"/>
      <c r="F605" s="1059" t="str">
        <f>VLOOKUP($B605,DG!A:D,DG!C$2,)</f>
        <v>Kẹp nối đồng-nhôm</v>
      </c>
      <c r="G605" s="1047" t="str">
        <f>VLOOKUP($B605,DG!A:D,DG!$D$2,)</f>
        <v>cái</v>
      </c>
      <c r="H605" s="1845">
        <f t="shared" si="107"/>
        <v>0</v>
      </c>
      <c r="I605" s="1845">
        <f t="shared" si="107"/>
        <v>0</v>
      </c>
      <c r="J605" s="1845">
        <f t="shared" si="107"/>
        <v>0</v>
      </c>
      <c r="K605" s="1845">
        <f t="shared" si="107"/>
        <v>0</v>
      </c>
      <c r="L605" s="1845">
        <f t="shared" si="107"/>
        <v>0</v>
      </c>
      <c r="M605" s="1845">
        <f t="shared" si="107"/>
        <v>0</v>
      </c>
      <c r="N605" s="1845">
        <f t="shared" si="107"/>
        <v>0</v>
      </c>
      <c r="O605" s="1845">
        <f t="shared" si="107"/>
        <v>0</v>
      </c>
      <c r="P605" s="1845"/>
      <c r="Q605" s="1056"/>
      <c r="R605" s="1056"/>
      <c r="S605" s="1056"/>
      <c r="T605" s="2059">
        <f t="shared" si="104"/>
        <v>0</v>
      </c>
    </row>
    <row r="606" spans="1:20" ht="22.15" hidden="1" customHeight="1">
      <c r="A606" s="59"/>
      <c r="B606" s="1586" t="s">
        <v>1054</v>
      </c>
      <c r="C606" s="64" t="str">
        <f t="shared" si="105"/>
        <v xml:space="preserve"> </v>
      </c>
      <c r="D606" s="1544">
        <v>2</v>
      </c>
      <c r="E606" s="1047"/>
      <c r="F606" s="1059" t="str">
        <f>VLOOKUP($B606,DG!A:D,DG!C$2,)</f>
        <v>Đầu cosse ép Cu 25mm2</v>
      </c>
      <c r="G606" s="1047" t="str">
        <f>VLOOKUP($B606,DG!A:D,DG!$D$2,)</f>
        <v>cái</v>
      </c>
      <c r="H606" s="1845">
        <f t="shared" ref="H606:H611" si="108">H$602*$D606</f>
        <v>0</v>
      </c>
      <c r="I606" s="1845">
        <f t="shared" ref="I606:N607" si="109">I$612*$D606</f>
        <v>0</v>
      </c>
      <c r="J606" s="1845">
        <f t="shared" si="109"/>
        <v>0</v>
      </c>
      <c r="K606" s="1845">
        <f t="shared" si="109"/>
        <v>0</v>
      </c>
      <c r="L606" s="1845">
        <f t="shared" si="109"/>
        <v>0</v>
      </c>
      <c r="M606" s="1845">
        <f t="shared" si="109"/>
        <v>0</v>
      </c>
      <c r="N606" s="1845">
        <f t="shared" si="109"/>
        <v>0</v>
      </c>
      <c r="O606" s="1845"/>
      <c r="P606" s="1845"/>
      <c r="Q606" s="1056"/>
      <c r="R606" s="1056"/>
      <c r="S606" s="1056"/>
      <c r="T606" s="2059">
        <f t="shared" si="104"/>
        <v>0</v>
      </c>
    </row>
    <row r="607" spans="1:20" ht="22.15" hidden="1" customHeight="1">
      <c r="A607" s="59"/>
      <c r="B607" s="1586" t="s">
        <v>2025</v>
      </c>
      <c r="C607" s="64" t="str">
        <f t="shared" si="105"/>
        <v xml:space="preserve"> </v>
      </c>
      <c r="D607" s="1544">
        <v>1</v>
      </c>
      <c r="E607" s="1047"/>
      <c r="F607" s="1059" t="str">
        <f>VLOOKUP($B607,DG!A:D,DG!C$2,)</f>
        <v>Boulon 12x40+ 2 long đền vuông D14-50x50x3/Zn</v>
      </c>
      <c r="G607" s="1047" t="str">
        <f>VLOOKUP($B607,DG!A:D,DG!$D$2,)</f>
        <v>bộ</v>
      </c>
      <c r="H607" s="1845">
        <f t="shared" si="108"/>
        <v>0</v>
      </c>
      <c r="I607" s="1845">
        <f t="shared" si="109"/>
        <v>0</v>
      </c>
      <c r="J607" s="1845">
        <f t="shared" si="109"/>
        <v>0</v>
      </c>
      <c r="K607" s="1845">
        <f t="shared" si="109"/>
        <v>0</v>
      </c>
      <c r="L607" s="1845">
        <f t="shared" si="109"/>
        <v>0</v>
      </c>
      <c r="M607" s="1845">
        <f t="shared" si="109"/>
        <v>0</v>
      </c>
      <c r="N607" s="1845">
        <f t="shared" si="109"/>
        <v>0</v>
      </c>
      <c r="O607" s="1845"/>
      <c r="P607" s="1845"/>
      <c r="Q607" s="1056"/>
      <c r="R607" s="1056"/>
      <c r="S607" s="1056"/>
      <c r="T607" s="2059">
        <f t="shared" si="104"/>
        <v>0</v>
      </c>
    </row>
    <row r="608" spans="1:20" ht="22.15" hidden="1" customHeight="1">
      <c r="A608" s="59"/>
      <c r="B608" s="1586" t="s">
        <v>1522</v>
      </c>
      <c r="C608" s="64" t="str">
        <f t="shared" si="105"/>
        <v xml:space="preserve"> </v>
      </c>
      <c r="D608" s="1543">
        <f>D603</f>
        <v>2.2400000000000002</v>
      </c>
      <c r="E608" s="1047" t="str">
        <f>VLOOKUP($B608,DG!A:D,DG!$B$2,)</f>
        <v>05.7001</v>
      </c>
      <c r="F608" s="1052" t="str">
        <f>VLOOKUP($B608,DG!A:D,DG!C$2,)</f>
        <v xml:space="preserve">Kéo dây tiếp địa </v>
      </c>
      <c r="G608" s="1047" t="str">
        <f>VLOOKUP($B608,DG!A:D,DG!$D$2,)</f>
        <v>mét</v>
      </c>
      <c r="H608" s="1845">
        <f t="shared" si="108"/>
        <v>0</v>
      </c>
      <c r="I608" s="1845"/>
      <c r="J608" s="1845"/>
      <c r="K608" s="1845"/>
      <c r="L608" s="1845"/>
      <c r="M608" s="1845"/>
      <c r="N608" s="1845"/>
      <c r="O608" s="1845"/>
      <c r="P608" s="1845"/>
      <c r="Q608" s="1061"/>
      <c r="R608" s="1061"/>
      <c r="S608" s="1061"/>
      <c r="T608" s="2059">
        <f t="shared" si="104"/>
        <v>0</v>
      </c>
    </row>
    <row r="609" spans="1:20" ht="22.15" hidden="1" customHeight="1">
      <c r="A609" s="59"/>
      <c r="B609" s="1586" t="s">
        <v>1106</v>
      </c>
      <c r="C609" s="64" t="str">
        <f t="shared" si="105"/>
        <v xml:space="preserve"> </v>
      </c>
      <c r="D609" s="1544">
        <f>+D604</f>
        <v>1</v>
      </c>
      <c r="E609" s="1047" t="str">
        <f>VLOOKUP($B609,DG!A:D,DG!$B$2,)</f>
        <v>05.8103</v>
      </c>
      <c r="F609" s="1052" t="str">
        <f>VLOOKUP($B609,DG!A:D,DG!C$2,)</f>
        <v>Đóng cọc tiếp địa đất cấp 3</v>
      </c>
      <c r="G609" s="1047" t="str">
        <f>VLOOKUP($B609,DG!A:D,DG!$D$2,)</f>
        <v>cọc</v>
      </c>
      <c r="H609" s="1845">
        <f t="shared" si="108"/>
        <v>0</v>
      </c>
      <c r="I609" s="1845"/>
      <c r="J609" s="1845"/>
      <c r="K609" s="1845"/>
      <c r="L609" s="1845"/>
      <c r="M609" s="1845"/>
      <c r="N609" s="1845"/>
      <c r="O609" s="1845"/>
      <c r="P609" s="1845"/>
      <c r="Q609" s="1056"/>
      <c r="R609" s="1056"/>
      <c r="S609" s="1056"/>
      <c r="T609" s="2059">
        <f t="shared" si="104"/>
        <v>0</v>
      </c>
    </row>
    <row r="610" spans="1:20" ht="22.15" hidden="1" customHeight="1">
      <c r="A610" s="59"/>
      <c r="B610" s="1586" t="s">
        <v>1908</v>
      </c>
      <c r="C610" s="64" t="str">
        <f t="shared" si="105"/>
        <v xml:space="preserve"> </v>
      </c>
      <c r="D610" s="1542"/>
      <c r="E610" s="1047" t="str">
        <f>VLOOKUP($B610,DG!A:D,DG!$B$2,)</f>
        <v>02.1120</v>
      </c>
      <c r="F610" s="1052" t="str">
        <f>VLOOKUP($B610,DG!A:D,DG!C$2,)</f>
        <v>Bốc dỡ phụ kiện</v>
      </c>
      <c r="G610" s="1047" t="str">
        <f>VLOOKUP($B610,DG!A:D,DG!$D$2,)</f>
        <v>tấn</v>
      </c>
      <c r="H610" s="1845">
        <f t="shared" si="108"/>
        <v>0</v>
      </c>
      <c r="I610" s="1845"/>
      <c r="J610" s="1845"/>
      <c r="K610" s="1845"/>
      <c r="L610" s="1845"/>
      <c r="M610" s="1845"/>
      <c r="N610" s="1845"/>
      <c r="O610" s="1845"/>
      <c r="P610" s="1845"/>
      <c r="Q610" s="1056"/>
      <c r="R610" s="1056"/>
      <c r="S610" s="1056"/>
      <c r="T610" s="2059">
        <f t="shared" si="104"/>
        <v>0</v>
      </c>
    </row>
    <row r="611" spans="1:20" ht="22.15" hidden="1" customHeight="1">
      <c r="A611" s="59"/>
      <c r="B611" s="1598" t="s">
        <v>1909</v>
      </c>
      <c r="C611" s="64" t="str">
        <f t="shared" si="105"/>
        <v xml:space="preserve"> </v>
      </c>
      <c r="D611" s="1542"/>
      <c r="E611" s="1047" t="str">
        <f>VLOOKUP($B611,DG!A:C,2,)</f>
        <v>02.1351</v>
      </c>
      <c r="F611" s="1052" t="str">
        <f>VLOOKUP($B611,DG!A:C,3,)</f>
        <v>V/c tiếp địa vào vị trí ( cự ly &lt;=100m)</v>
      </c>
      <c r="G611" s="1047" t="str">
        <f>VLOOKUP($B611,DG!A:D,4,0)</f>
        <v>tấn</v>
      </c>
      <c r="H611" s="1845">
        <f t="shared" si="108"/>
        <v>0</v>
      </c>
      <c r="I611" s="1845"/>
      <c r="J611" s="1845"/>
      <c r="K611" s="1845"/>
      <c r="L611" s="1845"/>
      <c r="M611" s="1845"/>
      <c r="N611" s="1845"/>
      <c r="O611" s="1845"/>
      <c r="P611" s="1845"/>
      <c r="Q611" s="1061"/>
      <c r="R611" s="1061"/>
      <c r="S611" s="1061"/>
      <c r="T611" s="2059">
        <f t="shared" si="104"/>
        <v>0</v>
      </c>
    </row>
    <row r="612" spans="1:20" ht="22.15" hidden="1" customHeight="1">
      <c r="A612" s="1018" t="s">
        <v>1642</v>
      </c>
      <c r="B612" s="1583" t="s">
        <v>1642</v>
      </c>
      <c r="C612" s="1019" t="str">
        <f t="shared" si="105"/>
        <v xml:space="preserve"> </v>
      </c>
      <c r="D612" s="1553"/>
      <c r="E612" s="1048"/>
      <c r="F612" s="1396" t="s">
        <v>2400</v>
      </c>
      <c r="G612" s="1049" t="s">
        <v>2394</v>
      </c>
      <c r="H612" s="1843">
        <f>SUM(I612:O612)</f>
        <v>0</v>
      </c>
      <c r="I612" s="1844"/>
      <c r="J612" s="1844"/>
      <c r="K612" s="1844">
        <f>IFERROR(HLOOKUP(B612,pp3p1m!$1:$3,3,0),0)</f>
        <v>0</v>
      </c>
      <c r="L612" s="1844">
        <f>IFERROR(HLOOKUP(chitiet!B612,pp1p!$1:$3,3,0),0)</f>
        <v>0</v>
      </c>
      <c r="M612" s="1844"/>
      <c r="N612" s="1844"/>
      <c r="O612" s="1844"/>
      <c r="P612" s="1844">
        <f>H612+Q612-R612</f>
        <v>0</v>
      </c>
      <c r="Q612" s="1050"/>
      <c r="R612" s="1050"/>
      <c r="S612" s="1050"/>
      <c r="T612" s="2059">
        <f>IFERROR(HLOOKUP(B612,pp1p!$1:$3,3,0),0)+IFERROR(HLOOKUP(B612,pp3p1m!$1:$3,3,0),0)</f>
        <v>0</v>
      </c>
    </row>
    <row r="613" spans="1:20" ht="22.15" hidden="1" customHeight="1">
      <c r="A613" s="1017"/>
      <c r="B613" s="1580" t="s">
        <v>103</v>
      </c>
      <c r="C613" s="1020" t="str">
        <f t="shared" si="105"/>
        <v xml:space="preserve"> </v>
      </c>
      <c r="D613" s="1543">
        <f>0.224*E613</f>
        <v>2.6880000000000002</v>
      </c>
      <c r="E613" s="2086">
        <v>12</v>
      </c>
      <c r="F613" s="1059" t="str">
        <f>VLOOKUP($B613,DG!A:D,DG!C$2,)</f>
        <v>Cáp đồng trần M25mm2</v>
      </c>
      <c r="G613" s="1047" t="str">
        <f>VLOOKUP($B613,DG!A:D,DG!$D$2,)</f>
        <v>kg</v>
      </c>
      <c r="H613" s="1852">
        <f t="shared" ref="H613:N617" si="110">H$612*$D613</f>
        <v>0</v>
      </c>
      <c r="I613" s="1845">
        <f t="shared" si="110"/>
        <v>0</v>
      </c>
      <c r="J613" s="1845">
        <f t="shared" si="110"/>
        <v>0</v>
      </c>
      <c r="K613" s="1845">
        <f t="shared" si="110"/>
        <v>0</v>
      </c>
      <c r="L613" s="1845">
        <f t="shared" si="110"/>
        <v>0</v>
      </c>
      <c r="M613" s="1845">
        <f t="shared" si="110"/>
        <v>0</v>
      </c>
      <c r="N613" s="1845">
        <f t="shared" si="110"/>
        <v>0</v>
      </c>
      <c r="O613" s="1845"/>
      <c r="P613" s="1852">
        <f>D613*$P$612</f>
        <v>0</v>
      </c>
      <c r="Q613" s="1056"/>
      <c r="R613" s="1056"/>
      <c r="S613" s="1056"/>
      <c r="T613" s="2059">
        <f t="shared" si="104"/>
        <v>0</v>
      </c>
    </row>
    <row r="614" spans="1:20" ht="22.15" hidden="1" customHeight="1">
      <c r="A614" s="1017"/>
      <c r="B614" s="1580" t="s">
        <v>1513</v>
      </c>
      <c r="C614" s="1020" t="str">
        <f t="shared" si="105"/>
        <v xml:space="preserve"> </v>
      </c>
      <c r="D614" s="1544">
        <v>1</v>
      </c>
      <c r="E614" s="1047"/>
      <c r="F614" s="1059" t="str">
        <f>VLOOKUP($B614,DG!A:D,DG!C$2,)</f>
        <v>Cọc tiếp đất Þ 16- 2,4m + kẹp cọc mạ đồng</v>
      </c>
      <c r="G614" s="1047" t="str">
        <f>VLOOKUP($B614,DG!A:D,DG!$D$2,)</f>
        <v>bộ</v>
      </c>
      <c r="H614" s="1845">
        <f t="shared" si="110"/>
        <v>0</v>
      </c>
      <c r="I614" s="1845">
        <f t="shared" si="110"/>
        <v>0</v>
      </c>
      <c r="J614" s="1845">
        <f t="shared" si="110"/>
        <v>0</v>
      </c>
      <c r="K614" s="1845">
        <f t="shared" si="110"/>
        <v>0</v>
      </c>
      <c r="L614" s="1845">
        <f t="shared" si="110"/>
        <v>0</v>
      </c>
      <c r="M614" s="1845">
        <f t="shared" si="110"/>
        <v>0</v>
      </c>
      <c r="N614" s="1845">
        <f t="shared" si="110"/>
        <v>0</v>
      </c>
      <c r="O614" s="1845"/>
      <c r="P614" s="1845">
        <f>D614*$P$612</f>
        <v>0</v>
      </c>
      <c r="Q614" s="1056"/>
      <c r="R614" s="1056"/>
      <c r="S614" s="1056"/>
      <c r="T614" s="2059">
        <f t="shared" si="104"/>
        <v>0</v>
      </c>
    </row>
    <row r="615" spans="1:20" ht="22.15" hidden="1" customHeight="1">
      <c r="A615" s="59"/>
      <c r="B615" s="1586" t="s">
        <v>1584</v>
      </c>
      <c r="C615" s="64" t="str">
        <f t="shared" si="105"/>
        <v xml:space="preserve"> </v>
      </c>
      <c r="D615" s="1544">
        <f>2</f>
        <v>2</v>
      </c>
      <c r="E615" s="1047"/>
      <c r="F615" s="1059" t="str">
        <f>VLOOKUP($B615,DG!A:D,DG!C$2,)</f>
        <v>Kẹp ép WR cỡ dây 50mm2</v>
      </c>
      <c r="G615" s="1047" t="str">
        <f>VLOOKUP($B615,DG!A:D,DG!$D$2,)</f>
        <v>cái</v>
      </c>
      <c r="H615" s="1845">
        <f t="shared" si="110"/>
        <v>0</v>
      </c>
      <c r="I615" s="1845">
        <f t="shared" si="110"/>
        <v>0</v>
      </c>
      <c r="J615" s="1845">
        <f t="shared" si="110"/>
        <v>0</v>
      </c>
      <c r="K615" s="1845">
        <f t="shared" si="110"/>
        <v>0</v>
      </c>
      <c r="L615" s="1845">
        <f t="shared" si="110"/>
        <v>0</v>
      </c>
      <c r="M615" s="1845">
        <f t="shared" si="110"/>
        <v>0</v>
      </c>
      <c r="N615" s="1845">
        <f t="shared" si="110"/>
        <v>0</v>
      </c>
      <c r="O615" s="1845"/>
      <c r="P615" s="1845">
        <f>D615*$P$612</f>
        <v>0</v>
      </c>
      <c r="Q615" s="1056"/>
      <c r="R615" s="1056"/>
      <c r="S615" s="1056"/>
      <c r="T615" s="2059">
        <f t="shared" si="104"/>
        <v>0</v>
      </c>
    </row>
    <row r="616" spans="1:20" ht="22.15" hidden="1" customHeight="1">
      <c r="A616" s="59"/>
      <c r="B616" s="1586" t="s">
        <v>1495</v>
      </c>
      <c r="C616" s="64" t="str">
        <f t="shared" si="105"/>
        <v xml:space="preserve"> </v>
      </c>
      <c r="D616" s="1544">
        <f>6-6</f>
        <v>0</v>
      </c>
      <c r="E616" s="1047"/>
      <c r="F616" s="1059" t="str">
        <f>VLOOKUP($B616,DG!A:D,DG!C$2,)</f>
        <v xml:space="preserve">Ống PVC D21x1,6mm </v>
      </c>
      <c r="G616" s="1047" t="str">
        <f>VLOOKUP($B616,DG!A:D,DG!$D$2,)</f>
        <v>m</v>
      </c>
      <c r="H616" s="1845">
        <f t="shared" si="110"/>
        <v>0</v>
      </c>
      <c r="I616" s="1845">
        <f t="shared" si="110"/>
        <v>0</v>
      </c>
      <c r="J616" s="1845">
        <f t="shared" si="110"/>
        <v>0</v>
      </c>
      <c r="K616" s="1845">
        <f t="shared" si="110"/>
        <v>0</v>
      </c>
      <c r="L616" s="1845">
        <f t="shared" si="110"/>
        <v>0</v>
      </c>
      <c r="M616" s="1845">
        <f t="shared" si="110"/>
        <v>0</v>
      </c>
      <c r="N616" s="1845">
        <f t="shared" si="110"/>
        <v>0</v>
      </c>
      <c r="O616" s="1845"/>
      <c r="P616" s="1845"/>
      <c r="Q616" s="1056"/>
      <c r="R616" s="1056"/>
      <c r="S616" s="1056"/>
      <c r="T616" s="2059">
        <f t="shared" si="104"/>
        <v>0</v>
      </c>
    </row>
    <row r="617" spans="1:20" ht="22.15" hidden="1" customHeight="1">
      <c r="A617" s="59"/>
      <c r="B617" s="1586" t="s">
        <v>2025</v>
      </c>
      <c r="C617" s="64" t="str">
        <f>IF(OR(P617&lt;&gt;0,H617&lt;&gt;0),"x"," ")</f>
        <v xml:space="preserve"> </v>
      </c>
      <c r="D617" s="1544"/>
      <c r="E617" s="1047"/>
      <c r="F617" s="1059" t="str">
        <f>VLOOKUP($B617,DG!A:D,DG!C$2,)</f>
        <v>Boulon 12x40+ 2 long đền vuông D14-50x50x3/Zn</v>
      </c>
      <c r="G617" s="1047" t="str">
        <f>VLOOKUP($B617,DG!A:D,DG!$D$2,)</f>
        <v>bộ</v>
      </c>
      <c r="H617" s="1845">
        <f t="shared" si="110"/>
        <v>0</v>
      </c>
      <c r="I617" s="1845">
        <f t="shared" si="110"/>
        <v>0</v>
      </c>
      <c r="J617" s="1845">
        <f t="shared" si="110"/>
        <v>0</v>
      </c>
      <c r="K617" s="1845">
        <f t="shared" si="110"/>
        <v>0</v>
      </c>
      <c r="L617" s="1845">
        <f t="shared" si="110"/>
        <v>0</v>
      </c>
      <c r="M617" s="1845">
        <f t="shared" si="110"/>
        <v>0</v>
      </c>
      <c r="N617" s="1845">
        <f t="shared" si="110"/>
        <v>0</v>
      </c>
      <c r="O617" s="1845"/>
      <c r="P617" s="1845">
        <f>D617*$P$612</f>
        <v>0</v>
      </c>
      <c r="Q617" s="1056"/>
      <c r="R617" s="1056"/>
      <c r="S617" s="1056"/>
      <c r="T617" s="2059">
        <f t="shared" si="104"/>
        <v>0</v>
      </c>
    </row>
    <row r="618" spans="1:20" ht="22.15" hidden="1" customHeight="1">
      <c r="A618" s="1017"/>
      <c r="B618" s="1580" t="s">
        <v>1522</v>
      </c>
      <c r="C618" s="1020" t="str">
        <f t="shared" si="105"/>
        <v xml:space="preserve"> </v>
      </c>
      <c r="D618" s="1543">
        <f>D613</f>
        <v>2.6880000000000002</v>
      </c>
      <c r="E618" s="1047" t="str">
        <f>VLOOKUP($B618,DG!A:D,DG!$B$2,)</f>
        <v>05.7001</v>
      </c>
      <c r="F618" s="1052" t="str">
        <f>VLOOKUP($B618,DG!A:D,DG!C$2,)</f>
        <v xml:space="preserve">Kéo dây tiếp địa </v>
      </c>
      <c r="G618" s="2134" t="str">
        <f>G613</f>
        <v>kg</v>
      </c>
      <c r="H618" s="2133">
        <f>H$612*$D618</f>
        <v>0</v>
      </c>
      <c r="I618" s="1845"/>
      <c r="J618" s="1845"/>
      <c r="K618" s="1845"/>
      <c r="L618" s="1845"/>
      <c r="M618" s="1845"/>
      <c r="N618" s="1845"/>
      <c r="O618" s="1845"/>
      <c r="P618" s="1845">
        <f>D618*$P$612</f>
        <v>0</v>
      </c>
      <c r="Q618" s="1061"/>
      <c r="R618" s="1061"/>
      <c r="S618" s="1061"/>
      <c r="T618" s="2059">
        <f t="shared" si="104"/>
        <v>0</v>
      </c>
    </row>
    <row r="619" spans="1:20" ht="22.15" hidden="1" customHeight="1">
      <c r="A619" s="1017"/>
      <c r="B619" s="1580" t="s">
        <v>1106</v>
      </c>
      <c r="C619" s="1020" t="str">
        <f t="shared" si="105"/>
        <v xml:space="preserve"> </v>
      </c>
      <c r="D619" s="1544">
        <f>D614</f>
        <v>1</v>
      </c>
      <c r="E619" s="1047" t="str">
        <f>VLOOKUP($B619,DG!A:D,DG!$B$2,)</f>
        <v>05.8103</v>
      </c>
      <c r="F619" s="1052" t="str">
        <f>VLOOKUP($B619,DG!A:D,DG!C$2,)</f>
        <v>Đóng cọc tiếp địa đất cấp 3</v>
      </c>
      <c r="G619" s="1047" t="str">
        <f>VLOOKUP($B619,DG!A:D,DG!$D$2,)</f>
        <v>cọc</v>
      </c>
      <c r="H619" s="1845">
        <f>H$612*$D619</f>
        <v>0</v>
      </c>
      <c r="I619" s="1845"/>
      <c r="J619" s="1845"/>
      <c r="K619" s="1845"/>
      <c r="L619" s="1845"/>
      <c r="M619" s="1845"/>
      <c r="N619" s="1845"/>
      <c r="O619" s="1845"/>
      <c r="P619" s="1845">
        <f>D619*$P$612</f>
        <v>0</v>
      </c>
      <c r="Q619" s="1056"/>
      <c r="R619" s="1056"/>
      <c r="S619" s="1056"/>
      <c r="T619" s="2059">
        <f t="shared" si="104"/>
        <v>0</v>
      </c>
    </row>
    <row r="620" spans="1:20" ht="22.15" hidden="1" customHeight="1">
      <c r="A620" s="59"/>
      <c r="B620" s="1586" t="s">
        <v>1908</v>
      </c>
      <c r="C620" s="64" t="str">
        <f t="shared" si="105"/>
        <v xml:space="preserve"> </v>
      </c>
      <c r="D620" s="1542">
        <f>0.008-0.008</f>
        <v>0</v>
      </c>
      <c r="E620" s="1047" t="str">
        <f>VLOOKUP($B620,DG!A:D,DG!$B$2,)</f>
        <v>02.1120</v>
      </c>
      <c r="F620" s="1052" t="str">
        <f>VLOOKUP($B620,DG!A:D,DG!C$2,)</f>
        <v>Bốc dỡ phụ kiện</v>
      </c>
      <c r="G620" s="1047" t="str">
        <f>VLOOKUP($B620,DG!A:D,DG!$D$2,)</f>
        <v>tấn</v>
      </c>
      <c r="H620" s="1845">
        <f>H$612*$D620</f>
        <v>0</v>
      </c>
      <c r="I620" s="1845"/>
      <c r="J620" s="1845"/>
      <c r="K620" s="1845"/>
      <c r="L620" s="1845"/>
      <c r="M620" s="1845"/>
      <c r="N620" s="1845"/>
      <c r="O620" s="1845"/>
      <c r="P620" s="1845"/>
      <c r="Q620" s="1056"/>
      <c r="R620" s="1056"/>
      <c r="S620" s="1056"/>
      <c r="T620" s="2059">
        <f t="shared" si="104"/>
        <v>0</v>
      </c>
    </row>
    <row r="621" spans="1:20" ht="22.15" hidden="1" customHeight="1">
      <c r="A621" s="59"/>
      <c r="B621" s="1598" t="s">
        <v>1909</v>
      </c>
      <c r="C621" s="64" t="str">
        <f>IF(OR(P621&lt;&gt;0,H621&lt;&gt;0),"x"," ")</f>
        <v xml:space="preserve"> </v>
      </c>
      <c r="D621" s="1542"/>
      <c r="E621" s="1047" t="str">
        <f>VLOOKUP($B621,DG!A:C,2,)</f>
        <v>02.1351</v>
      </c>
      <c r="F621" s="1052" t="str">
        <f>VLOOKUP($B621,DG!A:C,3,)</f>
        <v>V/c tiếp địa vào vị trí ( cự ly &lt;=100m)</v>
      </c>
      <c r="G621" s="1047" t="str">
        <f>VLOOKUP($B621,DG!A:D,4,0)</f>
        <v>tấn</v>
      </c>
      <c r="H621" s="1845">
        <f>H$612*$D621</f>
        <v>0</v>
      </c>
      <c r="I621" s="1845"/>
      <c r="J621" s="1845"/>
      <c r="K621" s="1845"/>
      <c r="L621" s="1845"/>
      <c r="M621" s="1845"/>
      <c r="N621" s="1845"/>
      <c r="O621" s="1845"/>
      <c r="P621" s="1845"/>
      <c r="Q621" s="1061"/>
      <c r="R621" s="1061"/>
      <c r="S621" s="1061"/>
      <c r="T621" s="2059">
        <f t="shared" si="104"/>
        <v>0</v>
      </c>
    </row>
    <row r="622" spans="1:20" ht="22.15" customHeight="1">
      <c r="A622" s="1581" t="s">
        <v>2243</v>
      </c>
      <c r="B622" s="1583" t="s">
        <v>2243</v>
      </c>
      <c r="C622" s="64" t="str">
        <f t="shared" si="105"/>
        <v>x</v>
      </c>
      <c r="D622" s="1553"/>
      <c r="E622" s="1048"/>
      <c r="F622" s="1396" t="s">
        <v>2401</v>
      </c>
      <c r="G622" s="1049" t="s">
        <v>2394</v>
      </c>
      <c r="H622" s="1843">
        <f>SUM(I622:O622)</f>
        <v>4</v>
      </c>
      <c r="I622" s="1844"/>
      <c r="J622" s="1844"/>
      <c r="K622" s="1844">
        <f>IFERROR(HLOOKUP(B622,pp3p1m!$1:$3,3,0),0)</f>
        <v>4</v>
      </c>
      <c r="L622" s="1844">
        <f>IFERROR(HLOOKUP(chitiet!B622,pp1p!$1:$3,3,0),0)</f>
        <v>0</v>
      </c>
      <c r="M622" s="1844"/>
      <c r="N622" s="1844"/>
      <c r="O622" s="1844"/>
      <c r="P622" s="1843">
        <f>H622+Q622-R622</f>
        <v>4</v>
      </c>
      <c r="Q622" s="1050"/>
      <c r="R622" s="1050"/>
      <c r="S622" s="1050"/>
      <c r="T622" s="2059">
        <f>IFERROR(HLOOKUP(B622,pp1p!$1:$3,3,0),0)+IFERROR(HLOOKUP(B622,pp3p1m!$1:$3,3,0),0)</f>
        <v>4</v>
      </c>
    </row>
    <row r="623" spans="1:20" ht="22.15" customHeight="1">
      <c r="B623" s="1586" t="s">
        <v>103</v>
      </c>
      <c r="C623" s="64" t="str">
        <f t="shared" si="105"/>
        <v>x</v>
      </c>
      <c r="D623" s="1543">
        <v>2.46</v>
      </c>
      <c r="E623" s="1047"/>
      <c r="F623" s="1059" t="str">
        <f>VLOOKUP($B623,DG!A:D,DG!C$2,)</f>
        <v>Cáp đồng trần M25mm2</v>
      </c>
      <c r="G623" s="1047" t="str">
        <f>VLOOKUP($B623,DG!A:D,DG!$D$2,)</f>
        <v>kg</v>
      </c>
      <c r="H623" s="1845">
        <f t="shared" ref="H623:H631" si="111">$H$622*$D623</f>
        <v>9.84</v>
      </c>
      <c r="I623" s="1845">
        <f t="shared" ref="I623:O628" si="112">I$622*$D623</f>
        <v>0</v>
      </c>
      <c r="J623" s="1845">
        <f t="shared" si="112"/>
        <v>0</v>
      </c>
      <c r="K623" s="1845">
        <f t="shared" si="112"/>
        <v>9.84</v>
      </c>
      <c r="L623" s="1845">
        <f t="shared" si="112"/>
        <v>0</v>
      </c>
      <c r="M623" s="1845">
        <f t="shared" si="112"/>
        <v>0</v>
      </c>
      <c r="N623" s="1845">
        <f t="shared" si="112"/>
        <v>0</v>
      </c>
      <c r="O623" s="1845">
        <f t="shared" si="112"/>
        <v>0</v>
      </c>
      <c r="P623" s="1846">
        <f>$P$622*D623</f>
        <v>9.84</v>
      </c>
      <c r="Q623" s="1056"/>
      <c r="R623" s="1056"/>
      <c r="S623" s="1056"/>
      <c r="T623" s="2059">
        <f t="shared" si="104"/>
        <v>0</v>
      </c>
    </row>
    <row r="624" spans="1:20" ht="22.15" customHeight="1">
      <c r="B624" s="1586" t="s">
        <v>1513</v>
      </c>
      <c r="C624" s="64" t="str">
        <f t="shared" si="105"/>
        <v>x</v>
      </c>
      <c r="D624" s="1544">
        <v>1</v>
      </c>
      <c r="E624" s="1047"/>
      <c r="F624" s="1059" t="str">
        <f>VLOOKUP($B624,DG!A:D,DG!C$2,)</f>
        <v>Cọc tiếp đất Þ 16- 2,4m + kẹp cọc mạ đồng</v>
      </c>
      <c r="G624" s="1047" t="str">
        <f>VLOOKUP($B624,DG!A:D,DG!$D$2,)</f>
        <v>bộ</v>
      </c>
      <c r="H624" s="1845">
        <f t="shared" si="111"/>
        <v>4</v>
      </c>
      <c r="I624" s="1845">
        <f t="shared" si="112"/>
        <v>0</v>
      </c>
      <c r="J624" s="1845">
        <f t="shared" si="112"/>
        <v>0</v>
      </c>
      <c r="K624" s="1845">
        <f t="shared" si="112"/>
        <v>4</v>
      </c>
      <c r="L624" s="1845">
        <f t="shared" si="112"/>
        <v>0</v>
      </c>
      <c r="M624" s="1845">
        <f t="shared" si="112"/>
        <v>0</v>
      </c>
      <c r="N624" s="1845">
        <f t="shared" si="112"/>
        <v>0</v>
      </c>
      <c r="O624" s="1845">
        <f t="shared" si="112"/>
        <v>0</v>
      </c>
      <c r="P624" s="1846">
        <f>$P$622*D624</f>
        <v>4</v>
      </c>
      <c r="Q624" s="1056"/>
      <c r="R624" s="1056"/>
      <c r="S624" s="1056"/>
      <c r="T624" s="2059">
        <f t="shared" si="104"/>
        <v>0</v>
      </c>
    </row>
    <row r="625" spans="1:20" ht="22.15" customHeight="1">
      <c r="B625" s="1586" t="s">
        <v>531</v>
      </c>
      <c r="C625" s="64" t="str">
        <f t="shared" si="105"/>
        <v>x</v>
      </c>
      <c r="D625" s="1544">
        <v>2</v>
      </c>
      <c r="E625" s="1047"/>
      <c r="F625" s="1059" t="str">
        <f>VLOOKUP($B625,DG!A:D,DG!C$2,)</f>
        <v>Kẹp ép WR cỡ dây 50mm2</v>
      </c>
      <c r="G625" s="1047" t="str">
        <f>VLOOKUP($B625,DG!A:D,DG!$D$2,)</f>
        <v>cái</v>
      </c>
      <c r="H625" s="1845">
        <f t="shared" si="111"/>
        <v>8</v>
      </c>
      <c r="I625" s="1845">
        <f t="shared" si="112"/>
        <v>0</v>
      </c>
      <c r="J625" s="1845">
        <f t="shared" si="112"/>
        <v>0</v>
      </c>
      <c r="K625" s="1845">
        <f t="shared" si="112"/>
        <v>8</v>
      </c>
      <c r="L625" s="1845">
        <f t="shared" si="112"/>
        <v>0</v>
      </c>
      <c r="M625" s="1845">
        <f t="shared" si="112"/>
        <v>0</v>
      </c>
      <c r="N625" s="1845">
        <f t="shared" si="112"/>
        <v>0</v>
      </c>
      <c r="O625" s="1845">
        <f t="shared" si="112"/>
        <v>0</v>
      </c>
      <c r="P625" s="1846">
        <f>$P$622*D625</f>
        <v>8</v>
      </c>
      <c r="Q625" s="1056"/>
      <c r="R625" s="1056"/>
      <c r="S625" s="1056"/>
      <c r="T625" s="2059">
        <f t="shared" si="104"/>
        <v>0</v>
      </c>
    </row>
    <row r="626" spans="1:20" ht="22.15" hidden="1" customHeight="1">
      <c r="A626" s="59"/>
      <c r="B626" s="1586" t="s">
        <v>1054</v>
      </c>
      <c r="C626" s="64" t="str">
        <f t="shared" si="105"/>
        <v xml:space="preserve"> </v>
      </c>
      <c r="D626" s="1544"/>
      <c r="E626" s="1047"/>
      <c r="F626" s="1059" t="str">
        <f>VLOOKUP($B626,DG!A:D,DG!C$2,)</f>
        <v>Đầu cosse ép Cu 25mm2</v>
      </c>
      <c r="G626" s="1047" t="str">
        <f>VLOOKUP($B626,DG!A:D,DG!$D$2,)</f>
        <v>cái</v>
      </c>
      <c r="H626" s="1845">
        <f t="shared" si="111"/>
        <v>0</v>
      </c>
      <c r="I626" s="1845">
        <f t="shared" si="112"/>
        <v>0</v>
      </c>
      <c r="J626" s="1845">
        <f t="shared" si="112"/>
        <v>0</v>
      </c>
      <c r="K626" s="1845">
        <f t="shared" si="112"/>
        <v>0</v>
      </c>
      <c r="L626" s="1845">
        <f t="shared" si="112"/>
        <v>0</v>
      </c>
      <c r="M626" s="1845">
        <f t="shared" si="112"/>
        <v>0</v>
      </c>
      <c r="N626" s="1845">
        <f t="shared" si="112"/>
        <v>0</v>
      </c>
      <c r="O626" s="1845">
        <f t="shared" si="112"/>
        <v>0</v>
      </c>
      <c r="P626" s="1845"/>
      <c r="Q626" s="1056"/>
      <c r="R626" s="1056"/>
      <c r="S626" s="1056"/>
      <c r="T626" s="2059">
        <f t="shared" si="104"/>
        <v>0</v>
      </c>
    </row>
    <row r="627" spans="1:20" ht="22.15" hidden="1" customHeight="1">
      <c r="A627" s="59"/>
      <c r="B627" s="1586" t="s">
        <v>2025</v>
      </c>
      <c r="C627" s="64" t="str">
        <f t="shared" ref="C627" si="113">IF(OR(P627&lt;&gt;0,H627&lt;&gt;0),"x"," ")</f>
        <v xml:space="preserve"> </v>
      </c>
      <c r="D627" s="1544"/>
      <c r="E627" s="1047"/>
      <c r="F627" s="1059" t="str">
        <f>VLOOKUP($B627,DG!A:D,DG!C$2,)</f>
        <v>Boulon 12x40+ 2 long đền vuông D14-50x50x3/Zn</v>
      </c>
      <c r="G627" s="1047" t="str">
        <f>VLOOKUP($B627,DG!A:D,DG!$D$2,)</f>
        <v>bộ</v>
      </c>
      <c r="H627" s="1845">
        <f t="shared" si="111"/>
        <v>0</v>
      </c>
      <c r="I627" s="1845">
        <f t="shared" si="112"/>
        <v>0</v>
      </c>
      <c r="J627" s="1845">
        <f t="shared" si="112"/>
        <v>0</v>
      </c>
      <c r="K627" s="1845">
        <f t="shared" si="112"/>
        <v>0</v>
      </c>
      <c r="L627" s="1845">
        <f t="shared" si="112"/>
        <v>0</v>
      </c>
      <c r="M627" s="1845">
        <f t="shared" si="112"/>
        <v>0</v>
      </c>
      <c r="N627" s="1845">
        <f t="shared" si="112"/>
        <v>0</v>
      </c>
      <c r="O627" s="1845">
        <f t="shared" si="112"/>
        <v>0</v>
      </c>
      <c r="P627" s="1845"/>
      <c r="Q627" s="1056"/>
      <c r="R627" s="1056"/>
      <c r="S627" s="1056"/>
      <c r="T627" s="2059">
        <f t="shared" ref="T627" si="114">IFERROR(HLOOKUP(B627,BangKeTru,3,0),0)</f>
        <v>0</v>
      </c>
    </row>
    <row r="628" spans="1:20" ht="22.15" customHeight="1">
      <c r="A628" s="59"/>
      <c r="B628" s="1586" t="s">
        <v>1064</v>
      </c>
      <c r="C628" s="64" t="str">
        <f t="shared" si="105"/>
        <v>x</v>
      </c>
      <c r="D628" s="1544">
        <v>2</v>
      </c>
      <c r="E628" s="1047"/>
      <c r="F628" s="1059" t="str">
        <f>VLOOKUP($B628,DG!A:D,DG!C$2,)</f>
        <v>Ốc siết cáp cỡ 25mm2</v>
      </c>
      <c r="G628" s="1047" t="str">
        <f>VLOOKUP($B628,DG!A:D,DG!$D$2,)</f>
        <v>cái</v>
      </c>
      <c r="H628" s="1845">
        <f t="shared" si="111"/>
        <v>8</v>
      </c>
      <c r="I628" s="1845">
        <f t="shared" si="112"/>
        <v>0</v>
      </c>
      <c r="J628" s="1845">
        <f t="shared" si="112"/>
        <v>0</v>
      </c>
      <c r="K628" s="1845">
        <f t="shared" si="112"/>
        <v>8</v>
      </c>
      <c r="L628" s="1845">
        <f t="shared" si="112"/>
        <v>0</v>
      </c>
      <c r="M628" s="1845">
        <f t="shared" si="112"/>
        <v>0</v>
      </c>
      <c r="N628" s="1845">
        <f t="shared" si="112"/>
        <v>0</v>
      </c>
      <c r="O628" s="1845">
        <f t="shared" si="112"/>
        <v>0</v>
      </c>
      <c r="P628" s="1846">
        <f t="shared" ref="P628:P632" si="115">$P$622*D628</f>
        <v>8</v>
      </c>
      <c r="Q628" s="1056"/>
      <c r="R628" s="1056"/>
      <c r="S628" s="1056"/>
      <c r="T628" s="2059">
        <f t="shared" si="104"/>
        <v>0</v>
      </c>
    </row>
    <row r="629" spans="1:20" ht="22.15" customHeight="1">
      <c r="B629" s="1586" t="s">
        <v>1522</v>
      </c>
      <c r="C629" s="64" t="str">
        <f t="shared" si="105"/>
        <v>x</v>
      </c>
      <c r="D629" s="1543">
        <f>D623</f>
        <v>2.46</v>
      </c>
      <c r="E629" s="1047" t="str">
        <f>VLOOKUP($B629,DG!A:D,DG!$B$2,)</f>
        <v>05.7001</v>
      </c>
      <c r="F629" s="1052" t="str">
        <f>VLOOKUP($B629,DG!A:D,DG!C$2,)</f>
        <v xml:space="preserve">Kéo dây tiếp địa </v>
      </c>
      <c r="G629" s="1047" t="str">
        <f>VLOOKUP($B629,DG!A:D,DG!$D$2,)</f>
        <v>mét</v>
      </c>
      <c r="H629" s="1845">
        <f t="shared" si="111"/>
        <v>9.84</v>
      </c>
      <c r="I629" s="1845"/>
      <c r="J629" s="1845"/>
      <c r="K629" s="1845"/>
      <c r="L629" s="1845"/>
      <c r="M629" s="1845"/>
      <c r="N629" s="1845"/>
      <c r="O629" s="1845"/>
      <c r="P629" s="1846">
        <f t="shared" si="115"/>
        <v>9.84</v>
      </c>
      <c r="Q629" s="1061"/>
      <c r="R629" s="1061"/>
      <c r="S629" s="1061"/>
      <c r="T629" s="2059">
        <f t="shared" si="104"/>
        <v>0</v>
      </c>
    </row>
    <row r="630" spans="1:20" ht="22.15" customHeight="1">
      <c r="B630" s="1586" t="s">
        <v>1106</v>
      </c>
      <c r="C630" s="64" t="str">
        <f t="shared" si="105"/>
        <v>x</v>
      </c>
      <c r="D630" s="1544">
        <f>D624</f>
        <v>1</v>
      </c>
      <c r="E630" s="1047" t="str">
        <f>VLOOKUP($B630,DG!A:D,DG!$B$2,)</f>
        <v>05.8103</v>
      </c>
      <c r="F630" s="1052" t="str">
        <f>VLOOKUP($B630,DG!A:D,DG!C$2,)</f>
        <v>Đóng cọc tiếp địa đất cấp 3</v>
      </c>
      <c r="G630" s="1047" t="str">
        <f>VLOOKUP($B630,DG!A:D,DG!$D$2,)</f>
        <v>cọc</v>
      </c>
      <c r="H630" s="1845">
        <f t="shared" si="111"/>
        <v>4</v>
      </c>
      <c r="I630" s="1845"/>
      <c r="J630" s="1845"/>
      <c r="K630" s="1845"/>
      <c r="L630" s="1845"/>
      <c r="M630" s="1845"/>
      <c r="N630" s="1845"/>
      <c r="O630" s="1845"/>
      <c r="P630" s="1846">
        <f t="shared" si="115"/>
        <v>4</v>
      </c>
      <c r="Q630" s="1056"/>
      <c r="R630" s="1056"/>
      <c r="S630" s="1056"/>
      <c r="T630" s="2059">
        <f t="shared" si="104"/>
        <v>0</v>
      </c>
    </row>
    <row r="631" spans="1:20" ht="22.15" customHeight="1">
      <c r="B631" s="1586" t="s">
        <v>796</v>
      </c>
      <c r="C631" s="64" t="str">
        <f t="shared" si="105"/>
        <v>x</v>
      </c>
      <c r="D631" s="1554">
        <v>0.08</v>
      </c>
      <c r="E631" s="1047" t="str">
        <f>VLOOKUP($B631,DG!A:D,DG!$B$2,)</f>
        <v>03.3123</v>
      </c>
      <c r="F631" s="1052" t="str">
        <f>VLOOKUP($B631,DG!A:D,DG!C$2,)</f>
        <v>Đào rãnh tiếp địa đất cấp 3</v>
      </c>
      <c r="G631" s="1047" t="str">
        <f>VLOOKUP($B631,DG!A:D,DG!$D$2,)</f>
        <v>m3</v>
      </c>
      <c r="H631" s="1845">
        <f t="shared" si="111"/>
        <v>0.32</v>
      </c>
      <c r="I631" s="1845"/>
      <c r="J631" s="1845"/>
      <c r="K631" s="1845"/>
      <c r="L631" s="1845"/>
      <c r="M631" s="1845"/>
      <c r="N631" s="1845"/>
      <c r="O631" s="1845"/>
      <c r="P631" s="1846">
        <f t="shared" si="115"/>
        <v>0.32</v>
      </c>
      <c r="Q631" s="1056"/>
      <c r="R631" s="1056"/>
      <c r="S631" s="1056"/>
      <c r="T631" s="2059">
        <f t="shared" si="104"/>
        <v>0</v>
      </c>
    </row>
    <row r="632" spans="1:20" ht="22.15" customHeight="1">
      <c r="A632" s="59"/>
      <c r="B632" s="1586" t="s">
        <v>800</v>
      </c>
      <c r="C632" s="64" t="str">
        <f t="shared" si="105"/>
        <v>x</v>
      </c>
      <c r="D632" s="1542">
        <v>0.08</v>
      </c>
      <c r="E632" s="1047" t="str">
        <f>VLOOKUP($B632,DG!A:D,DG!$B$2,)</f>
        <v>03.4123</v>
      </c>
      <c r="F632" s="1052" t="str">
        <f>VLOOKUP($B632,DG!A:D,DG!C$2,)</f>
        <v>Đắp đất rãnh tiếp độ chặt k=0,85</v>
      </c>
      <c r="G632" s="1047" t="str">
        <f>VLOOKUP($B632,DG!A:D,DG!$D$2,)</f>
        <v>m3</v>
      </c>
      <c r="H632" s="1845">
        <f>$H$622*$D632</f>
        <v>0.32</v>
      </c>
      <c r="I632" s="1845"/>
      <c r="J632" s="1845"/>
      <c r="K632" s="1845"/>
      <c r="L632" s="1845"/>
      <c r="M632" s="1845"/>
      <c r="N632" s="1845"/>
      <c r="O632" s="1845"/>
      <c r="P632" s="1846">
        <f t="shared" si="115"/>
        <v>0.32</v>
      </c>
      <c r="Q632" s="1056"/>
      <c r="R632" s="1056"/>
      <c r="S632" s="1056"/>
      <c r="T632" s="2059">
        <f t="shared" si="104"/>
        <v>0</v>
      </c>
    </row>
    <row r="633" spans="1:20" ht="22.15" hidden="1" customHeight="1">
      <c r="A633" s="59"/>
      <c r="B633" s="1598" t="s">
        <v>1909</v>
      </c>
      <c r="C633" s="64" t="str">
        <f t="shared" si="105"/>
        <v xml:space="preserve"> </v>
      </c>
      <c r="D633" s="1542"/>
      <c r="E633" s="1047" t="str">
        <f>VLOOKUP($B633,DG!A:C,2,)</f>
        <v>02.1351</v>
      </c>
      <c r="F633" s="1052" t="str">
        <f>VLOOKUP($B633,DG!A:C,3,)</f>
        <v>V/c tiếp địa vào vị trí ( cự ly &lt;=100m)</v>
      </c>
      <c r="G633" s="1047" t="str">
        <f>VLOOKUP($B633,DG!A:D,4,0)</f>
        <v>tấn</v>
      </c>
      <c r="H633" s="1845">
        <f>$H$622*$D633</f>
        <v>0</v>
      </c>
      <c r="I633" s="1845"/>
      <c r="J633" s="1845"/>
      <c r="K633" s="1845"/>
      <c r="L633" s="1845"/>
      <c r="M633" s="1845"/>
      <c r="N633" s="1845"/>
      <c r="O633" s="1845"/>
      <c r="P633" s="1845"/>
      <c r="Q633" s="1061"/>
      <c r="R633" s="1061"/>
      <c r="S633" s="1061"/>
      <c r="T633" s="2059">
        <f t="shared" si="104"/>
        <v>0</v>
      </c>
    </row>
    <row r="634" spans="1:20" ht="22.15" hidden="1" customHeight="1">
      <c r="A634" s="1581" t="s">
        <v>2243</v>
      </c>
      <c r="B634" s="1583" t="s">
        <v>4866</v>
      </c>
      <c r="C634" s="64" t="str">
        <f t="shared" ref="C634:C644" si="116">IF(OR(P634&lt;&gt;0,H634&lt;&gt;0),"x"," ")</f>
        <v xml:space="preserve"> </v>
      </c>
      <c r="D634" s="1553"/>
      <c r="E634" s="1048"/>
      <c r="F634" s="1396" t="s">
        <v>4864</v>
      </c>
      <c r="G634" s="1049" t="s">
        <v>2394</v>
      </c>
      <c r="H634" s="1843">
        <f>SUM(I634:O634)</f>
        <v>0</v>
      </c>
      <c r="I634" s="1844"/>
      <c r="J634" s="1844"/>
      <c r="K634" s="1844">
        <f>IFERROR(HLOOKUP(B634,pp3p1m!$1:$3,3,0),0)</f>
        <v>0</v>
      </c>
      <c r="L634" s="1844">
        <f>IFERROR(HLOOKUP(chitiet!B634,pp1p!$1:$3,3,0),0)</f>
        <v>0</v>
      </c>
      <c r="M634" s="1844"/>
      <c r="N634" s="1844"/>
      <c r="O634" s="1844"/>
      <c r="P634" s="1843">
        <f>H634+Q634-R634</f>
        <v>0</v>
      </c>
      <c r="Q634" s="1050"/>
      <c r="R634" s="1050"/>
      <c r="S634" s="1050"/>
      <c r="T634" s="2059">
        <f>IFERROR(HLOOKUP(B634,pp1p!$1:$3,3,0),0)+IFERROR(HLOOKUP(B634,pp3p1m!$1:$3,3,0),0)</f>
        <v>0</v>
      </c>
    </row>
    <row r="635" spans="1:20" ht="22.15" hidden="1" customHeight="1">
      <c r="B635" s="1586" t="s">
        <v>103</v>
      </c>
      <c r="C635" s="64" t="str">
        <f t="shared" si="116"/>
        <v xml:space="preserve"> </v>
      </c>
      <c r="D635" s="1543">
        <v>0.45</v>
      </c>
      <c r="E635" s="1047"/>
      <c r="F635" s="1059" t="str">
        <f>VLOOKUP($B635,DG!A:D,DG!C$2,)</f>
        <v>Cáp đồng trần M25mm2</v>
      </c>
      <c r="G635" s="1047" t="str">
        <f>VLOOKUP($B635,DG!A:D,DG!$D$2,)</f>
        <v>kg</v>
      </c>
      <c r="H635" s="1845">
        <f>H$634*$D635</f>
        <v>0</v>
      </c>
      <c r="I635" s="1845">
        <f t="shared" ref="I635:R635" si="117">I$634*$D635</f>
        <v>0</v>
      </c>
      <c r="J635" s="1845">
        <f t="shared" si="117"/>
        <v>0</v>
      </c>
      <c r="K635" s="1845">
        <f t="shared" si="117"/>
        <v>0</v>
      </c>
      <c r="L635" s="1845">
        <f t="shared" si="117"/>
        <v>0</v>
      </c>
      <c r="M635" s="1845">
        <f t="shared" si="117"/>
        <v>0</v>
      </c>
      <c r="N635" s="1845">
        <f t="shared" si="117"/>
        <v>0</v>
      </c>
      <c r="O635" s="1845">
        <f t="shared" si="117"/>
        <v>0</v>
      </c>
      <c r="P635" s="1845">
        <f t="shared" si="117"/>
        <v>0</v>
      </c>
      <c r="Q635" s="1845">
        <f t="shared" si="117"/>
        <v>0</v>
      </c>
      <c r="R635" s="1845">
        <f t="shared" si="117"/>
        <v>0</v>
      </c>
      <c r="S635" s="1056"/>
      <c r="T635" s="2059">
        <f t="shared" ref="T635:T644" si="118">IFERROR(HLOOKUP(B635,BangKeTru,3,0),0)</f>
        <v>0</v>
      </c>
    </row>
    <row r="636" spans="1:20" ht="22.15" hidden="1" customHeight="1">
      <c r="B636" s="1586" t="s">
        <v>1513</v>
      </c>
      <c r="C636" s="64" t="str">
        <f t="shared" si="116"/>
        <v xml:space="preserve"> </v>
      </c>
      <c r="D636" s="1544">
        <v>0</v>
      </c>
      <c r="E636" s="1047"/>
      <c r="F636" s="1059" t="str">
        <f>VLOOKUP($B636,DG!A:D,DG!C$2,)</f>
        <v>Cọc tiếp đất Þ 16- 2,4m + kẹp cọc mạ đồng</v>
      </c>
      <c r="G636" s="1047" t="str">
        <f>VLOOKUP($B636,DG!A:D,DG!$D$2,)</f>
        <v>bộ</v>
      </c>
      <c r="H636" s="1845">
        <f t="shared" ref="H636:R644" si="119">H$634*$D636</f>
        <v>0</v>
      </c>
      <c r="I636" s="1845">
        <f t="shared" si="119"/>
        <v>0</v>
      </c>
      <c r="J636" s="1845">
        <f t="shared" si="119"/>
        <v>0</v>
      </c>
      <c r="K636" s="1845">
        <f t="shared" si="119"/>
        <v>0</v>
      </c>
      <c r="L636" s="1845">
        <f t="shared" si="119"/>
        <v>0</v>
      </c>
      <c r="M636" s="1845">
        <f t="shared" si="119"/>
        <v>0</v>
      </c>
      <c r="N636" s="1845">
        <f t="shared" si="119"/>
        <v>0</v>
      </c>
      <c r="O636" s="1845">
        <f t="shared" si="119"/>
        <v>0</v>
      </c>
      <c r="P636" s="1845">
        <f t="shared" si="119"/>
        <v>0</v>
      </c>
      <c r="Q636" s="1845">
        <f t="shared" si="119"/>
        <v>0</v>
      </c>
      <c r="R636" s="1845">
        <f t="shared" si="119"/>
        <v>0</v>
      </c>
      <c r="S636" s="1056"/>
      <c r="T636" s="2059">
        <f t="shared" si="118"/>
        <v>0</v>
      </c>
    </row>
    <row r="637" spans="1:20" ht="22.15" hidden="1" customHeight="1">
      <c r="B637" s="1586" t="s">
        <v>4865</v>
      </c>
      <c r="C637" s="64" t="str">
        <f t="shared" si="116"/>
        <v xml:space="preserve"> </v>
      </c>
      <c r="D637" s="1544">
        <v>2</v>
      </c>
      <c r="E637" s="1047"/>
      <c r="F637" s="1059" t="str">
        <f>VLOOKUP($B637,DG!A:D,DG!C$2,)</f>
        <v>Kẹp ép WR cỡ dây 70mm2</v>
      </c>
      <c r="G637" s="1047" t="str">
        <f>VLOOKUP($B637,DG!A:D,DG!$D$2,)</f>
        <v>cái</v>
      </c>
      <c r="H637" s="1845">
        <f t="shared" si="119"/>
        <v>0</v>
      </c>
      <c r="I637" s="1845">
        <f t="shared" si="119"/>
        <v>0</v>
      </c>
      <c r="J637" s="1845">
        <f t="shared" si="119"/>
        <v>0</v>
      </c>
      <c r="K637" s="1845">
        <f t="shared" si="119"/>
        <v>0</v>
      </c>
      <c r="L637" s="1845">
        <f t="shared" si="119"/>
        <v>0</v>
      </c>
      <c r="M637" s="1845">
        <f t="shared" si="119"/>
        <v>0</v>
      </c>
      <c r="N637" s="1845">
        <f t="shared" si="119"/>
        <v>0</v>
      </c>
      <c r="O637" s="1845">
        <f t="shared" si="119"/>
        <v>0</v>
      </c>
      <c r="P637" s="1845">
        <f t="shared" si="119"/>
        <v>0</v>
      </c>
      <c r="Q637" s="1845">
        <f t="shared" si="119"/>
        <v>0</v>
      </c>
      <c r="R637" s="1845">
        <f t="shared" si="119"/>
        <v>0</v>
      </c>
      <c r="S637" s="1056"/>
      <c r="T637" s="2059">
        <f t="shared" si="118"/>
        <v>0</v>
      </c>
    </row>
    <row r="638" spans="1:20" ht="22.15" hidden="1" customHeight="1">
      <c r="A638" s="59"/>
      <c r="B638" s="1586" t="s">
        <v>1054</v>
      </c>
      <c r="C638" s="64" t="str">
        <f t="shared" si="116"/>
        <v xml:space="preserve"> </v>
      </c>
      <c r="D638" s="1544"/>
      <c r="E638" s="1047"/>
      <c r="F638" s="1059" t="str">
        <f>VLOOKUP($B638,DG!A:D,DG!C$2,)</f>
        <v>Đầu cosse ép Cu 25mm2</v>
      </c>
      <c r="G638" s="1047" t="str">
        <f>VLOOKUP($B638,DG!A:D,DG!$D$2,)</f>
        <v>cái</v>
      </c>
      <c r="H638" s="1845">
        <f t="shared" si="119"/>
        <v>0</v>
      </c>
      <c r="I638" s="1845">
        <f t="shared" si="119"/>
        <v>0</v>
      </c>
      <c r="J638" s="1845">
        <f t="shared" si="119"/>
        <v>0</v>
      </c>
      <c r="K638" s="1845">
        <f t="shared" si="119"/>
        <v>0</v>
      </c>
      <c r="L638" s="1845">
        <f t="shared" si="119"/>
        <v>0</v>
      </c>
      <c r="M638" s="1845">
        <f t="shared" si="119"/>
        <v>0</v>
      </c>
      <c r="N638" s="1845">
        <f t="shared" si="119"/>
        <v>0</v>
      </c>
      <c r="O638" s="1845">
        <f t="shared" si="119"/>
        <v>0</v>
      </c>
      <c r="P638" s="1845">
        <f t="shared" si="119"/>
        <v>0</v>
      </c>
      <c r="Q638" s="1845">
        <f t="shared" si="119"/>
        <v>0</v>
      </c>
      <c r="R638" s="1845">
        <f t="shared" si="119"/>
        <v>0</v>
      </c>
      <c r="S638" s="1056"/>
      <c r="T638" s="2059">
        <f t="shared" si="118"/>
        <v>0</v>
      </c>
    </row>
    <row r="639" spans="1:20" ht="22.15" hidden="1" customHeight="1">
      <c r="A639" s="59"/>
      <c r="B639" s="1586" t="s">
        <v>2025</v>
      </c>
      <c r="C639" s="64" t="str">
        <f t="shared" si="116"/>
        <v xml:space="preserve"> </v>
      </c>
      <c r="D639" s="1544"/>
      <c r="E639" s="1047"/>
      <c r="F639" s="1059" t="str">
        <f>VLOOKUP($B639,DG!A:D,DG!C$2,)</f>
        <v>Boulon 12x40+ 2 long đền vuông D14-50x50x3/Zn</v>
      </c>
      <c r="G639" s="1047" t="str">
        <f>VLOOKUP($B639,DG!A:D,DG!$D$2,)</f>
        <v>bộ</v>
      </c>
      <c r="H639" s="1845">
        <f t="shared" si="119"/>
        <v>0</v>
      </c>
      <c r="I639" s="1845">
        <f t="shared" si="119"/>
        <v>0</v>
      </c>
      <c r="J639" s="1845">
        <f t="shared" si="119"/>
        <v>0</v>
      </c>
      <c r="K639" s="1845">
        <f t="shared" si="119"/>
        <v>0</v>
      </c>
      <c r="L639" s="1845">
        <f t="shared" si="119"/>
        <v>0</v>
      </c>
      <c r="M639" s="1845">
        <f t="shared" si="119"/>
        <v>0</v>
      </c>
      <c r="N639" s="1845">
        <f t="shared" si="119"/>
        <v>0</v>
      </c>
      <c r="O639" s="1845">
        <f t="shared" si="119"/>
        <v>0</v>
      </c>
      <c r="P639" s="1845">
        <f t="shared" si="119"/>
        <v>0</v>
      </c>
      <c r="Q639" s="1845">
        <f t="shared" si="119"/>
        <v>0</v>
      </c>
      <c r="R639" s="1845">
        <f t="shared" si="119"/>
        <v>0</v>
      </c>
      <c r="S639" s="1056"/>
      <c r="T639" s="2059">
        <f t="shared" si="118"/>
        <v>0</v>
      </c>
    </row>
    <row r="640" spans="1:20" ht="22.15" hidden="1" customHeight="1">
      <c r="B640" s="1586" t="s">
        <v>1522</v>
      </c>
      <c r="C640" s="64" t="str">
        <f t="shared" si="116"/>
        <v xml:space="preserve"> </v>
      </c>
      <c r="D640" s="1543">
        <f>D635</f>
        <v>0.45</v>
      </c>
      <c r="E640" s="1047" t="str">
        <f>VLOOKUP($B640,DG!A:D,DG!$B$2,)</f>
        <v>05.7001</v>
      </c>
      <c r="F640" s="1052" t="str">
        <f>VLOOKUP($B640,DG!A:D,DG!C$2,)</f>
        <v xml:space="preserve">Kéo dây tiếp địa </v>
      </c>
      <c r="G640" s="1047" t="str">
        <f>VLOOKUP($B640,DG!A:D,DG!$D$2,)</f>
        <v>mét</v>
      </c>
      <c r="H640" s="1845">
        <f t="shared" si="119"/>
        <v>0</v>
      </c>
      <c r="I640" s="1845">
        <f t="shared" si="119"/>
        <v>0</v>
      </c>
      <c r="J640" s="1845">
        <f t="shared" si="119"/>
        <v>0</v>
      </c>
      <c r="K640" s="1845">
        <f t="shared" si="119"/>
        <v>0</v>
      </c>
      <c r="L640" s="1845">
        <f t="shared" si="119"/>
        <v>0</v>
      </c>
      <c r="M640" s="1845">
        <f t="shared" si="119"/>
        <v>0</v>
      </c>
      <c r="N640" s="1845">
        <f t="shared" si="119"/>
        <v>0</v>
      </c>
      <c r="O640" s="1845">
        <f t="shared" si="119"/>
        <v>0</v>
      </c>
      <c r="P640" s="1845">
        <f t="shared" si="119"/>
        <v>0</v>
      </c>
      <c r="Q640" s="1845">
        <f t="shared" si="119"/>
        <v>0</v>
      </c>
      <c r="R640" s="1845">
        <f t="shared" si="119"/>
        <v>0</v>
      </c>
      <c r="S640" s="1061"/>
      <c r="T640" s="2059">
        <f t="shared" si="118"/>
        <v>0</v>
      </c>
    </row>
    <row r="641" spans="1:20" ht="22.15" hidden="1" customHeight="1">
      <c r="B641" s="1586" t="s">
        <v>1106</v>
      </c>
      <c r="C641" s="64" t="str">
        <f t="shared" si="116"/>
        <v xml:space="preserve"> </v>
      </c>
      <c r="D641" s="1544">
        <f>D636</f>
        <v>0</v>
      </c>
      <c r="E641" s="1047" t="str">
        <f>VLOOKUP($B641,DG!A:D,DG!$B$2,)</f>
        <v>05.8103</v>
      </c>
      <c r="F641" s="1052" t="str">
        <f>VLOOKUP($B641,DG!A:D,DG!C$2,)</f>
        <v>Đóng cọc tiếp địa đất cấp 3</v>
      </c>
      <c r="G641" s="1047" t="str">
        <f>VLOOKUP($B641,DG!A:D,DG!$D$2,)</f>
        <v>cọc</v>
      </c>
      <c r="H641" s="1845">
        <f t="shared" si="119"/>
        <v>0</v>
      </c>
      <c r="I641" s="1845">
        <f t="shared" si="119"/>
        <v>0</v>
      </c>
      <c r="J641" s="1845">
        <f t="shared" si="119"/>
        <v>0</v>
      </c>
      <c r="K641" s="1845">
        <f t="shared" si="119"/>
        <v>0</v>
      </c>
      <c r="L641" s="1845">
        <f t="shared" si="119"/>
        <v>0</v>
      </c>
      <c r="M641" s="1845">
        <f t="shared" si="119"/>
        <v>0</v>
      </c>
      <c r="N641" s="1845">
        <f t="shared" si="119"/>
        <v>0</v>
      </c>
      <c r="O641" s="1845">
        <f t="shared" si="119"/>
        <v>0</v>
      </c>
      <c r="P641" s="1845">
        <f t="shared" si="119"/>
        <v>0</v>
      </c>
      <c r="Q641" s="1845">
        <f t="shared" si="119"/>
        <v>0</v>
      </c>
      <c r="R641" s="1845">
        <f t="shared" si="119"/>
        <v>0</v>
      </c>
      <c r="S641" s="1056"/>
      <c r="T641" s="2059">
        <f t="shared" si="118"/>
        <v>0</v>
      </c>
    </row>
    <row r="642" spans="1:20" ht="22.15" hidden="1" customHeight="1">
      <c r="B642" s="1586" t="s">
        <v>796</v>
      </c>
      <c r="C642" s="64" t="str">
        <f t="shared" si="116"/>
        <v xml:space="preserve"> </v>
      </c>
      <c r="D642" s="1554">
        <v>0.3</v>
      </c>
      <c r="E642" s="1047" t="str">
        <f>VLOOKUP($B642,DG!A:D,DG!$B$2,)</f>
        <v>03.3123</v>
      </c>
      <c r="F642" s="1052" t="str">
        <f>VLOOKUP($B642,DG!A:D,DG!C$2,)</f>
        <v>Đào rãnh tiếp địa đất cấp 3</v>
      </c>
      <c r="G642" s="1047" t="str">
        <f>VLOOKUP($B642,DG!A:D,DG!$D$2,)</f>
        <v>m3</v>
      </c>
      <c r="H642" s="1845">
        <f t="shared" si="119"/>
        <v>0</v>
      </c>
      <c r="I642" s="1845">
        <f t="shared" si="119"/>
        <v>0</v>
      </c>
      <c r="J642" s="1845">
        <f t="shared" si="119"/>
        <v>0</v>
      </c>
      <c r="K642" s="1845">
        <f t="shared" si="119"/>
        <v>0</v>
      </c>
      <c r="L642" s="1845">
        <f t="shared" si="119"/>
        <v>0</v>
      </c>
      <c r="M642" s="1845">
        <f t="shared" si="119"/>
        <v>0</v>
      </c>
      <c r="N642" s="1845">
        <f t="shared" si="119"/>
        <v>0</v>
      </c>
      <c r="O642" s="1845">
        <f t="shared" si="119"/>
        <v>0</v>
      </c>
      <c r="P642" s="1845">
        <f t="shared" si="119"/>
        <v>0</v>
      </c>
      <c r="Q642" s="1845">
        <f t="shared" si="119"/>
        <v>0</v>
      </c>
      <c r="R642" s="1845">
        <f t="shared" si="119"/>
        <v>0</v>
      </c>
      <c r="S642" s="1056"/>
      <c r="T642" s="2059">
        <f t="shared" si="118"/>
        <v>0</v>
      </c>
    </row>
    <row r="643" spans="1:20" ht="22.15" hidden="1" customHeight="1">
      <c r="A643" s="59"/>
      <c r="B643" s="1586" t="s">
        <v>1908</v>
      </c>
      <c r="C643" s="64" t="str">
        <f t="shared" si="116"/>
        <v xml:space="preserve"> </v>
      </c>
      <c r="D643" s="1542"/>
      <c r="E643" s="1047" t="str">
        <f>VLOOKUP($B643,DG!A:D,DG!$B$2,)</f>
        <v>02.1120</v>
      </c>
      <c r="F643" s="1052" t="str">
        <f>VLOOKUP($B643,DG!A:D,DG!C$2,)</f>
        <v>Bốc dỡ phụ kiện</v>
      </c>
      <c r="G643" s="1047" t="str">
        <f>VLOOKUP($B643,DG!A:D,DG!$D$2,)</f>
        <v>tấn</v>
      </c>
      <c r="H643" s="1845">
        <f t="shared" si="119"/>
        <v>0</v>
      </c>
      <c r="I643" s="1845">
        <f t="shared" si="119"/>
        <v>0</v>
      </c>
      <c r="J643" s="1845">
        <f t="shared" si="119"/>
        <v>0</v>
      </c>
      <c r="K643" s="1845">
        <f t="shared" si="119"/>
        <v>0</v>
      </c>
      <c r="L643" s="1845">
        <f t="shared" si="119"/>
        <v>0</v>
      </c>
      <c r="M643" s="1845">
        <f t="shared" si="119"/>
        <v>0</v>
      </c>
      <c r="N643" s="1845">
        <f t="shared" si="119"/>
        <v>0</v>
      </c>
      <c r="O643" s="1845">
        <f t="shared" si="119"/>
        <v>0</v>
      </c>
      <c r="P643" s="1845">
        <f t="shared" si="119"/>
        <v>0</v>
      </c>
      <c r="Q643" s="1845">
        <f t="shared" si="119"/>
        <v>0</v>
      </c>
      <c r="R643" s="1845">
        <f t="shared" si="119"/>
        <v>0</v>
      </c>
      <c r="S643" s="1056"/>
      <c r="T643" s="2059">
        <f t="shared" si="118"/>
        <v>0</v>
      </c>
    </row>
    <row r="644" spans="1:20" ht="22.15" hidden="1" customHeight="1">
      <c r="A644" s="59"/>
      <c r="B644" s="1598" t="s">
        <v>1909</v>
      </c>
      <c r="C644" s="64" t="str">
        <f t="shared" si="116"/>
        <v xml:space="preserve"> </v>
      </c>
      <c r="D644" s="1542"/>
      <c r="E644" s="1047" t="str">
        <f>VLOOKUP($B644,DG!A:C,2,)</f>
        <v>02.1351</v>
      </c>
      <c r="F644" s="1052" t="str">
        <f>VLOOKUP($B644,DG!A:C,3,)</f>
        <v>V/c tiếp địa vào vị trí ( cự ly &lt;=100m)</v>
      </c>
      <c r="G644" s="1047" t="str">
        <f>VLOOKUP($B644,DG!A:D,4,0)</f>
        <v>tấn</v>
      </c>
      <c r="H644" s="1845">
        <f t="shared" si="119"/>
        <v>0</v>
      </c>
      <c r="I644" s="1845">
        <f t="shared" si="119"/>
        <v>0</v>
      </c>
      <c r="J644" s="1845">
        <f t="shared" si="119"/>
        <v>0</v>
      </c>
      <c r="K644" s="1845">
        <f t="shared" si="119"/>
        <v>0</v>
      </c>
      <c r="L644" s="1845">
        <f t="shared" si="119"/>
        <v>0</v>
      </c>
      <c r="M644" s="1845">
        <f t="shared" si="119"/>
        <v>0</v>
      </c>
      <c r="N644" s="1845">
        <f t="shared" si="119"/>
        <v>0</v>
      </c>
      <c r="O644" s="1845">
        <f t="shared" si="119"/>
        <v>0</v>
      </c>
      <c r="P644" s="1845">
        <f t="shared" si="119"/>
        <v>0</v>
      </c>
      <c r="Q644" s="1845">
        <f t="shared" si="119"/>
        <v>0</v>
      </c>
      <c r="R644" s="1845">
        <f t="shared" si="119"/>
        <v>0</v>
      </c>
      <c r="S644" s="1061"/>
      <c r="T644" s="2059">
        <f t="shared" si="118"/>
        <v>0</v>
      </c>
    </row>
    <row r="645" spans="1:20" ht="22.15" hidden="1" customHeight="1">
      <c r="A645" s="56" t="s">
        <v>2056</v>
      </c>
      <c r="B645" s="1583" t="s">
        <v>2056</v>
      </c>
      <c r="C645" s="62" t="str">
        <f t="shared" si="105"/>
        <v xml:space="preserve"> </v>
      </c>
      <c r="D645" s="1553"/>
      <c r="E645" s="1048"/>
      <c r="F645" s="1396" t="s">
        <v>2402</v>
      </c>
      <c r="G645" s="1049" t="s">
        <v>2394</v>
      </c>
      <c r="H645" s="1843">
        <f>SUM(I645:O645)</f>
        <v>0</v>
      </c>
      <c r="I645" s="1844"/>
      <c r="J645" s="1844"/>
      <c r="K645" s="1844">
        <f>IFERROR(HLOOKUP(B645,pp3p1m!$1:$3,3,0),0)</f>
        <v>0</v>
      </c>
      <c r="L645" s="1844">
        <f>IFERROR(HLOOKUP(chitiet!B645,pp1p!$1:$3,3,0),0)</f>
        <v>0</v>
      </c>
      <c r="M645" s="1844"/>
      <c r="N645" s="1844"/>
      <c r="O645" s="1844"/>
      <c r="P645" s="1844"/>
      <c r="Q645" s="1050"/>
      <c r="R645" s="1050"/>
      <c r="S645" s="1050"/>
      <c r="T645" s="2059">
        <f>IFERROR(HLOOKUP(B645,pp1p!$1:$3,3,0),0)+IFERROR(HLOOKUP(B645,pp3p1m!$1:$3,3,0),0)</f>
        <v>0</v>
      </c>
    </row>
    <row r="646" spans="1:20" ht="22.15" hidden="1" customHeight="1">
      <c r="A646" s="59"/>
      <c r="B646" s="1586" t="s">
        <v>103</v>
      </c>
      <c r="C646" s="64" t="str">
        <f t="shared" si="105"/>
        <v xml:space="preserve"> </v>
      </c>
      <c r="D646" s="1543">
        <f>25*0.224</f>
        <v>5.6000000000000005</v>
      </c>
      <c r="E646" s="1047"/>
      <c r="F646" s="1059" t="str">
        <f>VLOOKUP($B646,DG!A:D,DG!C$2,)&amp;" : 25m"</f>
        <v>Cáp đồng trần M25mm2 : 25m</v>
      </c>
      <c r="G646" s="1047" t="str">
        <f>VLOOKUP($B646,DG!A:D,DG!$D$2,)</f>
        <v>kg</v>
      </c>
      <c r="H646" s="1845">
        <f t="shared" ref="H646:H654" si="120">H645*$D646</f>
        <v>0</v>
      </c>
      <c r="I646" s="1845">
        <f t="shared" ref="I646:N650" si="121">I$612*$D646</f>
        <v>0</v>
      </c>
      <c r="J646" s="1845">
        <f t="shared" si="121"/>
        <v>0</v>
      </c>
      <c r="K646" s="1845">
        <f t="shared" si="121"/>
        <v>0</v>
      </c>
      <c r="L646" s="1845">
        <f t="shared" si="121"/>
        <v>0</v>
      </c>
      <c r="M646" s="1845">
        <f t="shared" si="121"/>
        <v>0</v>
      </c>
      <c r="N646" s="1845">
        <f t="shared" si="121"/>
        <v>0</v>
      </c>
      <c r="O646" s="1845"/>
      <c r="P646" s="1845"/>
      <c r="Q646" s="1056"/>
      <c r="R646" s="1056"/>
      <c r="S646" s="1056"/>
      <c r="T646" s="2059">
        <f t="shared" si="104"/>
        <v>0</v>
      </c>
    </row>
    <row r="647" spans="1:20" ht="22.15" hidden="1" customHeight="1">
      <c r="A647" s="59"/>
      <c r="B647" s="1586" t="s">
        <v>1513</v>
      </c>
      <c r="C647" s="64" t="str">
        <f t="shared" si="105"/>
        <v xml:space="preserve"> </v>
      </c>
      <c r="D647" s="1544">
        <v>4</v>
      </c>
      <c r="E647" s="1047"/>
      <c r="F647" s="1059" t="str">
        <f>VLOOKUP($B647,DG!A:D,DG!C$2,)</f>
        <v>Cọc tiếp đất Þ 16- 2,4m + kẹp cọc mạ đồng</v>
      </c>
      <c r="G647" s="1047" t="str">
        <f>VLOOKUP($B647,DG!A:D,DG!$D$2,)</f>
        <v>bộ</v>
      </c>
      <c r="H647" s="1845">
        <f t="shared" si="120"/>
        <v>0</v>
      </c>
      <c r="I647" s="1845">
        <f t="shared" si="121"/>
        <v>0</v>
      </c>
      <c r="J647" s="1845">
        <f t="shared" si="121"/>
        <v>0</v>
      </c>
      <c r="K647" s="1845">
        <f t="shared" si="121"/>
        <v>0</v>
      </c>
      <c r="L647" s="1845">
        <f t="shared" si="121"/>
        <v>0</v>
      </c>
      <c r="M647" s="1845">
        <f t="shared" si="121"/>
        <v>0</v>
      </c>
      <c r="N647" s="1845">
        <f t="shared" si="121"/>
        <v>0</v>
      </c>
      <c r="O647" s="1845"/>
      <c r="P647" s="1845"/>
      <c r="Q647" s="1056"/>
      <c r="R647" s="1056"/>
      <c r="S647" s="1056"/>
      <c r="T647" s="2059">
        <f t="shared" si="104"/>
        <v>0</v>
      </c>
    </row>
    <row r="648" spans="1:20" ht="22.15" hidden="1" customHeight="1">
      <c r="A648" s="59"/>
      <c r="B648" s="1586" t="s">
        <v>1483</v>
      </c>
      <c r="C648" s="64" t="str">
        <f t="shared" si="105"/>
        <v xml:space="preserve"> </v>
      </c>
      <c r="D648" s="1544">
        <v>5</v>
      </c>
      <c r="E648" s="1047"/>
      <c r="F648" s="1059" t="str">
        <f>VLOOKUP($B648,DG!A:D,DG!C$2,)</f>
        <v>Kẹp nối đồng-nhôm</v>
      </c>
      <c r="G648" s="1047" t="str">
        <f>VLOOKUP($B648,DG!A:D,DG!$D$2,)</f>
        <v>cái</v>
      </c>
      <c r="H648" s="1845">
        <f t="shared" si="120"/>
        <v>0</v>
      </c>
      <c r="I648" s="1845">
        <f t="shared" si="121"/>
        <v>0</v>
      </c>
      <c r="J648" s="1845">
        <f t="shared" si="121"/>
        <v>0</v>
      </c>
      <c r="K648" s="1845">
        <f t="shared" si="121"/>
        <v>0</v>
      </c>
      <c r="L648" s="1845">
        <f t="shared" si="121"/>
        <v>0</v>
      </c>
      <c r="M648" s="1845">
        <f t="shared" si="121"/>
        <v>0</v>
      </c>
      <c r="N648" s="1845">
        <f t="shared" si="121"/>
        <v>0</v>
      </c>
      <c r="O648" s="1845"/>
      <c r="P648" s="1845"/>
      <c r="Q648" s="1056"/>
      <c r="R648" s="1056"/>
      <c r="S648" s="1056"/>
      <c r="T648" s="2059">
        <f t="shared" si="104"/>
        <v>0</v>
      </c>
    </row>
    <row r="649" spans="1:20" ht="22.15" hidden="1" customHeight="1">
      <c r="A649" s="59"/>
      <c r="B649" s="1586" t="s">
        <v>1054</v>
      </c>
      <c r="C649" s="64" t="str">
        <f t="shared" si="105"/>
        <v xml:space="preserve"> </v>
      </c>
      <c r="D649" s="1544">
        <v>2</v>
      </c>
      <c r="E649" s="1047"/>
      <c r="F649" s="1059" t="str">
        <f>VLOOKUP($B649,DG!A:D,DG!C$2,)</f>
        <v>Đầu cosse ép Cu 25mm2</v>
      </c>
      <c r="G649" s="1047" t="str">
        <f>VLOOKUP($B649,DG!A:D,DG!$D$2,)</f>
        <v>cái</v>
      </c>
      <c r="H649" s="1845">
        <f t="shared" si="120"/>
        <v>0</v>
      </c>
      <c r="I649" s="1845">
        <f t="shared" si="121"/>
        <v>0</v>
      </c>
      <c r="J649" s="1845">
        <f t="shared" si="121"/>
        <v>0</v>
      </c>
      <c r="K649" s="1845">
        <f t="shared" si="121"/>
        <v>0</v>
      </c>
      <c r="L649" s="1845">
        <f t="shared" si="121"/>
        <v>0</v>
      </c>
      <c r="M649" s="1845">
        <f t="shared" si="121"/>
        <v>0</v>
      </c>
      <c r="N649" s="1845">
        <f t="shared" si="121"/>
        <v>0</v>
      </c>
      <c r="O649" s="1845"/>
      <c r="P649" s="1845"/>
      <c r="Q649" s="1056"/>
      <c r="R649" s="1056"/>
      <c r="S649" s="1056"/>
      <c r="T649" s="2059">
        <f t="shared" si="104"/>
        <v>0</v>
      </c>
    </row>
    <row r="650" spans="1:20" ht="22.15" hidden="1" customHeight="1">
      <c r="A650" s="59"/>
      <c r="B650" s="1586" t="s">
        <v>2025</v>
      </c>
      <c r="C650" s="64" t="str">
        <f t="shared" si="105"/>
        <v xml:space="preserve"> </v>
      </c>
      <c r="D650" s="1544">
        <v>1</v>
      </c>
      <c r="E650" s="1047"/>
      <c r="F650" s="1059" t="str">
        <f>VLOOKUP($B650,DG!A:D,DG!C$2,)</f>
        <v>Boulon 12x40+ 2 long đền vuông D14-50x50x3/Zn</v>
      </c>
      <c r="G650" s="1047" t="str">
        <f>VLOOKUP($B650,DG!A:D,DG!$D$2,)</f>
        <v>bộ</v>
      </c>
      <c r="H650" s="1845">
        <f t="shared" si="120"/>
        <v>0</v>
      </c>
      <c r="I650" s="1845">
        <f t="shared" si="121"/>
        <v>0</v>
      </c>
      <c r="J650" s="1845">
        <f t="shared" si="121"/>
        <v>0</v>
      </c>
      <c r="K650" s="1845">
        <f t="shared" si="121"/>
        <v>0</v>
      </c>
      <c r="L650" s="1845">
        <f t="shared" si="121"/>
        <v>0</v>
      </c>
      <c r="M650" s="1845">
        <f t="shared" si="121"/>
        <v>0</v>
      </c>
      <c r="N650" s="1845">
        <f t="shared" si="121"/>
        <v>0</v>
      </c>
      <c r="O650" s="1845"/>
      <c r="P650" s="1845"/>
      <c r="Q650" s="1056"/>
      <c r="R650" s="1056"/>
      <c r="S650" s="1056"/>
      <c r="T650" s="2059">
        <f t="shared" si="104"/>
        <v>0</v>
      </c>
    </row>
    <row r="651" spans="1:20" ht="22.15" hidden="1" customHeight="1">
      <c r="A651" s="59"/>
      <c r="B651" s="1586" t="s">
        <v>1522</v>
      </c>
      <c r="C651" s="64" t="str">
        <f t="shared" si="105"/>
        <v xml:space="preserve"> </v>
      </c>
      <c r="D651" s="1543">
        <f>D646</f>
        <v>5.6000000000000005</v>
      </c>
      <c r="E651" s="1047" t="str">
        <f>VLOOKUP($B651,DG!A:D,DG!$B$2,)</f>
        <v>05.7001</v>
      </c>
      <c r="F651" s="1052" t="str">
        <f>VLOOKUP($B651,DG!A:D,DG!C$2,)</f>
        <v xml:space="preserve">Kéo dây tiếp địa </v>
      </c>
      <c r="G651" s="1047" t="str">
        <f>VLOOKUP($B651,DG!A:D,DG!$D$2,)</f>
        <v>mét</v>
      </c>
      <c r="H651" s="1845">
        <f t="shared" si="120"/>
        <v>0</v>
      </c>
      <c r="I651" s="1845"/>
      <c r="J651" s="1845"/>
      <c r="K651" s="1845"/>
      <c r="L651" s="1845"/>
      <c r="M651" s="1845"/>
      <c r="N651" s="1845"/>
      <c r="O651" s="1845"/>
      <c r="P651" s="1845"/>
      <c r="Q651" s="1061"/>
      <c r="R651" s="1061"/>
      <c r="S651" s="1061"/>
      <c r="T651" s="2059">
        <f t="shared" si="104"/>
        <v>0</v>
      </c>
    </row>
    <row r="652" spans="1:20" ht="22.15" hidden="1" customHeight="1">
      <c r="A652" s="59"/>
      <c r="B652" s="1586" t="s">
        <v>1106</v>
      </c>
      <c r="C652" s="64" t="str">
        <f t="shared" si="105"/>
        <v xml:space="preserve"> </v>
      </c>
      <c r="D652" s="1544">
        <f>D647</f>
        <v>4</v>
      </c>
      <c r="E652" s="1047" t="str">
        <f>VLOOKUP($B652,DG!A:D,DG!$B$2,)</f>
        <v>05.8103</v>
      </c>
      <c r="F652" s="1052" t="str">
        <f>VLOOKUP($B652,DG!A:D,DG!C$2,)</f>
        <v>Đóng cọc tiếp địa đất cấp 3</v>
      </c>
      <c r="G652" s="1047" t="str">
        <f>VLOOKUP($B652,DG!A:D,DG!$D$2,)</f>
        <v>cọc</v>
      </c>
      <c r="H652" s="1845">
        <f t="shared" si="120"/>
        <v>0</v>
      </c>
      <c r="I652" s="1845"/>
      <c r="J652" s="1845"/>
      <c r="K652" s="1845"/>
      <c r="L652" s="1845"/>
      <c r="M652" s="1845"/>
      <c r="N652" s="1845"/>
      <c r="O652" s="1845"/>
      <c r="P652" s="1845"/>
      <c r="Q652" s="1056"/>
      <c r="R652" s="1056"/>
      <c r="S652" s="1056"/>
      <c r="T652" s="2059">
        <f t="shared" si="104"/>
        <v>0</v>
      </c>
    </row>
    <row r="653" spans="1:20" ht="22.15" hidden="1" customHeight="1">
      <c r="A653" s="59"/>
      <c r="B653" s="1586" t="s">
        <v>1908</v>
      </c>
      <c r="C653" s="64" t="str">
        <f t="shared" si="105"/>
        <v xml:space="preserve"> </v>
      </c>
      <c r="D653" s="1542">
        <v>8.0000000000000002E-3</v>
      </c>
      <c r="E653" s="1047" t="str">
        <f>VLOOKUP($B653,DG!A:D,DG!$B$2,)</f>
        <v>02.1120</v>
      </c>
      <c r="F653" s="1052" t="str">
        <f>VLOOKUP($B653,DG!A:D,DG!C$2,)</f>
        <v>Bốc dỡ phụ kiện</v>
      </c>
      <c r="G653" s="1047" t="str">
        <f>VLOOKUP($B653,DG!A:D,DG!$D$2,)</f>
        <v>tấn</v>
      </c>
      <c r="H653" s="1845">
        <f t="shared" si="120"/>
        <v>0</v>
      </c>
      <c r="I653" s="1845"/>
      <c r="J653" s="1845"/>
      <c r="K653" s="1845"/>
      <c r="L653" s="1845"/>
      <c r="M653" s="1845"/>
      <c r="N653" s="1845"/>
      <c r="O653" s="1845"/>
      <c r="P653" s="1845"/>
      <c r="Q653" s="1056"/>
      <c r="R653" s="1056"/>
      <c r="S653" s="1056"/>
      <c r="T653" s="2059">
        <f t="shared" si="104"/>
        <v>0</v>
      </c>
    </row>
    <row r="654" spans="1:20" ht="22.15" hidden="1" customHeight="1">
      <c r="A654" s="59"/>
      <c r="B654" s="1598" t="s">
        <v>1909</v>
      </c>
      <c r="C654" s="64" t="str">
        <f t="shared" si="105"/>
        <v xml:space="preserve"> </v>
      </c>
      <c r="D654" s="1542">
        <v>8.0000000000000002E-3</v>
      </c>
      <c r="E654" s="1047" t="str">
        <f>VLOOKUP($B654,DG!A:C,2,)</f>
        <v>02.1351</v>
      </c>
      <c r="F654" s="1052" t="str">
        <f>VLOOKUP($B654,DG!A:C,3,)</f>
        <v>V/c tiếp địa vào vị trí ( cự ly &lt;=100m)</v>
      </c>
      <c r="G654" s="1047" t="str">
        <f>VLOOKUP($B654,DG!A:D,4,0)</f>
        <v>tấn</v>
      </c>
      <c r="H654" s="1845">
        <f t="shared" si="120"/>
        <v>0</v>
      </c>
      <c r="I654" s="1845"/>
      <c r="J654" s="1845"/>
      <c r="K654" s="1845"/>
      <c r="L654" s="1845"/>
      <c r="M654" s="1845"/>
      <c r="N654" s="1845"/>
      <c r="O654" s="1845"/>
      <c r="P654" s="1845"/>
      <c r="Q654" s="1061"/>
      <c r="R654" s="1061"/>
      <c r="S654" s="1061"/>
      <c r="T654" s="2059">
        <f t="shared" si="104"/>
        <v>0</v>
      </c>
    </row>
    <row r="655" spans="1:20" ht="22.15" hidden="1" customHeight="1">
      <c r="A655" s="56" t="s">
        <v>1643</v>
      </c>
      <c r="B655" s="1583" t="s">
        <v>1643</v>
      </c>
      <c r="C655" s="62" t="str">
        <f t="shared" si="105"/>
        <v xml:space="preserve"> </v>
      </c>
      <c r="D655" s="1555"/>
      <c r="E655" s="1048"/>
      <c r="F655" s="1396" t="s">
        <v>2403</v>
      </c>
      <c r="G655" s="1049" t="s">
        <v>2394</v>
      </c>
      <c r="H655" s="1843">
        <f>SUM(I655:O655)</f>
        <v>0</v>
      </c>
      <c r="I655" s="1844"/>
      <c r="J655" s="1844"/>
      <c r="K655" s="1844">
        <f>IFERROR(HLOOKUP(B655,pp3p1m!$1:$3,3,0),0)</f>
        <v>0</v>
      </c>
      <c r="L655" s="1844">
        <f>IFERROR(HLOOKUP(chitiet!B655,pp1p!$1:$3,3,0),0)</f>
        <v>0</v>
      </c>
      <c r="M655" s="1844"/>
      <c r="N655" s="1844"/>
      <c r="O655" s="1844"/>
      <c r="P655" s="1844"/>
      <c r="Q655" s="1050"/>
      <c r="R655" s="1050"/>
      <c r="S655" s="1050"/>
      <c r="T655" s="2059">
        <f>IFERROR(HLOOKUP(B655,pp1p!$1:$3,3,0),0)+IFERROR(HLOOKUP(B655,pp3p1m!$1:$3,3,0),0)</f>
        <v>0</v>
      </c>
    </row>
    <row r="656" spans="1:20" ht="22.15" hidden="1" customHeight="1">
      <c r="A656" s="59"/>
      <c r="B656" s="1586" t="s">
        <v>103</v>
      </c>
      <c r="C656" s="64" t="str">
        <f t="shared" si="105"/>
        <v xml:space="preserve"> </v>
      </c>
      <c r="D656" s="1543">
        <f>14*0.224</f>
        <v>3.1360000000000001</v>
      </c>
      <c r="E656" s="1047"/>
      <c r="F656" s="1059" t="str">
        <f>VLOOKUP($B656,DG!A:D,DG!C$2,)&amp;" (14m)"</f>
        <v>Cáp đồng trần M25mm2 (14m)</v>
      </c>
      <c r="G656" s="1047" t="str">
        <f>VLOOKUP($B656,DG!A:D,DG!$D$2,)</f>
        <v>kg</v>
      </c>
      <c r="H656" s="1845">
        <f t="shared" ref="H656:N658" si="122">H$655*$D656</f>
        <v>0</v>
      </c>
      <c r="I656" s="1845">
        <f t="shared" si="122"/>
        <v>0</v>
      </c>
      <c r="J656" s="1845">
        <f t="shared" si="122"/>
        <v>0</v>
      </c>
      <c r="K656" s="1845">
        <f t="shared" si="122"/>
        <v>0</v>
      </c>
      <c r="L656" s="1845">
        <f t="shared" si="122"/>
        <v>0</v>
      </c>
      <c r="M656" s="1845">
        <f t="shared" si="122"/>
        <v>0</v>
      </c>
      <c r="N656" s="1845">
        <f t="shared" si="122"/>
        <v>0</v>
      </c>
      <c r="O656" s="1845"/>
      <c r="P656" s="1845"/>
      <c r="Q656" s="1056"/>
      <c r="R656" s="1056"/>
      <c r="S656" s="1056"/>
      <c r="T656" s="2059">
        <f t="shared" si="104"/>
        <v>0</v>
      </c>
    </row>
    <row r="657" spans="1:20" ht="22.15" hidden="1" customHeight="1">
      <c r="A657" s="59"/>
      <c r="B657" s="1586" t="s">
        <v>1513</v>
      </c>
      <c r="C657" s="64" t="str">
        <f t="shared" si="105"/>
        <v xml:space="preserve"> </v>
      </c>
      <c r="D657" s="1544">
        <v>1</v>
      </c>
      <c r="E657" s="1047"/>
      <c r="F657" s="1059" t="str">
        <f>VLOOKUP($B657,DG!A:D,DG!C$2,)</f>
        <v>Cọc tiếp đất Þ 16- 2,4m + kẹp cọc mạ đồng</v>
      </c>
      <c r="G657" s="1047" t="str">
        <f>VLOOKUP($B657,DG!A:D,DG!$D$2,)</f>
        <v>bộ</v>
      </c>
      <c r="H657" s="1845">
        <f t="shared" si="122"/>
        <v>0</v>
      </c>
      <c r="I657" s="1845">
        <f t="shared" si="122"/>
        <v>0</v>
      </c>
      <c r="J657" s="1845">
        <f t="shared" si="122"/>
        <v>0</v>
      </c>
      <c r="K657" s="1845">
        <f t="shared" si="122"/>
        <v>0</v>
      </c>
      <c r="L657" s="1845">
        <f t="shared" si="122"/>
        <v>0</v>
      </c>
      <c r="M657" s="1845">
        <f t="shared" si="122"/>
        <v>0</v>
      </c>
      <c r="N657" s="1845">
        <f t="shared" si="122"/>
        <v>0</v>
      </c>
      <c r="O657" s="1845"/>
      <c r="P657" s="1845"/>
      <c r="Q657" s="1056"/>
      <c r="R657" s="1056"/>
      <c r="S657" s="1056"/>
      <c r="T657" s="2059">
        <f t="shared" si="104"/>
        <v>0</v>
      </c>
    </row>
    <row r="658" spans="1:20" ht="22.15" hidden="1" customHeight="1">
      <c r="A658" s="59"/>
      <c r="B658" s="1586" t="s">
        <v>1483</v>
      </c>
      <c r="C658" s="64" t="str">
        <f t="shared" si="105"/>
        <v xml:space="preserve"> </v>
      </c>
      <c r="D658" s="1544">
        <v>2</v>
      </c>
      <c r="E658" s="1047"/>
      <c r="F658" s="1059" t="str">
        <f>VLOOKUP($B658,DG!A:D,DG!C$2,)</f>
        <v>Kẹp nối đồng-nhôm</v>
      </c>
      <c r="G658" s="1047" t="str">
        <f>VLOOKUP($B658,DG!A:D,DG!$D$2,)</f>
        <v>cái</v>
      </c>
      <c r="H658" s="1845">
        <f t="shared" si="122"/>
        <v>0</v>
      </c>
      <c r="I658" s="1845">
        <f t="shared" si="122"/>
        <v>0</v>
      </c>
      <c r="J658" s="1845">
        <f t="shared" si="122"/>
        <v>0</v>
      </c>
      <c r="K658" s="1845">
        <f t="shared" si="122"/>
        <v>0</v>
      </c>
      <c r="L658" s="1845">
        <f t="shared" si="122"/>
        <v>0</v>
      </c>
      <c r="M658" s="1845">
        <f t="shared" si="122"/>
        <v>0</v>
      </c>
      <c r="N658" s="1845">
        <f t="shared" si="122"/>
        <v>0</v>
      </c>
      <c r="O658" s="1845"/>
      <c r="P658" s="1845"/>
      <c r="Q658" s="1056"/>
      <c r="R658" s="1056"/>
      <c r="S658" s="1056"/>
      <c r="T658" s="2059">
        <f t="shared" si="104"/>
        <v>0</v>
      </c>
    </row>
    <row r="659" spans="1:20" ht="22.15" hidden="1" customHeight="1">
      <c r="A659" s="59"/>
      <c r="B659" s="1586" t="s">
        <v>1054</v>
      </c>
      <c r="C659" s="64" t="str">
        <f t="shared" si="105"/>
        <v xml:space="preserve"> </v>
      </c>
      <c r="D659" s="1544">
        <v>2</v>
      </c>
      <c r="E659" s="1047"/>
      <c r="F659" s="1059" t="str">
        <f>VLOOKUP($B659,DG!A:D,DG!C$2,)</f>
        <v>Đầu cosse ép Cu 25mm2</v>
      </c>
      <c r="G659" s="1047" t="str">
        <f>VLOOKUP($B659,DG!A:D,DG!$D$2,)</f>
        <v>cái</v>
      </c>
      <c r="H659" s="1845">
        <f t="shared" ref="H659:H664" si="123">H$655*$D659</f>
        <v>0</v>
      </c>
      <c r="I659" s="1845">
        <f t="shared" ref="I659:N660" si="124">I$612*$D659</f>
        <v>0</v>
      </c>
      <c r="J659" s="1845">
        <f t="shared" si="124"/>
        <v>0</v>
      </c>
      <c r="K659" s="1845">
        <f t="shared" si="124"/>
        <v>0</v>
      </c>
      <c r="L659" s="1845">
        <f t="shared" si="124"/>
        <v>0</v>
      </c>
      <c r="M659" s="1845">
        <f t="shared" si="124"/>
        <v>0</v>
      </c>
      <c r="N659" s="1845">
        <f t="shared" si="124"/>
        <v>0</v>
      </c>
      <c r="O659" s="1845"/>
      <c r="P659" s="1845"/>
      <c r="Q659" s="1056"/>
      <c r="R659" s="1056"/>
      <c r="S659" s="1056"/>
      <c r="T659" s="2059">
        <f t="shared" si="104"/>
        <v>0</v>
      </c>
    </row>
    <row r="660" spans="1:20" ht="22.15" hidden="1" customHeight="1">
      <c r="A660" s="59"/>
      <c r="B660" s="1586" t="s">
        <v>2025</v>
      </c>
      <c r="C660" s="64" t="str">
        <f t="shared" si="105"/>
        <v xml:space="preserve"> </v>
      </c>
      <c r="D660" s="1544">
        <v>1</v>
      </c>
      <c r="E660" s="1047"/>
      <c r="F660" s="1059" t="str">
        <f>VLOOKUP($B660,DG!A:D,DG!C$2,)</f>
        <v>Boulon 12x40+ 2 long đền vuông D14-50x50x3/Zn</v>
      </c>
      <c r="G660" s="1047" t="str">
        <f>VLOOKUP($B660,DG!A:D,DG!$D$2,)</f>
        <v>bộ</v>
      </c>
      <c r="H660" s="1845">
        <f t="shared" si="123"/>
        <v>0</v>
      </c>
      <c r="I660" s="1845">
        <f t="shared" si="124"/>
        <v>0</v>
      </c>
      <c r="J660" s="1845">
        <f t="shared" si="124"/>
        <v>0</v>
      </c>
      <c r="K660" s="1845">
        <f t="shared" si="124"/>
        <v>0</v>
      </c>
      <c r="L660" s="1845">
        <f t="shared" si="124"/>
        <v>0</v>
      </c>
      <c r="M660" s="1845">
        <f t="shared" si="124"/>
        <v>0</v>
      </c>
      <c r="N660" s="1845">
        <f t="shared" si="124"/>
        <v>0</v>
      </c>
      <c r="O660" s="1845"/>
      <c r="P660" s="1845"/>
      <c r="Q660" s="1056"/>
      <c r="R660" s="1056"/>
      <c r="S660" s="1056"/>
      <c r="T660" s="2059">
        <f t="shared" si="104"/>
        <v>0</v>
      </c>
    </row>
    <row r="661" spans="1:20" ht="22.15" hidden="1" customHeight="1">
      <c r="A661" s="59"/>
      <c r="B661" s="1586" t="s">
        <v>1522</v>
      </c>
      <c r="C661" s="64" t="str">
        <f t="shared" si="105"/>
        <v xml:space="preserve"> </v>
      </c>
      <c r="D661" s="1543">
        <f>D656</f>
        <v>3.1360000000000001</v>
      </c>
      <c r="E661" s="1047" t="str">
        <f>VLOOKUP($B661,DG!A:D,DG!$B$2,)</f>
        <v>05.7001</v>
      </c>
      <c r="F661" s="1052" t="str">
        <f>VLOOKUP($B661,DG!A:D,DG!C$2,)</f>
        <v xml:space="preserve">Kéo dây tiếp địa </v>
      </c>
      <c r="G661" s="1047" t="str">
        <f>VLOOKUP($B661,DG!A:D,DG!$D$2,)</f>
        <v>mét</v>
      </c>
      <c r="H661" s="1845">
        <f t="shared" si="123"/>
        <v>0</v>
      </c>
      <c r="I661" s="1845"/>
      <c r="J661" s="1845"/>
      <c r="K661" s="1845"/>
      <c r="L661" s="1845"/>
      <c r="M661" s="1845"/>
      <c r="N661" s="1845"/>
      <c r="O661" s="1845"/>
      <c r="P661" s="1845"/>
      <c r="Q661" s="1061"/>
      <c r="R661" s="1061"/>
      <c r="S661" s="1061"/>
      <c r="T661" s="2059">
        <f t="shared" si="104"/>
        <v>0</v>
      </c>
    </row>
    <row r="662" spans="1:20" ht="22.15" hidden="1" customHeight="1">
      <c r="A662" s="59"/>
      <c r="B662" s="1586" t="s">
        <v>1106</v>
      </c>
      <c r="C662" s="64" t="str">
        <f t="shared" si="105"/>
        <v xml:space="preserve"> </v>
      </c>
      <c r="D662" s="1544">
        <v>1</v>
      </c>
      <c r="E662" s="1047" t="str">
        <f>VLOOKUP($B662,DG!A:D,DG!$B$2,)</f>
        <v>05.8103</v>
      </c>
      <c r="F662" s="1052" t="str">
        <f>VLOOKUP($B662,DG!A:D,DG!C$2,)</f>
        <v>Đóng cọc tiếp địa đất cấp 3</v>
      </c>
      <c r="G662" s="1047" t="str">
        <f>VLOOKUP($B662,DG!A:D,DG!$D$2,)</f>
        <v>cọc</v>
      </c>
      <c r="H662" s="1845">
        <f t="shared" si="123"/>
        <v>0</v>
      </c>
      <c r="I662" s="1845"/>
      <c r="J662" s="1845"/>
      <c r="K662" s="1845"/>
      <c r="L662" s="1845"/>
      <c r="M662" s="1845"/>
      <c r="N662" s="1845"/>
      <c r="O662" s="1845"/>
      <c r="P662" s="1845"/>
      <c r="Q662" s="1056"/>
      <c r="R662" s="1056"/>
      <c r="S662" s="1056"/>
      <c r="T662" s="2059">
        <f t="shared" si="104"/>
        <v>0</v>
      </c>
    </row>
    <row r="663" spans="1:20" ht="22.15" hidden="1" customHeight="1">
      <c r="A663" s="59"/>
      <c r="B663" s="1586" t="s">
        <v>1908</v>
      </c>
      <c r="C663" s="64" t="str">
        <f t="shared" si="105"/>
        <v xml:space="preserve"> </v>
      </c>
      <c r="D663" s="1542"/>
      <c r="E663" s="1047" t="str">
        <f>VLOOKUP($B663,DG!A:D,DG!$B$2,)</f>
        <v>02.1120</v>
      </c>
      <c r="F663" s="1052" t="str">
        <f>VLOOKUP($B663,DG!A:D,DG!C$2,)</f>
        <v>Bốc dỡ phụ kiện</v>
      </c>
      <c r="G663" s="1047" t="str">
        <f>VLOOKUP($B663,DG!A:D,DG!$D$2,)</f>
        <v>tấn</v>
      </c>
      <c r="H663" s="1845">
        <f t="shared" si="123"/>
        <v>0</v>
      </c>
      <c r="I663" s="1845"/>
      <c r="J663" s="1845"/>
      <c r="K663" s="1845"/>
      <c r="L663" s="1845"/>
      <c r="M663" s="1845"/>
      <c r="N663" s="1845"/>
      <c r="O663" s="1845"/>
      <c r="P663" s="1845"/>
      <c r="Q663" s="1056"/>
      <c r="R663" s="1056"/>
      <c r="S663" s="1056"/>
      <c r="T663" s="2059">
        <f t="shared" si="104"/>
        <v>0</v>
      </c>
    </row>
    <row r="664" spans="1:20" ht="22.15" hidden="1" customHeight="1">
      <c r="A664" s="59"/>
      <c r="B664" s="1598" t="s">
        <v>1909</v>
      </c>
      <c r="C664" s="64" t="str">
        <f t="shared" si="105"/>
        <v xml:space="preserve"> </v>
      </c>
      <c r="D664" s="1542"/>
      <c r="E664" s="1047" t="str">
        <f>VLOOKUP($B664,DG!A:C,2,)</f>
        <v>02.1351</v>
      </c>
      <c r="F664" s="1052" t="str">
        <f>VLOOKUP($B664,DG!A:C,3,)</f>
        <v>V/c tiếp địa vào vị trí ( cự ly &lt;=100m)</v>
      </c>
      <c r="G664" s="1047" t="str">
        <f>VLOOKUP($B664,DG!A:D,4,0)</f>
        <v>tấn</v>
      </c>
      <c r="H664" s="1845">
        <f t="shared" si="123"/>
        <v>0</v>
      </c>
      <c r="I664" s="1845"/>
      <c r="J664" s="1845"/>
      <c r="K664" s="1845"/>
      <c r="L664" s="1845"/>
      <c r="M664" s="1845"/>
      <c r="N664" s="1845"/>
      <c r="O664" s="1845"/>
      <c r="P664" s="1845"/>
      <c r="Q664" s="1061"/>
      <c r="R664" s="1061"/>
      <c r="S664" s="1061"/>
      <c r="T664" s="2059">
        <f t="shared" si="104"/>
        <v>0</v>
      </c>
    </row>
    <row r="665" spans="1:20" ht="22.15" hidden="1" customHeight="1">
      <c r="A665" s="56" t="s">
        <v>1990</v>
      </c>
      <c r="B665" s="1583" t="s">
        <v>1990</v>
      </c>
      <c r="C665" s="62" t="str">
        <f t="shared" si="105"/>
        <v xml:space="preserve"> </v>
      </c>
      <c r="D665" s="1555"/>
      <c r="E665" s="1048"/>
      <c r="F665" s="1396" t="s">
        <v>2404</v>
      </c>
      <c r="G665" s="1049" t="s">
        <v>2394</v>
      </c>
      <c r="H665" s="1843">
        <f>SUM(I665:O665)</f>
        <v>0</v>
      </c>
      <c r="I665" s="1844"/>
      <c r="J665" s="1844"/>
      <c r="K665" s="1844">
        <f>IFERROR(HLOOKUP(B665,pp3p1m!$1:$3,3,0),0)</f>
        <v>0</v>
      </c>
      <c r="L665" s="1844">
        <f>IFERROR(HLOOKUP(chitiet!B665,pp1p!$1:$3,3,0),0)</f>
        <v>0</v>
      </c>
      <c r="M665" s="1844"/>
      <c r="N665" s="1844"/>
      <c r="O665" s="1844"/>
      <c r="P665" s="1844"/>
      <c r="Q665" s="1050"/>
      <c r="R665" s="1050"/>
      <c r="S665" s="1050"/>
      <c r="T665" s="2059">
        <f>IFERROR(HLOOKUP(B665,pp1p!$1:$3,3,0),0)+IFERROR(HLOOKUP(B665,pp3p1m!$1:$3,3,0),0)</f>
        <v>0</v>
      </c>
    </row>
    <row r="666" spans="1:20" ht="22.15" hidden="1" customHeight="1">
      <c r="A666" s="59"/>
      <c r="B666" s="1586" t="s">
        <v>103</v>
      </c>
      <c r="C666" s="64" t="str">
        <f t="shared" si="105"/>
        <v xml:space="preserve"> </v>
      </c>
      <c r="D666" s="1543">
        <f>22*0.224</f>
        <v>4.9279999999999999</v>
      </c>
      <c r="E666" s="1047"/>
      <c r="F666" s="1059" t="str">
        <f>VLOOKUP($B666,DG!A:D,DG!C$2,)&amp;" (22m)"</f>
        <v>Cáp đồng trần M25mm2 (22m)</v>
      </c>
      <c r="G666" s="1047" t="str">
        <f>VLOOKUP($B666,DG!A:D,DG!$D$2,)</f>
        <v>kg</v>
      </c>
      <c r="H666" s="1845">
        <f t="shared" ref="H666:N668" si="125">H$665*$D666</f>
        <v>0</v>
      </c>
      <c r="I666" s="1845">
        <f t="shared" si="125"/>
        <v>0</v>
      </c>
      <c r="J666" s="1845">
        <f t="shared" si="125"/>
        <v>0</v>
      </c>
      <c r="K666" s="1845">
        <f t="shared" si="125"/>
        <v>0</v>
      </c>
      <c r="L666" s="1845">
        <f t="shared" si="125"/>
        <v>0</v>
      </c>
      <c r="M666" s="1845">
        <f t="shared" si="125"/>
        <v>0</v>
      </c>
      <c r="N666" s="1845">
        <f t="shared" si="125"/>
        <v>0</v>
      </c>
      <c r="O666" s="1845"/>
      <c r="P666" s="1845"/>
      <c r="Q666" s="1056"/>
      <c r="R666" s="1056"/>
      <c r="S666" s="1056"/>
      <c r="T666" s="2059">
        <f t="shared" si="104"/>
        <v>0</v>
      </c>
    </row>
    <row r="667" spans="1:20" ht="22.15" hidden="1" customHeight="1">
      <c r="A667" s="59"/>
      <c r="B667" s="1586" t="s">
        <v>1513</v>
      </c>
      <c r="C667" s="64" t="str">
        <f t="shared" si="105"/>
        <v xml:space="preserve"> </v>
      </c>
      <c r="D667" s="1544">
        <v>1</v>
      </c>
      <c r="E667" s="1047"/>
      <c r="F667" s="1059" t="str">
        <f>VLOOKUP($B667,DG!A:D,DG!C$2,)</f>
        <v>Cọc tiếp đất Þ 16- 2,4m + kẹp cọc mạ đồng</v>
      </c>
      <c r="G667" s="1047" t="str">
        <f>VLOOKUP($B667,DG!A:D,DG!$D$2,)</f>
        <v>bộ</v>
      </c>
      <c r="H667" s="1845">
        <f t="shared" si="125"/>
        <v>0</v>
      </c>
      <c r="I667" s="1845">
        <f t="shared" si="125"/>
        <v>0</v>
      </c>
      <c r="J667" s="1845">
        <f t="shared" si="125"/>
        <v>0</v>
      </c>
      <c r="K667" s="1845">
        <f t="shared" si="125"/>
        <v>0</v>
      </c>
      <c r="L667" s="1845">
        <f t="shared" si="125"/>
        <v>0</v>
      </c>
      <c r="M667" s="1845">
        <f t="shared" si="125"/>
        <v>0</v>
      </c>
      <c r="N667" s="1845">
        <f t="shared" si="125"/>
        <v>0</v>
      </c>
      <c r="O667" s="1845"/>
      <c r="P667" s="1845"/>
      <c r="Q667" s="1056"/>
      <c r="R667" s="1056"/>
      <c r="S667" s="1056"/>
      <c r="T667" s="2059">
        <f t="shared" si="104"/>
        <v>0</v>
      </c>
    </row>
    <row r="668" spans="1:20" ht="22.15" hidden="1" customHeight="1">
      <c r="A668" s="59"/>
      <c r="B668" s="1586" t="s">
        <v>1483</v>
      </c>
      <c r="C668" s="64" t="str">
        <f t="shared" si="105"/>
        <v xml:space="preserve"> </v>
      </c>
      <c r="D668" s="1544">
        <v>2</v>
      </c>
      <c r="E668" s="1047"/>
      <c r="F668" s="1059" t="str">
        <f>VLOOKUP($B668,DG!A:D,DG!C$2,)</f>
        <v>Kẹp nối đồng-nhôm</v>
      </c>
      <c r="G668" s="1047" t="str">
        <f>VLOOKUP($B668,DG!A:D,DG!$D$2,)</f>
        <v>cái</v>
      </c>
      <c r="H668" s="1845">
        <f t="shared" si="125"/>
        <v>0</v>
      </c>
      <c r="I668" s="1845">
        <f t="shared" si="125"/>
        <v>0</v>
      </c>
      <c r="J668" s="1845">
        <f t="shared" si="125"/>
        <v>0</v>
      </c>
      <c r="K668" s="1845">
        <f t="shared" si="125"/>
        <v>0</v>
      </c>
      <c r="L668" s="1845">
        <f t="shared" si="125"/>
        <v>0</v>
      </c>
      <c r="M668" s="1845">
        <f t="shared" si="125"/>
        <v>0</v>
      </c>
      <c r="N668" s="1845">
        <f t="shared" si="125"/>
        <v>0</v>
      </c>
      <c r="O668" s="1845"/>
      <c r="P668" s="1845"/>
      <c r="Q668" s="1056"/>
      <c r="R668" s="1056"/>
      <c r="S668" s="1056"/>
      <c r="T668" s="2059">
        <f t="shared" si="104"/>
        <v>0</v>
      </c>
    </row>
    <row r="669" spans="1:20" ht="22.15" hidden="1" customHeight="1">
      <c r="A669" s="59"/>
      <c r="B669" s="1586" t="s">
        <v>1522</v>
      </c>
      <c r="C669" s="64" t="str">
        <f t="shared" si="105"/>
        <v xml:space="preserve"> </v>
      </c>
      <c r="D669" s="1543">
        <f>D666</f>
        <v>4.9279999999999999</v>
      </c>
      <c r="E669" s="1047" t="str">
        <f>VLOOKUP($B669,DG!A:D,DG!$B$2,)</f>
        <v>05.7001</v>
      </c>
      <c r="F669" s="1052" t="str">
        <f>VLOOKUP($B669,DG!A:D,DG!C$2,)</f>
        <v xml:space="preserve">Kéo dây tiếp địa </v>
      </c>
      <c r="G669" s="1047" t="str">
        <f>VLOOKUP($B669,DG!A:D,DG!$D$2,)</f>
        <v>mét</v>
      </c>
      <c r="H669" s="1845"/>
      <c r="I669" s="1845"/>
      <c r="J669" s="1845"/>
      <c r="K669" s="1845"/>
      <c r="L669" s="1845"/>
      <c r="M669" s="1845"/>
      <c r="N669" s="1845"/>
      <c r="O669" s="1845"/>
      <c r="P669" s="1845"/>
      <c r="Q669" s="1061"/>
      <c r="R669" s="1061"/>
      <c r="S669" s="1061"/>
      <c r="T669" s="2059">
        <f t="shared" ref="T669:T732" si="126">IFERROR(HLOOKUP(B669,BangKeTru,3,0),0)</f>
        <v>0</v>
      </c>
    </row>
    <row r="670" spans="1:20" ht="22.15" hidden="1" customHeight="1">
      <c r="A670" s="59"/>
      <c r="B670" s="1586" t="s">
        <v>1106</v>
      </c>
      <c r="C670" s="64" t="str">
        <f t="shared" ref="C670:C733" si="127">IF(OR(P670&lt;&gt;0,H670&lt;&gt;0),"x"," ")</f>
        <v xml:space="preserve"> </v>
      </c>
      <c r="D670" s="1544">
        <v>1</v>
      </c>
      <c r="E670" s="1047" t="str">
        <f>VLOOKUP($B670,DG!A:D,DG!$B$2,)</f>
        <v>05.8103</v>
      </c>
      <c r="F670" s="1052" t="str">
        <f>VLOOKUP($B670,DG!A:D,DG!C$2,)</f>
        <v>Đóng cọc tiếp địa đất cấp 3</v>
      </c>
      <c r="G670" s="1047" t="str">
        <f>VLOOKUP($B670,DG!A:D,DG!$D$2,)</f>
        <v>cọc</v>
      </c>
      <c r="H670" s="1845"/>
      <c r="I670" s="1845"/>
      <c r="J670" s="1845"/>
      <c r="K670" s="1845"/>
      <c r="L670" s="1845"/>
      <c r="M670" s="1845"/>
      <c r="N670" s="1845"/>
      <c r="O670" s="1845"/>
      <c r="P670" s="1845"/>
      <c r="Q670" s="1056"/>
      <c r="R670" s="1056"/>
      <c r="S670" s="1056"/>
      <c r="T670" s="2059">
        <f t="shared" si="126"/>
        <v>0</v>
      </c>
    </row>
    <row r="671" spans="1:20" ht="22.15" hidden="1" customHeight="1">
      <c r="A671" s="59"/>
      <c r="B671" s="1586" t="s">
        <v>1908</v>
      </c>
      <c r="C671" s="64" t="str">
        <f t="shared" si="127"/>
        <v xml:space="preserve"> </v>
      </c>
      <c r="D671" s="1542">
        <v>8.0000000000000002E-3</v>
      </c>
      <c r="E671" s="1047" t="str">
        <f>VLOOKUP($B671,DG!A:D,DG!$B$2,)</f>
        <v>02.1120</v>
      </c>
      <c r="F671" s="1052" t="str">
        <f>VLOOKUP($B671,DG!A:D,DG!C$2,)</f>
        <v>Bốc dỡ phụ kiện</v>
      </c>
      <c r="G671" s="1047" t="str">
        <f>VLOOKUP($B671,DG!A:D,DG!$D$2,)</f>
        <v>tấn</v>
      </c>
      <c r="H671" s="1845"/>
      <c r="I671" s="1845"/>
      <c r="J671" s="1845"/>
      <c r="K671" s="1845"/>
      <c r="L671" s="1845"/>
      <c r="M671" s="1845"/>
      <c r="N671" s="1845"/>
      <c r="O671" s="1845"/>
      <c r="P671" s="1845"/>
      <c r="Q671" s="1056"/>
      <c r="R671" s="1056"/>
      <c r="S671" s="1056"/>
      <c r="T671" s="2059">
        <f t="shared" si="126"/>
        <v>0</v>
      </c>
    </row>
    <row r="672" spans="1:20" ht="22.15" hidden="1" customHeight="1">
      <c r="A672" s="59"/>
      <c r="B672" s="1598" t="s">
        <v>1909</v>
      </c>
      <c r="C672" s="64" t="str">
        <f t="shared" si="127"/>
        <v xml:space="preserve"> </v>
      </c>
      <c r="D672" s="1542">
        <v>8.0000000000000002E-3</v>
      </c>
      <c r="E672" s="1047" t="str">
        <f>VLOOKUP($B672,DG!A:C,2,)</f>
        <v>02.1351</v>
      </c>
      <c r="F672" s="1052" t="str">
        <f>VLOOKUP($B672,DG!A:C,3,)</f>
        <v>V/c tiếp địa vào vị trí ( cự ly &lt;=100m)</v>
      </c>
      <c r="G672" s="1047" t="str">
        <f>VLOOKUP($B672,DG!A:D,4,0)</f>
        <v>tấn</v>
      </c>
      <c r="H672" s="1845"/>
      <c r="I672" s="1845"/>
      <c r="J672" s="1845"/>
      <c r="K672" s="1845"/>
      <c r="L672" s="1845"/>
      <c r="M672" s="1845"/>
      <c r="N672" s="1845"/>
      <c r="O672" s="1845"/>
      <c r="P672" s="1845"/>
      <c r="Q672" s="1061"/>
      <c r="R672" s="1061"/>
      <c r="S672" s="1061"/>
      <c r="T672" s="2059">
        <f t="shared" si="126"/>
        <v>0</v>
      </c>
    </row>
    <row r="673" spans="1:20" ht="22.15" hidden="1" customHeight="1">
      <c r="A673" s="56" t="s">
        <v>547</v>
      </c>
      <c r="B673" s="1583" t="s">
        <v>547</v>
      </c>
      <c r="C673" s="62" t="str">
        <f t="shared" si="127"/>
        <v xml:space="preserve"> </v>
      </c>
      <c r="D673" s="1555"/>
      <c r="E673" s="1048"/>
      <c r="F673" s="1396" t="s">
        <v>2405</v>
      </c>
      <c r="G673" s="1049" t="s">
        <v>2394</v>
      </c>
      <c r="H673" s="1843">
        <f>SUM(I673:O673)</f>
        <v>0</v>
      </c>
      <c r="I673" s="1844"/>
      <c r="J673" s="1844"/>
      <c r="K673" s="1844">
        <f>IFERROR(HLOOKUP(B673,pp3p1m!$1:$3,3,0),0)</f>
        <v>0</v>
      </c>
      <c r="L673" s="1844">
        <f>IFERROR(HLOOKUP(chitiet!B673,pp1p!$1:$3,3,0),0)</f>
        <v>0</v>
      </c>
      <c r="M673" s="1844"/>
      <c r="N673" s="1844"/>
      <c r="O673" s="1844"/>
      <c r="P673" s="1844"/>
      <c r="Q673" s="1050"/>
      <c r="R673" s="1050"/>
      <c r="S673" s="1050"/>
      <c r="T673" s="2059">
        <f>IFERROR(HLOOKUP(B673,pp1p!$1:$3,3,0),0)+IFERROR(HLOOKUP(B673,pp3p1m!$1:$3,3,0),0)</f>
        <v>0</v>
      </c>
    </row>
    <row r="674" spans="1:20" ht="22.15" hidden="1" customHeight="1">
      <c r="A674" s="59"/>
      <c r="B674" s="1586" t="s">
        <v>1035</v>
      </c>
      <c r="C674" s="64" t="str">
        <f t="shared" si="127"/>
        <v xml:space="preserve"> </v>
      </c>
      <c r="D674" s="1543">
        <f>6*0.224</f>
        <v>1.3440000000000001</v>
      </c>
      <c r="E674" s="1047"/>
      <c r="F674" s="1059" t="str">
        <f>VLOOKUP($B674,DG!A:D,DG!C$2,)&amp;" (6m)"</f>
        <v>Cáp đồng trần M25mm2 (6m)</v>
      </c>
      <c r="G674" s="1047" t="str">
        <f>VLOOKUP($B674,DG!A:D,DG!$D$2,)</f>
        <v>kg</v>
      </c>
      <c r="H674" s="1845">
        <f t="shared" ref="H674:N679" si="128">H$665*$D674</f>
        <v>0</v>
      </c>
      <c r="I674" s="1845">
        <f t="shared" si="128"/>
        <v>0</v>
      </c>
      <c r="J674" s="1845">
        <f t="shared" si="128"/>
        <v>0</v>
      </c>
      <c r="K674" s="1845">
        <f t="shared" si="128"/>
        <v>0</v>
      </c>
      <c r="L674" s="1845">
        <f t="shared" si="128"/>
        <v>0</v>
      </c>
      <c r="M674" s="1845">
        <f t="shared" si="128"/>
        <v>0</v>
      </c>
      <c r="N674" s="1845">
        <f t="shared" si="128"/>
        <v>0</v>
      </c>
      <c r="O674" s="1845"/>
      <c r="P674" s="1845"/>
      <c r="Q674" s="1056"/>
      <c r="R674" s="1056"/>
      <c r="S674" s="1056"/>
      <c r="T674" s="2059">
        <f t="shared" si="126"/>
        <v>0</v>
      </c>
    </row>
    <row r="675" spans="1:20" ht="22.15" hidden="1" customHeight="1">
      <c r="A675" s="59"/>
      <c r="B675" s="1586" t="s">
        <v>796</v>
      </c>
      <c r="C675" s="64" t="str">
        <f t="shared" si="127"/>
        <v xml:space="preserve"> </v>
      </c>
      <c r="D675" s="1554">
        <f>0.3*1*0.3</f>
        <v>0.09</v>
      </c>
      <c r="E675" s="1047"/>
      <c r="F675" s="1052" t="str">
        <f>VLOOKUP($B675,DG!A:D,DG!C$2,)&amp;": 0,3x0,3x1"</f>
        <v>Đào rãnh tiếp địa đất cấp 3: 0,3x0,3x1</v>
      </c>
      <c r="G675" s="1047" t="str">
        <f>VLOOKUP($B675,DG!A:D,DG!$D$2,)</f>
        <v>m3</v>
      </c>
      <c r="H675" s="1845">
        <f t="shared" si="128"/>
        <v>0</v>
      </c>
      <c r="I675" s="1845">
        <f t="shared" si="128"/>
        <v>0</v>
      </c>
      <c r="J675" s="1845">
        <f t="shared" si="128"/>
        <v>0</v>
      </c>
      <c r="K675" s="1845">
        <f t="shared" si="128"/>
        <v>0</v>
      </c>
      <c r="L675" s="1845">
        <f t="shared" si="128"/>
        <v>0</v>
      </c>
      <c r="M675" s="1845">
        <f t="shared" si="128"/>
        <v>0</v>
      </c>
      <c r="N675" s="1845">
        <f t="shared" si="128"/>
        <v>0</v>
      </c>
      <c r="O675" s="1845"/>
      <c r="P675" s="1845"/>
      <c r="Q675" s="1056"/>
      <c r="R675" s="1056"/>
      <c r="S675" s="1056"/>
      <c r="T675" s="2059">
        <f t="shared" si="126"/>
        <v>0</v>
      </c>
    </row>
    <row r="676" spans="1:20" ht="22.15" hidden="1" customHeight="1">
      <c r="A676" s="59"/>
      <c r="B676" s="1586" t="s">
        <v>800</v>
      </c>
      <c r="C676" s="64" t="str">
        <f t="shared" si="127"/>
        <v xml:space="preserve"> </v>
      </c>
      <c r="D676" s="1554">
        <f>D675</f>
        <v>0.09</v>
      </c>
      <c r="E676" s="1047"/>
      <c r="F676" s="1052" t="str">
        <f>VLOOKUP($B676,DG!A:D,DG!C$2,)&amp;": 0,3x0,3x1"</f>
        <v>Đắp đất rãnh tiếp độ chặt k=0,85: 0,3x0,3x1</v>
      </c>
      <c r="G676" s="1047" t="str">
        <f>VLOOKUP($B676,DG!A:D,DG!$D$2,)</f>
        <v>m3</v>
      </c>
      <c r="H676" s="1845">
        <f t="shared" si="128"/>
        <v>0</v>
      </c>
      <c r="I676" s="1845">
        <f t="shared" si="128"/>
        <v>0</v>
      </c>
      <c r="J676" s="1845">
        <f t="shared" si="128"/>
        <v>0</v>
      </c>
      <c r="K676" s="1845">
        <f t="shared" si="128"/>
        <v>0</v>
      </c>
      <c r="L676" s="1845">
        <f t="shared" si="128"/>
        <v>0</v>
      </c>
      <c r="M676" s="1845">
        <f t="shared" si="128"/>
        <v>0</v>
      </c>
      <c r="N676" s="1845">
        <f t="shared" si="128"/>
        <v>0</v>
      </c>
      <c r="O676" s="1845"/>
      <c r="P676" s="1845"/>
      <c r="Q676" s="1056"/>
      <c r="R676" s="1056"/>
      <c r="S676" s="1056"/>
      <c r="T676" s="2059">
        <f t="shared" si="126"/>
        <v>0</v>
      </c>
    </row>
    <row r="677" spans="1:20" ht="22.15" hidden="1" customHeight="1">
      <c r="A677" s="59"/>
      <c r="B677" s="1586" t="s">
        <v>104</v>
      </c>
      <c r="C677" s="64" t="str">
        <f t="shared" si="127"/>
        <v xml:space="preserve"> </v>
      </c>
      <c r="D677" s="1544">
        <v>1</v>
      </c>
      <c r="E677" s="1047"/>
      <c r="F677" s="1059" t="str">
        <f>VLOOKUP($B677,DG!A:D,DG!C$2,)</f>
        <v>Đầu cosse ép Cu 25mm2</v>
      </c>
      <c r="G677" s="1047" t="str">
        <f>VLOOKUP($B677,DG!A:D,DG!$D$2,)</f>
        <v>cái</v>
      </c>
      <c r="H677" s="1845">
        <f t="shared" si="128"/>
        <v>0</v>
      </c>
      <c r="I677" s="1845">
        <f t="shared" si="128"/>
        <v>0</v>
      </c>
      <c r="J677" s="1845">
        <f t="shared" si="128"/>
        <v>0</v>
      </c>
      <c r="K677" s="1845">
        <f t="shared" si="128"/>
        <v>0</v>
      </c>
      <c r="L677" s="1845">
        <f t="shared" si="128"/>
        <v>0</v>
      </c>
      <c r="M677" s="1845">
        <f t="shared" si="128"/>
        <v>0</v>
      </c>
      <c r="N677" s="1845">
        <f t="shared" si="128"/>
        <v>0</v>
      </c>
      <c r="O677" s="1845"/>
      <c r="P677" s="1845"/>
      <c r="Q677" s="1056"/>
      <c r="R677" s="1056"/>
      <c r="S677" s="1056"/>
      <c r="T677" s="2059">
        <f t="shared" si="126"/>
        <v>0</v>
      </c>
    </row>
    <row r="678" spans="1:20" ht="22.15" hidden="1" customHeight="1">
      <c r="A678" s="59"/>
      <c r="B678" s="1586" t="s">
        <v>138</v>
      </c>
      <c r="C678" s="64" t="str">
        <f t="shared" si="127"/>
        <v xml:space="preserve"> </v>
      </c>
      <c r="D678" s="1544">
        <v>1</v>
      </c>
      <c r="E678" s="1047"/>
      <c r="F678" s="1059" t="str">
        <f>VLOOKUP($B678,DG!A:D,DG!C$2,)</f>
        <v>Boulon 12x40+ 2 long đền vuông D14-50x50x3/Zn</v>
      </c>
      <c r="G678" s="1047" t="str">
        <f>VLOOKUP($B678,DG!A:D,DG!$D$2,)</f>
        <v>bộ</v>
      </c>
      <c r="H678" s="1845">
        <f t="shared" si="128"/>
        <v>0</v>
      </c>
      <c r="I678" s="1845">
        <f t="shared" si="128"/>
        <v>0</v>
      </c>
      <c r="J678" s="1845">
        <f t="shared" si="128"/>
        <v>0</v>
      </c>
      <c r="K678" s="1845">
        <f t="shared" si="128"/>
        <v>0</v>
      </c>
      <c r="L678" s="1845">
        <f t="shared" si="128"/>
        <v>0</v>
      </c>
      <c r="M678" s="1845">
        <f t="shared" si="128"/>
        <v>0</v>
      </c>
      <c r="N678" s="1845">
        <f t="shared" si="128"/>
        <v>0</v>
      </c>
      <c r="O678" s="1845"/>
      <c r="P678" s="1845"/>
      <c r="Q678" s="1056"/>
      <c r="R678" s="1056"/>
      <c r="S678" s="1056"/>
      <c r="T678" s="2059">
        <f t="shared" si="126"/>
        <v>0</v>
      </c>
    </row>
    <row r="679" spans="1:20" ht="22.15" hidden="1" customHeight="1">
      <c r="A679" s="59"/>
      <c r="B679" s="1586" t="s">
        <v>576</v>
      </c>
      <c r="C679" s="64" t="str">
        <f t="shared" si="127"/>
        <v xml:space="preserve"> </v>
      </c>
      <c r="D679" s="1544">
        <v>3</v>
      </c>
      <c r="E679" s="1047"/>
      <c r="F679" s="1059" t="str">
        <f>VLOOKUP($B679,DG!A:D,DG!C$2,)</f>
        <v xml:space="preserve">Ống PVC D21x1,6mm </v>
      </c>
      <c r="G679" s="1047" t="str">
        <f>VLOOKUP($B679,DG!A:D,DG!$D$2,)</f>
        <v>m</v>
      </c>
      <c r="H679" s="1845">
        <f t="shared" si="128"/>
        <v>0</v>
      </c>
      <c r="I679" s="1845">
        <f t="shared" si="128"/>
        <v>0</v>
      </c>
      <c r="J679" s="1845">
        <f t="shared" si="128"/>
        <v>0</v>
      </c>
      <c r="K679" s="1845">
        <f t="shared" si="128"/>
        <v>0</v>
      </c>
      <c r="L679" s="1845">
        <f t="shared" si="128"/>
        <v>0</v>
      </c>
      <c r="M679" s="1845">
        <f t="shared" si="128"/>
        <v>0</v>
      </c>
      <c r="N679" s="1845">
        <f t="shared" si="128"/>
        <v>0</v>
      </c>
      <c r="O679" s="1845"/>
      <c r="P679" s="1845"/>
      <c r="Q679" s="1056"/>
      <c r="R679" s="1056"/>
      <c r="S679" s="1056"/>
      <c r="T679" s="2059">
        <f t="shared" si="126"/>
        <v>0</v>
      </c>
    </row>
    <row r="680" spans="1:20" ht="22.15" hidden="1" customHeight="1">
      <c r="A680" s="59"/>
      <c r="B680" s="1586" t="s">
        <v>1522</v>
      </c>
      <c r="C680" s="64" t="str">
        <f t="shared" si="127"/>
        <v xml:space="preserve"> </v>
      </c>
      <c r="D680" s="1544">
        <v>1</v>
      </c>
      <c r="E680" s="1047" t="str">
        <f>VLOOKUP($B680,DG!A:D,DG!$B$2,)</f>
        <v>05.7001</v>
      </c>
      <c r="F680" s="1052" t="str">
        <f>VLOOKUP($B680,DG!A:D,DG!C$2,)</f>
        <v xml:space="preserve">Kéo dây tiếp địa </v>
      </c>
      <c r="G680" s="1047" t="str">
        <f>VLOOKUP($B680,DG!A:D,DG!$D$2,)</f>
        <v>mét</v>
      </c>
      <c r="H680" s="1845"/>
      <c r="I680" s="1845"/>
      <c r="J680" s="1845"/>
      <c r="K680" s="1845"/>
      <c r="L680" s="1845"/>
      <c r="M680" s="1845"/>
      <c r="N680" s="1845"/>
      <c r="O680" s="1845"/>
      <c r="P680" s="1845"/>
      <c r="Q680" s="1061"/>
      <c r="R680" s="1061"/>
      <c r="S680" s="1061"/>
      <c r="T680" s="2059">
        <f t="shared" si="126"/>
        <v>0</v>
      </c>
    </row>
    <row r="681" spans="1:20" ht="22.15" hidden="1" customHeight="1">
      <c r="A681" s="59"/>
      <c r="B681" s="1586" t="s">
        <v>1117</v>
      </c>
      <c r="C681" s="64" t="str">
        <f t="shared" si="127"/>
        <v xml:space="preserve"> </v>
      </c>
      <c r="D681" s="1544">
        <v>1</v>
      </c>
      <c r="E681" s="1047">
        <f>VLOOKUP($B681,DG!A:D,DG!$B$2,)</f>
        <v>0</v>
      </c>
      <c r="F681" s="1059" t="str">
        <f>VLOOKUP($B681,DG!A:D,DG!C$2,)</f>
        <v>Kẹp ép cỡ dây 25mm2</v>
      </c>
      <c r="G681" s="1047" t="str">
        <f>VLOOKUP($B681,DG!A:D,DG!$D$2,)</f>
        <v>cái</v>
      </c>
      <c r="H681" s="1845"/>
      <c r="I681" s="1845"/>
      <c r="J681" s="1845"/>
      <c r="K681" s="1845"/>
      <c r="L681" s="1845"/>
      <c r="M681" s="1845"/>
      <c r="N681" s="1845"/>
      <c r="O681" s="1845"/>
      <c r="P681" s="1845"/>
      <c r="Q681" s="1056"/>
      <c r="R681" s="1056"/>
      <c r="S681" s="1056"/>
      <c r="T681" s="2059">
        <f t="shared" si="126"/>
        <v>0</v>
      </c>
    </row>
    <row r="682" spans="1:20" ht="22.15" hidden="1" customHeight="1">
      <c r="A682" s="56" t="s">
        <v>1056</v>
      </c>
      <c r="B682" s="1583" t="s">
        <v>1056</v>
      </c>
      <c r="C682" s="62" t="str">
        <f t="shared" si="127"/>
        <v xml:space="preserve"> </v>
      </c>
      <c r="D682" s="1555"/>
      <c r="E682" s="1048"/>
      <c r="F682" s="1396" t="s">
        <v>2406</v>
      </c>
      <c r="G682" s="1049" t="s">
        <v>2394</v>
      </c>
      <c r="H682" s="1843">
        <f>SUM(I682:O682)</f>
        <v>0</v>
      </c>
      <c r="I682" s="1844"/>
      <c r="J682" s="1844"/>
      <c r="K682" s="1844">
        <f>IFERROR(HLOOKUP(B682,pp3p1m!$1:$3,3,0),0)</f>
        <v>0</v>
      </c>
      <c r="L682" s="1844">
        <f>IFERROR(HLOOKUP(chitiet!B682,pp1p!$1:$3,3,0),0)</f>
        <v>0</v>
      </c>
      <c r="M682" s="1844"/>
      <c r="N682" s="1844"/>
      <c r="O682" s="1844"/>
      <c r="P682" s="1844"/>
      <c r="Q682" s="1050"/>
      <c r="R682" s="1050"/>
      <c r="S682" s="1050"/>
      <c r="T682" s="2059">
        <f>IFERROR(HLOOKUP(B682,pp1p!$1:$3,3,0),0)+IFERROR(HLOOKUP(B682,pp3p1m!$1:$3,3,0),0)</f>
        <v>0</v>
      </c>
    </row>
    <row r="683" spans="1:20" ht="22.15" hidden="1" customHeight="1">
      <c r="A683" s="59"/>
      <c r="B683" s="1586" t="s">
        <v>103</v>
      </c>
      <c r="C683" s="64" t="str">
        <f t="shared" si="127"/>
        <v xml:space="preserve"> </v>
      </c>
      <c r="D683" s="1543">
        <f>53*0.224</f>
        <v>11.872</v>
      </c>
      <c r="E683" s="1047"/>
      <c r="F683" s="1059" t="str">
        <f>VLOOKUP($B683,DG!A:D,DG!C$2,)&amp;" (53m)"</f>
        <v>Cáp đồng trần M25mm2 (53m)</v>
      </c>
      <c r="G683" s="1047" t="str">
        <f>VLOOKUP($B683,DG!A:D,DG!$D$2,)</f>
        <v>kg</v>
      </c>
      <c r="H683" s="1845">
        <f t="shared" ref="H683:N690" si="129">H$665*$D683</f>
        <v>0</v>
      </c>
      <c r="I683" s="1845">
        <f t="shared" si="129"/>
        <v>0</v>
      </c>
      <c r="J683" s="1845">
        <f t="shared" si="129"/>
        <v>0</v>
      </c>
      <c r="K683" s="1845">
        <f t="shared" si="129"/>
        <v>0</v>
      </c>
      <c r="L683" s="1845">
        <f t="shared" si="129"/>
        <v>0</v>
      </c>
      <c r="M683" s="1845">
        <f t="shared" si="129"/>
        <v>0</v>
      </c>
      <c r="N683" s="1845">
        <f t="shared" si="129"/>
        <v>0</v>
      </c>
      <c r="O683" s="1845"/>
      <c r="P683" s="1845"/>
      <c r="Q683" s="1056"/>
      <c r="R683" s="1056"/>
      <c r="S683" s="1056"/>
      <c r="T683" s="2059">
        <f t="shared" si="126"/>
        <v>0</v>
      </c>
    </row>
    <row r="684" spans="1:20" ht="22.15" hidden="1" customHeight="1">
      <c r="A684" s="59"/>
      <c r="B684" s="1586" t="s">
        <v>1513</v>
      </c>
      <c r="C684" s="64" t="str">
        <f t="shared" si="127"/>
        <v xml:space="preserve"> </v>
      </c>
      <c r="D684" s="1544">
        <v>9</v>
      </c>
      <c r="E684" s="1047"/>
      <c r="F684" s="1059" t="str">
        <f>VLOOKUP($B684,DG!A:D,DG!C$2,)</f>
        <v>Cọc tiếp đất Þ 16- 2,4m + kẹp cọc mạ đồng</v>
      </c>
      <c r="G684" s="1047" t="str">
        <f>VLOOKUP($B684,DG!A:D,DG!$D$2,)</f>
        <v>bộ</v>
      </c>
      <c r="H684" s="1845">
        <f t="shared" si="129"/>
        <v>0</v>
      </c>
      <c r="I684" s="1845">
        <f t="shared" si="129"/>
        <v>0</v>
      </c>
      <c r="J684" s="1845">
        <f t="shared" si="129"/>
        <v>0</v>
      </c>
      <c r="K684" s="1845">
        <f t="shared" si="129"/>
        <v>0</v>
      </c>
      <c r="L684" s="1845">
        <f t="shared" si="129"/>
        <v>0</v>
      </c>
      <c r="M684" s="1845">
        <f t="shared" si="129"/>
        <v>0</v>
      </c>
      <c r="N684" s="1845">
        <f t="shared" si="129"/>
        <v>0</v>
      </c>
      <c r="O684" s="1845"/>
      <c r="P684" s="1845"/>
      <c r="Q684" s="1056"/>
      <c r="R684" s="1056"/>
      <c r="S684" s="1056"/>
      <c r="T684" s="2059">
        <f t="shared" si="126"/>
        <v>0</v>
      </c>
    </row>
    <row r="685" spans="1:20" ht="22.15" hidden="1" customHeight="1">
      <c r="A685" s="59"/>
      <c r="B685" s="1586" t="s">
        <v>907</v>
      </c>
      <c r="C685" s="64" t="str">
        <f t="shared" si="127"/>
        <v xml:space="preserve"> </v>
      </c>
      <c r="D685" s="1544">
        <v>2</v>
      </c>
      <c r="E685" s="1047"/>
      <c r="F685" s="1059" t="str">
        <f>VLOOKUP($B685,DG!A:D,DG!C$2,)</f>
        <v>Kẹp ép WR cỡ dây 50mm2</v>
      </c>
      <c r="G685" s="1047" t="str">
        <f>VLOOKUP($B685,DG!A:D,DG!$D$2,)</f>
        <v>cái</v>
      </c>
      <c r="H685" s="1845">
        <f t="shared" si="129"/>
        <v>0</v>
      </c>
      <c r="I685" s="1845">
        <f t="shared" si="129"/>
        <v>0</v>
      </c>
      <c r="J685" s="1845">
        <f t="shared" si="129"/>
        <v>0</v>
      </c>
      <c r="K685" s="1845">
        <f t="shared" si="129"/>
        <v>0</v>
      </c>
      <c r="L685" s="1845">
        <f t="shared" si="129"/>
        <v>0</v>
      </c>
      <c r="M685" s="1845">
        <f t="shared" si="129"/>
        <v>0</v>
      </c>
      <c r="N685" s="1845">
        <f t="shared" si="129"/>
        <v>0</v>
      </c>
      <c r="O685" s="1845"/>
      <c r="P685" s="1845"/>
      <c r="Q685" s="1056"/>
      <c r="R685" s="1056"/>
      <c r="S685" s="1056"/>
      <c r="T685" s="2059">
        <f t="shared" si="126"/>
        <v>0</v>
      </c>
    </row>
    <row r="686" spans="1:20" ht="22.15" hidden="1" customHeight="1">
      <c r="A686" s="59"/>
      <c r="B686" s="1586" t="s">
        <v>1116</v>
      </c>
      <c r="C686" s="64" t="str">
        <f t="shared" si="127"/>
        <v xml:space="preserve"> </v>
      </c>
      <c r="D686" s="1544">
        <v>11</v>
      </c>
      <c r="E686" s="1047"/>
      <c r="F686" s="1059" t="str">
        <f>VLOOKUP($B686,DG!A:D,DG!C$2,)</f>
        <v>Kẹp ép cỡ dây 25mm2</v>
      </c>
      <c r="G686" s="1047" t="str">
        <f>VLOOKUP($B686,DG!A:D,DG!$D$2,)</f>
        <v>cái</v>
      </c>
      <c r="H686" s="1845">
        <f t="shared" si="129"/>
        <v>0</v>
      </c>
      <c r="I686" s="1845">
        <f t="shared" si="129"/>
        <v>0</v>
      </c>
      <c r="J686" s="1845">
        <f t="shared" si="129"/>
        <v>0</v>
      </c>
      <c r="K686" s="1845">
        <f t="shared" si="129"/>
        <v>0</v>
      </c>
      <c r="L686" s="1845">
        <f t="shared" si="129"/>
        <v>0</v>
      </c>
      <c r="M686" s="1845">
        <f t="shared" si="129"/>
        <v>0</v>
      </c>
      <c r="N686" s="1845">
        <f t="shared" si="129"/>
        <v>0</v>
      </c>
      <c r="O686" s="1845"/>
      <c r="P686" s="1845"/>
      <c r="Q686" s="1056"/>
      <c r="R686" s="1056"/>
      <c r="S686" s="1056"/>
      <c r="T686" s="2059">
        <f t="shared" si="126"/>
        <v>0</v>
      </c>
    </row>
    <row r="687" spans="1:20" ht="22.15" hidden="1" customHeight="1">
      <c r="A687" s="59"/>
      <c r="B687" s="1586" t="s">
        <v>1495</v>
      </c>
      <c r="C687" s="64" t="str">
        <f t="shared" si="127"/>
        <v xml:space="preserve"> </v>
      </c>
      <c r="D687" s="1544">
        <v>6</v>
      </c>
      <c r="E687" s="1047"/>
      <c r="F687" s="1059" t="str">
        <f>VLOOKUP($B687,DG!A:D,DG!C$2,)</f>
        <v xml:space="preserve">Ống PVC D21x1,6mm </v>
      </c>
      <c r="G687" s="1047" t="str">
        <f>VLOOKUP($B687,DG!A:D,DG!$D$2,)</f>
        <v>m</v>
      </c>
      <c r="H687" s="1845">
        <f t="shared" si="129"/>
        <v>0</v>
      </c>
      <c r="I687" s="1845">
        <f t="shared" si="129"/>
        <v>0</v>
      </c>
      <c r="J687" s="1845">
        <f t="shared" si="129"/>
        <v>0</v>
      </c>
      <c r="K687" s="1845">
        <f t="shared" si="129"/>
        <v>0</v>
      </c>
      <c r="L687" s="1845">
        <f t="shared" si="129"/>
        <v>0</v>
      </c>
      <c r="M687" s="1845">
        <f t="shared" si="129"/>
        <v>0</v>
      </c>
      <c r="N687" s="1845">
        <f t="shared" si="129"/>
        <v>0</v>
      </c>
      <c r="O687" s="1845"/>
      <c r="P687" s="1845"/>
      <c r="Q687" s="1056"/>
      <c r="R687" s="1056"/>
      <c r="S687" s="1056"/>
      <c r="T687" s="2059">
        <f t="shared" si="126"/>
        <v>0</v>
      </c>
    </row>
    <row r="688" spans="1:20" ht="22.15" hidden="1" customHeight="1">
      <c r="A688" s="59"/>
      <c r="B688" s="1586" t="s">
        <v>525</v>
      </c>
      <c r="C688" s="64" t="str">
        <f t="shared" si="127"/>
        <v xml:space="preserve"> </v>
      </c>
      <c r="D688" s="1544">
        <v>3</v>
      </c>
      <c r="E688" s="1047"/>
      <c r="F688" s="1059" t="str">
        <f>VLOOKUP($B688,DG!A:D,DG!C$2,)</f>
        <v>Cổ dê kẹp ống PVC  21</v>
      </c>
      <c r="G688" s="1047" t="str">
        <f>VLOOKUP($B688,DG!A:D,DG!$D$2,)</f>
        <v>bộ</v>
      </c>
      <c r="H688" s="1845">
        <f t="shared" si="129"/>
        <v>0</v>
      </c>
      <c r="I688" s="1845">
        <f t="shared" si="129"/>
        <v>0</v>
      </c>
      <c r="J688" s="1845">
        <f t="shared" si="129"/>
        <v>0</v>
      </c>
      <c r="K688" s="1845">
        <f t="shared" si="129"/>
        <v>0</v>
      </c>
      <c r="L688" s="1845">
        <f t="shared" si="129"/>
        <v>0</v>
      </c>
      <c r="M688" s="1845">
        <f t="shared" si="129"/>
        <v>0</v>
      </c>
      <c r="N688" s="1845">
        <f t="shared" si="129"/>
        <v>0</v>
      </c>
      <c r="O688" s="1845"/>
      <c r="P688" s="1845"/>
      <c r="Q688" s="1056"/>
      <c r="R688" s="1056"/>
      <c r="S688" s="1056"/>
      <c r="T688" s="2059">
        <f t="shared" si="126"/>
        <v>0</v>
      </c>
    </row>
    <row r="689" spans="1:20" ht="22.15" hidden="1" customHeight="1">
      <c r="A689" s="59"/>
      <c r="B689" s="1586" t="s">
        <v>1054</v>
      </c>
      <c r="C689" s="64" t="str">
        <f t="shared" si="127"/>
        <v xml:space="preserve"> </v>
      </c>
      <c r="D689" s="1544">
        <v>2</v>
      </c>
      <c r="E689" s="1047"/>
      <c r="F689" s="1059" t="str">
        <f>VLOOKUP($B689,DG!A:D,DG!C$2,)</f>
        <v>Đầu cosse ép Cu 25mm2</v>
      </c>
      <c r="G689" s="1047" t="str">
        <f>VLOOKUP($B689,DG!A:D,DG!$D$2,)</f>
        <v>cái</v>
      </c>
      <c r="H689" s="1845">
        <f t="shared" si="129"/>
        <v>0</v>
      </c>
      <c r="I689" s="1845">
        <f t="shared" si="129"/>
        <v>0</v>
      </c>
      <c r="J689" s="1845">
        <f t="shared" si="129"/>
        <v>0</v>
      </c>
      <c r="K689" s="1845">
        <f t="shared" si="129"/>
        <v>0</v>
      </c>
      <c r="L689" s="1845">
        <f t="shared" si="129"/>
        <v>0</v>
      </c>
      <c r="M689" s="1845">
        <f t="shared" si="129"/>
        <v>0</v>
      </c>
      <c r="N689" s="1845">
        <f t="shared" si="129"/>
        <v>0</v>
      </c>
      <c r="O689" s="1845"/>
      <c r="P689" s="1845"/>
      <c r="Q689" s="1056"/>
      <c r="R689" s="1056"/>
      <c r="S689" s="1056"/>
      <c r="T689" s="2059">
        <f t="shared" si="126"/>
        <v>0</v>
      </c>
    </row>
    <row r="690" spans="1:20" ht="22.15" hidden="1" customHeight="1">
      <c r="A690" s="59"/>
      <c r="B690" s="1586" t="s">
        <v>2025</v>
      </c>
      <c r="C690" s="64" t="str">
        <f t="shared" si="127"/>
        <v xml:space="preserve"> </v>
      </c>
      <c r="D690" s="1544">
        <v>1</v>
      </c>
      <c r="E690" s="1047"/>
      <c r="F690" s="1059" t="str">
        <f>VLOOKUP($B690,DG!A:D,DG!C$2,)</f>
        <v>Boulon 12x40+ 2 long đền vuông D14-50x50x3/Zn</v>
      </c>
      <c r="G690" s="1047" t="str">
        <f>VLOOKUP($B690,DG!A:D,DG!$D$2,)</f>
        <v>bộ</v>
      </c>
      <c r="H690" s="1845">
        <f t="shared" si="129"/>
        <v>0</v>
      </c>
      <c r="I690" s="1845">
        <f t="shared" si="129"/>
        <v>0</v>
      </c>
      <c r="J690" s="1845">
        <f t="shared" si="129"/>
        <v>0</v>
      </c>
      <c r="K690" s="1845">
        <f t="shared" si="129"/>
        <v>0</v>
      </c>
      <c r="L690" s="1845">
        <f t="shared" si="129"/>
        <v>0</v>
      </c>
      <c r="M690" s="1845">
        <f t="shared" si="129"/>
        <v>0</v>
      </c>
      <c r="N690" s="1845">
        <f t="shared" si="129"/>
        <v>0</v>
      </c>
      <c r="O690" s="1845"/>
      <c r="P690" s="1845"/>
      <c r="Q690" s="1056"/>
      <c r="R690" s="1056"/>
      <c r="S690" s="1056"/>
      <c r="T690" s="2059">
        <f t="shared" si="126"/>
        <v>0</v>
      </c>
    </row>
    <row r="691" spans="1:20" ht="22.15" hidden="1" customHeight="1">
      <c r="A691" s="59"/>
      <c r="B691" s="1586" t="s">
        <v>1522</v>
      </c>
      <c r="C691" s="64" t="str">
        <f t="shared" si="127"/>
        <v xml:space="preserve"> </v>
      </c>
      <c r="D691" s="1554">
        <f>D683</f>
        <v>11.872</v>
      </c>
      <c r="E691" s="1047" t="str">
        <f>VLOOKUP($B691,DG!A:D,DG!$B$2,)</f>
        <v>05.7001</v>
      </c>
      <c r="F691" s="1052" t="str">
        <f>VLOOKUP($B691,DG!A:D,DG!C$2,)</f>
        <v xml:space="preserve">Kéo dây tiếp địa </v>
      </c>
      <c r="G691" s="1047" t="str">
        <f>VLOOKUP($B691,DG!A:D,DG!$D$2,)</f>
        <v>mét</v>
      </c>
      <c r="H691" s="1845"/>
      <c r="I691" s="1845"/>
      <c r="J691" s="1845"/>
      <c r="K691" s="1845"/>
      <c r="L691" s="1845"/>
      <c r="M691" s="1845"/>
      <c r="N691" s="1845"/>
      <c r="O691" s="1845"/>
      <c r="P691" s="1845"/>
      <c r="Q691" s="1061"/>
      <c r="R691" s="1061"/>
      <c r="S691" s="1061"/>
      <c r="T691" s="2059">
        <f t="shared" si="126"/>
        <v>0</v>
      </c>
    </row>
    <row r="692" spans="1:20" ht="22.15" hidden="1" customHeight="1">
      <c r="A692" s="59"/>
      <c r="B692" s="1586" t="s">
        <v>1106</v>
      </c>
      <c r="C692" s="64" t="str">
        <f t="shared" si="127"/>
        <v xml:space="preserve"> </v>
      </c>
      <c r="D692" s="1544">
        <f>D684</f>
        <v>9</v>
      </c>
      <c r="E692" s="1047" t="str">
        <f>VLOOKUP($B692,DG!A:D,DG!$B$2,)</f>
        <v>05.8103</v>
      </c>
      <c r="F692" s="1052" t="str">
        <f>VLOOKUP($B692,DG!A:D,DG!C$2,)</f>
        <v>Đóng cọc tiếp địa đất cấp 3</v>
      </c>
      <c r="G692" s="1047" t="str">
        <f>VLOOKUP($B692,DG!A:D,DG!$D$2,)</f>
        <v>cọc</v>
      </c>
      <c r="H692" s="1845"/>
      <c r="I692" s="1845"/>
      <c r="J692" s="1845"/>
      <c r="K692" s="1845"/>
      <c r="L692" s="1845"/>
      <c r="M692" s="1845"/>
      <c r="N692" s="1845"/>
      <c r="O692" s="1845"/>
      <c r="P692" s="1845"/>
      <c r="Q692" s="1056"/>
      <c r="R692" s="1056"/>
      <c r="S692" s="1056"/>
      <c r="T692" s="2059">
        <f t="shared" si="126"/>
        <v>0</v>
      </c>
    </row>
    <row r="693" spans="1:20" ht="22.15" hidden="1" customHeight="1">
      <c r="A693" s="59"/>
      <c r="B693" s="1586" t="s">
        <v>1057</v>
      </c>
      <c r="C693" s="64" t="str">
        <f t="shared" si="127"/>
        <v xml:space="preserve"> </v>
      </c>
      <c r="D693" s="1554">
        <v>13.2</v>
      </c>
      <c r="E693" s="1047" t="str">
        <f>VLOOKUP($B693,DG!A:D,DG!$B$2,)</f>
        <v>03.3123</v>
      </c>
      <c r="F693" s="1052" t="str">
        <f>VLOOKUP($B693,DG!A:D,DG!C$2,)</f>
        <v>Đào rãnh tiếp địa đất cấp 3</v>
      </c>
      <c r="G693" s="1047" t="str">
        <f>VLOOKUP($B693,DG!A:D,DG!$D$2,)</f>
        <v>m3</v>
      </c>
      <c r="H693" s="1845"/>
      <c r="I693" s="1845"/>
      <c r="J693" s="1845"/>
      <c r="K693" s="1845"/>
      <c r="L693" s="1845"/>
      <c r="M693" s="1845"/>
      <c r="N693" s="1845"/>
      <c r="O693" s="1845"/>
      <c r="P693" s="1845"/>
      <c r="Q693" s="1061"/>
      <c r="R693" s="1061"/>
      <c r="S693" s="1061"/>
      <c r="T693" s="2059">
        <f t="shared" si="126"/>
        <v>0</v>
      </c>
    </row>
    <row r="694" spans="1:20" ht="22.15" hidden="1" customHeight="1">
      <c r="A694" s="59"/>
      <c r="B694" s="1586" t="s">
        <v>1058</v>
      </c>
      <c r="C694" s="64" t="str">
        <f t="shared" si="127"/>
        <v xml:space="preserve"> </v>
      </c>
      <c r="D694" s="1554">
        <f>D693</f>
        <v>13.2</v>
      </c>
      <c r="E694" s="1047" t="str">
        <f>VLOOKUP($B694,DG!A:D,DG!$B$2,)</f>
        <v>03.4123</v>
      </c>
      <c r="F694" s="1052" t="str">
        <f>VLOOKUP($B694,DG!A:D,DG!C$2,)</f>
        <v>Đắp đất rãnh tiếp độ chặt k=0,85</v>
      </c>
      <c r="G694" s="1047" t="str">
        <f>VLOOKUP($B694,DG!A:D,DG!$D$2,)</f>
        <v>m3</v>
      </c>
      <c r="H694" s="1845"/>
      <c r="I694" s="1845"/>
      <c r="J694" s="1845"/>
      <c r="K694" s="1845"/>
      <c r="L694" s="1845"/>
      <c r="M694" s="1845"/>
      <c r="N694" s="1845"/>
      <c r="O694" s="1845"/>
      <c r="P694" s="1845"/>
      <c r="Q694" s="1056"/>
      <c r="R694" s="1056"/>
      <c r="S694" s="1056"/>
      <c r="T694" s="2059">
        <f t="shared" si="126"/>
        <v>0</v>
      </c>
    </row>
    <row r="695" spans="1:20" ht="22.15" hidden="1" customHeight="1">
      <c r="A695" s="59"/>
      <c r="B695" s="1586" t="s">
        <v>1908</v>
      </c>
      <c r="C695" s="64" t="str">
        <f t="shared" si="127"/>
        <v xml:space="preserve"> </v>
      </c>
      <c r="D695" s="1542"/>
      <c r="E695" s="1047" t="str">
        <f>VLOOKUP($B695,DG!A:D,DG!$B$2,)</f>
        <v>02.1120</v>
      </c>
      <c r="F695" s="1052" t="str">
        <f>VLOOKUP($B695,DG!A:D,DG!C$2,)</f>
        <v>Bốc dỡ phụ kiện</v>
      </c>
      <c r="G695" s="1047" t="str">
        <f>VLOOKUP($B695,DG!A:D,DG!$D$2,)</f>
        <v>tấn</v>
      </c>
      <c r="H695" s="1845"/>
      <c r="I695" s="1845"/>
      <c r="J695" s="1845"/>
      <c r="K695" s="1845"/>
      <c r="L695" s="1845"/>
      <c r="M695" s="1845"/>
      <c r="N695" s="1845"/>
      <c r="O695" s="1845"/>
      <c r="P695" s="1845"/>
      <c r="Q695" s="1056"/>
      <c r="R695" s="1056"/>
      <c r="S695" s="1056"/>
      <c r="T695" s="2059">
        <f t="shared" si="126"/>
        <v>0</v>
      </c>
    </row>
    <row r="696" spans="1:20" ht="22.15" hidden="1" customHeight="1">
      <c r="A696" s="59"/>
      <c r="B696" s="1598" t="s">
        <v>1909</v>
      </c>
      <c r="C696" s="64" t="str">
        <f t="shared" si="127"/>
        <v xml:space="preserve"> </v>
      </c>
      <c r="D696" s="1542"/>
      <c r="E696" s="1047" t="str">
        <f>VLOOKUP($B696,DG!A:C,2,)</f>
        <v>02.1351</v>
      </c>
      <c r="F696" s="1052" t="str">
        <f>VLOOKUP($B696,DG!A:C,3,)</f>
        <v>V/c tiếp địa vào vị trí ( cự ly &lt;=100m)</v>
      </c>
      <c r="G696" s="1047" t="str">
        <f>VLOOKUP($B696,DG!A:D,4,0)</f>
        <v>tấn</v>
      </c>
      <c r="H696" s="1845"/>
      <c r="I696" s="1845"/>
      <c r="J696" s="1845"/>
      <c r="K696" s="1845"/>
      <c r="L696" s="1845"/>
      <c r="M696" s="1845"/>
      <c r="N696" s="1845"/>
      <c r="O696" s="1845"/>
      <c r="P696" s="1845"/>
      <c r="Q696" s="1061"/>
      <c r="R696" s="1061"/>
      <c r="S696" s="1061"/>
      <c r="T696" s="2059">
        <f t="shared" si="126"/>
        <v>0</v>
      </c>
    </row>
    <row r="697" spans="1:20" ht="22.15" hidden="1" customHeight="1">
      <c r="A697" s="1582"/>
      <c r="B697" s="1587"/>
      <c r="C697" s="1854" t="str">
        <f>IF(OR(H697&lt;&gt;0,P697&lt;&gt;0),"x"," ")</f>
        <v xml:space="preserve"> </v>
      </c>
      <c r="D697" s="1556">
        <f>SUM(H697:N697)+S697</f>
        <v>0</v>
      </c>
      <c r="E697" s="1049" t="s">
        <v>941</v>
      </c>
      <c r="F697" s="1046" t="s">
        <v>2297</v>
      </c>
      <c r="G697" s="1048"/>
      <c r="H697" s="1843">
        <f t="shared" ref="H697:H698" si="130">SUM(I697:O697)</f>
        <v>0</v>
      </c>
      <c r="I697" s="1838"/>
      <c r="J697" s="1838"/>
      <c r="K697" s="1844">
        <f>IFERROR(HLOOKUP(B697,pp3p1m!$1:$3,3,0),0)</f>
        <v>0</v>
      </c>
      <c r="L697" s="1844">
        <f>IFERROR(HLOOKUP(chitiet!B697,pp1p!$1:$3,3,0),0)</f>
        <v>0</v>
      </c>
      <c r="M697" s="1838"/>
      <c r="N697" s="1838"/>
      <c r="O697" s="1838"/>
      <c r="P697" s="1843">
        <f t="shared" ref="P697" si="131">SUM(Q697:W697)</f>
        <v>0</v>
      </c>
      <c r="Q697" s="1048"/>
      <c r="R697" s="1048"/>
      <c r="S697" s="1048"/>
      <c r="T697" s="2059">
        <f>IFERROR(HLOOKUP(B697,pp1p!$1:$3,3,0),0)+IFERROR(HLOOKUP(B697,pp3p1m!$1:$3,3,0),0)</f>
        <v>0</v>
      </c>
    </row>
    <row r="698" spans="1:20" ht="22.15" hidden="1" customHeight="1">
      <c r="A698" s="54" t="s">
        <v>956</v>
      </c>
      <c r="B698" s="1589" t="s">
        <v>956</v>
      </c>
      <c r="C698" s="1015" t="str">
        <f t="shared" si="127"/>
        <v xml:space="preserve"> </v>
      </c>
      <c r="D698" s="1541"/>
      <c r="E698" s="1048"/>
      <c r="F698" s="1396" t="s">
        <v>2407</v>
      </c>
      <c r="G698" s="1049" t="s">
        <v>2285</v>
      </c>
      <c r="H698" s="1843">
        <f t="shared" si="130"/>
        <v>0</v>
      </c>
      <c r="I698" s="1844"/>
      <c r="J698" s="1844"/>
      <c r="K698" s="1844">
        <f>IFERROR(HLOOKUP(B698,pp3p1m!$1:$3,3,0),0)</f>
        <v>0</v>
      </c>
      <c r="L698" s="1844">
        <f>IFERROR(HLOOKUP(chitiet!B698,pp1p!$1:$3,3,0),0)</f>
        <v>0</v>
      </c>
      <c r="M698" s="1844"/>
      <c r="N698" s="1844"/>
      <c r="O698" s="1844"/>
      <c r="P698" s="1844"/>
      <c r="Q698" s="1050"/>
      <c r="R698" s="1050"/>
      <c r="S698" s="1050"/>
      <c r="T698" s="2059">
        <f>IFERROR(HLOOKUP(B698,pp1p!$1:$3,3,0),0)+IFERROR(HLOOKUP(B698,pp3p1m!$1:$3,3,0),0)</f>
        <v>0</v>
      </c>
    </row>
    <row r="699" spans="1:20" ht="22.15" hidden="1" customHeight="1">
      <c r="A699" s="56"/>
      <c r="B699" s="1586" t="s">
        <v>441</v>
      </c>
      <c r="C699" s="1015" t="str">
        <f t="shared" si="127"/>
        <v xml:space="preserve"> </v>
      </c>
      <c r="D699" s="1544">
        <v>1</v>
      </c>
      <c r="E699" s="1047"/>
      <c r="F699" s="1059" t="str">
        <f>VLOOKUP($B699,DG!A:D,DG!$C$2,)</f>
        <v>Trụ thép tròn cao 6 mét</v>
      </c>
      <c r="G699" s="1047" t="str">
        <f>VLOOKUP($B699,DG!A:D,DG!$D$2,)</f>
        <v>trụ</v>
      </c>
      <c r="H699" s="1845">
        <f t="shared" ref="H699:N700" si="132">H$705*$D699</f>
        <v>0</v>
      </c>
      <c r="I699" s="1845">
        <f t="shared" si="132"/>
        <v>0</v>
      </c>
      <c r="J699" s="1845">
        <f t="shared" si="132"/>
        <v>0</v>
      </c>
      <c r="K699" s="1845">
        <f t="shared" si="132"/>
        <v>0</v>
      </c>
      <c r="L699" s="1845">
        <f t="shared" si="132"/>
        <v>0</v>
      </c>
      <c r="M699" s="1845">
        <f t="shared" si="132"/>
        <v>0</v>
      </c>
      <c r="N699" s="1845">
        <f t="shared" si="132"/>
        <v>0</v>
      </c>
      <c r="O699" s="1845"/>
      <c r="P699" s="1845"/>
      <c r="Q699" s="1056"/>
      <c r="R699" s="1056"/>
      <c r="S699" s="1056"/>
      <c r="T699" s="2059">
        <f t="shared" si="126"/>
        <v>0</v>
      </c>
    </row>
    <row r="700" spans="1:20" ht="22.15" hidden="1" customHeight="1">
      <c r="A700" s="56"/>
      <c r="B700" s="1586" t="s">
        <v>1820</v>
      </c>
      <c r="C700" s="1015" t="str">
        <f t="shared" si="127"/>
        <v xml:space="preserve"> </v>
      </c>
      <c r="D700" s="1544">
        <v>1</v>
      </c>
      <c r="E700" s="1047"/>
      <c r="F700" s="1059" t="str">
        <f>VLOOKUP($B700,DG!A:D,DG!$C$2,)</f>
        <v>Vật liệu dựng trụ</v>
      </c>
      <c r="G700" s="1047" t="str">
        <f>VLOOKUP($B700,DG!A:D,DG!$D$2,)</f>
        <v>trụ</v>
      </c>
      <c r="H700" s="1845">
        <f t="shared" si="132"/>
        <v>0</v>
      </c>
      <c r="I700" s="1845">
        <f t="shared" si="132"/>
        <v>0</v>
      </c>
      <c r="J700" s="1845">
        <f t="shared" si="132"/>
        <v>0</v>
      </c>
      <c r="K700" s="1845">
        <f t="shared" si="132"/>
        <v>0</v>
      </c>
      <c r="L700" s="1845">
        <f t="shared" si="132"/>
        <v>0</v>
      </c>
      <c r="M700" s="1845">
        <f t="shared" si="132"/>
        <v>0</v>
      </c>
      <c r="N700" s="1845">
        <f t="shared" si="132"/>
        <v>0</v>
      </c>
      <c r="O700" s="1845"/>
      <c r="P700" s="1845"/>
      <c r="Q700" s="1056"/>
      <c r="R700" s="1056"/>
      <c r="S700" s="1056"/>
      <c r="T700" s="2059">
        <f t="shared" si="126"/>
        <v>0</v>
      </c>
    </row>
    <row r="701" spans="1:20" ht="22.15" hidden="1" customHeight="1">
      <c r="A701" s="56"/>
      <c r="B701" s="1586" t="s">
        <v>1441</v>
      </c>
      <c r="C701" s="1015" t="str">
        <f t="shared" si="127"/>
        <v xml:space="preserve"> </v>
      </c>
      <c r="D701" s="1544">
        <v>1</v>
      </c>
      <c r="E701" s="1047" t="str">
        <f>VLOOKUP($B701,DG!A:D,DG!$B$2,)</f>
        <v>CS3.01.013</v>
      </c>
      <c r="F701" s="1052" t="str">
        <f>VLOOKUP($B701,DG!A:D,DG!$C$2,)</f>
        <v>Lắp trụ thép ≤ 8m bằng thủ công</v>
      </c>
      <c r="G701" s="1047" t="str">
        <f>VLOOKUP($B701,DG!A:D,DG!$D$2,)</f>
        <v>trụ</v>
      </c>
      <c r="H701" s="1845"/>
      <c r="I701" s="1845"/>
      <c r="J701" s="1845"/>
      <c r="K701" s="1845"/>
      <c r="L701" s="1845"/>
      <c r="M701" s="1845"/>
      <c r="N701" s="1845"/>
      <c r="O701" s="1845"/>
      <c r="P701" s="1845"/>
      <c r="Q701" s="1061"/>
      <c r="R701" s="1061"/>
      <c r="S701" s="1061"/>
      <c r="T701" s="2059">
        <f t="shared" si="126"/>
        <v>0</v>
      </c>
    </row>
    <row r="702" spans="1:20" ht="22.15" hidden="1" customHeight="1">
      <c r="A702" s="56"/>
      <c r="B702" s="1586" t="s">
        <v>1200</v>
      </c>
      <c r="C702" s="1015" t="str">
        <f t="shared" si="127"/>
        <v xml:space="preserve"> </v>
      </c>
      <c r="D702" s="1543">
        <v>0.2</v>
      </c>
      <c r="E702" s="1047" t="str">
        <f>VLOOKUP($B702,DG!A:D,DG!$B$2,)</f>
        <v>02.1124</v>
      </c>
      <c r="F702" s="1052" t="str">
        <f>VLOOKUP($B702,DG!A:D,DG!$C$2,)</f>
        <v xml:space="preserve">Bốc dỡ trụ </v>
      </c>
      <c r="G702" s="1047" t="str">
        <f>VLOOKUP($B702,DG!A:D,DG!$D$2,)</f>
        <v>tấn</v>
      </c>
      <c r="H702" s="1845"/>
      <c r="I702" s="1845"/>
      <c r="J702" s="1845"/>
      <c r="K702" s="1845"/>
      <c r="L702" s="1845"/>
      <c r="M702" s="1845"/>
      <c r="N702" s="1845"/>
      <c r="O702" s="1845"/>
      <c r="P702" s="1845"/>
      <c r="Q702" s="1061"/>
      <c r="R702" s="1061"/>
      <c r="S702" s="1061"/>
      <c r="T702" s="2059">
        <f t="shared" si="126"/>
        <v>0</v>
      </c>
    </row>
    <row r="703" spans="1:20" ht="22.15" hidden="1" customHeight="1">
      <c r="A703" s="56"/>
      <c r="B703" s="1598" t="s">
        <v>1201</v>
      </c>
      <c r="C703" s="1015" t="str">
        <f t="shared" si="127"/>
        <v xml:space="preserve"> </v>
      </c>
      <c r="D703" s="1543">
        <f>D702</f>
        <v>0.2</v>
      </c>
      <c r="E703" s="1047" t="str">
        <f>VLOOKUP($B703,DG!A:C,2,)</f>
        <v>02.1461</v>
      </c>
      <c r="F703" s="1052" t="str">
        <f>VLOOKUP($B703,DG!A:C,3,)</f>
        <v>V/c cột vào vị trí (cự ly &lt;=100m)</v>
      </c>
      <c r="G703" s="1047" t="str">
        <f>VLOOKUP($B703,DG!A:D,4,0)</f>
        <v>tấn</v>
      </c>
      <c r="H703" s="1845"/>
      <c r="I703" s="1845"/>
      <c r="J703" s="1845"/>
      <c r="K703" s="1845"/>
      <c r="L703" s="1845"/>
      <c r="M703" s="1845"/>
      <c r="N703" s="1845"/>
      <c r="O703" s="1845"/>
      <c r="P703" s="1845"/>
      <c r="Q703" s="1061"/>
      <c r="R703" s="1061"/>
      <c r="S703" s="1061"/>
      <c r="T703" s="2059">
        <f t="shared" si="126"/>
        <v>0</v>
      </c>
    </row>
    <row r="704" spans="1:20" ht="22.15" hidden="1" customHeight="1">
      <c r="A704" s="56"/>
      <c r="B704" s="1598" t="s">
        <v>635</v>
      </c>
      <c r="C704" s="1015" t="str">
        <f t="shared" si="127"/>
        <v xml:space="preserve"> </v>
      </c>
      <c r="D704" s="1543">
        <v>0.25</v>
      </c>
      <c r="E704" s="1047" t="str">
        <f>VLOOKUP($B704,DG!A:C,2,)</f>
        <v>02.1482</v>
      </c>
      <c r="F704" s="1052" t="str">
        <f>VLOOKUP($B704,DG!A:C,3,)</f>
        <v>V/c dụng cụ thi công vào vị trí (cự ly &lt;=100m)</v>
      </c>
      <c r="G704" s="1047" t="str">
        <f>VLOOKUP($B704,DG!A:D,4,0)</f>
        <v>tấn</v>
      </c>
      <c r="H704" s="1845"/>
      <c r="I704" s="1845"/>
      <c r="J704" s="1845"/>
      <c r="K704" s="1845"/>
      <c r="L704" s="1845"/>
      <c r="M704" s="1845"/>
      <c r="N704" s="1845"/>
      <c r="O704" s="1845"/>
      <c r="P704" s="1845"/>
      <c r="Q704" s="1061"/>
      <c r="R704" s="1061"/>
      <c r="S704" s="1061"/>
      <c r="T704" s="2059">
        <f t="shared" si="126"/>
        <v>0</v>
      </c>
    </row>
    <row r="705" spans="1:20" ht="22.15" hidden="1" customHeight="1">
      <c r="A705" s="968" t="s">
        <v>233</v>
      </c>
      <c r="B705" s="1589" t="s">
        <v>233</v>
      </c>
      <c r="C705" s="1015" t="str">
        <f t="shared" si="127"/>
        <v xml:space="preserve"> </v>
      </c>
      <c r="D705" s="1541"/>
      <c r="E705" s="1048"/>
      <c r="F705" s="1396" t="s">
        <v>2408</v>
      </c>
      <c r="G705" s="1049" t="s">
        <v>2285</v>
      </c>
      <c r="H705" s="1843">
        <f>SUM(I705:O705)</f>
        <v>0</v>
      </c>
      <c r="I705" s="1844"/>
      <c r="J705" s="1844"/>
      <c r="K705" s="1844">
        <f>IFERROR(HLOOKUP(B705,pp3p1m!$1:$3,3,0),0)</f>
        <v>0</v>
      </c>
      <c r="L705" s="1844">
        <f>IFERROR(HLOOKUP(chitiet!B705,pp1p!$1:$3,3,0),0)</f>
        <v>0</v>
      </c>
      <c r="M705" s="1844"/>
      <c r="N705" s="1844"/>
      <c r="O705" s="1844"/>
      <c r="P705" s="1844">
        <f>H705+Q705-R705</f>
        <v>0</v>
      </c>
      <c r="Q705" s="1050"/>
      <c r="R705" s="1050"/>
      <c r="S705" s="1050"/>
      <c r="T705" s="2059">
        <f>IFERROR(HLOOKUP(B705,pp1p!$1:$3,3,0),0)+IFERROR(HLOOKUP(B705,pp3p1m!$1:$3,3,0),0)</f>
        <v>0</v>
      </c>
    </row>
    <row r="706" spans="1:20" ht="22.15" hidden="1" customHeight="1">
      <c r="A706" s="59"/>
      <c r="B706" s="1586" t="s">
        <v>1538</v>
      </c>
      <c r="C706" s="1015" t="str">
        <f t="shared" si="127"/>
        <v xml:space="preserve"> </v>
      </c>
      <c r="D706" s="1544">
        <v>1</v>
      </c>
      <c r="E706" s="1047"/>
      <c r="F706" s="1059" t="str">
        <f>VLOOKUP($B706,DG!A:D,DG!$C$2,)</f>
        <v>Trụ BTLT 7,5m F200 dự ứng lực</v>
      </c>
      <c r="G706" s="1047" t="str">
        <f>VLOOKUP($B706,DG!A:D,DG!$D$2,)</f>
        <v>trụ</v>
      </c>
      <c r="H706" s="1845">
        <f t="shared" ref="H706:O707" si="133">H$705*$D706</f>
        <v>0</v>
      </c>
      <c r="I706" s="1845">
        <f t="shared" si="133"/>
        <v>0</v>
      </c>
      <c r="J706" s="1845">
        <f t="shared" si="133"/>
        <v>0</v>
      </c>
      <c r="K706" s="1845">
        <f t="shared" si="133"/>
        <v>0</v>
      </c>
      <c r="L706" s="1845">
        <f t="shared" si="133"/>
        <v>0</v>
      </c>
      <c r="M706" s="1845">
        <f t="shared" si="133"/>
        <v>0</v>
      </c>
      <c r="N706" s="1845">
        <f t="shared" si="133"/>
        <v>0</v>
      </c>
      <c r="O706" s="1845">
        <f t="shared" si="133"/>
        <v>0</v>
      </c>
      <c r="P706" s="1846">
        <f>$P$705*D706</f>
        <v>0</v>
      </c>
      <c r="Q706" s="1056"/>
      <c r="R706" s="1056"/>
      <c r="S706" s="1056"/>
      <c r="T706" s="2059">
        <f t="shared" si="126"/>
        <v>0</v>
      </c>
    </row>
    <row r="707" spans="1:20" ht="22.15" hidden="1" customHeight="1">
      <c r="A707" s="59"/>
      <c r="B707" s="1586" t="s">
        <v>1820</v>
      </c>
      <c r="C707" s="1015" t="str">
        <f t="shared" si="127"/>
        <v xml:space="preserve"> </v>
      </c>
      <c r="D707" s="1544">
        <v>1</v>
      </c>
      <c r="E707" s="1047"/>
      <c r="F707" s="1059" t="str">
        <f>VLOOKUP($B707,DG!A:D,DG!$C$2,)</f>
        <v>Vật liệu dựng trụ</v>
      </c>
      <c r="G707" s="1047" t="str">
        <f>VLOOKUP($B707,DG!A:D,DG!$D$2,)</f>
        <v>trụ</v>
      </c>
      <c r="H707" s="1845">
        <f t="shared" si="133"/>
        <v>0</v>
      </c>
      <c r="I707" s="1845">
        <f t="shared" si="133"/>
        <v>0</v>
      </c>
      <c r="J707" s="1845">
        <f t="shared" si="133"/>
        <v>0</v>
      </c>
      <c r="K707" s="1845">
        <f t="shared" si="133"/>
        <v>0</v>
      </c>
      <c r="L707" s="1845">
        <f t="shared" si="133"/>
        <v>0</v>
      </c>
      <c r="M707" s="1845">
        <f t="shared" si="133"/>
        <v>0</v>
      </c>
      <c r="N707" s="1845">
        <f t="shared" si="133"/>
        <v>0</v>
      </c>
      <c r="O707" s="1845">
        <f t="shared" si="133"/>
        <v>0</v>
      </c>
      <c r="P707" s="1846">
        <f>$P$705*D707</f>
        <v>0</v>
      </c>
      <c r="Q707" s="1056"/>
      <c r="R707" s="1056"/>
      <c r="S707" s="1056"/>
      <c r="T707" s="2059">
        <f t="shared" si="126"/>
        <v>0</v>
      </c>
    </row>
    <row r="708" spans="1:20" ht="22.15" hidden="1" customHeight="1">
      <c r="A708" s="59"/>
      <c r="B708" s="1586" t="s">
        <v>1604</v>
      </c>
      <c r="C708" s="1015" t="str">
        <f t="shared" si="127"/>
        <v xml:space="preserve"> </v>
      </c>
      <c r="D708" s="1544">
        <v>1</v>
      </c>
      <c r="E708" s="1047" t="str">
        <f>VLOOKUP($B708,DG!A:D,DG!$B$2,)</f>
        <v>05.5202</v>
      </c>
      <c r="F708" s="1059" t="str">
        <f>VLOOKUP($B708,DG!A:D,DG!$C$2,)</f>
        <v>Dựng trụ BTLT &lt;8m thủ công +cơ giới</v>
      </c>
      <c r="G708" s="1047" t="str">
        <f>VLOOKUP($B708,DG!A:D,DG!$D$2,)</f>
        <v>trụ</v>
      </c>
      <c r="H708" s="1845">
        <f>H$705*$D708</f>
        <v>0</v>
      </c>
      <c r="I708" s="1845"/>
      <c r="J708" s="1845"/>
      <c r="K708" s="1845"/>
      <c r="L708" s="1845"/>
      <c r="M708" s="1845"/>
      <c r="N708" s="1845"/>
      <c r="O708" s="1845"/>
      <c r="P708" s="1846">
        <f>$P$705*D708</f>
        <v>0</v>
      </c>
      <c r="Q708" s="1056"/>
      <c r="R708" s="1056"/>
      <c r="S708" s="1056"/>
      <c r="T708" s="2059">
        <f t="shared" si="126"/>
        <v>0</v>
      </c>
    </row>
    <row r="709" spans="1:20" ht="22.15" hidden="1" customHeight="1">
      <c r="A709" s="59"/>
      <c r="B709" s="1586" t="s">
        <v>1200</v>
      </c>
      <c r="C709" s="1015" t="str">
        <f t="shared" si="127"/>
        <v xml:space="preserve"> </v>
      </c>
      <c r="D709" s="1543"/>
      <c r="E709" s="1047" t="str">
        <f>VLOOKUP($B709,DG!A:D,DG!$B$2,)</f>
        <v>02.1124</v>
      </c>
      <c r="F709" s="1052" t="str">
        <f>VLOOKUP($B709,DG!A:D,DG!$C$2,)</f>
        <v xml:space="preserve">Bốc dỡ trụ </v>
      </c>
      <c r="G709" s="1047" t="str">
        <f>VLOOKUP($B709,DG!A:D,DG!$D$2,)</f>
        <v>tấn</v>
      </c>
      <c r="H709" s="1845"/>
      <c r="I709" s="1845"/>
      <c r="J709" s="1845"/>
      <c r="K709" s="1845"/>
      <c r="L709" s="1845"/>
      <c r="M709" s="1845"/>
      <c r="N709" s="1845"/>
      <c r="O709" s="1845"/>
      <c r="P709" s="1845"/>
      <c r="Q709" s="1061"/>
      <c r="R709" s="1061"/>
      <c r="S709" s="1061"/>
      <c r="T709" s="2059">
        <f t="shared" si="126"/>
        <v>0</v>
      </c>
    </row>
    <row r="710" spans="1:20" ht="22.15" hidden="1" customHeight="1">
      <c r="A710" s="59"/>
      <c r="B710" s="1598" t="s">
        <v>1201</v>
      </c>
      <c r="C710" s="1015" t="str">
        <f t="shared" si="127"/>
        <v xml:space="preserve"> </v>
      </c>
      <c r="D710" s="1543"/>
      <c r="E710" s="1047" t="str">
        <f>VLOOKUP($B710,DG!A:C,2,)</f>
        <v>02.1461</v>
      </c>
      <c r="F710" s="1052" t="str">
        <f>VLOOKUP($B710,DG!A:C,3,)</f>
        <v>V/c cột vào vị trí (cự ly &lt;=100m)</v>
      </c>
      <c r="G710" s="1047" t="str">
        <f>VLOOKUP($B710,DG!A:D,4,0)</f>
        <v>tấn</v>
      </c>
      <c r="H710" s="1845"/>
      <c r="I710" s="1845"/>
      <c r="J710" s="1845"/>
      <c r="K710" s="1845"/>
      <c r="L710" s="1845"/>
      <c r="M710" s="1845"/>
      <c r="N710" s="1845"/>
      <c r="O710" s="1845"/>
      <c r="P710" s="1845"/>
      <c r="Q710" s="1061"/>
      <c r="R710" s="1061"/>
      <c r="S710" s="1061"/>
      <c r="T710" s="2059">
        <f t="shared" si="126"/>
        <v>0</v>
      </c>
    </row>
    <row r="711" spans="1:20" ht="22.15" hidden="1" customHeight="1">
      <c r="A711" s="59"/>
      <c r="B711" s="1598" t="s">
        <v>635</v>
      </c>
      <c r="C711" s="1015" t="str">
        <f t="shared" si="127"/>
        <v xml:space="preserve"> </v>
      </c>
      <c r="D711" s="1543"/>
      <c r="E711" s="1047" t="str">
        <f>VLOOKUP($B711,DG!A:C,2,)</f>
        <v>02.1482</v>
      </c>
      <c r="F711" s="1052" t="str">
        <f>VLOOKUP($B711,DG!A:C,3,)</f>
        <v>V/c dụng cụ thi công vào vị trí (cự ly &lt;=100m)</v>
      </c>
      <c r="G711" s="1047" t="str">
        <f>VLOOKUP($B711,DG!A:D,4,0)</f>
        <v>tấn</v>
      </c>
      <c r="H711" s="1845"/>
      <c r="I711" s="1845"/>
      <c r="J711" s="1845"/>
      <c r="K711" s="1845"/>
      <c r="L711" s="1845"/>
      <c r="M711" s="1845"/>
      <c r="N711" s="1845"/>
      <c r="O711" s="1845"/>
      <c r="P711" s="1845"/>
      <c r="Q711" s="1061"/>
      <c r="R711" s="1061"/>
      <c r="S711" s="1061"/>
      <c r="T711" s="2059">
        <f t="shared" si="126"/>
        <v>0</v>
      </c>
    </row>
    <row r="712" spans="1:20" ht="22.15" hidden="1" customHeight="1">
      <c r="A712" s="968" t="s">
        <v>232</v>
      </c>
      <c r="B712" s="1589" t="s">
        <v>232</v>
      </c>
      <c r="C712" s="1015" t="str">
        <f t="shared" si="127"/>
        <v xml:space="preserve"> </v>
      </c>
      <c r="D712" s="1541"/>
      <c r="E712" s="1048"/>
      <c r="F712" s="1396" t="s">
        <v>4587</v>
      </c>
      <c r="G712" s="1049" t="s">
        <v>2285</v>
      </c>
      <c r="H712" s="1843">
        <f>SUM(I712:O712)</f>
        <v>0</v>
      </c>
      <c r="I712" s="1844"/>
      <c r="J712" s="1844"/>
      <c r="K712" s="1844">
        <f>IFERROR(HLOOKUP(B712,pp3p1m!$1:$3,3,0),0)</f>
        <v>0</v>
      </c>
      <c r="L712" s="1844">
        <f>IFERROR(HLOOKUP(chitiet!B712,pp1p!$1:$3,3,0),0)</f>
        <v>0</v>
      </c>
      <c r="M712" s="1844"/>
      <c r="N712" s="1844"/>
      <c r="O712" s="1844"/>
      <c r="P712" s="1844">
        <f>H712+Q712-R712</f>
        <v>0</v>
      </c>
      <c r="Q712" s="1050"/>
      <c r="R712" s="1050"/>
      <c r="S712" s="1050"/>
      <c r="T712" s="2059">
        <f>IFERROR(HLOOKUP(B712,pp1p!$1:$3,3,0),0)+IFERROR(HLOOKUP(B712,pp3p1m!$1:$3,3,0),0)</f>
        <v>0</v>
      </c>
    </row>
    <row r="713" spans="1:20" ht="22.15" hidden="1" customHeight="1">
      <c r="A713" s="59"/>
      <c r="B713" s="1586" t="s">
        <v>876</v>
      </c>
      <c r="C713" s="1015" t="str">
        <f t="shared" si="127"/>
        <v xml:space="preserve"> </v>
      </c>
      <c r="D713" s="1544">
        <v>1</v>
      </c>
      <c r="E713" s="1047"/>
      <c r="F713" s="1059" t="str">
        <f>VLOOKUP($B713,DG!A:D,DG!$C$2,)</f>
        <v>Trụ BTLT 8,4m F200 dự ứng lực</v>
      </c>
      <c r="G713" s="1047" t="str">
        <f>VLOOKUP($B713,DG!A:D,DG!$D$2,)</f>
        <v>trụ</v>
      </c>
      <c r="H713" s="1845">
        <f t="shared" ref="H713:O714" si="134">H$712*$D713</f>
        <v>0</v>
      </c>
      <c r="I713" s="1845">
        <f t="shared" si="134"/>
        <v>0</v>
      </c>
      <c r="J713" s="1845">
        <f t="shared" si="134"/>
        <v>0</v>
      </c>
      <c r="K713" s="1845">
        <f t="shared" si="134"/>
        <v>0</v>
      </c>
      <c r="L713" s="1845">
        <f t="shared" si="134"/>
        <v>0</v>
      </c>
      <c r="M713" s="1845">
        <f t="shared" si="134"/>
        <v>0</v>
      </c>
      <c r="N713" s="1845">
        <f t="shared" si="134"/>
        <v>0</v>
      </c>
      <c r="O713" s="1845">
        <f t="shared" si="134"/>
        <v>0</v>
      </c>
      <c r="P713" s="1845">
        <f>$P$712*D713</f>
        <v>0</v>
      </c>
      <c r="Q713" s="1056"/>
      <c r="R713" s="1056"/>
      <c r="S713" s="1056"/>
      <c r="T713" s="2059">
        <f t="shared" si="126"/>
        <v>0</v>
      </c>
    </row>
    <row r="714" spans="1:20" ht="22.15" hidden="1" customHeight="1">
      <c r="A714" s="59"/>
      <c r="B714" s="1586" t="s">
        <v>1820</v>
      </c>
      <c r="C714" s="1015" t="str">
        <f t="shared" si="127"/>
        <v xml:space="preserve"> </v>
      </c>
      <c r="D714" s="1544">
        <v>1</v>
      </c>
      <c r="E714" s="1047"/>
      <c r="F714" s="1059" t="str">
        <f>VLOOKUP($B714,DG!A:D,DG!$C$2,)</f>
        <v>Vật liệu dựng trụ</v>
      </c>
      <c r="G714" s="1047" t="str">
        <f>VLOOKUP($B714,DG!A:D,DG!$D$2,)</f>
        <v>trụ</v>
      </c>
      <c r="H714" s="1845">
        <f t="shared" si="134"/>
        <v>0</v>
      </c>
      <c r="I714" s="1845">
        <f t="shared" si="134"/>
        <v>0</v>
      </c>
      <c r="J714" s="1845">
        <f t="shared" si="134"/>
        <v>0</v>
      </c>
      <c r="K714" s="1845">
        <f t="shared" si="134"/>
        <v>0</v>
      </c>
      <c r="L714" s="1845">
        <f t="shared" si="134"/>
        <v>0</v>
      </c>
      <c r="M714" s="1845">
        <f t="shared" si="134"/>
        <v>0</v>
      </c>
      <c r="N714" s="1845">
        <f t="shared" si="134"/>
        <v>0</v>
      </c>
      <c r="O714" s="1845">
        <f t="shared" si="134"/>
        <v>0</v>
      </c>
      <c r="P714" s="1845">
        <f>$P$712*D714</f>
        <v>0</v>
      </c>
      <c r="Q714" s="1056"/>
      <c r="R714" s="1056"/>
      <c r="S714" s="1056"/>
      <c r="T714" s="2059">
        <f t="shared" si="126"/>
        <v>0</v>
      </c>
    </row>
    <row r="715" spans="1:20" ht="22.15" hidden="1" customHeight="1">
      <c r="A715" s="59"/>
      <c r="B715" s="1586" t="s">
        <v>2260</v>
      </c>
      <c r="C715" s="1015" t="str">
        <f t="shared" si="127"/>
        <v xml:space="preserve"> </v>
      </c>
      <c r="D715" s="1544">
        <v>1</v>
      </c>
      <c r="E715" s="1047" t="str">
        <f>VLOOKUP($B715,DG!A:D,DG!$B$2,)</f>
        <v>05.5302</v>
      </c>
      <c r="F715" s="1059" t="str">
        <f>VLOOKUP($B715,DG!A:D,DG!$C$2,)</f>
        <v>Dựng trụ BTLT &lt;10m thủ công +cơ giới</v>
      </c>
      <c r="G715" s="1047" t="str">
        <f>VLOOKUP($B715,DG!A:D,DG!$D$2,)</f>
        <v>trụ</v>
      </c>
      <c r="H715" s="1845">
        <f>H$712*$D715</f>
        <v>0</v>
      </c>
      <c r="I715" s="1845"/>
      <c r="J715" s="1845"/>
      <c r="K715" s="1845"/>
      <c r="L715" s="1845"/>
      <c r="M715" s="1845"/>
      <c r="N715" s="1845"/>
      <c r="O715" s="1845"/>
      <c r="P715" s="1845">
        <f>$P$712*D715</f>
        <v>0</v>
      </c>
      <c r="Q715" s="1061"/>
      <c r="R715" s="1061"/>
      <c r="S715" s="1061"/>
      <c r="T715" s="2059">
        <f t="shared" si="126"/>
        <v>0</v>
      </c>
    </row>
    <row r="716" spans="1:20" ht="22.15" hidden="1" customHeight="1">
      <c r="A716" s="59"/>
      <c r="B716" s="1586" t="s">
        <v>1200</v>
      </c>
      <c r="C716" s="1015" t="str">
        <f t="shared" si="127"/>
        <v xml:space="preserve"> </v>
      </c>
      <c r="D716" s="1543"/>
      <c r="E716" s="1047" t="str">
        <f>VLOOKUP($B716,DG!A:D,DG!$B$2,)</f>
        <v>02.1124</v>
      </c>
      <c r="F716" s="1052" t="str">
        <f>VLOOKUP($B716,DG!A:D,DG!$C$2,)</f>
        <v xml:space="preserve">Bốc dỡ trụ </v>
      </c>
      <c r="G716" s="1047" t="str">
        <f>VLOOKUP($B716,DG!A:D,DG!$D$2,)</f>
        <v>tấn</v>
      </c>
      <c r="H716" s="1845"/>
      <c r="I716" s="1845"/>
      <c r="J716" s="1845"/>
      <c r="K716" s="1845"/>
      <c r="L716" s="1845"/>
      <c r="M716" s="1845"/>
      <c r="N716" s="1845"/>
      <c r="O716" s="1845"/>
      <c r="P716" s="1845"/>
      <c r="Q716" s="1061"/>
      <c r="R716" s="1061"/>
      <c r="S716" s="1061"/>
      <c r="T716" s="2059">
        <f t="shared" si="126"/>
        <v>0</v>
      </c>
    </row>
    <row r="717" spans="1:20" ht="22.15" hidden="1" customHeight="1">
      <c r="A717" s="59"/>
      <c r="B717" s="1598" t="s">
        <v>1201</v>
      </c>
      <c r="C717" s="1015" t="str">
        <f t="shared" si="127"/>
        <v xml:space="preserve"> </v>
      </c>
      <c r="D717" s="1543"/>
      <c r="E717" s="1047" t="str">
        <f>VLOOKUP($B717,DG!A:C,2,)</f>
        <v>02.1461</v>
      </c>
      <c r="F717" s="1052" t="str">
        <f>VLOOKUP($B717,DG!A:C,3,)</f>
        <v>V/c cột vào vị trí (cự ly &lt;=100m)</v>
      </c>
      <c r="G717" s="1047" t="str">
        <f>VLOOKUP($B717,DG!A:D,4,0)</f>
        <v>tấn</v>
      </c>
      <c r="H717" s="1845"/>
      <c r="I717" s="1845"/>
      <c r="J717" s="1845"/>
      <c r="K717" s="1845"/>
      <c r="L717" s="1845"/>
      <c r="M717" s="1845"/>
      <c r="N717" s="1845"/>
      <c r="O717" s="1845"/>
      <c r="P717" s="1845"/>
      <c r="Q717" s="1061"/>
      <c r="R717" s="1061"/>
      <c r="S717" s="1061"/>
      <c r="T717" s="2059">
        <f t="shared" si="126"/>
        <v>0</v>
      </c>
    </row>
    <row r="718" spans="1:20" ht="22.15" hidden="1" customHeight="1">
      <c r="A718" s="59"/>
      <c r="B718" s="1598" t="s">
        <v>635</v>
      </c>
      <c r="C718" s="1015" t="str">
        <f t="shared" si="127"/>
        <v xml:space="preserve"> </v>
      </c>
      <c r="D718" s="1543"/>
      <c r="E718" s="1047" t="str">
        <f>VLOOKUP($B718,DG!A:C,2,)</f>
        <v>02.1482</v>
      </c>
      <c r="F718" s="1052" t="str">
        <f>VLOOKUP($B718,DG!A:C,3,)</f>
        <v>V/c dụng cụ thi công vào vị trí (cự ly &lt;=100m)</v>
      </c>
      <c r="G718" s="1047" t="str">
        <f>VLOOKUP($B718,DG!A:D,4,0)</f>
        <v>tấn</v>
      </c>
      <c r="H718" s="1845"/>
      <c r="I718" s="1845"/>
      <c r="J718" s="1845"/>
      <c r="K718" s="1845"/>
      <c r="L718" s="1845"/>
      <c r="M718" s="1845"/>
      <c r="N718" s="1845"/>
      <c r="O718" s="1845"/>
      <c r="P718" s="1845"/>
      <c r="Q718" s="1061"/>
      <c r="R718" s="1061"/>
      <c r="S718" s="1061"/>
      <c r="T718" s="2059">
        <f t="shared" si="126"/>
        <v>0</v>
      </c>
    </row>
    <row r="719" spans="1:20" ht="22.15" hidden="1" customHeight="1">
      <c r="A719" s="968" t="s">
        <v>185</v>
      </c>
      <c r="B719" s="1589" t="s">
        <v>185</v>
      </c>
      <c r="C719" s="1015" t="str">
        <f t="shared" si="127"/>
        <v xml:space="preserve"> </v>
      </c>
      <c r="D719" s="1541"/>
      <c r="E719" s="1048"/>
      <c r="F719" s="1396" t="s">
        <v>2410</v>
      </c>
      <c r="G719" s="1049" t="s">
        <v>2285</v>
      </c>
      <c r="H719" s="1843">
        <f>SUM(I719:O719)</f>
        <v>0</v>
      </c>
      <c r="I719" s="1844"/>
      <c r="J719" s="1844"/>
      <c r="K719" s="1844">
        <f>IFERROR(HLOOKUP(B719,pp3p1m!$1:$3,3,0),0)</f>
        <v>0</v>
      </c>
      <c r="L719" s="1844">
        <f>IFERROR(HLOOKUP(chitiet!B719,pp1p!$1:$3,3,0),0)</f>
        <v>0</v>
      </c>
      <c r="M719" s="1844"/>
      <c r="N719" s="1844"/>
      <c r="O719" s="1844"/>
      <c r="P719" s="1844"/>
      <c r="Q719" s="1050"/>
      <c r="R719" s="1050"/>
      <c r="S719" s="1050"/>
      <c r="T719" s="2059">
        <f>IFERROR(HLOOKUP(B719,pp1p!$1:$3,3,0),0)+IFERROR(HLOOKUP(B719,pp3p1m!$1:$3,3,0),0)</f>
        <v>0</v>
      </c>
    </row>
    <row r="720" spans="1:20" ht="22.15" hidden="1" customHeight="1">
      <c r="A720" s="59"/>
      <c r="B720" s="1586" t="s">
        <v>186</v>
      </c>
      <c r="C720" s="1015" t="str">
        <f t="shared" si="127"/>
        <v xml:space="preserve"> </v>
      </c>
      <c r="D720" s="1544">
        <v>1</v>
      </c>
      <c r="E720" s="1047"/>
      <c r="F720" s="1059" t="str">
        <f>VLOOKUP($B720,DG!A:D,DG!$C$2,)</f>
        <v>Trụ BTLT 8,4m F200 dự ứng lực có dây tiếp địa</v>
      </c>
      <c r="G720" s="1047" t="str">
        <f>VLOOKUP($B720,DG!A:D,DG!$D$2,)</f>
        <v>trụ</v>
      </c>
      <c r="H720" s="1845">
        <f>H719*$D720</f>
        <v>0</v>
      </c>
      <c r="I720" s="1845">
        <f t="shared" ref="I720:O721" si="135">I$712*$D720</f>
        <v>0</v>
      </c>
      <c r="J720" s="1845">
        <f t="shared" si="135"/>
        <v>0</v>
      </c>
      <c r="K720" s="1845">
        <f t="shared" si="135"/>
        <v>0</v>
      </c>
      <c r="L720" s="1845">
        <f t="shared" si="135"/>
        <v>0</v>
      </c>
      <c r="M720" s="1845">
        <f t="shared" si="135"/>
        <v>0</v>
      </c>
      <c r="N720" s="1845">
        <f t="shared" si="135"/>
        <v>0</v>
      </c>
      <c r="O720" s="1845">
        <f t="shared" si="135"/>
        <v>0</v>
      </c>
      <c r="P720" s="1845"/>
      <c r="Q720" s="1056"/>
      <c r="R720" s="1056"/>
      <c r="S720" s="1056"/>
      <c r="T720" s="2059">
        <f t="shared" si="126"/>
        <v>0</v>
      </c>
    </row>
    <row r="721" spans="1:20" ht="22.15" hidden="1" customHeight="1">
      <c r="A721" s="59"/>
      <c r="B721" s="1586" t="s">
        <v>1820</v>
      </c>
      <c r="C721" s="1015" t="str">
        <f t="shared" si="127"/>
        <v xml:space="preserve"> </v>
      </c>
      <c r="D721" s="1544">
        <v>1</v>
      </c>
      <c r="E721" s="1047"/>
      <c r="F721" s="1059" t="str">
        <f>VLOOKUP($B721,DG!A:D,DG!$C$2,)</f>
        <v>Vật liệu dựng trụ</v>
      </c>
      <c r="G721" s="1047" t="str">
        <f>VLOOKUP($B721,DG!A:D,DG!$D$2,)</f>
        <v>trụ</v>
      </c>
      <c r="H721" s="1845">
        <f>H720*$D721</f>
        <v>0</v>
      </c>
      <c r="I721" s="1845">
        <f t="shared" si="135"/>
        <v>0</v>
      </c>
      <c r="J721" s="1845">
        <f t="shared" si="135"/>
        <v>0</v>
      </c>
      <c r="K721" s="1845">
        <f t="shared" si="135"/>
        <v>0</v>
      </c>
      <c r="L721" s="1845">
        <f t="shared" si="135"/>
        <v>0</v>
      </c>
      <c r="M721" s="1845">
        <f t="shared" si="135"/>
        <v>0</v>
      </c>
      <c r="N721" s="1845">
        <f t="shared" si="135"/>
        <v>0</v>
      </c>
      <c r="O721" s="1845">
        <f t="shared" si="135"/>
        <v>0</v>
      </c>
      <c r="P721" s="1845"/>
      <c r="Q721" s="1056"/>
      <c r="R721" s="1056"/>
      <c r="S721" s="1056"/>
      <c r="T721" s="2059">
        <f t="shared" si="126"/>
        <v>0</v>
      </c>
    </row>
    <row r="722" spans="1:20" ht="22.15" hidden="1" customHeight="1">
      <c r="A722" s="59"/>
      <c r="B722" s="1586" t="s">
        <v>2260</v>
      </c>
      <c r="C722" s="1015" t="str">
        <f t="shared" si="127"/>
        <v xml:space="preserve"> </v>
      </c>
      <c r="D722" s="1544">
        <v>1</v>
      </c>
      <c r="E722" s="1047" t="str">
        <f>VLOOKUP($B722,DG!A:D,DG!$B$2,)</f>
        <v>05.5302</v>
      </c>
      <c r="F722" s="1059" t="str">
        <f>VLOOKUP($B722,DG!A:D,DG!$C$2,)</f>
        <v>Dựng trụ BTLT &lt;10m thủ công +cơ giới</v>
      </c>
      <c r="G722" s="1047" t="str">
        <f>VLOOKUP($B722,DG!A:D,DG!$D$2,)</f>
        <v>trụ</v>
      </c>
      <c r="H722" s="1845">
        <f>H721*$D722</f>
        <v>0</v>
      </c>
      <c r="I722" s="1845"/>
      <c r="J722" s="1845"/>
      <c r="K722" s="1845"/>
      <c r="L722" s="1845"/>
      <c r="M722" s="1845"/>
      <c r="N722" s="1845"/>
      <c r="O722" s="1845"/>
      <c r="P722" s="1845"/>
      <c r="Q722" s="1061"/>
      <c r="R722" s="1061"/>
      <c r="S722" s="1061"/>
      <c r="T722" s="2059">
        <f t="shared" si="126"/>
        <v>0</v>
      </c>
    </row>
    <row r="723" spans="1:20" ht="22.15" hidden="1" customHeight="1">
      <c r="A723" s="59"/>
      <c r="B723" s="1586" t="s">
        <v>1200</v>
      </c>
      <c r="C723" s="1015" t="str">
        <f t="shared" si="127"/>
        <v xml:space="preserve"> </v>
      </c>
      <c r="D723" s="1543"/>
      <c r="E723" s="1047" t="str">
        <f>VLOOKUP($B723,DG!A:D,DG!$B$2,)</f>
        <v>02.1124</v>
      </c>
      <c r="F723" s="1052" t="str">
        <f>VLOOKUP($B723,DG!A:D,DG!$C$2,)</f>
        <v xml:space="preserve">Bốc dỡ trụ </v>
      </c>
      <c r="G723" s="1047" t="str">
        <f>VLOOKUP($B723,DG!A:D,DG!$D$2,)</f>
        <v>tấn</v>
      </c>
      <c r="H723" s="1845"/>
      <c r="I723" s="1845"/>
      <c r="J723" s="1845"/>
      <c r="K723" s="1845"/>
      <c r="L723" s="1845"/>
      <c r="M723" s="1845"/>
      <c r="N723" s="1845"/>
      <c r="O723" s="1845"/>
      <c r="P723" s="1845"/>
      <c r="Q723" s="1061"/>
      <c r="R723" s="1061"/>
      <c r="S723" s="1061"/>
      <c r="T723" s="2059">
        <f t="shared" si="126"/>
        <v>0</v>
      </c>
    </row>
    <row r="724" spans="1:20" ht="22.15" hidden="1" customHeight="1">
      <c r="A724" s="59"/>
      <c r="B724" s="1598" t="s">
        <v>1201</v>
      </c>
      <c r="C724" s="1015" t="str">
        <f t="shared" si="127"/>
        <v xml:space="preserve"> </v>
      </c>
      <c r="D724" s="1543"/>
      <c r="E724" s="1047" t="str">
        <f>VLOOKUP($B724,DG!A:C,2,)</f>
        <v>02.1461</v>
      </c>
      <c r="F724" s="1052" t="str">
        <f>VLOOKUP($B724,DG!A:C,3,)</f>
        <v>V/c cột vào vị trí (cự ly &lt;=100m)</v>
      </c>
      <c r="G724" s="1047" t="str">
        <f>VLOOKUP($B724,DG!A:D,4,0)</f>
        <v>tấn</v>
      </c>
      <c r="H724" s="1845"/>
      <c r="I724" s="1845"/>
      <c r="J724" s="1845"/>
      <c r="K724" s="1845"/>
      <c r="L724" s="1845"/>
      <c r="M724" s="1845"/>
      <c r="N724" s="1845"/>
      <c r="O724" s="1845"/>
      <c r="P724" s="1845"/>
      <c r="Q724" s="1061"/>
      <c r="R724" s="1061"/>
      <c r="S724" s="1061"/>
      <c r="T724" s="2059">
        <f t="shared" si="126"/>
        <v>0</v>
      </c>
    </row>
    <row r="725" spans="1:20" ht="22.15" hidden="1" customHeight="1">
      <c r="A725" s="59"/>
      <c r="B725" s="1598" t="s">
        <v>635</v>
      </c>
      <c r="C725" s="1015" t="str">
        <f t="shared" si="127"/>
        <v xml:space="preserve"> </v>
      </c>
      <c r="D725" s="1543"/>
      <c r="E725" s="1047" t="str">
        <f>VLOOKUP($B725,DG!A:C,2,)</f>
        <v>02.1482</v>
      </c>
      <c r="F725" s="1052" t="str">
        <f>VLOOKUP($B725,DG!A:C,3,)</f>
        <v>V/c dụng cụ thi công vào vị trí (cự ly &lt;=100m)</v>
      </c>
      <c r="G725" s="1047" t="str">
        <f>VLOOKUP($B725,DG!A:D,4,0)</f>
        <v>tấn</v>
      </c>
      <c r="H725" s="1845"/>
      <c r="I725" s="1845"/>
      <c r="J725" s="1845"/>
      <c r="K725" s="1845"/>
      <c r="L725" s="1845"/>
      <c r="M725" s="1845"/>
      <c r="N725" s="1845"/>
      <c r="O725" s="1845"/>
      <c r="P725" s="1845"/>
      <c r="Q725" s="1061"/>
      <c r="R725" s="1061"/>
      <c r="S725" s="1061"/>
      <c r="T725" s="2059">
        <f t="shared" si="126"/>
        <v>0</v>
      </c>
    </row>
    <row r="726" spans="1:20" ht="22.15" hidden="1" customHeight="1">
      <c r="A726" s="968" t="s">
        <v>1635</v>
      </c>
      <c r="B726" s="1589" t="s">
        <v>232</v>
      </c>
      <c r="C726" s="1015" t="str">
        <f t="shared" si="127"/>
        <v xml:space="preserve"> </v>
      </c>
      <c r="D726" s="1541"/>
      <c r="E726" s="1048"/>
      <c r="F726" s="1396" t="s">
        <v>2411</v>
      </c>
      <c r="G726" s="1049" t="s">
        <v>2285</v>
      </c>
      <c r="H726" s="1843">
        <f>SUM(I726:O726)</f>
        <v>0</v>
      </c>
      <c r="I726" s="1844"/>
      <c r="J726" s="1844"/>
      <c r="K726" s="1844">
        <f>IFERROR(HLOOKUP(B726,pp3p1m!$1:$3,3,0),0)</f>
        <v>0</v>
      </c>
      <c r="L726" s="1844">
        <f>IFERROR(HLOOKUP(chitiet!B726,pp1p!$1:$3,3,0),0)</f>
        <v>0</v>
      </c>
      <c r="M726" s="1844"/>
      <c r="N726" s="1844"/>
      <c r="O726" s="1844"/>
      <c r="P726" s="1844"/>
      <c r="Q726" s="1050"/>
      <c r="R726" s="1050"/>
      <c r="S726" s="1050"/>
      <c r="T726" s="2059">
        <f>IFERROR(HLOOKUP(B726,pp1p!$1:$3,3,0),0)+IFERROR(HLOOKUP(B726,pp3p1m!$1:$3,3,0),0)</f>
        <v>0</v>
      </c>
    </row>
    <row r="727" spans="1:20" ht="22.15" hidden="1" customHeight="1">
      <c r="A727" s="59"/>
      <c r="B727" s="1586" t="s">
        <v>1820</v>
      </c>
      <c r="C727" s="1015" t="str">
        <f t="shared" si="127"/>
        <v xml:space="preserve"> </v>
      </c>
      <c r="D727" s="1544">
        <v>1</v>
      </c>
      <c r="E727" s="1047"/>
      <c r="F727" s="1059" t="s">
        <v>2412</v>
      </c>
      <c r="G727" s="1047" t="str">
        <f>VLOOKUP($B727,DG!A:D,DG!$D$2,)</f>
        <v>trụ</v>
      </c>
      <c r="H727" s="1845">
        <f t="shared" ref="H727:O727" si="136">H$726*$D727</f>
        <v>0</v>
      </c>
      <c r="I727" s="1845">
        <f t="shared" si="136"/>
        <v>0</v>
      </c>
      <c r="J727" s="1845">
        <f t="shared" si="136"/>
        <v>0</v>
      </c>
      <c r="K727" s="1845">
        <f t="shared" si="136"/>
        <v>0</v>
      </c>
      <c r="L727" s="1845">
        <f t="shared" si="136"/>
        <v>0</v>
      </c>
      <c r="M727" s="1845">
        <f t="shared" si="136"/>
        <v>0</v>
      </c>
      <c r="N727" s="1845">
        <f t="shared" si="136"/>
        <v>0</v>
      </c>
      <c r="O727" s="1845">
        <f t="shared" si="136"/>
        <v>0</v>
      </c>
      <c r="P727" s="1845"/>
      <c r="Q727" s="1056"/>
      <c r="R727" s="1056"/>
      <c r="S727" s="1056"/>
      <c r="T727" s="2059">
        <f t="shared" si="126"/>
        <v>0</v>
      </c>
    </row>
    <row r="728" spans="1:20" ht="22.15" hidden="1" customHeight="1">
      <c r="A728" s="59"/>
      <c r="B728" s="1586" t="s">
        <v>2260</v>
      </c>
      <c r="C728" s="1015" t="str">
        <f t="shared" si="127"/>
        <v xml:space="preserve"> </v>
      </c>
      <c r="D728" s="1544">
        <v>1</v>
      </c>
      <c r="E728" s="1047" t="str">
        <f>VLOOKUP($B728,DG!A:D,DG!$B$2,)</f>
        <v>05.5302</v>
      </c>
      <c r="F728" s="1059" t="s">
        <v>2413</v>
      </c>
      <c r="G728" s="1047" t="str">
        <f>VLOOKUP($B728,DG!A:D,DG!$D$2,)</f>
        <v>trụ</v>
      </c>
      <c r="H728" s="1845"/>
      <c r="I728" s="1845"/>
      <c r="J728" s="1845"/>
      <c r="K728" s="1845"/>
      <c r="L728" s="1845"/>
      <c r="M728" s="1845"/>
      <c r="N728" s="1845"/>
      <c r="O728" s="1845"/>
      <c r="P728" s="1845"/>
      <c r="Q728" s="1061"/>
      <c r="R728" s="1061"/>
      <c r="S728" s="1061"/>
      <c r="T728" s="2059">
        <f t="shared" si="126"/>
        <v>0</v>
      </c>
    </row>
    <row r="729" spans="1:20" ht="22.15" hidden="1" customHeight="1">
      <c r="A729" s="59"/>
      <c r="B729" s="1598" t="s">
        <v>635</v>
      </c>
      <c r="C729" s="1015" t="str">
        <f t="shared" si="127"/>
        <v xml:space="preserve"> </v>
      </c>
      <c r="D729" s="1543">
        <v>0.25</v>
      </c>
      <c r="E729" s="1047" t="str">
        <f>VLOOKUP($B729,DG!A:C,2,)</f>
        <v>02.1482</v>
      </c>
      <c r="F729" s="1052" t="str">
        <f>VLOOKUP($B729,DG!A:C,3,)</f>
        <v>V/c dụng cụ thi công vào vị trí (cự ly &lt;=100m)</v>
      </c>
      <c r="G729" s="1047" t="str">
        <f>VLOOKUP($B729,DG!A:D,4,0)</f>
        <v>tấn</v>
      </c>
      <c r="H729" s="1845"/>
      <c r="I729" s="1845"/>
      <c r="J729" s="1845"/>
      <c r="K729" s="1845"/>
      <c r="L729" s="1845"/>
      <c r="M729" s="1845"/>
      <c r="N729" s="1845"/>
      <c r="O729" s="1845"/>
      <c r="P729" s="1845"/>
      <c r="Q729" s="1061"/>
      <c r="R729" s="1061"/>
      <c r="S729" s="1061"/>
      <c r="T729" s="2059">
        <f t="shared" si="126"/>
        <v>0</v>
      </c>
    </row>
    <row r="730" spans="1:20" ht="22.15" hidden="1" customHeight="1">
      <c r="A730" s="54" t="s">
        <v>510</v>
      </c>
      <c r="B730" s="1589" t="s">
        <v>510</v>
      </c>
      <c r="C730" s="1015" t="str">
        <f t="shared" si="127"/>
        <v xml:space="preserve"> </v>
      </c>
      <c r="D730" s="1541"/>
      <c r="E730" s="1048"/>
      <c r="F730" s="1396" t="s">
        <v>2414</v>
      </c>
      <c r="G730" s="1049" t="s">
        <v>2285</v>
      </c>
      <c r="H730" s="1843">
        <f>SUM(I730:O730)</f>
        <v>0</v>
      </c>
      <c r="I730" s="1844"/>
      <c r="J730" s="1844"/>
      <c r="K730" s="1844">
        <f>IFERROR(HLOOKUP(B730,pp3p1m!$1:$3,3,0),0)</f>
        <v>0</v>
      </c>
      <c r="L730" s="1844">
        <f>IFERROR(HLOOKUP(chitiet!B730,pp1p!$1:$3,3,0),0)</f>
        <v>0</v>
      </c>
      <c r="M730" s="1844"/>
      <c r="N730" s="1844"/>
      <c r="O730" s="1844"/>
      <c r="P730" s="1844"/>
      <c r="Q730" s="1050"/>
      <c r="R730" s="1050"/>
      <c r="S730" s="1050"/>
      <c r="T730" s="2059">
        <f>IFERROR(HLOOKUP(B730,pp1p!$1:$3,3,0),0)+IFERROR(HLOOKUP(B730,pp3p1m!$1:$3,3,0),0)</f>
        <v>0</v>
      </c>
    </row>
    <row r="731" spans="1:20" ht="22.15" hidden="1" customHeight="1">
      <c r="A731" s="59"/>
      <c r="B731" s="1586" t="s">
        <v>1820</v>
      </c>
      <c r="C731" s="1015" t="str">
        <f t="shared" si="127"/>
        <v xml:space="preserve"> </v>
      </c>
      <c r="D731" s="1544">
        <v>1</v>
      </c>
      <c r="E731" s="1047"/>
      <c r="F731" s="1059" t="s">
        <v>2412</v>
      </c>
      <c r="G731" s="1047" t="str">
        <f>VLOOKUP($B731,DG!A:D,DG!$D$2,)</f>
        <v>trụ</v>
      </c>
      <c r="H731" s="1845">
        <f t="shared" ref="H731:O734" si="137">H$730*$D731</f>
        <v>0</v>
      </c>
      <c r="I731" s="1845">
        <f t="shared" si="137"/>
        <v>0</v>
      </c>
      <c r="J731" s="1845">
        <f t="shared" si="137"/>
        <v>0</v>
      </c>
      <c r="K731" s="1845">
        <f t="shared" si="137"/>
        <v>0</v>
      </c>
      <c r="L731" s="1845">
        <f t="shared" si="137"/>
        <v>0</v>
      </c>
      <c r="M731" s="1845">
        <f t="shared" si="137"/>
        <v>0</v>
      </c>
      <c r="N731" s="1845">
        <f t="shared" si="137"/>
        <v>0</v>
      </c>
      <c r="O731" s="1845">
        <f t="shared" si="137"/>
        <v>0</v>
      </c>
      <c r="P731" s="1845"/>
      <c r="Q731" s="1056"/>
      <c r="R731" s="1056"/>
      <c r="S731" s="1056"/>
      <c r="T731" s="2059">
        <f t="shared" si="126"/>
        <v>0</v>
      </c>
    </row>
    <row r="732" spans="1:20" ht="22.15" hidden="1" customHeight="1">
      <c r="A732" s="59"/>
      <c r="B732" s="1586" t="s">
        <v>2260</v>
      </c>
      <c r="C732" s="1015" t="str">
        <f t="shared" si="127"/>
        <v xml:space="preserve"> </v>
      </c>
      <c r="D732" s="1544">
        <v>1</v>
      </c>
      <c r="E732" s="1047" t="str">
        <f>VLOOKUP($B732,DG!A:D,DG!$B$2,)</f>
        <v>05.5302</v>
      </c>
      <c r="F732" s="1059" t="s">
        <v>2413</v>
      </c>
      <c r="G732" s="1047" t="str">
        <f>VLOOKUP($B732,DG!A:D,DG!$D$2,)</f>
        <v>trụ</v>
      </c>
      <c r="H732" s="1845">
        <f t="shared" si="137"/>
        <v>0</v>
      </c>
      <c r="I732" s="1845">
        <f t="shared" si="137"/>
        <v>0</v>
      </c>
      <c r="J732" s="1845">
        <f t="shared" si="137"/>
        <v>0</v>
      </c>
      <c r="K732" s="1845">
        <f t="shared" si="137"/>
        <v>0</v>
      </c>
      <c r="L732" s="1845">
        <f t="shared" si="137"/>
        <v>0</v>
      </c>
      <c r="M732" s="1845">
        <f t="shared" si="137"/>
        <v>0</v>
      </c>
      <c r="N732" s="1845">
        <f t="shared" si="137"/>
        <v>0</v>
      </c>
      <c r="O732" s="1845">
        <f t="shared" si="137"/>
        <v>0</v>
      </c>
      <c r="P732" s="1845"/>
      <c r="Q732" s="1056"/>
      <c r="R732" s="1056"/>
      <c r="S732" s="1056"/>
      <c r="T732" s="2059">
        <f t="shared" si="126"/>
        <v>0</v>
      </c>
    </row>
    <row r="733" spans="1:20" ht="22.15" hidden="1" customHeight="1">
      <c r="A733" s="59"/>
      <c r="B733" s="1586" t="s">
        <v>1820</v>
      </c>
      <c r="C733" s="1015" t="str">
        <f t="shared" si="127"/>
        <v xml:space="preserve"> </v>
      </c>
      <c r="D733" s="1544">
        <v>1</v>
      </c>
      <c r="E733" s="1047">
        <f>VLOOKUP($B733,DG!A:D,DG!$B$2,)</f>
        <v>0</v>
      </c>
      <c r="F733" s="1059" t="str">
        <f>VLOOKUP($B733,DG!A:D,DG!$C$2,)</f>
        <v>Vật liệu dựng trụ</v>
      </c>
      <c r="G733" s="1047" t="str">
        <f>VLOOKUP($B733,DG!A:D,DG!$D$2,)</f>
        <v>trụ</v>
      </c>
      <c r="H733" s="1845">
        <f t="shared" si="137"/>
        <v>0</v>
      </c>
      <c r="I733" s="1845">
        <f t="shared" si="137"/>
        <v>0</v>
      </c>
      <c r="J733" s="1845">
        <f t="shared" si="137"/>
        <v>0</v>
      </c>
      <c r="K733" s="1845">
        <f t="shared" si="137"/>
        <v>0</v>
      </c>
      <c r="L733" s="1845">
        <f t="shared" si="137"/>
        <v>0</v>
      </c>
      <c r="M733" s="1845">
        <f t="shared" si="137"/>
        <v>0</v>
      </c>
      <c r="N733" s="1845">
        <f t="shared" si="137"/>
        <v>0</v>
      </c>
      <c r="O733" s="1845">
        <f t="shared" si="137"/>
        <v>0</v>
      </c>
      <c r="P733" s="1845"/>
      <c r="Q733" s="1056"/>
      <c r="R733" s="1056"/>
      <c r="S733" s="1056"/>
      <c r="T733" s="2059">
        <f t="shared" ref="T733:T796" si="138">IFERROR(HLOOKUP(B733,BangKeTru,3,0),0)</f>
        <v>0</v>
      </c>
    </row>
    <row r="734" spans="1:20" ht="22.15" hidden="1" customHeight="1">
      <c r="A734" s="59"/>
      <c r="B734" s="1586" t="s">
        <v>2260</v>
      </c>
      <c r="C734" s="1015" t="str">
        <f t="shared" ref="C734:C790" si="139">IF(OR(P734&lt;&gt;0,H734&lt;&gt;0),"x"," ")</f>
        <v xml:space="preserve"> </v>
      </c>
      <c r="D734" s="1544">
        <v>1</v>
      </c>
      <c r="E734" s="1047" t="str">
        <f>VLOOKUP($B734,DG!A:D,DG!$B$2,)</f>
        <v>05.5302</v>
      </c>
      <c r="F734" s="1059" t="str">
        <f>VLOOKUP($B734,DG!A:D,DG!$C$2,)</f>
        <v>Dựng trụ BTLT &lt;10m thủ công +cơ giới</v>
      </c>
      <c r="G734" s="1047" t="str">
        <f>VLOOKUP($B734,DG!A:D,DG!$D$2,)</f>
        <v>trụ</v>
      </c>
      <c r="H734" s="1845">
        <f t="shared" si="137"/>
        <v>0</v>
      </c>
      <c r="I734" s="1845">
        <f t="shared" si="137"/>
        <v>0</v>
      </c>
      <c r="J734" s="1845">
        <f t="shared" si="137"/>
        <v>0</v>
      </c>
      <c r="K734" s="1845">
        <f t="shared" si="137"/>
        <v>0</v>
      </c>
      <c r="L734" s="1845">
        <f t="shared" si="137"/>
        <v>0</v>
      </c>
      <c r="M734" s="1845">
        <f t="shared" si="137"/>
        <v>0</v>
      </c>
      <c r="N734" s="1845">
        <f t="shared" si="137"/>
        <v>0</v>
      </c>
      <c r="O734" s="1845">
        <f t="shared" si="137"/>
        <v>0</v>
      </c>
      <c r="P734" s="1845"/>
      <c r="Q734" s="1056"/>
      <c r="R734" s="1056"/>
      <c r="S734" s="1056"/>
      <c r="T734" s="2059">
        <f t="shared" si="138"/>
        <v>0</v>
      </c>
    </row>
    <row r="735" spans="1:20" ht="22.15" hidden="1" customHeight="1">
      <c r="A735" s="59"/>
      <c r="B735" s="1598" t="s">
        <v>635</v>
      </c>
      <c r="C735" s="1015" t="str">
        <f t="shared" si="139"/>
        <v xml:space="preserve"> </v>
      </c>
      <c r="D735" s="1543"/>
      <c r="E735" s="1047" t="str">
        <f>VLOOKUP($B735,DG!A:C,2,)</f>
        <v>02.1482</v>
      </c>
      <c r="F735" s="1052" t="str">
        <f>VLOOKUP($B735,DG!A:C,3,)</f>
        <v>V/c dụng cụ thi công vào vị trí (cự ly &lt;=100m)</v>
      </c>
      <c r="G735" s="1047" t="str">
        <f>VLOOKUP($B735,DG!A:D,4,0)</f>
        <v>tấn</v>
      </c>
      <c r="H735" s="1845"/>
      <c r="I735" s="1845"/>
      <c r="J735" s="1845"/>
      <c r="K735" s="1845"/>
      <c r="L735" s="1845"/>
      <c r="M735" s="1845"/>
      <c r="N735" s="1845"/>
      <c r="O735" s="1845"/>
      <c r="P735" s="1845"/>
      <c r="Q735" s="1061"/>
      <c r="R735" s="1061"/>
      <c r="S735" s="1061"/>
      <c r="T735" s="2059">
        <f t="shared" si="138"/>
        <v>0</v>
      </c>
    </row>
    <row r="736" spans="1:20" ht="22.15" hidden="1" customHeight="1">
      <c r="A736" s="54" t="s">
        <v>300</v>
      </c>
      <c r="B736" s="1589" t="s">
        <v>300</v>
      </c>
      <c r="C736" s="1015" t="str">
        <f t="shared" si="139"/>
        <v xml:space="preserve"> </v>
      </c>
      <c r="D736" s="1541"/>
      <c r="E736" s="1048"/>
      <c r="F736" s="1396" t="s">
        <v>2415</v>
      </c>
      <c r="G736" s="1049" t="s">
        <v>2285</v>
      </c>
      <c r="H736" s="1843">
        <f>SUM(I736:O736)</f>
        <v>0</v>
      </c>
      <c r="I736" s="1844"/>
      <c r="J736" s="1844"/>
      <c r="K736" s="1844">
        <f>IFERROR(HLOOKUP(B736,pp3p1m!$1:$3,3,0),0)</f>
        <v>0</v>
      </c>
      <c r="L736" s="1844">
        <f>IFERROR(HLOOKUP(chitiet!B736,pp1p!$1:$3,3,0),0)</f>
        <v>0</v>
      </c>
      <c r="M736" s="1844"/>
      <c r="N736" s="1844"/>
      <c r="O736" s="1844"/>
      <c r="P736" s="1844"/>
      <c r="Q736" s="1050"/>
      <c r="R736" s="1050"/>
      <c r="S736" s="1050"/>
      <c r="T736" s="2059">
        <f>IFERROR(HLOOKUP(B736,pp1p!$1:$3,3,0),0)+IFERROR(HLOOKUP(B736,pp3p1m!$1:$3,3,0),0)</f>
        <v>0</v>
      </c>
    </row>
    <row r="737" spans="1:20" ht="22.15" hidden="1" customHeight="1">
      <c r="A737" s="59"/>
      <c r="B737" s="1586" t="s">
        <v>114</v>
      </c>
      <c r="C737" s="1015" t="str">
        <f t="shared" si="139"/>
        <v xml:space="preserve"> </v>
      </c>
      <c r="D737" s="1544">
        <v>1</v>
      </c>
      <c r="E737" s="1047"/>
      <c r="F737" s="1059" t="str">
        <f>VLOOKUP($B737,DG!A:D,DG!$C$2,)</f>
        <v>Trụ BTLT 10,5m F350 dự ứng lực</v>
      </c>
      <c r="G737" s="1047" t="str">
        <f>VLOOKUP($B737,DG!A:D,DG!$D$2,)</f>
        <v>trụ</v>
      </c>
      <c r="H737" s="1845">
        <f t="shared" ref="H737:O738" si="140">H$736*$D737</f>
        <v>0</v>
      </c>
      <c r="I737" s="1845">
        <f t="shared" si="140"/>
        <v>0</v>
      </c>
      <c r="J737" s="1845">
        <f t="shared" si="140"/>
        <v>0</v>
      </c>
      <c r="K737" s="1845">
        <f t="shared" si="140"/>
        <v>0</v>
      </c>
      <c r="L737" s="1845">
        <f t="shared" si="140"/>
        <v>0</v>
      </c>
      <c r="M737" s="1845">
        <f t="shared" si="140"/>
        <v>0</v>
      </c>
      <c r="N737" s="1845">
        <f t="shared" si="140"/>
        <v>0</v>
      </c>
      <c r="O737" s="1845">
        <f t="shared" si="140"/>
        <v>0</v>
      </c>
      <c r="P737" s="1845"/>
      <c r="Q737" s="1056"/>
      <c r="R737" s="1056"/>
      <c r="S737" s="1056"/>
      <c r="T737" s="2059">
        <f t="shared" si="138"/>
        <v>0</v>
      </c>
    </row>
    <row r="738" spans="1:20" ht="22.15" hidden="1" customHeight="1">
      <c r="A738" s="59"/>
      <c r="B738" s="1586" t="s">
        <v>1820</v>
      </c>
      <c r="C738" s="1015" t="str">
        <f t="shared" si="139"/>
        <v xml:space="preserve"> </v>
      </c>
      <c r="D738" s="1544">
        <v>1</v>
      </c>
      <c r="E738" s="1047"/>
      <c r="F738" s="1059" t="str">
        <f>VLOOKUP($B738,DG!A:D,DG!$C$2,)</f>
        <v>Vật liệu dựng trụ</v>
      </c>
      <c r="G738" s="1047" t="str">
        <f>VLOOKUP($B738,DG!A:D,DG!$D$2,)</f>
        <v>trụ</v>
      </c>
      <c r="H738" s="1845">
        <f t="shared" si="140"/>
        <v>0</v>
      </c>
      <c r="I738" s="1845">
        <f t="shared" si="140"/>
        <v>0</v>
      </c>
      <c r="J738" s="1845">
        <f t="shared" si="140"/>
        <v>0</v>
      </c>
      <c r="K738" s="1845">
        <f t="shared" si="140"/>
        <v>0</v>
      </c>
      <c r="L738" s="1845">
        <f t="shared" si="140"/>
        <v>0</v>
      </c>
      <c r="M738" s="1845">
        <f t="shared" si="140"/>
        <v>0</v>
      </c>
      <c r="N738" s="1845">
        <f t="shared" si="140"/>
        <v>0</v>
      </c>
      <c r="O738" s="1845">
        <f t="shared" si="140"/>
        <v>0</v>
      </c>
      <c r="P738" s="1845"/>
      <c r="Q738" s="1056"/>
      <c r="R738" s="1056"/>
      <c r="S738" s="1056"/>
      <c r="T738" s="2059">
        <f t="shared" si="138"/>
        <v>0</v>
      </c>
    </row>
    <row r="739" spans="1:20" ht="22.15" hidden="1" customHeight="1">
      <c r="A739" s="59"/>
      <c r="B739" s="1586" t="s">
        <v>1617</v>
      </c>
      <c r="C739" s="1015" t="str">
        <f t="shared" si="139"/>
        <v xml:space="preserve"> </v>
      </c>
      <c r="D739" s="1544">
        <v>1</v>
      </c>
      <c r="E739" s="1047" t="str">
        <f>VLOOKUP($B739,DG!A:D,DG!$B$2,)</f>
        <v>05.5402</v>
      </c>
      <c r="F739" s="1059" t="str">
        <f>VLOOKUP($B739,DG!A:D,DG!$C$2,)</f>
        <v>Dựng trụ BTLT 10,5m thủ công + cơ giới</v>
      </c>
      <c r="G739" s="1047" t="str">
        <f>VLOOKUP($B739,DG!A:D,DG!$D$2,)</f>
        <v>trụ</v>
      </c>
      <c r="H739" s="1845"/>
      <c r="I739" s="1845"/>
      <c r="J739" s="1845"/>
      <c r="K739" s="1845"/>
      <c r="L739" s="1845"/>
      <c r="M739" s="1845"/>
      <c r="N739" s="1845"/>
      <c r="O739" s="1845"/>
      <c r="P739" s="1845"/>
      <c r="Q739" s="1061"/>
      <c r="R739" s="1061"/>
      <c r="S739" s="1061"/>
      <c r="T739" s="2059">
        <f t="shared" si="138"/>
        <v>0</v>
      </c>
    </row>
    <row r="740" spans="1:20" ht="22.15" hidden="1" customHeight="1">
      <c r="A740" s="59"/>
      <c r="B740" s="1586" t="s">
        <v>1200</v>
      </c>
      <c r="C740" s="1015" t="str">
        <f t="shared" si="139"/>
        <v xml:space="preserve"> </v>
      </c>
      <c r="D740" s="1543"/>
      <c r="E740" s="1047" t="str">
        <f>VLOOKUP($B740,DG!A:D,DG!$B$2,)</f>
        <v>02.1124</v>
      </c>
      <c r="F740" s="1052" t="str">
        <f>VLOOKUP($B740,DG!A:D,DG!$C$2,)</f>
        <v xml:space="preserve">Bốc dỡ trụ </v>
      </c>
      <c r="G740" s="1047" t="str">
        <f>VLOOKUP($B740,DG!A:D,DG!$D$2,)</f>
        <v>tấn</v>
      </c>
      <c r="H740" s="1845"/>
      <c r="I740" s="1845"/>
      <c r="J740" s="1845"/>
      <c r="K740" s="1845"/>
      <c r="L740" s="1845"/>
      <c r="M740" s="1845"/>
      <c r="N740" s="1845"/>
      <c r="O740" s="1845"/>
      <c r="P740" s="1845"/>
      <c r="Q740" s="1061"/>
      <c r="R740" s="1061"/>
      <c r="S740" s="1061"/>
      <c r="T740" s="2059">
        <f t="shared" si="138"/>
        <v>0</v>
      </c>
    </row>
    <row r="741" spans="1:20" ht="22.15" hidden="1" customHeight="1">
      <c r="A741" s="59"/>
      <c r="B741" s="1598" t="s">
        <v>1201</v>
      </c>
      <c r="C741" s="1015" t="str">
        <f t="shared" si="139"/>
        <v xml:space="preserve"> </v>
      </c>
      <c r="D741" s="1543"/>
      <c r="E741" s="1047" t="str">
        <f>VLOOKUP($B741,DG!A:C,2,)</f>
        <v>02.1461</v>
      </c>
      <c r="F741" s="1052" t="str">
        <f>VLOOKUP($B741,DG!A:C,3,)</f>
        <v>V/c cột vào vị trí (cự ly &lt;=100m)</v>
      </c>
      <c r="G741" s="1047" t="str">
        <f>VLOOKUP($B741,DG!A:D,4,0)</f>
        <v>tấn</v>
      </c>
      <c r="H741" s="1845"/>
      <c r="I741" s="1845"/>
      <c r="J741" s="1845"/>
      <c r="K741" s="1845"/>
      <c r="L741" s="1845"/>
      <c r="M741" s="1845"/>
      <c r="N741" s="1845"/>
      <c r="O741" s="1845"/>
      <c r="P741" s="1845"/>
      <c r="Q741" s="1061"/>
      <c r="R741" s="1061"/>
      <c r="S741" s="1061"/>
      <c r="T741" s="2059">
        <f t="shared" si="138"/>
        <v>0</v>
      </c>
    </row>
    <row r="742" spans="1:20" ht="22.15" hidden="1" customHeight="1">
      <c r="A742" s="59"/>
      <c r="B742" s="1598" t="s">
        <v>635</v>
      </c>
      <c r="C742" s="1015" t="str">
        <f t="shared" si="139"/>
        <v xml:space="preserve"> </v>
      </c>
      <c r="D742" s="1543"/>
      <c r="E742" s="1047" t="str">
        <f>VLOOKUP($B742,DG!A:C,2,)</f>
        <v>02.1482</v>
      </c>
      <c r="F742" s="1052" t="str">
        <f>VLOOKUP($B742,DG!A:C,3,)</f>
        <v>V/c dụng cụ thi công vào vị trí (cự ly &lt;=100m)</v>
      </c>
      <c r="G742" s="1047" t="str">
        <f>VLOOKUP($B742,DG!A:D,4,0)</f>
        <v>tấn</v>
      </c>
      <c r="H742" s="1845"/>
      <c r="I742" s="1845"/>
      <c r="J742" s="1845"/>
      <c r="K742" s="1845"/>
      <c r="L742" s="1845"/>
      <c r="M742" s="1845"/>
      <c r="N742" s="1845"/>
      <c r="O742" s="1845"/>
      <c r="P742" s="1845"/>
      <c r="Q742" s="1061"/>
      <c r="R742" s="1061"/>
      <c r="S742" s="1061"/>
      <c r="T742" s="2059">
        <f t="shared" si="138"/>
        <v>0</v>
      </c>
    </row>
    <row r="743" spans="1:20" ht="22.15" hidden="1" customHeight="1">
      <c r="A743" s="54" t="s">
        <v>370</v>
      </c>
      <c r="B743" s="1589" t="s">
        <v>370</v>
      </c>
      <c r="C743" s="1015" t="str">
        <f t="shared" si="139"/>
        <v xml:space="preserve"> </v>
      </c>
      <c r="D743" s="1541"/>
      <c r="E743" s="1048"/>
      <c r="F743" s="1396" t="s">
        <v>2416</v>
      </c>
      <c r="G743" s="1049" t="s">
        <v>2285</v>
      </c>
      <c r="H743" s="1843">
        <f>SUM(I743:O743)</f>
        <v>0</v>
      </c>
      <c r="I743" s="1844"/>
      <c r="J743" s="1844"/>
      <c r="K743" s="1844">
        <f>IFERROR(HLOOKUP(B743,pp3p1m!$1:$3,3,0),0)</f>
        <v>0</v>
      </c>
      <c r="L743" s="1844">
        <f>IFERROR(HLOOKUP(chitiet!B743,pp1p!$1:$3,3,0),0)</f>
        <v>0</v>
      </c>
      <c r="M743" s="1844"/>
      <c r="N743" s="1844"/>
      <c r="O743" s="1844"/>
      <c r="P743" s="1844"/>
      <c r="Q743" s="1050"/>
      <c r="R743" s="1050"/>
      <c r="S743" s="1050"/>
      <c r="T743" s="2059">
        <f>IFERROR(HLOOKUP(B743,pp1p!$1:$3,3,0),0)+IFERROR(HLOOKUP(B743,pp3p1m!$1:$3,3,0),0)</f>
        <v>0</v>
      </c>
    </row>
    <row r="744" spans="1:20" ht="22.15" hidden="1" customHeight="1">
      <c r="A744" s="59"/>
      <c r="B744" s="1586" t="s">
        <v>1617</v>
      </c>
      <c r="C744" s="1015" t="str">
        <f t="shared" si="139"/>
        <v xml:space="preserve"> </v>
      </c>
      <c r="D744" s="1544">
        <v>1</v>
      </c>
      <c r="E744" s="1047" t="str">
        <f>VLOOKUP($B744,DG!A:D,DG!$B$2,)</f>
        <v>05.5402</v>
      </c>
      <c r="F744" s="1059" t="s">
        <v>2417</v>
      </c>
      <c r="G744" s="1047" t="str">
        <f>VLOOKUP($B744,DG!A:D,DG!$D$2,)</f>
        <v>trụ</v>
      </c>
      <c r="H744" s="1845"/>
      <c r="I744" s="1845"/>
      <c r="J744" s="1845"/>
      <c r="K744" s="1845"/>
      <c r="L744" s="1845"/>
      <c r="M744" s="1845"/>
      <c r="N744" s="1845"/>
      <c r="O744" s="1845"/>
      <c r="P744" s="1845"/>
      <c r="Q744" s="1061"/>
      <c r="R744" s="1061"/>
      <c r="S744" s="1061"/>
      <c r="T744" s="2059">
        <f t="shared" si="138"/>
        <v>0</v>
      </c>
    </row>
    <row r="745" spans="1:20" ht="22.15" hidden="1" customHeight="1">
      <c r="A745" s="58" t="s">
        <v>1188</v>
      </c>
      <c r="B745" s="1589" t="s">
        <v>1188</v>
      </c>
      <c r="C745" s="1015" t="str">
        <f t="shared" si="139"/>
        <v xml:space="preserve"> </v>
      </c>
      <c r="D745" s="1541"/>
      <c r="E745" s="1048"/>
      <c r="F745" s="1396" t="s">
        <v>2418</v>
      </c>
      <c r="G745" s="1049" t="s">
        <v>2285</v>
      </c>
      <c r="H745" s="1843">
        <f>SUM(I745:O745)</f>
        <v>0</v>
      </c>
      <c r="I745" s="1844"/>
      <c r="J745" s="1844"/>
      <c r="K745" s="1844">
        <f>IFERROR(HLOOKUP(B745,pp3p1m!$1:$3,3,0),0)</f>
        <v>0</v>
      </c>
      <c r="L745" s="1844">
        <f>IFERROR(HLOOKUP(chitiet!B745,pp1p!$1:$3,3,0),0)</f>
        <v>0</v>
      </c>
      <c r="M745" s="1844"/>
      <c r="N745" s="1844"/>
      <c r="O745" s="1844"/>
      <c r="P745" s="1843">
        <f>T745</f>
        <v>0</v>
      </c>
      <c r="Q745" s="1050"/>
      <c r="R745" s="1050"/>
      <c r="S745" s="1050"/>
      <c r="T745" s="2059">
        <f>IFERROR(HLOOKUP(B745,pp1p!$1:$3,3,0),0)+IFERROR(HLOOKUP(B745,pp3p1m!$1:$3,3,0),0)</f>
        <v>0</v>
      </c>
    </row>
    <row r="746" spans="1:20" ht="22.15" hidden="1" customHeight="1">
      <c r="A746" s="59"/>
      <c r="B746" s="1586" t="s">
        <v>115</v>
      </c>
      <c r="C746" s="1015" t="str">
        <f t="shared" si="139"/>
        <v xml:space="preserve"> </v>
      </c>
      <c r="D746" s="1544">
        <v>1</v>
      </c>
      <c r="E746" s="1047"/>
      <c r="F746" s="1059" t="str">
        <f>VLOOKUP($B746,DG!A:D,DG!$C$2,)</f>
        <v>Trụ BTLT 12m F350 dự ứng lực</v>
      </c>
      <c r="G746" s="1047" t="str">
        <f>VLOOKUP($B746,DG!A:D,DG!$D$2,)</f>
        <v>trụ</v>
      </c>
      <c r="H746" s="1845">
        <f t="shared" ref="H746:R747" si="141">H$745*$D746</f>
        <v>0</v>
      </c>
      <c r="I746" s="1845">
        <f t="shared" si="141"/>
        <v>0</v>
      </c>
      <c r="J746" s="1845">
        <f t="shared" si="141"/>
        <v>0</v>
      </c>
      <c r="K746" s="1845">
        <f t="shared" si="141"/>
        <v>0</v>
      </c>
      <c r="L746" s="1845">
        <f t="shared" si="141"/>
        <v>0</v>
      </c>
      <c r="M746" s="1845">
        <f t="shared" si="141"/>
        <v>0</v>
      </c>
      <c r="N746" s="1845">
        <f t="shared" si="141"/>
        <v>0</v>
      </c>
      <c r="O746" s="1845">
        <f t="shared" si="141"/>
        <v>0</v>
      </c>
      <c r="P746" s="1845">
        <f t="shared" si="141"/>
        <v>0</v>
      </c>
      <c r="Q746" s="1845">
        <f t="shared" si="141"/>
        <v>0</v>
      </c>
      <c r="R746" s="1845">
        <f t="shared" si="141"/>
        <v>0</v>
      </c>
      <c r="S746" s="1056"/>
      <c r="T746" s="2059">
        <f t="shared" si="138"/>
        <v>0</v>
      </c>
    </row>
    <row r="747" spans="1:20" ht="22.15" hidden="1" customHeight="1">
      <c r="A747" s="59"/>
      <c r="B747" s="1586" t="s">
        <v>1820</v>
      </c>
      <c r="C747" s="1015" t="str">
        <f t="shared" si="139"/>
        <v xml:space="preserve"> </v>
      </c>
      <c r="D747" s="1544">
        <v>1</v>
      </c>
      <c r="E747" s="1047"/>
      <c r="F747" s="1059" t="str">
        <f>VLOOKUP($B747,DG!A:D,DG!$C$2,)</f>
        <v>Vật liệu dựng trụ</v>
      </c>
      <c r="G747" s="1047" t="str">
        <f>VLOOKUP($B747,DG!A:D,DG!$D$2,)</f>
        <v>trụ</v>
      </c>
      <c r="H747" s="1845">
        <f t="shared" si="141"/>
        <v>0</v>
      </c>
      <c r="I747" s="1845">
        <f t="shared" si="141"/>
        <v>0</v>
      </c>
      <c r="J747" s="1845">
        <f t="shared" si="141"/>
        <v>0</v>
      </c>
      <c r="K747" s="1845">
        <f t="shared" si="141"/>
        <v>0</v>
      </c>
      <c r="L747" s="1845">
        <f t="shared" si="141"/>
        <v>0</v>
      </c>
      <c r="M747" s="1845">
        <f t="shared" si="141"/>
        <v>0</v>
      </c>
      <c r="N747" s="1845">
        <f t="shared" si="141"/>
        <v>0</v>
      </c>
      <c r="O747" s="1845">
        <f t="shared" si="141"/>
        <v>0</v>
      </c>
      <c r="P747" s="1845">
        <f t="shared" si="141"/>
        <v>0</v>
      </c>
      <c r="Q747" s="1845">
        <f t="shared" si="141"/>
        <v>0</v>
      </c>
      <c r="R747" s="1845">
        <f t="shared" si="141"/>
        <v>0</v>
      </c>
      <c r="S747" s="1056"/>
      <c r="T747" s="2059">
        <f t="shared" si="138"/>
        <v>0</v>
      </c>
    </row>
    <row r="748" spans="1:20" ht="22.15" hidden="1" customHeight="1">
      <c r="A748" s="59"/>
      <c r="B748" s="1586" t="s">
        <v>1619</v>
      </c>
      <c r="C748" s="1015" t="str">
        <f t="shared" si="139"/>
        <v xml:space="preserve"> </v>
      </c>
      <c r="D748" s="1544">
        <v>1</v>
      </c>
      <c r="E748" s="1047" t="str">
        <f>VLOOKUP($B748,DG!A:D,DG!$B$2,)</f>
        <v>05.5213</v>
      </c>
      <c r="F748" s="1059" t="str">
        <f>VLOOKUP($B748,DG!A:D,DG!$C$2,)</f>
        <v>Dựng trụ BTLT 12m bằng thủ công</v>
      </c>
      <c r="G748" s="1047" t="str">
        <f>VLOOKUP($B748,DG!A:D,DG!$D$2,)</f>
        <v>trụ</v>
      </c>
      <c r="H748" s="1845"/>
      <c r="I748" s="1845"/>
      <c r="J748" s="1845"/>
      <c r="K748" s="1845"/>
      <c r="L748" s="1845"/>
      <c r="M748" s="1845"/>
      <c r="N748" s="1845"/>
      <c r="O748" s="1845"/>
      <c r="P748" s="1845"/>
      <c r="Q748" s="1061"/>
      <c r="R748" s="1061"/>
      <c r="S748" s="1061"/>
      <c r="T748" s="2059">
        <f t="shared" si="138"/>
        <v>0</v>
      </c>
    </row>
    <row r="749" spans="1:20" ht="22.15" hidden="1" customHeight="1">
      <c r="A749" s="59"/>
      <c r="B749" s="1586" t="s">
        <v>1200</v>
      </c>
      <c r="C749" s="1015" t="str">
        <f t="shared" si="139"/>
        <v xml:space="preserve"> </v>
      </c>
      <c r="D749" s="1543">
        <f>1.2*0</f>
        <v>0</v>
      </c>
      <c r="E749" s="1047" t="str">
        <f>VLOOKUP($B749,DG!A:D,DG!$B$2,)</f>
        <v>02.1124</v>
      </c>
      <c r="F749" s="1052" t="str">
        <f>VLOOKUP($B749,DG!A:D,DG!$C$2,)</f>
        <v xml:space="preserve">Bốc dỡ trụ </v>
      </c>
      <c r="G749" s="1047" t="str">
        <f>VLOOKUP($B749,DG!A:D,DG!$D$2,)</f>
        <v>tấn</v>
      </c>
      <c r="H749" s="1845"/>
      <c r="I749" s="1845"/>
      <c r="J749" s="1845"/>
      <c r="K749" s="1845"/>
      <c r="L749" s="1845"/>
      <c r="M749" s="1845"/>
      <c r="N749" s="1845"/>
      <c r="O749" s="1845"/>
      <c r="P749" s="1845"/>
      <c r="Q749" s="1061"/>
      <c r="R749" s="1061"/>
      <c r="S749" s="1061"/>
      <c r="T749" s="2059">
        <f t="shared" si="138"/>
        <v>0</v>
      </c>
    </row>
    <row r="750" spans="1:20" ht="22.15" hidden="1" customHeight="1">
      <c r="A750" s="59"/>
      <c r="B750" s="1598" t="s">
        <v>1201</v>
      </c>
      <c r="C750" s="1015" t="str">
        <f t="shared" si="139"/>
        <v xml:space="preserve"> </v>
      </c>
      <c r="D750" s="1543">
        <f>1.2*0</f>
        <v>0</v>
      </c>
      <c r="E750" s="1047" t="str">
        <f>VLOOKUP($B750,DG!A:C,2,)</f>
        <v>02.1461</v>
      </c>
      <c r="F750" s="1052" t="str">
        <f>VLOOKUP($B750,DG!A:C,3,)</f>
        <v>V/c cột vào vị trí (cự ly &lt;=100m)</v>
      </c>
      <c r="G750" s="1047" t="str">
        <f>VLOOKUP($B750,DG!A:D,4,0)</f>
        <v>tấn</v>
      </c>
      <c r="H750" s="1845"/>
      <c r="I750" s="1845"/>
      <c r="J750" s="1845"/>
      <c r="K750" s="1845"/>
      <c r="L750" s="1845"/>
      <c r="M750" s="1845"/>
      <c r="N750" s="1845"/>
      <c r="O750" s="1845"/>
      <c r="P750" s="1845"/>
      <c r="Q750" s="1061"/>
      <c r="R750" s="1061"/>
      <c r="S750" s="1061"/>
      <c r="T750" s="2059">
        <f t="shared" si="138"/>
        <v>0</v>
      </c>
    </row>
    <row r="751" spans="1:20" ht="22.15" hidden="1" customHeight="1">
      <c r="A751" s="59"/>
      <c r="B751" s="1598" t="s">
        <v>635</v>
      </c>
      <c r="C751" s="1015" t="str">
        <f t="shared" si="139"/>
        <v xml:space="preserve"> </v>
      </c>
      <c r="D751" s="1543">
        <f>0.25*0</f>
        <v>0</v>
      </c>
      <c r="E751" s="1047" t="str">
        <f>VLOOKUP($B751,DG!A:C,2,)</f>
        <v>02.1482</v>
      </c>
      <c r="F751" s="1052" t="str">
        <f>VLOOKUP($B751,DG!A:C,3,)</f>
        <v>V/c dụng cụ thi công vào vị trí (cự ly &lt;=100m)</v>
      </c>
      <c r="G751" s="1047" t="str">
        <f>VLOOKUP($B751,DG!A:D,4,0)</f>
        <v>tấn</v>
      </c>
      <c r="H751" s="1845"/>
      <c r="I751" s="1845"/>
      <c r="J751" s="1845"/>
      <c r="K751" s="1845"/>
      <c r="L751" s="1845"/>
      <c r="M751" s="1845"/>
      <c r="N751" s="1845"/>
      <c r="O751" s="1845"/>
      <c r="P751" s="1845"/>
      <c r="Q751" s="1061"/>
      <c r="R751" s="1061"/>
      <c r="S751" s="1061"/>
      <c r="T751" s="2059">
        <f t="shared" si="138"/>
        <v>0</v>
      </c>
    </row>
    <row r="752" spans="1:20" ht="22.15" customHeight="1">
      <c r="A752" s="1588" t="s">
        <v>301</v>
      </c>
      <c r="B752" s="1589" t="s">
        <v>301</v>
      </c>
      <c r="C752" s="1854" t="str">
        <f t="shared" si="139"/>
        <v>x</v>
      </c>
      <c r="D752" s="1541"/>
      <c r="E752" s="1048"/>
      <c r="F752" s="1396" t="s">
        <v>2419</v>
      </c>
      <c r="G752" s="1049" t="s">
        <v>2285</v>
      </c>
      <c r="H752" s="1843">
        <f>SUM(I752:O752)</f>
        <v>25</v>
      </c>
      <c r="I752" s="1844"/>
      <c r="J752" s="1844"/>
      <c r="K752" s="1844">
        <f>IFERROR(HLOOKUP(B752,pp3p1m!$1:$3,3,0),0)</f>
        <v>25</v>
      </c>
      <c r="L752" s="1844">
        <f>IFERROR(HLOOKUP(chitiet!B752,pp1p!$1:$3,3,0),0)</f>
        <v>0</v>
      </c>
      <c r="M752" s="1844"/>
      <c r="N752" s="1844"/>
      <c r="O752" s="1844"/>
      <c r="P752" s="1843">
        <f>H752+Q752-R752</f>
        <v>25</v>
      </c>
      <c r="Q752" s="1050"/>
      <c r="R752" s="1050"/>
      <c r="S752" s="1050"/>
      <c r="T752" s="2059">
        <f>IFERROR(HLOOKUP(B752,pp1p!$1:$3,3,0),0)+IFERROR(HLOOKUP(B752,pp3p1m!$1:$3,3,0),0)</f>
        <v>25</v>
      </c>
    </row>
    <row r="753" spans="1:20" ht="22.15" customHeight="1">
      <c r="B753" s="1580" t="s">
        <v>115</v>
      </c>
      <c r="C753" s="1854" t="str">
        <f t="shared" si="139"/>
        <v>x</v>
      </c>
      <c r="D753" s="1544">
        <v>1</v>
      </c>
      <c r="E753" s="1047"/>
      <c r="F753" s="1059" t="str">
        <f>VLOOKUP($B753,DG!A:D,DG!$C$2,)</f>
        <v>Trụ BTLT 12m F350 dự ứng lực</v>
      </c>
      <c r="G753" s="1047" t="str">
        <f>VLOOKUP($B753,DG!A:D,DG!$D$2,)</f>
        <v>trụ</v>
      </c>
      <c r="H753" s="1845">
        <f>H$752*$D753</f>
        <v>25</v>
      </c>
      <c r="I753" s="1845">
        <f>I$745*$D753</f>
        <v>0</v>
      </c>
      <c r="J753" s="1845">
        <f>J$745*$D753</f>
        <v>0</v>
      </c>
      <c r="K753" s="1845">
        <f>K$752*$D753</f>
        <v>25</v>
      </c>
      <c r="L753" s="1845">
        <f>L$752*$D753</f>
        <v>0</v>
      </c>
      <c r="M753" s="1845">
        <f t="shared" ref="M753:O754" si="142">M$745*$D753</f>
        <v>0</v>
      </c>
      <c r="N753" s="1845">
        <f t="shared" si="142"/>
        <v>0</v>
      </c>
      <c r="O753" s="1845">
        <f t="shared" si="142"/>
        <v>0</v>
      </c>
      <c r="P753" s="1845">
        <f>$P$752*D753</f>
        <v>25</v>
      </c>
      <c r="Q753" s="1056">
        <f>$Q$752*D753</f>
        <v>0</v>
      </c>
      <c r="R753" s="1056"/>
      <c r="S753" s="1056"/>
      <c r="T753" s="2059">
        <f t="shared" si="138"/>
        <v>0</v>
      </c>
    </row>
    <row r="754" spans="1:20" ht="22.15" hidden="1" customHeight="1">
      <c r="B754" s="1580" t="s">
        <v>1820</v>
      </c>
      <c r="C754" s="1854" t="str">
        <f t="shared" si="139"/>
        <v xml:space="preserve"> </v>
      </c>
      <c r="D754" s="1544"/>
      <c r="E754" s="1047"/>
      <c r="F754" s="1052" t="str">
        <f>VLOOKUP($B754,DG!A:D,DG!$C$2,)</f>
        <v>Vật liệu dựng trụ</v>
      </c>
      <c r="G754" s="1047" t="str">
        <f>VLOOKUP($B754,DG!A:D,DG!$D$2,)</f>
        <v>trụ</v>
      </c>
      <c r="H754" s="1845">
        <f>H$752*$D754</f>
        <v>0</v>
      </c>
      <c r="I754" s="1845">
        <f>I$745*$D754</f>
        <v>0</v>
      </c>
      <c r="J754" s="1845">
        <f>J$745*$D754</f>
        <v>0</v>
      </c>
      <c r="K754" s="1845">
        <f>K$752*$D754</f>
        <v>0</v>
      </c>
      <c r="L754" s="1845">
        <f>L$752*$D754</f>
        <v>0</v>
      </c>
      <c r="M754" s="1845">
        <f t="shared" si="142"/>
        <v>0</v>
      </c>
      <c r="N754" s="1845">
        <f t="shared" si="142"/>
        <v>0</v>
      </c>
      <c r="O754" s="1845">
        <f t="shared" si="142"/>
        <v>0</v>
      </c>
      <c r="P754" s="1845">
        <f>$P$752*D754</f>
        <v>0</v>
      </c>
      <c r="Q754" s="1056">
        <f>$Q$752*D754</f>
        <v>0</v>
      </c>
      <c r="R754" s="1056"/>
      <c r="S754" s="1056"/>
      <c r="T754" s="2059">
        <f t="shared" si="138"/>
        <v>0</v>
      </c>
    </row>
    <row r="755" spans="1:20" ht="22.15" customHeight="1">
      <c r="B755" s="1580" t="s">
        <v>2177</v>
      </c>
      <c r="C755" s="1854" t="str">
        <f t="shared" si="139"/>
        <v>x</v>
      </c>
      <c r="D755" s="1544">
        <v>1</v>
      </c>
      <c r="E755" s="1047" t="str">
        <f>VLOOKUP($B755,DG!A:D,DG!$B$2,)</f>
        <v>05.5402</v>
      </c>
      <c r="F755" s="1052" t="str">
        <f>VLOOKUP($B755,DG!A:D,DG!$C$2,)</f>
        <v>Dựng trụ BTLT 12m thủ công + cơ giới</v>
      </c>
      <c r="G755" s="1047" t="str">
        <f>VLOOKUP($B755,DG!A:D,DG!$D$2,)</f>
        <v>trụ</v>
      </c>
      <c r="H755" s="1845">
        <f>H$752*$D755</f>
        <v>25</v>
      </c>
      <c r="I755" s="1845"/>
      <c r="J755" s="1845"/>
      <c r="K755" s="1845"/>
      <c r="L755" s="1845"/>
      <c r="M755" s="1845"/>
      <c r="N755" s="1845"/>
      <c r="O755" s="1845"/>
      <c r="P755" s="1845">
        <f>$P$752*D755</f>
        <v>25</v>
      </c>
      <c r="Q755" s="1056">
        <f>$Q$752*D755</f>
        <v>0</v>
      </c>
      <c r="R755" s="1061"/>
      <c r="S755" s="1061"/>
      <c r="T755" s="2059">
        <f t="shared" si="138"/>
        <v>0</v>
      </c>
    </row>
    <row r="756" spans="1:20" ht="22.15" hidden="1" customHeight="1">
      <c r="A756" s="59"/>
      <c r="B756" s="1586" t="s">
        <v>1200</v>
      </c>
      <c r="C756" s="1015" t="str">
        <f t="shared" si="139"/>
        <v xml:space="preserve"> </v>
      </c>
      <c r="D756" s="1543">
        <f>1.2*0</f>
        <v>0</v>
      </c>
      <c r="E756" s="1047" t="str">
        <f>VLOOKUP($B756,DG!A:D,DG!$B$2,)</f>
        <v>02.1124</v>
      </c>
      <c r="F756" s="1052" t="str">
        <f>VLOOKUP($B756,DG!A:D,DG!$C$2,)</f>
        <v xml:space="preserve">Bốc dỡ trụ </v>
      </c>
      <c r="G756" s="1047" t="str">
        <f>VLOOKUP($B756,DG!A:D,DG!$D$2,)</f>
        <v>tấn</v>
      </c>
      <c r="H756" s="1845"/>
      <c r="I756" s="1845"/>
      <c r="J756" s="1845"/>
      <c r="K756" s="1845"/>
      <c r="L756" s="1845"/>
      <c r="M756" s="1845"/>
      <c r="N756" s="1845"/>
      <c r="O756" s="1845"/>
      <c r="P756" s="1845"/>
      <c r="Q756" s="1061"/>
      <c r="R756" s="1061"/>
      <c r="S756" s="1061"/>
      <c r="T756" s="2059">
        <f t="shared" si="138"/>
        <v>0</v>
      </c>
    </row>
    <row r="757" spans="1:20" ht="22.15" hidden="1" customHeight="1">
      <c r="A757" s="59"/>
      <c r="B757" s="1598" t="s">
        <v>1201</v>
      </c>
      <c r="C757" s="1015" t="str">
        <f t="shared" si="139"/>
        <v xml:space="preserve"> </v>
      </c>
      <c r="D757" s="1543">
        <f>1.2*0</f>
        <v>0</v>
      </c>
      <c r="E757" s="1047" t="str">
        <f>VLOOKUP($B757,DG!A:C,2,)</f>
        <v>02.1461</v>
      </c>
      <c r="F757" s="1052" t="str">
        <f>VLOOKUP($B757,DG!A:C,3,)</f>
        <v>V/c cột vào vị trí (cự ly &lt;=100m)</v>
      </c>
      <c r="G757" s="1047" t="str">
        <f>VLOOKUP($B757,DG!A:D,4,0)</f>
        <v>tấn</v>
      </c>
      <c r="H757" s="1845"/>
      <c r="I757" s="1845"/>
      <c r="J757" s="1845"/>
      <c r="K757" s="1845"/>
      <c r="L757" s="1845"/>
      <c r="M757" s="1845"/>
      <c r="N757" s="1845"/>
      <c r="O757" s="1845"/>
      <c r="P757" s="1845"/>
      <c r="Q757" s="1061"/>
      <c r="R757" s="1061"/>
      <c r="S757" s="1061"/>
      <c r="T757" s="2059">
        <f t="shared" si="138"/>
        <v>0</v>
      </c>
    </row>
    <row r="758" spans="1:20" ht="22.15" hidden="1" customHeight="1">
      <c r="A758" s="59"/>
      <c r="B758" s="1598" t="s">
        <v>635</v>
      </c>
      <c r="C758" s="1015" t="str">
        <f t="shared" si="139"/>
        <v xml:space="preserve"> </v>
      </c>
      <c r="D758" s="1543">
        <f>0.25*0</f>
        <v>0</v>
      </c>
      <c r="E758" s="1047" t="str">
        <f>VLOOKUP($B758,DG!A:C,2,)</f>
        <v>02.1482</v>
      </c>
      <c r="F758" s="1052" t="str">
        <f>VLOOKUP($B758,DG!A:C,3,)</f>
        <v>V/c dụng cụ thi công vào vị trí (cự ly &lt;=100m)</v>
      </c>
      <c r="G758" s="1047" t="str">
        <f>VLOOKUP($B758,DG!A:D,4,0)</f>
        <v>tấn</v>
      </c>
      <c r="H758" s="1845"/>
      <c r="I758" s="1845"/>
      <c r="J758" s="1845"/>
      <c r="K758" s="1845"/>
      <c r="L758" s="1845"/>
      <c r="M758" s="1845"/>
      <c r="N758" s="1845"/>
      <c r="O758" s="1845"/>
      <c r="P758" s="1845"/>
      <c r="Q758" s="1061"/>
      <c r="R758" s="1061"/>
      <c r="S758" s="1061"/>
      <c r="T758" s="2059">
        <f t="shared" si="138"/>
        <v>0</v>
      </c>
    </row>
    <row r="759" spans="1:20" ht="22.15" hidden="1" customHeight="1">
      <c r="A759" s="58" t="s">
        <v>2316</v>
      </c>
      <c r="B759" s="1589" t="s">
        <v>2316</v>
      </c>
      <c r="C759" s="1015" t="str">
        <f t="shared" si="139"/>
        <v xml:space="preserve"> </v>
      </c>
      <c r="D759" s="1541"/>
      <c r="E759" s="1048"/>
      <c r="F759" s="1396" t="s">
        <v>2420</v>
      </c>
      <c r="G759" s="1049" t="s">
        <v>2285</v>
      </c>
      <c r="H759" s="1843">
        <f>SUM(I759:O759)</f>
        <v>0</v>
      </c>
      <c r="I759" s="1844"/>
      <c r="J759" s="1844"/>
      <c r="K759" s="1844">
        <f>IFERROR(HLOOKUP(B759,pp3p1m!$1:$3,3,0),0)</f>
        <v>0</v>
      </c>
      <c r="L759" s="1844">
        <f>IFERROR(HLOOKUP(chitiet!B759,pp1p!$1:$3,3,0),0)</f>
        <v>0</v>
      </c>
      <c r="M759" s="1844"/>
      <c r="N759" s="1844"/>
      <c r="O759" s="1844"/>
      <c r="P759" s="1844"/>
      <c r="Q759" s="1050"/>
      <c r="R759" s="1050"/>
      <c r="S759" s="1050"/>
      <c r="T759" s="2059">
        <f>IFERROR(HLOOKUP(B759,pp1p!$1:$3,3,0),0)+IFERROR(HLOOKUP(B759,pp3p1m!$1:$3,3,0),0)</f>
        <v>0</v>
      </c>
    </row>
    <row r="760" spans="1:20" ht="22.15" hidden="1" customHeight="1">
      <c r="A760" s="59"/>
      <c r="B760" s="1586" t="s">
        <v>2421</v>
      </c>
      <c r="C760" s="1015" t="str">
        <f t="shared" si="139"/>
        <v xml:space="preserve"> </v>
      </c>
      <c r="D760" s="1544">
        <v>1</v>
      </c>
      <c r="E760" s="1047"/>
      <c r="F760" s="1059" t="str">
        <f>VLOOKUP($B760,DG!A:D,DG!$C$2,)</f>
        <v>Trụ BTLT 12m F350 dự ứng lực (tiếp địa có sẵn)</v>
      </c>
      <c r="G760" s="1047" t="str">
        <f>VLOOKUP($B760,DG!A:D,DG!$D$2,)</f>
        <v>trụ</v>
      </c>
      <c r="H760" s="1845">
        <f>H$759*$D760</f>
        <v>0</v>
      </c>
      <c r="I760" s="1845">
        <f>I$745*$D760</f>
        <v>0</v>
      </c>
      <c r="J760" s="1845">
        <f>J$745*$D760</f>
        <v>0</v>
      </c>
      <c r="K760" s="1845">
        <f>K$759*$D760</f>
        <v>0</v>
      </c>
      <c r="L760" s="1845">
        <f>L$759*$D760</f>
        <v>0</v>
      </c>
      <c r="M760" s="1845">
        <f t="shared" ref="M760:O761" si="143">M$745*$D760</f>
        <v>0</v>
      </c>
      <c r="N760" s="1845">
        <f t="shared" si="143"/>
        <v>0</v>
      </c>
      <c r="O760" s="1845">
        <f t="shared" si="143"/>
        <v>0</v>
      </c>
      <c r="P760" s="1845"/>
      <c r="Q760" s="1056"/>
      <c r="R760" s="1056"/>
      <c r="S760" s="1056"/>
      <c r="T760" s="2059">
        <f t="shared" si="138"/>
        <v>0</v>
      </c>
    </row>
    <row r="761" spans="1:20" ht="22.15" hidden="1" customHeight="1">
      <c r="A761" s="59"/>
      <c r="B761" s="1586" t="s">
        <v>1820</v>
      </c>
      <c r="C761" s="1015" t="str">
        <f t="shared" si="139"/>
        <v xml:space="preserve"> </v>
      </c>
      <c r="D761" s="1544">
        <v>1</v>
      </c>
      <c r="E761" s="1047"/>
      <c r="F761" s="1059" t="str">
        <f>VLOOKUP($B761,DG!A:D,DG!$C$2,)</f>
        <v>Vật liệu dựng trụ</v>
      </c>
      <c r="G761" s="1047" t="str">
        <f>VLOOKUP($B761,DG!A:D,DG!$D$2,)</f>
        <v>trụ</v>
      </c>
      <c r="H761" s="1845">
        <f>H$759*$D761</f>
        <v>0</v>
      </c>
      <c r="I761" s="1845">
        <f>I$745*$D761</f>
        <v>0</v>
      </c>
      <c r="J761" s="1845">
        <f>J$745*$D761</f>
        <v>0</v>
      </c>
      <c r="K761" s="1845">
        <f>K$759*$D761</f>
        <v>0</v>
      </c>
      <c r="L761" s="1845">
        <f>L$759*$D761</f>
        <v>0</v>
      </c>
      <c r="M761" s="1845">
        <f t="shared" si="143"/>
        <v>0</v>
      </c>
      <c r="N761" s="1845">
        <f t="shared" si="143"/>
        <v>0</v>
      </c>
      <c r="O761" s="1845">
        <f t="shared" si="143"/>
        <v>0</v>
      </c>
      <c r="P761" s="1845"/>
      <c r="Q761" s="1056"/>
      <c r="R761" s="1056"/>
      <c r="S761" s="1056"/>
      <c r="T761" s="2059">
        <f t="shared" si="138"/>
        <v>0</v>
      </c>
    </row>
    <row r="762" spans="1:20" ht="22.15" hidden="1" customHeight="1">
      <c r="A762" s="59"/>
      <c r="B762" s="1586" t="s">
        <v>2177</v>
      </c>
      <c r="C762" s="1015" t="str">
        <f t="shared" si="139"/>
        <v xml:space="preserve"> </v>
      </c>
      <c r="D762" s="1544">
        <v>1</v>
      </c>
      <c r="E762" s="1047" t="str">
        <f>VLOOKUP($B762,DG!A:D,DG!$B$2,)</f>
        <v>05.5402</v>
      </c>
      <c r="F762" s="1059" t="str">
        <f>VLOOKUP($B762,DG!A:D,DG!$C$2,)</f>
        <v>Dựng trụ BTLT 12m thủ công + cơ giới</v>
      </c>
      <c r="G762" s="1047" t="str">
        <f>VLOOKUP($B762,DG!A:D,DG!$D$2,)</f>
        <v>trụ</v>
      </c>
      <c r="H762" s="1845"/>
      <c r="I762" s="1845"/>
      <c r="J762" s="1845"/>
      <c r="K762" s="1845"/>
      <c r="L762" s="1845"/>
      <c r="M762" s="1845"/>
      <c r="N762" s="1845"/>
      <c r="O762" s="1845"/>
      <c r="P762" s="1845"/>
      <c r="Q762" s="1061"/>
      <c r="R762" s="1061"/>
      <c r="S762" s="1061"/>
      <c r="T762" s="2059">
        <f t="shared" si="138"/>
        <v>0</v>
      </c>
    </row>
    <row r="763" spans="1:20" ht="22.15" hidden="1" customHeight="1">
      <c r="A763" s="54" t="s">
        <v>302</v>
      </c>
      <c r="B763" s="1589" t="s">
        <v>302</v>
      </c>
      <c r="C763" s="1015" t="str">
        <f t="shared" si="139"/>
        <v xml:space="preserve"> </v>
      </c>
      <c r="D763" s="1541"/>
      <c r="E763" s="1048"/>
      <c r="F763" s="1396" t="s">
        <v>2422</v>
      </c>
      <c r="G763" s="1049" t="s">
        <v>2285</v>
      </c>
      <c r="H763" s="1843">
        <f>SUM(I763:O763)</f>
        <v>0</v>
      </c>
      <c r="I763" s="1844"/>
      <c r="J763" s="1844"/>
      <c r="K763" s="1844">
        <f>IFERROR(HLOOKUP(B763,pp3p1m!$1:$3,3,0),0)</f>
        <v>0</v>
      </c>
      <c r="L763" s="1844">
        <f>IFERROR(HLOOKUP(chitiet!B763,pp1p!$1:$3,3,0),0)</f>
        <v>0</v>
      </c>
      <c r="M763" s="1844"/>
      <c r="N763" s="1844"/>
      <c r="O763" s="1844"/>
      <c r="P763" s="1844"/>
      <c r="Q763" s="1050"/>
      <c r="R763" s="1050"/>
      <c r="S763" s="1050"/>
      <c r="T763" s="2059">
        <f>IFERROR(HLOOKUP(B763,pp1p!$1:$3,3,0),0)+IFERROR(HLOOKUP(B763,pp3p1m!$1:$3,3,0),0)</f>
        <v>0</v>
      </c>
    </row>
    <row r="764" spans="1:20" ht="22.15" hidden="1" customHeight="1">
      <c r="A764" s="59"/>
      <c r="B764" s="1586" t="s">
        <v>107</v>
      </c>
      <c r="C764" s="1015" t="str">
        <f t="shared" si="139"/>
        <v xml:space="preserve"> </v>
      </c>
      <c r="D764" s="1544">
        <v>1</v>
      </c>
      <c r="E764" s="1047"/>
      <c r="F764" s="1059" t="str">
        <f>VLOOKUP($B764,DG!A:D,DG!$C$2,)</f>
        <v>Trụ BTLT 14m F650 dự ứng lực</v>
      </c>
      <c r="G764" s="1047" t="str">
        <f>VLOOKUP($B764,DG!A:D,DG!$D$2,)</f>
        <v>trụ</v>
      </c>
      <c r="H764" s="1845">
        <f t="shared" ref="H764:N765" si="144">H$763*$D764</f>
        <v>0</v>
      </c>
      <c r="I764" s="1845">
        <f t="shared" si="144"/>
        <v>0</v>
      </c>
      <c r="J764" s="1845">
        <f t="shared" si="144"/>
        <v>0</v>
      </c>
      <c r="K764" s="1845">
        <f t="shared" si="144"/>
        <v>0</v>
      </c>
      <c r="L764" s="1845">
        <f t="shared" si="144"/>
        <v>0</v>
      </c>
      <c r="M764" s="1845">
        <f t="shared" si="144"/>
        <v>0</v>
      </c>
      <c r="N764" s="1845">
        <f t="shared" si="144"/>
        <v>0</v>
      </c>
      <c r="O764" s="1845"/>
      <c r="P764" s="1845"/>
      <c r="Q764" s="1056"/>
      <c r="R764" s="1056"/>
      <c r="S764" s="1056"/>
      <c r="T764" s="2059">
        <f t="shared" si="138"/>
        <v>0</v>
      </c>
    </row>
    <row r="765" spans="1:20" ht="22.15" hidden="1" customHeight="1">
      <c r="A765" s="59"/>
      <c r="B765" s="1586" t="s">
        <v>1820</v>
      </c>
      <c r="C765" s="1015" t="str">
        <f t="shared" si="139"/>
        <v xml:space="preserve"> </v>
      </c>
      <c r="D765" s="1544">
        <v>1</v>
      </c>
      <c r="E765" s="1047"/>
      <c r="F765" s="1059" t="str">
        <f>VLOOKUP($B765,DG!A:D,DG!$C$2,)</f>
        <v>Vật liệu dựng trụ</v>
      </c>
      <c r="G765" s="1047" t="str">
        <f>VLOOKUP($B765,DG!A:D,DG!$D$2,)</f>
        <v>trụ</v>
      </c>
      <c r="H765" s="1845">
        <f t="shared" si="144"/>
        <v>0</v>
      </c>
      <c r="I765" s="1845">
        <f t="shared" si="144"/>
        <v>0</v>
      </c>
      <c r="J765" s="1845">
        <f t="shared" si="144"/>
        <v>0</v>
      </c>
      <c r="K765" s="1845">
        <f t="shared" si="144"/>
        <v>0</v>
      </c>
      <c r="L765" s="1845">
        <f t="shared" si="144"/>
        <v>0</v>
      </c>
      <c r="M765" s="1845">
        <f t="shared" si="144"/>
        <v>0</v>
      </c>
      <c r="N765" s="1845">
        <f t="shared" si="144"/>
        <v>0</v>
      </c>
      <c r="O765" s="1845"/>
      <c r="P765" s="1845"/>
      <c r="Q765" s="1056"/>
      <c r="R765" s="1056"/>
      <c r="S765" s="1056"/>
      <c r="T765" s="2059">
        <f t="shared" si="138"/>
        <v>0</v>
      </c>
    </row>
    <row r="766" spans="1:20" ht="22.15" hidden="1" customHeight="1">
      <c r="A766" s="59"/>
      <c r="B766" s="1586" t="s">
        <v>1665</v>
      </c>
      <c r="C766" s="1015" t="str">
        <f t="shared" si="139"/>
        <v xml:space="preserve"> </v>
      </c>
      <c r="D766" s="1544">
        <v>1</v>
      </c>
      <c r="E766" s="1047" t="str">
        <f>VLOOKUP($B766,DG!A:D,DG!$B$2,)</f>
        <v>05.5224</v>
      </c>
      <c r="F766" s="1059" t="str">
        <f>VLOOKUP($B766,DG!A:D,DG!$C$2,)</f>
        <v>Dựng trụ BTLT 14m thủ công + cơ giới</v>
      </c>
      <c r="G766" s="1047" t="str">
        <f>VLOOKUP($B766,DG!A:D,DG!$D$2,)</f>
        <v>trụ</v>
      </c>
      <c r="H766" s="1845"/>
      <c r="I766" s="1845"/>
      <c r="J766" s="1845"/>
      <c r="K766" s="1845"/>
      <c r="L766" s="1845"/>
      <c r="M766" s="1845"/>
      <c r="N766" s="1845"/>
      <c r="O766" s="1845"/>
      <c r="P766" s="1845"/>
      <c r="Q766" s="1061"/>
      <c r="R766" s="1061"/>
      <c r="S766" s="1061"/>
      <c r="T766" s="2059">
        <f t="shared" si="138"/>
        <v>0</v>
      </c>
    </row>
    <row r="767" spans="1:20" ht="22.15" hidden="1" customHeight="1">
      <c r="A767" s="59"/>
      <c r="B767" s="1586" t="s">
        <v>1200</v>
      </c>
      <c r="C767" s="1015" t="str">
        <f t="shared" si="139"/>
        <v xml:space="preserve"> </v>
      </c>
      <c r="D767" s="1543"/>
      <c r="E767" s="1047" t="str">
        <f>VLOOKUP($B767,DG!A:D,DG!$B$2,)</f>
        <v>02.1124</v>
      </c>
      <c r="F767" s="1052" t="str">
        <f>VLOOKUP($B767,DG!A:D,DG!$C$2,)</f>
        <v xml:space="preserve">Bốc dỡ trụ </v>
      </c>
      <c r="G767" s="1047" t="str">
        <f>VLOOKUP($B767,DG!A:D,DG!$D$2,)</f>
        <v>tấn</v>
      </c>
      <c r="H767" s="1845"/>
      <c r="I767" s="1845"/>
      <c r="J767" s="1845"/>
      <c r="K767" s="1845"/>
      <c r="L767" s="1845"/>
      <c r="M767" s="1845"/>
      <c r="N767" s="1845"/>
      <c r="O767" s="1845"/>
      <c r="P767" s="1845"/>
      <c r="Q767" s="1061"/>
      <c r="R767" s="1061"/>
      <c r="S767" s="1061"/>
      <c r="T767" s="2059">
        <f t="shared" si="138"/>
        <v>0</v>
      </c>
    </row>
    <row r="768" spans="1:20" ht="22.15" hidden="1" customHeight="1">
      <c r="A768" s="59"/>
      <c r="B768" s="1598" t="s">
        <v>1201</v>
      </c>
      <c r="C768" s="1015" t="str">
        <f t="shared" si="139"/>
        <v xml:space="preserve"> </v>
      </c>
      <c r="D768" s="1543"/>
      <c r="E768" s="1047" t="str">
        <f>VLOOKUP($B768,DG!A:C,2,)</f>
        <v>02.1461</v>
      </c>
      <c r="F768" s="1052" t="str">
        <f>VLOOKUP($B768,DG!A:C,3,)</f>
        <v>V/c cột vào vị trí (cự ly &lt;=100m)</v>
      </c>
      <c r="G768" s="1047" t="str">
        <f>VLOOKUP($B768,DG!A:D,4,0)</f>
        <v>tấn</v>
      </c>
      <c r="H768" s="1845"/>
      <c r="I768" s="1845"/>
      <c r="J768" s="1845"/>
      <c r="K768" s="1845"/>
      <c r="L768" s="1845"/>
      <c r="M768" s="1845"/>
      <c r="N768" s="1845"/>
      <c r="O768" s="1845"/>
      <c r="P768" s="1845"/>
      <c r="Q768" s="1061"/>
      <c r="R768" s="1061"/>
      <c r="S768" s="1061"/>
      <c r="T768" s="2059">
        <f t="shared" si="138"/>
        <v>0</v>
      </c>
    </row>
    <row r="769" spans="1:20" ht="22.15" hidden="1" customHeight="1">
      <c r="A769" s="59"/>
      <c r="B769" s="1598" t="s">
        <v>635</v>
      </c>
      <c r="C769" s="1015" t="str">
        <f t="shared" si="139"/>
        <v xml:space="preserve"> </v>
      </c>
      <c r="D769" s="1543"/>
      <c r="E769" s="1047" t="str">
        <f>VLOOKUP($B769,DG!A:C,2,)</f>
        <v>02.1482</v>
      </c>
      <c r="F769" s="1052" t="str">
        <f>VLOOKUP($B769,DG!A:C,3,)</f>
        <v>V/c dụng cụ thi công vào vị trí (cự ly &lt;=100m)</v>
      </c>
      <c r="G769" s="1047" t="str">
        <f>VLOOKUP($B769,DG!A:D,4,0)</f>
        <v>tấn</v>
      </c>
      <c r="H769" s="1845"/>
      <c r="I769" s="1845"/>
      <c r="J769" s="1845"/>
      <c r="K769" s="1845"/>
      <c r="L769" s="1845"/>
      <c r="M769" s="1845"/>
      <c r="N769" s="1845"/>
      <c r="O769" s="1845"/>
      <c r="P769" s="1845"/>
      <c r="Q769" s="1061"/>
      <c r="R769" s="1061"/>
      <c r="S769" s="1061"/>
      <c r="T769" s="2059">
        <f t="shared" si="138"/>
        <v>0</v>
      </c>
    </row>
    <row r="770" spans="1:20" ht="22.15" hidden="1" customHeight="1">
      <c r="A770" s="54" t="s">
        <v>761</v>
      </c>
      <c r="B770" s="1589" t="s">
        <v>761</v>
      </c>
      <c r="C770" s="1015" t="str">
        <f t="shared" si="139"/>
        <v xml:space="preserve"> </v>
      </c>
      <c r="D770" s="1541"/>
      <c r="E770" s="1048"/>
      <c r="F770" s="1396" t="s">
        <v>2423</v>
      </c>
      <c r="G770" s="1049" t="s">
        <v>2285</v>
      </c>
      <c r="H770" s="1843">
        <f>SUM(I770:O770)</f>
        <v>0</v>
      </c>
      <c r="I770" s="1844"/>
      <c r="J770" s="1844"/>
      <c r="K770" s="1844">
        <f>IFERROR(HLOOKUP(B770,pp3p1m!$1:$3,3,0),0)</f>
        <v>0</v>
      </c>
      <c r="L770" s="1844">
        <f>IFERROR(HLOOKUP(chitiet!B770,pp1p!$1:$3,3,0),0)</f>
        <v>0</v>
      </c>
      <c r="M770" s="1844"/>
      <c r="N770" s="1844"/>
      <c r="O770" s="1844"/>
      <c r="P770" s="1844"/>
      <c r="Q770" s="1050"/>
      <c r="R770" s="1050"/>
      <c r="S770" s="1050"/>
      <c r="T770" s="2059">
        <f>IFERROR(HLOOKUP(B770,pp1p!$1:$3,3,0),0)+IFERROR(HLOOKUP(B770,pp3p1m!$1:$3,3,0),0)</f>
        <v>0</v>
      </c>
    </row>
    <row r="771" spans="1:20" ht="22.15" hidden="1" customHeight="1">
      <c r="A771" s="59"/>
      <c r="B771" s="1586" t="s">
        <v>2099</v>
      </c>
      <c r="C771" s="1015" t="str">
        <f t="shared" si="139"/>
        <v xml:space="preserve"> </v>
      </c>
      <c r="D771" s="1544">
        <v>1</v>
      </c>
      <c r="E771" s="1047"/>
      <c r="F771" s="1059" t="str">
        <f>VLOOKUP($B771,DG!A:D,DG!$C$2,)</f>
        <v>Trụ BTLT 20m F1000 dự ứng lực</v>
      </c>
      <c r="G771" s="1047" t="str">
        <f>VLOOKUP($B771,DG!A:D,DG!$D$2,)</f>
        <v>trụ</v>
      </c>
      <c r="H771" s="1845">
        <f t="shared" ref="H771:J772" si="145">H$770*$D771</f>
        <v>0</v>
      </c>
      <c r="I771" s="1845">
        <f t="shared" si="145"/>
        <v>0</v>
      </c>
      <c r="J771" s="1845">
        <f t="shared" si="145"/>
        <v>0</v>
      </c>
      <c r="K771" s="1845">
        <f>K$763*$D771</f>
        <v>0</v>
      </c>
      <c r="L771" s="1845">
        <f>L$763*$D771</f>
        <v>0</v>
      </c>
      <c r="M771" s="1845"/>
      <c r="N771" s="1845"/>
      <c r="O771" s="1845"/>
      <c r="P771" s="1845"/>
      <c r="Q771" s="1056"/>
      <c r="R771" s="1056"/>
      <c r="S771" s="1056"/>
      <c r="T771" s="2059">
        <f t="shared" si="138"/>
        <v>0</v>
      </c>
    </row>
    <row r="772" spans="1:20" ht="22.15" hidden="1" customHeight="1">
      <c r="A772" s="59"/>
      <c r="B772" s="1586" t="s">
        <v>1820</v>
      </c>
      <c r="C772" s="1015" t="str">
        <f t="shared" si="139"/>
        <v xml:space="preserve"> </v>
      </c>
      <c r="D772" s="1544">
        <v>1</v>
      </c>
      <c r="E772" s="1047"/>
      <c r="F772" s="1059" t="str">
        <f>VLOOKUP($B772,DG!A:D,DG!$C$2,)</f>
        <v>Vật liệu dựng trụ</v>
      </c>
      <c r="G772" s="1047" t="str">
        <f>VLOOKUP($B772,DG!A:D,DG!$D$2,)</f>
        <v>trụ</v>
      </c>
      <c r="H772" s="1845">
        <f t="shared" si="145"/>
        <v>0</v>
      </c>
      <c r="I772" s="1845">
        <f t="shared" si="145"/>
        <v>0</v>
      </c>
      <c r="J772" s="1845">
        <f t="shared" si="145"/>
        <v>0</v>
      </c>
      <c r="K772" s="1845">
        <f>K$763*$D772</f>
        <v>0</v>
      </c>
      <c r="L772" s="1845">
        <f>L$763*$D772</f>
        <v>0</v>
      </c>
      <c r="M772" s="1845"/>
      <c r="N772" s="1845"/>
      <c r="O772" s="1845"/>
      <c r="P772" s="1845"/>
      <c r="Q772" s="1056"/>
      <c r="R772" s="1056"/>
      <c r="S772" s="1056"/>
      <c r="T772" s="2059">
        <f t="shared" si="138"/>
        <v>0</v>
      </c>
    </row>
    <row r="773" spans="1:20" ht="22.15" hidden="1" customHeight="1">
      <c r="A773" s="59"/>
      <c r="B773" s="1586" t="s">
        <v>1667</v>
      </c>
      <c r="C773" s="1015" t="str">
        <f t="shared" si="139"/>
        <v xml:space="preserve"> </v>
      </c>
      <c r="D773" s="1544">
        <v>1</v>
      </c>
      <c r="E773" s="1047" t="str">
        <f>VLOOKUP($B773,DG!A:D,DG!$B$2,)</f>
        <v>05.5227</v>
      </c>
      <c r="F773" s="1059" t="str">
        <f>VLOOKUP($B773,DG!A:D,DG!$C$2,)</f>
        <v>Dựng trụ BTLT 20m thủ công + cơ giới</v>
      </c>
      <c r="G773" s="1047" t="str">
        <f>VLOOKUP($B773,DG!A:D,DG!$D$2,)</f>
        <v>trụ</v>
      </c>
      <c r="H773" s="1845"/>
      <c r="I773" s="1845"/>
      <c r="J773" s="1845"/>
      <c r="K773" s="1845"/>
      <c r="L773" s="1845"/>
      <c r="M773" s="1845"/>
      <c r="N773" s="1845"/>
      <c r="O773" s="1845"/>
      <c r="P773" s="1845"/>
      <c r="Q773" s="1061"/>
      <c r="R773" s="1061"/>
      <c r="S773" s="1061"/>
      <c r="T773" s="2059">
        <f t="shared" si="138"/>
        <v>0</v>
      </c>
    </row>
    <row r="774" spans="1:20" ht="22.15" hidden="1" customHeight="1">
      <c r="A774" s="59"/>
      <c r="B774" s="1586" t="s">
        <v>1200</v>
      </c>
      <c r="C774" s="1015" t="str">
        <f t="shared" si="139"/>
        <v xml:space="preserve"> </v>
      </c>
      <c r="D774" s="1543">
        <v>2.72</v>
      </c>
      <c r="E774" s="1047" t="str">
        <f>VLOOKUP($B774,DG!A:D,DG!$B$2,)</f>
        <v>02.1124</v>
      </c>
      <c r="F774" s="1052" t="str">
        <f>VLOOKUP($B774,DG!A:D,DG!$C$2,)</f>
        <v xml:space="preserve">Bốc dỡ trụ </v>
      </c>
      <c r="G774" s="1047" t="str">
        <f>VLOOKUP($B774,DG!A:D,DG!$D$2,)</f>
        <v>tấn</v>
      </c>
      <c r="H774" s="1845"/>
      <c r="I774" s="1845"/>
      <c r="J774" s="1845"/>
      <c r="K774" s="1845"/>
      <c r="L774" s="1845"/>
      <c r="M774" s="1845"/>
      <c r="N774" s="1845"/>
      <c r="O774" s="1845"/>
      <c r="P774" s="1845"/>
      <c r="Q774" s="1061"/>
      <c r="R774" s="1061"/>
      <c r="S774" s="1061"/>
      <c r="T774" s="2059">
        <f t="shared" si="138"/>
        <v>0</v>
      </c>
    </row>
    <row r="775" spans="1:20" ht="22.15" hidden="1" customHeight="1">
      <c r="A775" s="59"/>
      <c r="B775" s="1598" t="s">
        <v>1201</v>
      </c>
      <c r="C775" s="1015" t="str">
        <f t="shared" si="139"/>
        <v xml:space="preserve"> </v>
      </c>
      <c r="D775" s="1543">
        <v>2.72</v>
      </c>
      <c r="E775" s="1047" t="str">
        <f>VLOOKUP($B775,DG!A:C,2,)</f>
        <v>02.1461</v>
      </c>
      <c r="F775" s="1052" t="str">
        <f>VLOOKUP($B775,DG!A:C,3,)</f>
        <v>V/c cột vào vị trí (cự ly &lt;=100m)</v>
      </c>
      <c r="G775" s="1047" t="str">
        <f>VLOOKUP($B775,DG!A:D,4,0)</f>
        <v>tấn</v>
      </c>
      <c r="H775" s="1845"/>
      <c r="I775" s="1845"/>
      <c r="J775" s="1845"/>
      <c r="K775" s="1845"/>
      <c r="L775" s="1845"/>
      <c r="M775" s="1845"/>
      <c r="N775" s="1845"/>
      <c r="O775" s="1845"/>
      <c r="P775" s="1845"/>
      <c r="Q775" s="1061"/>
      <c r="R775" s="1061"/>
      <c r="S775" s="1061"/>
      <c r="T775" s="2059">
        <f t="shared" si="138"/>
        <v>0</v>
      </c>
    </row>
    <row r="776" spans="1:20" ht="22.15" hidden="1" customHeight="1">
      <c r="A776" s="59"/>
      <c r="B776" s="1598" t="s">
        <v>635</v>
      </c>
      <c r="C776" s="1015" t="str">
        <f t="shared" si="139"/>
        <v xml:space="preserve"> </v>
      </c>
      <c r="D776" s="1543">
        <v>0.25</v>
      </c>
      <c r="E776" s="1047" t="str">
        <f>VLOOKUP($B776,DG!A:C,2,)</f>
        <v>02.1482</v>
      </c>
      <c r="F776" s="1052" t="str">
        <f>VLOOKUP($B776,DG!A:C,3,)</f>
        <v>V/c dụng cụ thi công vào vị trí (cự ly &lt;=100m)</v>
      </c>
      <c r="G776" s="1047" t="str">
        <f>VLOOKUP($B776,DG!A:D,4,0)</f>
        <v>tấn</v>
      </c>
      <c r="H776" s="1845"/>
      <c r="I776" s="1845"/>
      <c r="J776" s="1845"/>
      <c r="K776" s="1845"/>
      <c r="L776" s="1845"/>
      <c r="M776" s="1845"/>
      <c r="N776" s="1845"/>
      <c r="O776" s="1845"/>
      <c r="P776" s="1845"/>
      <c r="Q776" s="1061"/>
      <c r="R776" s="1061"/>
      <c r="S776" s="1061"/>
      <c r="T776" s="2059">
        <f t="shared" si="138"/>
        <v>0</v>
      </c>
    </row>
    <row r="777" spans="1:20" ht="22.15" hidden="1" customHeight="1">
      <c r="A777" s="1581"/>
      <c r="B777" s="1583">
        <v>0</v>
      </c>
      <c r="C777" s="1015" t="str">
        <f>IF(SUM(I777:O777)&gt;0,"x"," ")</f>
        <v xml:space="preserve"> </v>
      </c>
      <c r="D777" s="1556">
        <f>SUM(H777:N777)+S777</f>
        <v>0</v>
      </c>
      <c r="E777" s="1049" t="s">
        <v>1620</v>
      </c>
      <c r="F777" s="1396" t="s">
        <v>2298</v>
      </c>
      <c r="G777" s="1048"/>
      <c r="H777" s="1843">
        <f t="shared" ref="H777:H778" si="146">SUM(I777:O777)</f>
        <v>0</v>
      </c>
      <c r="I777" s="1838"/>
      <c r="J777" s="1838"/>
      <c r="K777" s="1844">
        <f>IFERROR(HLOOKUP(B777,pp3p1m!$1:$3,3,0),0)</f>
        <v>0</v>
      </c>
      <c r="L777" s="1844">
        <f>IFERROR(HLOOKUP(chitiet!B777,pp1p!$1:$3,3,0),0)</f>
        <v>0</v>
      </c>
      <c r="M777" s="1838"/>
      <c r="N777" s="1838"/>
      <c r="O777" s="1838"/>
      <c r="P777" s="1843" t="str">
        <f>IF(SUM(P778:P1489)&gt;0," ","")</f>
        <v xml:space="preserve"> </v>
      </c>
      <c r="Q777" s="1048"/>
      <c r="R777" s="1048"/>
      <c r="S777" s="1048"/>
      <c r="T777" s="2059">
        <f>IFERROR(HLOOKUP(B777,pp1p!$1:$3,3,0),0)+IFERROR(HLOOKUP(B777,pp3p1m!$1:$3,3,0),0)</f>
        <v>0</v>
      </c>
    </row>
    <row r="778" spans="1:20" ht="22.15" hidden="1" customHeight="1">
      <c r="A778" s="56" t="s">
        <v>2317</v>
      </c>
      <c r="B778" s="1583" t="s">
        <v>2317</v>
      </c>
      <c r="C778" s="1015" t="str">
        <f t="shared" si="139"/>
        <v xml:space="preserve"> </v>
      </c>
      <c r="D778" s="1541"/>
      <c r="E778" s="1048"/>
      <c r="F778" s="1396" t="s">
        <v>2424</v>
      </c>
      <c r="G778" s="1049" t="s">
        <v>2394</v>
      </c>
      <c r="H778" s="1843">
        <f t="shared" si="146"/>
        <v>0</v>
      </c>
      <c r="I778" s="1844"/>
      <c r="J778" s="1844"/>
      <c r="K778" s="1844">
        <f>IFERROR(HLOOKUP(B778,pp3p1m!$1:$3,3,0),0)</f>
        <v>0</v>
      </c>
      <c r="L778" s="1844">
        <f>IFERROR(HLOOKUP(chitiet!B778,pp1p!$1:$3,3,0),0)</f>
        <v>0</v>
      </c>
      <c r="M778" s="1844"/>
      <c r="N778" s="1844"/>
      <c r="O778" s="1844"/>
      <c r="P778" s="1843">
        <f>T778</f>
        <v>0</v>
      </c>
      <c r="Q778" s="1050"/>
      <c r="R778" s="1050"/>
      <c r="S778" s="1050"/>
      <c r="T778" s="2059">
        <f>IFERROR(HLOOKUP(B778,pp1p!$1:$3,3,0),0)+IFERROR(HLOOKUP(B778,pp3p1m!$1:$3,3,0),0)</f>
        <v>0</v>
      </c>
    </row>
    <row r="779" spans="1:20" ht="22.15" hidden="1" customHeight="1">
      <c r="A779" s="59"/>
      <c r="B779" s="1586" t="s">
        <v>4730</v>
      </c>
      <c r="C779" s="1015" t="str">
        <f t="shared" si="139"/>
        <v xml:space="preserve"> </v>
      </c>
      <c r="D779" s="1543">
        <v>1</v>
      </c>
      <c r="E779" s="1047"/>
      <c r="F779" s="1059" t="str">
        <f>VLOOKUP($B779,DG!A:D,DG!$C$2,)</f>
        <v>Đà 1,66m X-16Đ</v>
      </c>
      <c r="G779" s="1047" t="str">
        <f>VLOOKUP($B779,DG!A:D,DG!$D$2,)</f>
        <v>Cái</v>
      </c>
      <c r="H779" s="1845">
        <f>H$778*$D779</f>
        <v>0</v>
      </c>
      <c r="I779" s="2133">
        <f t="shared" ref="I779:O779" si="147">I$778*$D779</f>
        <v>0</v>
      </c>
      <c r="J779" s="2133">
        <f t="shared" si="147"/>
        <v>0</v>
      </c>
      <c r="K779" s="2133">
        <f t="shared" si="147"/>
        <v>0</v>
      </c>
      <c r="L779" s="2133">
        <f t="shared" si="147"/>
        <v>0</v>
      </c>
      <c r="M779" s="2133">
        <f t="shared" si="147"/>
        <v>0</v>
      </c>
      <c r="N779" s="2133">
        <f t="shared" si="147"/>
        <v>0</v>
      </c>
      <c r="O779" s="2133">
        <f t="shared" si="147"/>
        <v>0</v>
      </c>
      <c r="P779" s="1845">
        <f>P$778*$D779</f>
        <v>0</v>
      </c>
      <c r="Q779" s="2133"/>
      <c r="R779" s="2133"/>
      <c r="S779" s="1056"/>
      <c r="T779" s="2059">
        <f t="shared" si="138"/>
        <v>0</v>
      </c>
    </row>
    <row r="780" spans="1:20" ht="22.15" hidden="1" customHeight="1">
      <c r="A780" s="59"/>
      <c r="B780" s="1586" t="s">
        <v>4726</v>
      </c>
      <c r="C780" s="1015" t="str">
        <f t="shared" si="139"/>
        <v xml:space="preserve"> </v>
      </c>
      <c r="D780" s="1543">
        <v>2</v>
      </c>
      <c r="E780" s="1047"/>
      <c r="F780" s="1059" t="str">
        <f>VLOOKUP($B780,DG!A:D,DG!$C$2,)</f>
        <v>Thanh chống đà  810</v>
      </c>
      <c r="G780" s="1047" t="str">
        <f>VLOOKUP($B780,DG!A:D,DG!$D$2,)</f>
        <v>cái</v>
      </c>
      <c r="H780" s="1845">
        <f t="shared" ref="H780:P787" si="148">H$778*$D780</f>
        <v>0</v>
      </c>
      <c r="I780" s="2133">
        <f t="shared" si="148"/>
        <v>0</v>
      </c>
      <c r="J780" s="2133">
        <f t="shared" si="148"/>
        <v>0</v>
      </c>
      <c r="K780" s="2133">
        <f t="shared" si="148"/>
        <v>0</v>
      </c>
      <c r="L780" s="2133">
        <f t="shared" si="148"/>
        <v>0</v>
      </c>
      <c r="M780" s="2133">
        <f t="shared" si="148"/>
        <v>0</v>
      </c>
      <c r="N780" s="2133">
        <f t="shared" si="148"/>
        <v>0</v>
      </c>
      <c r="O780" s="2133">
        <f t="shared" si="148"/>
        <v>0</v>
      </c>
      <c r="P780" s="1845">
        <f t="shared" si="148"/>
        <v>0</v>
      </c>
      <c r="Q780" s="2133"/>
      <c r="R780" s="2133"/>
      <c r="S780" s="1056"/>
      <c r="T780" s="2059">
        <f t="shared" si="138"/>
        <v>0</v>
      </c>
    </row>
    <row r="781" spans="1:20" ht="22.15" hidden="1" customHeight="1">
      <c r="A781" s="59"/>
      <c r="B781" s="1586" t="s">
        <v>1271</v>
      </c>
      <c r="C781" s="1015" t="str">
        <f t="shared" si="139"/>
        <v xml:space="preserve"> </v>
      </c>
      <c r="D781" s="1544">
        <v>1</v>
      </c>
      <c r="E781" s="1047"/>
      <c r="F781" s="1059" t="str">
        <f>VLOOKUP($B781,DG!A:D,DG!$C$2,)</f>
        <v>Chân sứ đỉnh thẳng dài 870mm</v>
      </c>
      <c r="G781" s="1047" t="str">
        <f>VLOOKUP($B781,DG!A:D,DG!$D$2,)</f>
        <v>cái</v>
      </c>
      <c r="H781" s="1845">
        <f t="shared" si="148"/>
        <v>0</v>
      </c>
      <c r="I781" s="2133">
        <f t="shared" si="148"/>
        <v>0</v>
      </c>
      <c r="J781" s="2133">
        <f t="shared" si="148"/>
        <v>0</v>
      </c>
      <c r="K781" s="2133">
        <f t="shared" si="148"/>
        <v>0</v>
      </c>
      <c r="L781" s="2133">
        <f t="shared" si="148"/>
        <v>0</v>
      </c>
      <c r="M781" s="2133">
        <f t="shared" si="148"/>
        <v>0</v>
      </c>
      <c r="N781" s="2133">
        <f t="shared" si="148"/>
        <v>0</v>
      </c>
      <c r="O781" s="2133">
        <f t="shared" si="148"/>
        <v>0</v>
      </c>
      <c r="P781" s="1845">
        <f t="shared" si="148"/>
        <v>0</v>
      </c>
      <c r="Q781" s="2133"/>
      <c r="R781" s="2133"/>
      <c r="S781" s="1056"/>
      <c r="T781" s="2059">
        <f t="shared" si="138"/>
        <v>0</v>
      </c>
    </row>
    <row r="782" spans="1:20" ht="22.15" hidden="1" customHeight="1">
      <c r="A782" s="59"/>
      <c r="B782" s="1586" t="s">
        <v>1614</v>
      </c>
      <c r="C782" s="1015" t="str">
        <f t="shared" si="139"/>
        <v xml:space="preserve"> </v>
      </c>
      <c r="D782" s="1544">
        <v>4</v>
      </c>
      <c r="E782" s="1047"/>
      <c r="F782" s="1059" t="str">
        <f>VLOOKUP($B782,DG!A:D,DG!$C$2,)</f>
        <v>Boulon 16x250+ 2 long đền vuông D18-50x50x3/Zn</v>
      </c>
      <c r="G782" s="1047" t="str">
        <f>VLOOKUP($B782,DG!A:D,DG!$D$2,)</f>
        <v>bộ</v>
      </c>
      <c r="H782" s="1845">
        <f t="shared" si="148"/>
        <v>0</v>
      </c>
      <c r="I782" s="2133">
        <f t="shared" si="148"/>
        <v>0</v>
      </c>
      <c r="J782" s="2133">
        <f t="shared" si="148"/>
        <v>0</v>
      </c>
      <c r="K782" s="2133">
        <f t="shared" si="148"/>
        <v>0</v>
      </c>
      <c r="L782" s="2133">
        <f t="shared" si="148"/>
        <v>0</v>
      </c>
      <c r="M782" s="2133">
        <f t="shared" si="148"/>
        <v>0</v>
      </c>
      <c r="N782" s="2133">
        <f t="shared" si="148"/>
        <v>0</v>
      </c>
      <c r="O782" s="2133">
        <f t="shared" si="148"/>
        <v>0</v>
      </c>
      <c r="P782" s="1845">
        <f t="shared" si="148"/>
        <v>0</v>
      </c>
      <c r="Q782" s="2133"/>
      <c r="R782" s="2133"/>
      <c r="S782" s="1056"/>
      <c r="T782" s="2059">
        <f t="shared" si="138"/>
        <v>0</v>
      </c>
    </row>
    <row r="783" spans="1:20" ht="22.15" hidden="1" customHeight="1">
      <c r="A783" s="59"/>
      <c r="B783" s="1586" t="s">
        <v>1792</v>
      </c>
      <c r="C783" s="1015" t="str">
        <f t="shared" si="139"/>
        <v xml:space="preserve"> </v>
      </c>
      <c r="D783" s="1544">
        <v>2</v>
      </c>
      <c r="E783" s="1047"/>
      <c r="F783" s="1059" t="str">
        <f>VLOOKUP($B783,DG!A:D,DG!$C$2,)</f>
        <v>Boulon 16x50+ 2 long đền vuông D18-50x50x3/Zn</v>
      </c>
      <c r="G783" s="1047" t="str">
        <f>VLOOKUP($B783,DG!A:D,DG!$D$2,)</f>
        <v>bộ</v>
      </c>
      <c r="H783" s="1845">
        <f t="shared" si="148"/>
        <v>0</v>
      </c>
      <c r="I783" s="2133">
        <f t="shared" si="148"/>
        <v>0</v>
      </c>
      <c r="J783" s="2133">
        <f t="shared" si="148"/>
        <v>0</v>
      </c>
      <c r="K783" s="2133">
        <f t="shared" si="148"/>
        <v>0</v>
      </c>
      <c r="L783" s="2133">
        <f t="shared" si="148"/>
        <v>0</v>
      </c>
      <c r="M783" s="2133">
        <f t="shared" si="148"/>
        <v>0</v>
      </c>
      <c r="N783" s="2133">
        <f t="shared" si="148"/>
        <v>0</v>
      </c>
      <c r="O783" s="2133">
        <f t="shared" si="148"/>
        <v>0</v>
      </c>
      <c r="P783" s="1845">
        <f t="shared" si="148"/>
        <v>0</v>
      </c>
      <c r="Q783" s="2133"/>
      <c r="R783" s="2133"/>
      <c r="S783" s="1056"/>
      <c r="T783" s="2059">
        <f t="shared" si="138"/>
        <v>0</v>
      </c>
    </row>
    <row r="784" spans="1:20" ht="22.15" hidden="1" customHeight="1">
      <c r="A784" s="59"/>
      <c r="B784" s="1586" t="s">
        <v>2001</v>
      </c>
      <c r="C784" s="1015" t="str">
        <f t="shared" si="139"/>
        <v xml:space="preserve"> </v>
      </c>
      <c r="D784" s="1544">
        <v>1</v>
      </c>
      <c r="E784" s="1051" t="str">
        <f>VLOOKUP($B784,DG!A:D,DG!$B$2,)</f>
        <v>05.6401</v>
      </c>
      <c r="F784" s="1052" t="str">
        <f>VLOOKUP($B784,DG!A:D,DG!$C$2,)</f>
        <v>Lắp xà đỡ ≤ 25kg</v>
      </c>
      <c r="G784" s="1047" t="str">
        <f>VLOOKUP($B784,DG!A:D,DG!$D$2,)</f>
        <v>bộ</v>
      </c>
      <c r="H784" s="1845">
        <f t="shared" si="148"/>
        <v>0</v>
      </c>
      <c r="I784" s="2133">
        <f t="shared" si="148"/>
        <v>0</v>
      </c>
      <c r="J784" s="2133">
        <f t="shared" si="148"/>
        <v>0</v>
      </c>
      <c r="K784" s="2133">
        <f t="shared" si="148"/>
        <v>0</v>
      </c>
      <c r="L784" s="2133">
        <f t="shared" si="148"/>
        <v>0</v>
      </c>
      <c r="M784" s="2133">
        <f t="shared" si="148"/>
        <v>0</v>
      </c>
      <c r="N784" s="2133">
        <f t="shared" si="148"/>
        <v>0</v>
      </c>
      <c r="O784" s="2133">
        <f t="shared" si="148"/>
        <v>0</v>
      </c>
      <c r="P784" s="1845">
        <f t="shared" si="148"/>
        <v>0</v>
      </c>
      <c r="Q784" s="2133"/>
      <c r="R784" s="2133"/>
      <c r="S784" s="1061"/>
      <c r="T784" s="2059">
        <f t="shared" si="138"/>
        <v>0</v>
      </c>
    </row>
    <row r="785" spans="1:20" ht="22.15" hidden="1" customHeight="1">
      <c r="A785" s="59"/>
      <c r="B785" s="1586" t="s">
        <v>2002</v>
      </c>
      <c r="C785" s="1015" t="str">
        <f t="shared" si="139"/>
        <v xml:space="preserve"> </v>
      </c>
      <c r="D785" s="1542"/>
      <c r="E785" s="1047" t="str">
        <f>VLOOKUP($B785,DG!A:D,DG!$B$2,)</f>
        <v>02.1115</v>
      </c>
      <c r="F785" s="1052" t="str">
        <f>VLOOKUP($B785,DG!A:D,DG!$C$2,)</f>
        <v>Bốc dỡ xà, thép thanh</v>
      </c>
      <c r="G785" s="1047" t="str">
        <f>VLOOKUP($B785,DG!A:D,DG!$D$2,)</f>
        <v>tấn</v>
      </c>
      <c r="H785" s="2133">
        <f t="shared" si="148"/>
        <v>0</v>
      </c>
      <c r="I785" s="2133">
        <f t="shared" si="148"/>
        <v>0</v>
      </c>
      <c r="J785" s="2133">
        <f t="shared" si="148"/>
        <v>0</v>
      </c>
      <c r="K785" s="2133">
        <f t="shared" si="148"/>
        <v>0</v>
      </c>
      <c r="L785" s="2133">
        <f t="shared" si="148"/>
        <v>0</v>
      </c>
      <c r="M785" s="2133">
        <f t="shared" si="148"/>
        <v>0</v>
      </c>
      <c r="N785" s="2133">
        <f t="shared" si="148"/>
        <v>0</v>
      </c>
      <c r="O785" s="2133">
        <f t="shared" si="148"/>
        <v>0</v>
      </c>
      <c r="P785" s="2133"/>
      <c r="Q785" s="2133"/>
      <c r="R785" s="2133"/>
      <c r="S785" s="1061"/>
      <c r="T785" s="2059">
        <f t="shared" si="138"/>
        <v>0</v>
      </c>
    </row>
    <row r="786" spans="1:20" ht="22.15" hidden="1" customHeight="1">
      <c r="A786" s="59"/>
      <c r="B786" s="1598" t="s">
        <v>2003</v>
      </c>
      <c r="C786" s="1015" t="str">
        <f t="shared" si="139"/>
        <v xml:space="preserve"> </v>
      </c>
      <c r="D786" s="1542"/>
      <c r="E786" s="1047" t="str">
        <f>VLOOKUP($B786,DG!A:C,2,)</f>
        <v>02.1361</v>
      </c>
      <c r="F786" s="1052" t="str">
        <f>VLOOKUP($B786,DG!A:C,3,)</f>
        <v>V/c xà vào vị trí (cư ly &lt;=100m)</v>
      </c>
      <c r="G786" s="1047" t="str">
        <f>VLOOKUP($B786,DG!A:D,4,0)</f>
        <v>tấn</v>
      </c>
      <c r="H786" s="2133">
        <f t="shared" si="148"/>
        <v>0</v>
      </c>
      <c r="I786" s="2133">
        <f t="shared" si="148"/>
        <v>0</v>
      </c>
      <c r="J786" s="2133">
        <f t="shared" si="148"/>
        <v>0</v>
      </c>
      <c r="K786" s="2133">
        <f t="shared" si="148"/>
        <v>0</v>
      </c>
      <c r="L786" s="2133">
        <f t="shared" si="148"/>
        <v>0</v>
      </c>
      <c r="M786" s="2133">
        <f t="shared" si="148"/>
        <v>0</v>
      </c>
      <c r="N786" s="2133">
        <f t="shared" si="148"/>
        <v>0</v>
      </c>
      <c r="O786" s="2133">
        <f t="shared" si="148"/>
        <v>0</v>
      </c>
      <c r="P786" s="2133"/>
      <c r="Q786" s="2133"/>
      <c r="R786" s="2133"/>
      <c r="S786" s="1061"/>
      <c r="T786" s="2059">
        <f t="shared" si="138"/>
        <v>0</v>
      </c>
    </row>
    <row r="787" spans="1:20" ht="22.15" hidden="1" customHeight="1">
      <c r="A787" s="59"/>
      <c r="B787" s="1598" t="s">
        <v>635</v>
      </c>
      <c r="C787" s="1015" t="str">
        <f t="shared" si="139"/>
        <v xml:space="preserve"> </v>
      </c>
      <c r="D787" s="1543"/>
      <c r="E787" s="1047" t="str">
        <f>VLOOKUP($B787,DG!A:C,2,)</f>
        <v>02.1482</v>
      </c>
      <c r="F787" s="1052" t="str">
        <f>VLOOKUP($B787,DG!A:C,3,)</f>
        <v>V/c dụng cụ thi công vào vị trí (cự ly &lt;=100m)</v>
      </c>
      <c r="G787" s="1047" t="str">
        <f>VLOOKUP($B787,DG!A:D,4,0)</f>
        <v>tấn</v>
      </c>
      <c r="H787" s="2133">
        <f t="shared" si="148"/>
        <v>0</v>
      </c>
      <c r="I787" s="2133">
        <f t="shared" si="148"/>
        <v>0</v>
      </c>
      <c r="J787" s="2133">
        <f t="shared" si="148"/>
        <v>0</v>
      </c>
      <c r="K787" s="2133">
        <f t="shared" si="148"/>
        <v>0</v>
      </c>
      <c r="L787" s="2133">
        <f t="shared" si="148"/>
        <v>0</v>
      </c>
      <c r="M787" s="2133">
        <f t="shared" si="148"/>
        <v>0</v>
      </c>
      <c r="N787" s="2133">
        <f t="shared" si="148"/>
        <v>0</v>
      </c>
      <c r="O787" s="2133">
        <f t="shared" si="148"/>
        <v>0</v>
      </c>
      <c r="P787" s="2133"/>
      <c r="Q787" s="2133"/>
      <c r="R787" s="2133"/>
      <c r="S787" s="1061"/>
      <c r="T787" s="2059">
        <f t="shared" si="138"/>
        <v>0</v>
      </c>
    </row>
    <row r="788" spans="1:20" ht="22.15" hidden="1" customHeight="1">
      <c r="A788" s="56" t="s">
        <v>1296</v>
      </c>
      <c r="B788" s="1583" t="s">
        <v>1296</v>
      </c>
      <c r="C788" s="1015" t="str">
        <f t="shared" si="139"/>
        <v xml:space="preserve"> </v>
      </c>
      <c r="D788" s="1541"/>
      <c r="E788" s="1048"/>
      <c r="F788" s="1396" t="s">
        <v>2425</v>
      </c>
      <c r="G788" s="1049" t="s">
        <v>2394</v>
      </c>
      <c r="H788" s="1843">
        <f>SUM(I788:O788)</f>
        <v>0</v>
      </c>
      <c r="I788" s="1844"/>
      <c r="J788" s="1844"/>
      <c r="K788" s="1844">
        <f>IFERROR(HLOOKUP(B788,pp3p1m!$1:$3,3,0),0)</f>
        <v>0</v>
      </c>
      <c r="L788" s="1844">
        <f>IFERROR(HLOOKUP(chitiet!B788,pp1p!$1:$3,3,0),0)</f>
        <v>0</v>
      </c>
      <c r="M788" s="1844"/>
      <c r="N788" s="1844"/>
      <c r="O788" s="1844"/>
      <c r="P788" s="1844"/>
      <c r="Q788" s="1050"/>
      <c r="R788" s="1050"/>
      <c r="S788" s="1050"/>
      <c r="T788" s="2059">
        <f>IFERROR(HLOOKUP(B788,pp1p!$1:$3,3,0),0)+IFERROR(HLOOKUP(B788,pp3p1m!$1:$3,3,0),0)</f>
        <v>0</v>
      </c>
    </row>
    <row r="789" spans="1:20" ht="22.15" hidden="1" customHeight="1">
      <c r="A789" s="59"/>
      <c r="B789" s="1586" t="s">
        <v>109</v>
      </c>
      <c r="C789" s="1015" t="str">
        <f t="shared" si="139"/>
        <v xml:space="preserve"> </v>
      </c>
      <c r="D789" s="1543">
        <f>9.02*(1.66+0.07*2)*2</f>
        <v>32.471999999999994</v>
      </c>
      <c r="E789" s="1047"/>
      <c r="F789" s="1059" t="str">
        <f>VLOOKUP($B789,DG!A:D,DG!$C$2,)</f>
        <v>Sắt góc L75 x75 x8</v>
      </c>
      <c r="G789" s="1047" t="str">
        <f>VLOOKUP($B789,DG!A:D,DG!$D$2,)</f>
        <v>kg</v>
      </c>
      <c r="H789" s="1845">
        <f>H$809*$D789</f>
        <v>0</v>
      </c>
      <c r="I789" s="1845">
        <f t="shared" ref="I789:O793" si="149">I$788*$D789</f>
        <v>0</v>
      </c>
      <c r="J789" s="1845">
        <f t="shared" si="149"/>
        <v>0</v>
      </c>
      <c r="K789" s="1845">
        <f t="shared" si="149"/>
        <v>0</v>
      </c>
      <c r="L789" s="1845">
        <f t="shared" si="149"/>
        <v>0</v>
      </c>
      <c r="M789" s="1845">
        <f t="shared" si="149"/>
        <v>0</v>
      </c>
      <c r="N789" s="1845">
        <f t="shared" si="149"/>
        <v>0</v>
      </c>
      <c r="O789" s="1845">
        <f t="shared" si="149"/>
        <v>0</v>
      </c>
      <c r="P789" s="1845"/>
      <c r="Q789" s="1056"/>
      <c r="R789" s="1056"/>
      <c r="S789" s="1056"/>
      <c r="T789" s="2059">
        <f t="shared" si="138"/>
        <v>0</v>
      </c>
    </row>
    <row r="790" spans="1:20" ht="22.15" hidden="1" customHeight="1">
      <c r="A790" s="59"/>
      <c r="B790" s="1586" t="s">
        <v>457</v>
      </c>
      <c r="C790" s="1015" t="str">
        <f t="shared" si="139"/>
        <v xml:space="preserve"> </v>
      </c>
      <c r="D790" s="1543">
        <f>3.77*0.81*4</f>
        <v>12.2148</v>
      </c>
      <c r="E790" s="1047"/>
      <c r="F790" s="1059" t="str">
        <f>VLOOKUP($B790,DG!A:D,DG!$C$2,)</f>
        <v>Sắt góc L50 x50 x5</v>
      </c>
      <c r="G790" s="1047" t="str">
        <f>VLOOKUP($B790,DG!A:D,DG!$D$2,)</f>
        <v>kg</v>
      </c>
      <c r="H790" s="1845">
        <f>H$809*$D790</f>
        <v>0</v>
      </c>
      <c r="I790" s="1845">
        <f t="shared" si="149"/>
        <v>0</v>
      </c>
      <c r="J790" s="1845">
        <f t="shared" si="149"/>
        <v>0</v>
      </c>
      <c r="K790" s="1845">
        <f t="shared" si="149"/>
        <v>0</v>
      </c>
      <c r="L790" s="1845">
        <f t="shared" si="149"/>
        <v>0</v>
      </c>
      <c r="M790" s="1845">
        <f t="shared" si="149"/>
        <v>0</v>
      </c>
      <c r="N790" s="1845">
        <f t="shared" si="149"/>
        <v>0</v>
      </c>
      <c r="O790" s="1845">
        <f t="shared" si="149"/>
        <v>0</v>
      </c>
      <c r="P790" s="1845"/>
      <c r="Q790" s="1056"/>
      <c r="R790" s="1056"/>
      <c r="S790" s="1056"/>
      <c r="T790" s="2059">
        <f t="shared" si="138"/>
        <v>0</v>
      </c>
    </row>
    <row r="791" spans="1:20" ht="22.15" hidden="1" customHeight="1">
      <c r="A791" s="59"/>
      <c r="B791" s="1586" t="s">
        <v>1614</v>
      </c>
      <c r="C791" s="1015" t="str">
        <f t="shared" ref="C791:C854" si="150">IF(OR(P791&lt;&gt;0,H791&lt;&gt;0),"x"," ")</f>
        <v xml:space="preserve"> </v>
      </c>
      <c r="D791" s="1544">
        <v>4</v>
      </c>
      <c r="E791" s="1047"/>
      <c r="F791" s="1059" t="str">
        <f>VLOOKUP($B791,DG!A:D,DG!$C$2,)</f>
        <v>Boulon 16x250+ 2 long đền vuông D18-50x50x3/Zn</v>
      </c>
      <c r="G791" s="1047" t="str">
        <f>VLOOKUP($B791,DG!A:D,DG!$D$2,)</f>
        <v>bộ</v>
      </c>
      <c r="H791" s="1845">
        <f>H$809*$D791</f>
        <v>0</v>
      </c>
      <c r="I791" s="1845">
        <f t="shared" si="149"/>
        <v>0</v>
      </c>
      <c r="J791" s="1845">
        <f t="shared" si="149"/>
        <v>0</v>
      </c>
      <c r="K791" s="1845">
        <f t="shared" si="149"/>
        <v>0</v>
      </c>
      <c r="L791" s="1845">
        <f t="shared" si="149"/>
        <v>0</v>
      </c>
      <c r="M791" s="1845">
        <f t="shared" si="149"/>
        <v>0</v>
      </c>
      <c r="N791" s="1845">
        <f t="shared" si="149"/>
        <v>0</v>
      </c>
      <c r="O791" s="1845">
        <f t="shared" si="149"/>
        <v>0</v>
      </c>
      <c r="P791" s="1845"/>
      <c r="Q791" s="1056"/>
      <c r="R791" s="1056"/>
      <c r="S791" s="1056"/>
      <c r="T791" s="2059">
        <f t="shared" si="138"/>
        <v>0</v>
      </c>
    </row>
    <row r="792" spans="1:20" ht="22.15" hidden="1" customHeight="1">
      <c r="A792" s="59"/>
      <c r="B792" s="1586" t="s">
        <v>1297</v>
      </c>
      <c r="C792" s="1015" t="str">
        <f t="shared" si="150"/>
        <v xml:space="preserve"> </v>
      </c>
      <c r="D792" s="1544">
        <v>2</v>
      </c>
      <c r="E792" s="1047"/>
      <c r="F792" s="1059" t="str">
        <f>VLOOKUP($B792,DG!A:D,DG!$C$2,)</f>
        <v>Boulon 16x250VRS+ 4 long đền vuông D18-50x50x3/Zn</v>
      </c>
      <c r="G792" s="1047" t="str">
        <f>VLOOKUP($B792,DG!A:D,DG!$D$2,)</f>
        <v>bộ</v>
      </c>
      <c r="H792" s="1845">
        <f>H$809*$D792</f>
        <v>0</v>
      </c>
      <c r="I792" s="1845">
        <f t="shared" si="149"/>
        <v>0</v>
      </c>
      <c r="J792" s="1845">
        <f t="shared" si="149"/>
        <v>0</v>
      </c>
      <c r="K792" s="1845">
        <f t="shared" si="149"/>
        <v>0</v>
      </c>
      <c r="L792" s="1845">
        <f t="shared" si="149"/>
        <v>0</v>
      </c>
      <c r="M792" s="1845">
        <f t="shared" si="149"/>
        <v>0</v>
      </c>
      <c r="N792" s="1845">
        <f t="shared" si="149"/>
        <v>0</v>
      </c>
      <c r="O792" s="1845">
        <f t="shared" si="149"/>
        <v>0</v>
      </c>
      <c r="P792" s="1845"/>
      <c r="Q792" s="1056"/>
      <c r="R792" s="1056"/>
      <c r="S792" s="1056"/>
      <c r="T792" s="2059">
        <f t="shared" si="138"/>
        <v>0</v>
      </c>
    </row>
    <row r="793" spans="1:20" ht="22.15" hidden="1" customHeight="1">
      <c r="A793" s="59"/>
      <c r="B793" s="1586" t="s">
        <v>1792</v>
      </c>
      <c r="C793" s="1015" t="str">
        <f t="shared" si="150"/>
        <v xml:space="preserve"> </v>
      </c>
      <c r="D793" s="1544">
        <v>4</v>
      </c>
      <c r="E793" s="1047"/>
      <c r="F793" s="1059" t="str">
        <f>VLOOKUP($B793,DG!A:D,DG!$C$2,)</f>
        <v>Boulon 16x50+ 2 long đền vuông D18-50x50x3/Zn</v>
      </c>
      <c r="G793" s="1047" t="str">
        <f>VLOOKUP($B793,DG!A:D,DG!$D$2,)</f>
        <v>bộ</v>
      </c>
      <c r="H793" s="1845">
        <f>H$809*$D793</f>
        <v>0</v>
      </c>
      <c r="I793" s="1845">
        <f t="shared" si="149"/>
        <v>0</v>
      </c>
      <c r="J793" s="1845">
        <f t="shared" si="149"/>
        <v>0</v>
      </c>
      <c r="K793" s="1845">
        <f t="shared" si="149"/>
        <v>0</v>
      </c>
      <c r="L793" s="1845">
        <f t="shared" si="149"/>
        <v>0</v>
      </c>
      <c r="M793" s="1845">
        <f t="shared" si="149"/>
        <v>0</v>
      </c>
      <c r="N793" s="1845">
        <f t="shared" si="149"/>
        <v>0</v>
      </c>
      <c r="O793" s="1845">
        <f t="shared" si="149"/>
        <v>0</v>
      </c>
      <c r="P793" s="1845"/>
      <c r="Q793" s="1056"/>
      <c r="R793" s="1056"/>
      <c r="S793" s="1056"/>
      <c r="T793" s="2059">
        <f t="shared" si="138"/>
        <v>0</v>
      </c>
    </row>
    <row r="794" spans="1:20" ht="22.15" hidden="1" customHeight="1">
      <c r="A794" s="59"/>
      <c r="B794" s="1586" t="s">
        <v>1785</v>
      </c>
      <c r="C794" s="1015" t="str">
        <f t="shared" si="150"/>
        <v xml:space="preserve"> </v>
      </c>
      <c r="D794" s="1544">
        <v>1</v>
      </c>
      <c r="E794" s="1063" t="str">
        <f>VLOOKUP($B794,DG!A:D,DG!$B$2,)</f>
        <v>05.6202</v>
      </c>
      <c r="F794" s="1052" t="str">
        <f>VLOOKUP($B794,DG!A:D,DG!$C$2,)</f>
        <v>Lắp xà néo ≤ 50kg</v>
      </c>
      <c r="G794" s="1047" t="str">
        <f>VLOOKUP($B794,DG!A:D,DG!$D$2,)</f>
        <v>bộ</v>
      </c>
      <c r="H794" s="1845"/>
      <c r="I794" s="1845"/>
      <c r="J794" s="1845"/>
      <c r="K794" s="1845"/>
      <c r="L794" s="1845"/>
      <c r="M794" s="1845"/>
      <c r="N794" s="1845"/>
      <c r="O794" s="1845"/>
      <c r="P794" s="1845"/>
      <c r="Q794" s="1061"/>
      <c r="R794" s="1061"/>
      <c r="S794" s="1061"/>
      <c r="T794" s="2059">
        <f t="shared" si="138"/>
        <v>0</v>
      </c>
    </row>
    <row r="795" spans="1:20" ht="22.15" hidden="1" customHeight="1">
      <c r="A795" s="59"/>
      <c r="B795" s="1586" t="s">
        <v>2002</v>
      </c>
      <c r="C795" s="1015" t="str">
        <f t="shared" si="150"/>
        <v xml:space="preserve"> </v>
      </c>
      <c r="D795" s="1542"/>
      <c r="E795" s="1047" t="str">
        <f>VLOOKUP($B795,DG!A:D,DG!$B$2,)</f>
        <v>02.1115</v>
      </c>
      <c r="F795" s="1052" t="str">
        <f>VLOOKUP($B795,DG!A:D,DG!$C$2,)</f>
        <v>Bốc dỡ xà, thép thanh</v>
      </c>
      <c r="G795" s="1047" t="str">
        <f>VLOOKUP($B795,DG!A:D,DG!$D$2,)</f>
        <v>tấn</v>
      </c>
      <c r="H795" s="1845"/>
      <c r="I795" s="1845"/>
      <c r="J795" s="1845"/>
      <c r="K795" s="1845"/>
      <c r="L795" s="1845"/>
      <c r="M795" s="1845"/>
      <c r="N795" s="1845"/>
      <c r="O795" s="1845"/>
      <c r="P795" s="1845"/>
      <c r="Q795" s="1061"/>
      <c r="R795" s="1061"/>
      <c r="S795" s="1061"/>
      <c r="T795" s="2059">
        <f t="shared" si="138"/>
        <v>0</v>
      </c>
    </row>
    <row r="796" spans="1:20" ht="22.15" hidden="1" customHeight="1">
      <c r="A796" s="59"/>
      <c r="B796" s="1598" t="s">
        <v>2003</v>
      </c>
      <c r="C796" s="1015" t="str">
        <f t="shared" si="150"/>
        <v xml:space="preserve"> </v>
      </c>
      <c r="D796" s="1542"/>
      <c r="E796" s="1047" t="str">
        <f>VLOOKUP($B796,DG!A:C,2,)</f>
        <v>02.1361</v>
      </c>
      <c r="F796" s="1052" t="str">
        <f>VLOOKUP($B796,DG!A:C,3,)</f>
        <v>V/c xà vào vị trí (cư ly &lt;=100m)</v>
      </c>
      <c r="G796" s="1047" t="str">
        <f>VLOOKUP($B796,DG!A:D,4,0)</f>
        <v>tấn</v>
      </c>
      <c r="H796" s="1845"/>
      <c r="I796" s="1845"/>
      <c r="J796" s="1845"/>
      <c r="K796" s="1845"/>
      <c r="L796" s="1845"/>
      <c r="M796" s="1845"/>
      <c r="N796" s="1845"/>
      <c r="O796" s="1845"/>
      <c r="P796" s="1845"/>
      <c r="Q796" s="1061"/>
      <c r="R796" s="1061"/>
      <c r="S796" s="1061"/>
      <c r="T796" s="2059">
        <f t="shared" si="138"/>
        <v>0</v>
      </c>
    </row>
    <row r="797" spans="1:20" ht="22.15" hidden="1" customHeight="1">
      <c r="A797" s="59"/>
      <c r="B797" s="1598" t="s">
        <v>635</v>
      </c>
      <c r="C797" s="1015" t="str">
        <f t="shared" si="150"/>
        <v xml:space="preserve"> </v>
      </c>
      <c r="D797" s="1543"/>
      <c r="E797" s="1047" t="str">
        <f>VLOOKUP($B797,DG!A:C,2,)</f>
        <v>02.1482</v>
      </c>
      <c r="F797" s="1052" t="str">
        <f>VLOOKUP($B797,DG!A:C,3,)</f>
        <v>V/c dụng cụ thi công vào vị trí (cự ly &lt;=100m)</v>
      </c>
      <c r="G797" s="1047" t="str">
        <f>VLOOKUP($B797,DG!A:D,4,0)</f>
        <v>tấn</v>
      </c>
      <c r="H797" s="1845"/>
      <c r="I797" s="1845"/>
      <c r="J797" s="1845"/>
      <c r="K797" s="1845"/>
      <c r="L797" s="1845"/>
      <c r="M797" s="1845"/>
      <c r="N797" s="1845"/>
      <c r="O797" s="1845"/>
      <c r="P797" s="1845"/>
      <c r="Q797" s="1061"/>
      <c r="R797" s="1061"/>
      <c r="S797" s="1061"/>
      <c r="T797" s="2059">
        <f t="shared" ref="T797:T860" si="151">IFERROR(HLOOKUP(B797,BangKeTru,3,0),0)</f>
        <v>0</v>
      </c>
    </row>
    <row r="798" spans="1:20" ht="22.15" customHeight="1">
      <c r="A798" s="1581" t="s">
        <v>2303</v>
      </c>
      <c r="B798" s="1583" t="s">
        <v>2303</v>
      </c>
      <c r="C798" s="1854" t="str">
        <f t="shared" si="150"/>
        <v>x</v>
      </c>
      <c r="D798" s="1541"/>
      <c r="E798" s="1048"/>
      <c r="F798" s="1396" t="s">
        <v>4356</v>
      </c>
      <c r="G798" s="1049" t="s">
        <v>2394</v>
      </c>
      <c r="H798" s="1843">
        <f>SUM(I798:O798)</f>
        <v>4</v>
      </c>
      <c r="I798" s="1844"/>
      <c r="J798" s="1844"/>
      <c r="K798" s="1844">
        <f>IFERROR(HLOOKUP(B798,pp3p1m!$1:$3,3,0),0)</f>
        <v>4</v>
      </c>
      <c r="L798" s="1844">
        <f>IFERROR(HLOOKUP(chitiet!B798,pp1p!$1:$3,3,0),0)</f>
        <v>0</v>
      </c>
      <c r="M798" s="1844"/>
      <c r="N798" s="1844"/>
      <c r="O798" s="1844"/>
      <c r="P798" s="1843">
        <f>H798+Q798-R798</f>
        <v>4</v>
      </c>
      <c r="Q798" s="1050"/>
      <c r="R798" s="1050"/>
      <c r="S798" s="1050"/>
      <c r="T798" s="2059">
        <f>IFERROR(HLOOKUP(B798,pp1p!$1:$3,3,0),0)+IFERROR(HLOOKUP(B798,pp3p1m!$1:$3,3,0),0)</f>
        <v>4</v>
      </c>
    </row>
    <row r="799" spans="1:20" ht="22.15" customHeight="1">
      <c r="B799" s="1580" t="s">
        <v>4869</v>
      </c>
      <c r="C799" s="1854" t="str">
        <f t="shared" si="150"/>
        <v>x</v>
      </c>
      <c r="D799" s="1544">
        <v>2</v>
      </c>
      <c r="E799" s="1047"/>
      <c r="F799" s="1059" t="str">
        <f>VLOOKUP($B799,DG!A:D,DG!$C$2,)</f>
        <v>Sắt góc L75 x75 x8 x2200</v>
      </c>
      <c r="G799" s="1047" t="str">
        <f>VLOOKUP($B799,DG!A:D,DG!$D$2,)</f>
        <v>cái</v>
      </c>
      <c r="H799" s="1845">
        <f t="shared" ref="H799:N804" si="152">H$798*$D799</f>
        <v>8</v>
      </c>
      <c r="I799" s="1845">
        <f t="shared" si="152"/>
        <v>0</v>
      </c>
      <c r="J799" s="1845">
        <f t="shared" si="152"/>
        <v>0</v>
      </c>
      <c r="K799" s="1845">
        <f t="shared" si="152"/>
        <v>8</v>
      </c>
      <c r="L799" s="1845">
        <f t="shared" si="152"/>
        <v>0</v>
      </c>
      <c r="M799" s="1845">
        <f t="shared" si="152"/>
        <v>0</v>
      </c>
      <c r="N799" s="1845">
        <f t="shared" si="152"/>
        <v>0</v>
      </c>
      <c r="O799" s="1845"/>
      <c r="P799" s="1845">
        <f t="shared" ref="P799:P805" si="153">$P$798*D799</f>
        <v>8</v>
      </c>
      <c r="Q799" s="1062">
        <f t="shared" ref="Q799:Q805" si="154">$Q$798*D799</f>
        <v>0</v>
      </c>
      <c r="R799" s="1062">
        <f t="shared" ref="R799:R808" si="155">$R$798*D799</f>
        <v>0</v>
      </c>
      <c r="S799" s="1056"/>
      <c r="T799" s="2059">
        <f t="shared" si="151"/>
        <v>0</v>
      </c>
    </row>
    <row r="800" spans="1:20" ht="22.15" customHeight="1">
      <c r="B800" s="1580" t="s">
        <v>5196</v>
      </c>
      <c r="C800" s="1854" t="str">
        <f t="shared" si="150"/>
        <v>x</v>
      </c>
      <c r="D800" s="1544">
        <v>4</v>
      </c>
      <c r="E800" s="1047"/>
      <c r="F800" s="1059" t="str">
        <f>VLOOKUP($B800,DG!A:D,DG!$C$2,)</f>
        <v>Sắt góc L50 x50 x5 - 810</v>
      </c>
      <c r="G800" s="1047" t="str">
        <f>VLOOKUP($B800,DG!A:D,DG!$D$2,)</f>
        <v>cái</v>
      </c>
      <c r="H800" s="1845">
        <f t="shared" si="152"/>
        <v>16</v>
      </c>
      <c r="I800" s="1845">
        <f t="shared" si="152"/>
        <v>0</v>
      </c>
      <c r="J800" s="1845">
        <f t="shared" si="152"/>
        <v>0</v>
      </c>
      <c r="K800" s="1845">
        <f t="shared" si="152"/>
        <v>16</v>
      </c>
      <c r="L800" s="1845">
        <f t="shared" si="152"/>
        <v>0</v>
      </c>
      <c r="M800" s="1845">
        <f t="shared" si="152"/>
        <v>0</v>
      </c>
      <c r="N800" s="1845">
        <f t="shared" si="152"/>
        <v>0</v>
      </c>
      <c r="O800" s="1845"/>
      <c r="P800" s="1845">
        <f t="shared" si="153"/>
        <v>16</v>
      </c>
      <c r="Q800" s="1062">
        <f t="shared" si="154"/>
        <v>0</v>
      </c>
      <c r="R800" s="1062">
        <f t="shared" si="155"/>
        <v>0</v>
      </c>
      <c r="S800" s="1056"/>
      <c r="T800" s="2059">
        <f t="shared" si="151"/>
        <v>0</v>
      </c>
    </row>
    <row r="801" spans="1:20" ht="22.15" hidden="1" customHeight="1">
      <c r="B801" s="1580" t="s">
        <v>1614</v>
      </c>
      <c r="C801" s="1854" t="str">
        <f t="shared" si="150"/>
        <v xml:space="preserve"> </v>
      </c>
      <c r="D801" s="1544"/>
      <c r="E801" s="1047"/>
      <c r="F801" s="1059" t="str">
        <f>VLOOKUP($B801,DG!A:D,DG!$C$2,)</f>
        <v>Boulon 16x250+ 2 long đền vuông D18-50x50x3/Zn</v>
      </c>
      <c r="G801" s="1047" t="str">
        <f>VLOOKUP($B801,DG!A:D,DG!$D$2,)</f>
        <v>bộ</v>
      </c>
      <c r="H801" s="1845">
        <f t="shared" si="152"/>
        <v>0</v>
      </c>
      <c r="I801" s="1845">
        <f t="shared" si="152"/>
        <v>0</v>
      </c>
      <c r="J801" s="1845">
        <f t="shared" si="152"/>
        <v>0</v>
      </c>
      <c r="K801" s="1845">
        <f t="shared" si="152"/>
        <v>0</v>
      </c>
      <c r="L801" s="1845">
        <f t="shared" si="152"/>
        <v>0</v>
      </c>
      <c r="M801" s="1845">
        <f t="shared" si="152"/>
        <v>0</v>
      </c>
      <c r="N801" s="1845">
        <f t="shared" si="152"/>
        <v>0</v>
      </c>
      <c r="O801" s="1845"/>
      <c r="P801" s="1845">
        <f t="shared" si="153"/>
        <v>0</v>
      </c>
      <c r="Q801" s="1056">
        <f t="shared" si="154"/>
        <v>0</v>
      </c>
      <c r="R801" s="1056">
        <f t="shared" si="155"/>
        <v>0</v>
      </c>
      <c r="S801" s="1056"/>
      <c r="T801" s="2059">
        <f t="shared" si="151"/>
        <v>0</v>
      </c>
    </row>
    <row r="802" spans="1:20" ht="22.15" customHeight="1">
      <c r="B802" s="1580" t="s">
        <v>1615</v>
      </c>
      <c r="C802" s="1854" t="str">
        <f t="shared" si="150"/>
        <v>x</v>
      </c>
      <c r="D802" s="1544">
        <v>1</v>
      </c>
      <c r="E802" s="1047"/>
      <c r="F802" s="1059" t="str">
        <f>VLOOKUP($B802,DG!A:D,DG!$C$2,)</f>
        <v>Boulon 16x300+ 2 long đền vuông D18-50x50x3/Zn</v>
      </c>
      <c r="G802" s="1047" t="str">
        <f>VLOOKUP($B802,DG!A:D,DG!$D$2,)</f>
        <v>bộ</v>
      </c>
      <c r="H802" s="1845">
        <f t="shared" si="152"/>
        <v>4</v>
      </c>
      <c r="I802" s="1845">
        <f t="shared" si="152"/>
        <v>0</v>
      </c>
      <c r="J802" s="1845">
        <f t="shared" si="152"/>
        <v>0</v>
      </c>
      <c r="K802" s="1845">
        <f t="shared" si="152"/>
        <v>4</v>
      </c>
      <c r="L802" s="1845">
        <f t="shared" si="152"/>
        <v>0</v>
      </c>
      <c r="M802" s="1845">
        <f t="shared" si="152"/>
        <v>0</v>
      </c>
      <c r="N802" s="1845">
        <f t="shared" si="152"/>
        <v>0</v>
      </c>
      <c r="O802" s="1845"/>
      <c r="P802" s="1845">
        <f t="shared" si="153"/>
        <v>4</v>
      </c>
      <c r="Q802" s="1056">
        <f t="shared" si="154"/>
        <v>0</v>
      </c>
      <c r="R802" s="1056">
        <f t="shared" si="155"/>
        <v>0</v>
      </c>
      <c r="S802" s="1056"/>
      <c r="T802" s="2059">
        <f t="shared" si="151"/>
        <v>0</v>
      </c>
    </row>
    <row r="803" spans="1:20" ht="22.15" customHeight="1">
      <c r="B803" s="1580" t="s">
        <v>415</v>
      </c>
      <c r="C803" s="1854" t="str">
        <f t="shared" si="150"/>
        <v>x</v>
      </c>
      <c r="D803" s="1544">
        <v>4</v>
      </c>
      <c r="E803" s="1047"/>
      <c r="F803" s="1059" t="str">
        <f>VLOOKUP($B803,DG!A:D,DG!$C$2,)</f>
        <v>Boulon 16x300VRS+ 4 long đền vuông D18-50x50x3/Zn</v>
      </c>
      <c r="G803" s="1047" t="str">
        <f>VLOOKUP($B803,DG!A:D,DG!$D$2,)</f>
        <v>bộ</v>
      </c>
      <c r="H803" s="1845">
        <f t="shared" si="152"/>
        <v>16</v>
      </c>
      <c r="I803" s="1845">
        <f t="shared" si="152"/>
        <v>0</v>
      </c>
      <c r="J803" s="1845">
        <f t="shared" si="152"/>
        <v>0</v>
      </c>
      <c r="K803" s="1845">
        <f t="shared" si="152"/>
        <v>16</v>
      </c>
      <c r="L803" s="1845">
        <f t="shared" si="152"/>
        <v>0</v>
      </c>
      <c r="M803" s="1845">
        <f t="shared" si="152"/>
        <v>0</v>
      </c>
      <c r="N803" s="1845">
        <f t="shared" si="152"/>
        <v>0</v>
      </c>
      <c r="O803" s="1845"/>
      <c r="P803" s="1845">
        <f t="shared" si="153"/>
        <v>16</v>
      </c>
      <c r="Q803" s="1056">
        <f t="shared" si="154"/>
        <v>0</v>
      </c>
      <c r="R803" s="1056">
        <f t="shared" si="155"/>
        <v>0</v>
      </c>
      <c r="S803" s="1056"/>
      <c r="T803" s="2059">
        <f t="shared" si="151"/>
        <v>0</v>
      </c>
    </row>
    <row r="804" spans="1:20" ht="22.15" customHeight="1">
      <c r="B804" s="1580" t="s">
        <v>1792</v>
      </c>
      <c r="C804" s="1854" t="str">
        <f t="shared" si="150"/>
        <v>x</v>
      </c>
      <c r="D804" s="1544">
        <v>4</v>
      </c>
      <c r="E804" s="1047"/>
      <c r="F804" s="1059" t="str">
        <f>VLOOKUP($B804,DG!A:D,DG!$C$2,)</f>
        <v>Boulon 16x50+ 2 long đền vuông D18-50x50x3/Zn</v>
      </c>
      <c r="G804" s="1047" t="str">
        <f>VLOOKUP($B804,DG!A:D,DG!$D$2,)</f>
        <v>bộ</v>
      </c>
      <c r="H804" s="1845">
        <f t="shared" si="152"/>
        <v>16</v>
      </c>
      <c r="I804" s="1845">
        <f t="shared" si="152"/>
        <v>0</v>
      </c>
      <c r="J804" s="1845">
        <f t="shared" si="152"/>
        <v>0</v>
      </c>
      <c r="K804" s="1845">
        <f t="shared" si="152"/>
        <v>16</v>
      </c>
      <c r="L804" s="1845">
        <f t="shared" si="152"/>
        <v>0</v>
      </c>
      <c r="M804" s="1845">
        <f t="shared" si="152"/>
        <v>0</v>
      </c>
      <c r="N804" s="1845">
        <f t="shared" si="152"/>
        <v>0</v>
      </c>
      <c r="O804" s="1845"/>
      <c r="P804" s="1845">
        <f t="shared" si="153"/>
        <v>16</v>
      </c>
      <c r="Q804" s="1056">
        <f t="shared" si="154"/>
        <v>0</v>
      </c>
      <c r="R804" s="1056">
        <f t="shared" si="155"/>
        <v>0</v>
      </c>
      <c r="S804" s="1056"/>
      <c r="T804" s="2059">
        <f t="shared" si="151"/>
        <v>0</v>
      </c>
    </row>
    <row r="805" spans="1:20" ht="22.15" customHeight="1">
      <c r="B805" s="1580" t="s">
        <v>517</v>
      </c>
      <c r="C805" s="1854" t="str">
        <f t="shared" si="150"/>
        <v>x</v>
      </c>
      <c r="D805" s="1544">
        <v>1</v>
      </c>
      <c r="E805" s="1051" t="str">
        <f>VLOOKUP($B805,DG!A:D,DG!$B$2,)</f>
        <v>05.6203</v>
      </c>
      <c r="F805" s="1052" t="str">
        <f>VLOOKUP($B805,DG!A:D,DG!$C$2,)</f>
        <v>Lắp xà néo ≤ 100kg</v>
      </c>
      <c r="G805" s="1047" t="str">
        <f>VLOOKUP($B805,DG!A:D,DG!$D$2,)</f>
        <v>bộ</v>
      </c>
      <c r="H805" s="1845">
        <f>H$798*$D805</f>
        <v>4</v>
      </c>
      <c r="I805" s="1845"/>
      <c r="J805" s="1845"/>
      <c r="K805" s="1845"/>
      <c r="L805" s="1845"/>
      <c r="M805" s="1845"/>
      <c r="N805" s="1845"/>
      <c r="O805" s="1845"/>
      <c r="P805" s="1845">
        <f t="shared" si="153"/>
        <v>4</v>
      </c>
      <c r="Q805" s="1056">
        <f t="shared" si="154"/>
        <v>0</v>
      </c>
      <c r="R805" s="1056">
        <f t="shared" si="155"/>
        <v>0</v>
      </c>
      <c r="S805" s="1061"/>
      <c r="T805" s="2059">
        <f t="shared" si="151"/>
        <v>0</v>
      </c>
    </row>
    <row r="806" spans="1:20" ht="22.15" hidden="1" customHeight="1">
      <c r="A806" s="59"/>
      <c r="B806" s="1586" t="s">
        <v>2002</v>
      </c>
      <c r="C806" s="1015" t="str">
        <f t="shared" si="150"/>
        <v xml:space="preserve"> </v>
      </c>
      <c r="D806" s="1542">
        <f>D807</f>
        <v>0</v>
      </c>
      <c r="E806" s="1047" t="str">
        <f>VLOOKUP($B806,DG!A:D,DG!$B$2,)</f>
        <v>02.1115</v>
      </c>
      <c r="F806" s="1052" t="str">
        <f>VLOOKUP($B806,DG!A:D,DG!$C$2,)</f>
        <v>Bốc dỡ xà, thép thanh</v>
      </c>
      <c r="G806" s="1047" t="str">
        <f>VLOOKUP($B806,DG!A:D,DG!$D$2,)</f>
        <v>tấn</v>
      </c>
      <c r="H806" s="1845"/>
      <c r="I806" s="1845"/>
      <c r="J806" s="1845"/>
      <c r="K806" s="1845"/>
      <c r="L806" s="1845"/>
      <c r="M806" s="1845"/>
      <c r="N806" s="1845"/>
      <c r="O806" s="1845"/>
      <c r="P806" s="1845"/>
      <c r="Q806" s="1061"/>
      <c r="R806" s="1056">
        <f t="shared" si="155"/>
        <v>0</v>
      </c>
      <c r="S806" s="1061"/>
      <c r="T806" s="2059">
        <f t="shared" si="151"/>
        <v>0</v>
      </c>
    </row>
    <row r="807" spans="1:20" ht="22.15" hidden="1" customHeight="1">
      <c r="A807" s="59"/>
      <c r="B807" s="1598" t="s">
        <v>2003</v>
      </c>
      <c r="C807" s="1015" t="str">
        <f t="shared" si="150"/>
        <v xml:space="preserve"> </v>
      </c>
      <c r="D807" s="1542">
        <f>ROUND(SUM(D799:D800)*1.05/1000,3)*0</f>
        <v>0</v>
      </c>
      <c r="E807" s="1047" t="str">
        <f>VLOOKUP($B807,DG!A:C,2,)</f>
        <v>02.1361</v>
      </c>
      <c r="F807" s="1052" t="str">
        <f>VLOOKUP($B807,DG!A:C,3,)</f>
        <v>V/c xà vào vị trí (cư ly &lt;=100m)</v>
      </c>
      <c r="G807" s="1047" t="str">
        <f>VLOOKUP($B807,DG!A:D,4,0)</f>
        <v>tấn</v>
      </c>
      <c r="H807" s="1845"/>
      <c r="I807" s="1845"/>
      <c r="J807" s="1845"/>
      <c r="K807" s="1845"/>
      <c r="L807" s="1845"/>
      <c r="M807" s="1845"/>
      <c r="N807" s="1845"/>
      <c r="O807" s="1845"/>
      <c r="P807" s="1845"/>
      <c r="Q807" s="1061"/>
      <c r="R807" s="1056">
        <f t="shared" si="155"/>
        <v>0</v>
      </c>
      <c r="S807" s="1061"/>
      <c r="T807" s="2059">
        <f t="shared" si="151"/>
        <v>0</v>
      </c>
    </row>
    <row r="808" spans="1:20" ht="22.15" hidden="1" customHeight="1">
      <c r="A808" s="59"/>
      <c r="B808" s="1598" t="s">
        <v>635</v>
      </c>
      <c r="C808" s="1015" t="str">
        <f t="shared" si="150"/>
        <v xml:space="preserve"> </v>
      </c>
      <c r="D808" s="1543">
        <f>0.05*0</f>
        <v>0</v>
      </c>
      <c r="E808" s="1047" t="str">
        <f>VLOOKUP($B808,DG!A:C,2,)</f>
        <v>02.1482</v>
      </c>
      <c r="F808" s="1052" t="str">
        <f>VLOOKUP($B808,DG!A:C,3,)</f>
        <v>V/c dụng cụ thi công vào vị trí (cự ly &lt;=100m)</v>
      </c>
      <c r="G808" s="1047" t="str">
        <f>VLOOKUP($B808,DG!A:D,4,0)</f>
        <v>tấn</v>
      </c>
      <c r="H808" s="1845"/>
      <c r="I808" s="1845"/>
      <c r="J808" s="1845"/>
      <c r="K808" s="1845"/>
      <c r="L808" s="1845"/>
      <c r="M808" s="1845"/>
      <c r="N808" s="1845"/>
      <c r="O808" s="1845"/>
      <c r="P808" s="1845"/>
      <c r="Q808" s="1061"/>
      <c r="R808" s="1056">
        <f t="shared" si="155"/>
        <v>0</v>
      </c>
      <c r="S808" s="1061"/>
      <c r="T808" s="2059">
        <f t="shared" si="151"/>
        <v>0</v>
      </c>
    </row>
    <row r="809" spans="1:20" ht="22.15" hidden="1" customHeight="1">
      <c r="A809" s="56" t="s">
        <v>2299</v>
      </c>
      <c r="B809" s="1583" t="s">
        <v>2299</v>
      </c>
      <c r="C809" s="1015" t="str">
        <f t="shared" si="150"/>
        <v xml:space="preserve"> </v>
      </c>
      <c r="D809" s="1541"/>
      <c r="E809" s="1048"/>
      <c r="F809" s="1396" t="s">
        <v>2426</v>
      </c>
      <c r="G809" s="1049" t="s">
        <v>2394</v>
      </c>
      <c r="H809" s="1843">
        <f>SUM(I809:O809)</f>
        <v>0</v>
      </c>
      <c r="I809" s="1844"/>
      <c r="J809" s="1844"/>
      <c r="K809" s="1844">
        <f>IFERROR(HLOOKUP(B809,pp3p1m!$1:$3,3,0),0)</f>
        <v>0</v>
      </c>
      <c r="L809" s="1844">
        <f>IFERROR(HLOOKUP(chitiet!B809,pp1p!$1:$3,3,0),0)</f>
        <v>0</v>
      </c>
      <c r="M809" s="1844"/>
      <c r="N809" s="1844"/>
      <c r="O809" s="1844"/>
      <c r="P809" s="1844">
        <f>H809+Q809-R809</f>
        <v>0</v>
      </c>
      <c r="Q809" s="1050"/>
      <c r="R809" s="1050"/>
      <c r="S809" s="1050"/>
      <c r="T809" s="2059">
        <f>IFERROR(HLOOKUP(B809,pp1p!$1:$3,3,0),0)+IFERROR(HLOOKUP(B809,pp3p1m!$1:$3,3,0),0)</f>
        <v>0</v>
      </c>
    </row>
    <row r="810" spans="1:20" ht="22.15" hidden="1" customHeight="1">
      <c r="A810" s="59"/>
      <c r="B810" s="1586" t="s">
        <v>109</v>
      </c>
      <c r="C810" s="1015" t="str">
        <f t="shared" si="150"/>
        <v xml:space="preserve"> </v>
      </c>
      <c r="D810" s="1543">
        <f>9.02*2.2</f>
        <v>19.844000000000001</v>
      </c>
      <c r="E810" s="1047"/>
      <c r="F810" s="1059" t="str">
        <f>VLOOKUP($B810,DG!A:D,DG!$C$2,)</f>
        <v>Sắt góc L75 x75 x8</v>
      </c>
      <c r="G810" s="1047" t="str">
        <f>VLOOKUP($B810,DG!A:D,DG!$D$2,)</f>
        <v>kg</v>
      </c>
      <c r="H810" s="1845">
        <f t="shared" ref="H810:N813" si="156">H$809*$D810</f>
        <v>0</v>
      </c>
      <c r="I810" s="1845">
        <f t="shared" si="156"/>
        <v>0</v>
      </c>
      <c r="J810" s="1845">
        <f t="shared" si="156"/>
        <v>0</v>
      </c>
      <c r="K810" s="1845">
        <f t="shared" si="156"/>
        <v>0</v>
      </c>
      <c r="L810" s="1845">
        <f t="shared" si="156"/>
        <v>0</v>
      </c>
      <c r="M810" s="1845">
        <f t="shared" si="156"/>
        <v>0</v>
      </c>
      <c r="N810" s="1845">
        <f t="shared" si="156"/>
        <v>0</v>
      </c>
      <c r="O810" s="1845"/>
      <c r="P810" s="1845"/>
      <c r="Q810" s="1056"/>
      <c r="R810" s="1056"/>
      <c r="S810" s="1056"/>
      <c r="T810" s="2059">
        <f t="shared" si="151"/>
        <v>0</v>
      </c>
    </row>
    <row r="811" spans="1:20" ht="22.15" hidden="1" customHeight="1">
      <c r="A811" s="59"/>
      <c r="B811" s="1586" t="s">
        <v>457</v>
      </c>
      <c r="C811" s="1015" t="str">
        <f t="shared" si="150"/>
        <v xml:space="preserve"> </v>
      </c>
      <c r="D811" s="1543">
        <f>3.77*0.72*2</f>
        <v>5.4287999999999998</v>
      </c>
      <c r="E811" s="1047"/>
      <c r="F811" s="1059" t="str">
        <f>VLOOKUP($B811,DG!A:D,DG!$C$2,)</f>
        <v>Sắt góc L50 x50 x5</v>
      </c>
      <c r="G811" s="1047" t="str">
        <f>VLOOKUP($B811,DG!A:D,DG!$D$2,)</f>
        <v>kg</v>
      </c>
      <c r="H811" s="1845">
        <f t="shared" si="156"/>
        <v>0</v>
      </c>
      <c r="I811" s="1845">
        <f t="shared" si="156"/>
        <v>0</v>
      </c>
      <c r="J811" s="1845">
        <f t="shared" si="156"/>
        <v>0</v>
      </c>
      <c r="K811" s="1845">
        <f t="shared" si="156"/>
        <v>0</v>
      </c>
      <c r="L811" s="1845">
        <f t="shared" si="156"/>
        <v>0</v>
      </c>
      <c r="M811" s="1845">
        <f t="shared" si="156"/>
        <v>0</v>
      </c>
      <c r="N811" s="1845">
        <f t="shared" si="156"/>
        <v>0</v>
      </c>
      <c r="O811" s="1845"/>
      <c r="P811" s="1845"/>
      <c r="Q811" s="1056"/>
      <c r="R811" s="1056"/>
      <c r="S811" s="1056"/>
      <c r="T811" s="2059">
        <f t="shared" si="151"/>
        <v>0</v>
      </c>
    </row>
    <row r="812" spans="1:20" ht="22.15" hidden="1" customHeight="1">
      <c r="A812" s="59"/>
      <c r="B812" s="1586" t="s">
        <v>1614</v>
      </c>
      <c r="C812" s="1015" t="str">
        <f t="shared" si="150"/>
        <v xml:space="preserve"> </v>
      </c>
      <c r="D812" s="1544">
        <v>2</v>
      </c>
      <c r="E812" s="1047"/>
      <c r="F812" s="1059" t="str">
        <f>VLOOKUP($B812,DG!A:D,DG!$C$2,)</f>
        <v>Boulon 16x250+ 2 long đền vuông D18-50x50x3/Zn</v>
      </c>
      <c r="G812" s="1047" t="str">
        <f>VLOOKUP($B812,DG!A:D,DG!$D$2,)</f>
        <v>bộ</v>
      </c>
      <c r="H812" s="1845">
        <f t="shared" si="156"/>
        <v>0</v>
      </c>
      <c r="I812" s="1845">
        <f t="shared" si="156"/>
        <v>0</v>
      </c>
      <c r="J812" s="1845">
        <f t="shared" si="156"/>
        <v>0</v>
      </c>
      <c r="K812" s="1845">
        <f t="shared" si="156"/>
        <v>0</v>
      </c>
      <c r="L812" s="1845">
        <f t="shared" si="156"/>
        <v>0</v>
      </c>
      <c r="M812" s="1845">
        <f t="shared" si="156"/>
        <v>0</v>
      </c>
      <c r="N812" s="1845">
        <f t="shared" si="156"/>
        <v>0</v>
      </c>
      <c r="O812" s="1845"/>
      <c r="P812" s="1845"/>
      <c r="Q812" s="1056"/>
      <c r="R812" s="1056"/>
      <c r="S812" s="1056"/>
      <c r="T812" s="2059">
        <f t="shared" si="151"/>
        <v>0</v>
      </c>
    </row>
    <row r="813" spans="1:20" ht="22.15" hidden="1" customHeight="1">
      <c r="A813" s="59"/>
      <c r="B813" s="1586" t="s">
        <v>1792</v>
      </c>
      <c r="C813" s="1015" t="str">
        <f t="shared" si="150"/>
        <v xml:space="preserve"> </v>
      </c>
      <c r="D813" s="1544">
        <v>1</v>
      </c>
      <c r="E813" s="1047"/>
      <c r="F813" s="1059" t="str">
        <f>VLOOKUP($B813,DG!A:D,DG!$C$2,)</f>
        <v>Boulon 16x50+ 2 long đền vuông D18-50x50x3/Zn</v>
      </c>
      <c r="G813" s="1047" t="str">
        <f>VLOOKUP($B813,DG!A:D,DG!$D$2,)</f>
        <v>bộ</v>
      </c>
      <c r="H813" s="1845">
        <f t="shared" si="156"/>
        <v>0</v>
      </c>
      <c r="I813" s="1845">
        <f t="shared" si="156"/>
        <v>0</v>
      </c>
      <c r="J813" s="1845">
        <f t="shared" si="156"/>
        <v>0</v>
      </c>
      <c r="K813" s="1845">
        <f t="shared" si="156"/>
        <v>0</v>
      </c>
      <c r="L813" s="1845">
        <f t="shared" si="156"/>
        <v>0</v>
      </c>
      <c r="M813" s="1845">
        <f t="shared" si="156"/>
        <v>0</v>
      </c>
      <c r="N813" s="1845">
        <f t="shared" si="156"/>
        <v>0</v>
      </c>
      <c r="O813" s="1845"/>
      <c r="P813" s="1845"/>
      <c r="Q813" s="1056"/>
      <c r="R813" s="1056"/>
      <c r="S813" s="1056"/>
      <c r="T813" s="2059">
        <f t="shared" si="151"/>
        <v>0</v>
      </c>
    </row>
    <row r="814" spans="1:20" ht="22.15" hidden="1" customHeight="1">
      <c r="A814" s="59"/>
      <c r="B814" s="1586" t="s">
        <v>2001</v>
      </c>
      <c r="C814" s="1015" t="str">
        <f t="shared" si="150"/>
        <v xml:space="preserve"> </v>
      </c>
      <c r="D814" s="1544">
        <v>1</v>
      </c>
      <c r="E814" s="1047" t="str">
        <f>VLOOKUP($B814,DG!A:D,DG!$B$2,)</f>
        <v>05.6401</v>
      </c>
      <c r="F814" s="1052" t="str">
        <f>VLOOKUP($B814,DG!A:D,DG!$C$2,)</f>
        <v>Lắp xà đỡ ≤ 25kg</v>
      </c>
      <c r="G814" s="1047" t="str">
        <f>VLOOKUP($B814,DG!A:D,DG!$D$2,)</f>
        <v>bộ</v>
      </c>
      <c r="H814" s="1845"/>
      <c r="I814" s="1845"/>
      <c r="J814" s="1845"/>
      <c r="K814" s="1845"/>
      <c r="L814" s="1845"/>
      <c r="M814" s="1845"/>
      <c r="N814" s="1845"/>
      <c r="O814" s="1845"/>
      <c r="P814" s="1845"/>
      <c r="Q814" s="1061"/>
      <c r="R814" s="1061"/>
      <c r="S814" s="1061"/>
      <c r="T814" s="2059">
        <f t="shared" si="151"/>
        <v>0</v>
      </c>
    </row>
    <row r="815" spans="1:20" ht="22.15" hidden="1" customHeight="1">
      <c r="A815" s="59"/>
      <c r="B815" s="1586" t="s">
        <v>2002</v>
      </c>
      <c r="C815" s="1015" t="str">
        <f t="shared" si="150"/>
        <v xml:space="preserve"> </v>
      </c>
      <c r="D815" s="1542"/>
      <c r="E815" s="1047" t="str">
        <f>VLOOKUP($B815,DG!A:D,DG!$B$2,)</f>
        <v>02.1115</v>
      </c>
      <c r="F815" s="1052" t="str">
        <f>VLOOKUP($B815,DG!A:D,DG!$C$2,)</f>
        <v>Bốc dỡ xà, thép thanh</v>
      </c>
      <c r="G815" s="1047" t="str">
        <f>VLOOKUP($B815,DG!A:D,DG!$D$2,)</f>
        <v>tấn</v>
      </c>
      <c r="H815" s="1845"/>
      <c r="I815" s="1845"/>
      <c r="J815" s="1845"/>
      <c r="K815" s="1845"/>
      <c r="L815" s="1845"/>
      <c r="M815" s="1845"/>
      <c r="N815" s="1845"/>
      <c r="O815" s="1845"/>
      <c r="P815" s="1845"/>
      <c r="Q815" s="1061"/>
      <c r="R815" s="1061"/>
      <c r="S815" s="1061"/>
      <c r="T815" s="2059">
        <f t="shared" si="151"/>
        <v>0</v>
      </c>
    </row>
    <row r="816" spans="1:20" ht="22.15" hidden="1" customHeight="1">
      <c r="A816" s="59"/>
      <c r="B816" s="1598" t="s">
        <v>2003</v>
      </c>
      <c r="C816" s="1015" t="str">
        <f t="shared" si="150"/>
        <v xml:space="preserve"> </v>
      </c>
      <c r="D816" s="1542"/>
      <c r="E816" s="1047" t="str">
        <f>VLOOKUP($B816,DG!A:C,2,)</f>
        <v>02.1361</v>
      </c>
      <c r="F816" s="1052" t="str">
        <f>VLOOKUP($B816,DG!A:C,3,)</f>
        <v>V/c xà vào vị trí (cư ly &lt;=100m)</v>
      </c>
      <c r="G816" s="1047" t="str">
        <f>VLOOKUP($B816,DG!A:D,4,0)</f>
        <v>tấn</v>
      </c>
      <c r="H816" s="1845"/>
      <c r="I816" s="1845"/>
      <c r="J816" s="1845"/>
      <c r="K816" s="1845"/>
      <c r="L816" s="1845"/>
      <c r="M816" s="1845"/>
      <c r="N816" s="1845"/>
      <c r="O816" s="1845"/>
      <c r="P816" s="1845"/>
      <c r="Q816" s="1061"/>
      <c r="R816" s="1061"/>
      <c r="S816" s="1061"/>
      <c r="T816" s="2059">
        <f t="shared" si="151"/>
        <v>0</v>
      </c>
    </row>
    <row r="817" spans="1:20" ht="22.15" hidden="1" customHeight="1">
      <c r="A817" s="59"/>
      <c r="B817" s="1598" t="s">
        <v>635</v>
      </c>
      <c r="C817" s="1015" t="str">
        <f t="shared" si="150"/>
        <v xml:space="preserve"> </v>
      </c>
      <c r="D817" s="1543"/>
      <c r="E817" s="1047" t="str">
        <f>VLOOKUP($B817,DG!A:C,2,)</f>
        <v>02.1482</v>
      </c>
      <c r="F817" s="1052" t="str">
        <f>VLOOKUP($B817,DG!A:C,3,)</f>
        <v>V/c dụng cụ thi công vào vị trí (cự ly &lt;=100m)</v>
      </c>
      <c r="G817" s="1047" t="str">
        <f>VLOOKUP($B817,DG!A:D,4,0)</f>
        <v>tấn</v>
      </c>
      <c r="H817" s="1845"/>
      <c r="I817" s="1845"/>
      <c r="J817" s="1845"/>
      <c r="K817" s="1845"/>
      <c r="L817" s="1845"/>
      <c r="M817" s="1845"/>
      <c r="N817" s="1845"/>
      <c r="O817" s="1845"/>
      <c r="P817" s="1845"/>
      <c r="Q817" s="1061"/>
      <c r="R817" s="1061"/>
      <c r="S817" s="1061"/>
      <c r="T817" s="2059">
        <f t="shared" si="151"/>
        <v>0</v>
      </c>
    </row>
    <row r="818" spans="1:20" ht="22.15" hidden="1" customHeight="1">
      <c r="A818" s="56" t="s">
        <v>911</v>
      </c>
      <c r="B818" s="1583" t="s">
        <v>911</v>
      </c>
      <c r="C818" s="1015" t="str">
        <f t="shared" si="150"/>
        <v xml:space="preserve"> </v>
      </c>
      <c r="D818" s="1541"/>
      <c r="E818" s="1048"/>
      <c r="F818" s="1396" t="s">
        <v>2427</v>
      </c>
      <c r="G818" s="1049" t="s">
        <v>2394</v>
      </c>
      <c r="H818" s="1843">
        <f>SUM(I818:O818)</f>
        <v>0</v>
      </c>
      <c r="I818" s="1844"/>
      <c r="J818" s="1844"/>
      <c r="K818" s="1844">
        <f>IFERROR(HLOOKUP(B818,pp3p1m!$1:$3,3,0),0)</f>
        <v>0</v>
      </c>
      <c r="L818" s="1844">
        <f>IFERROR(HLOOKUP(chitiet!B818,pp1p!$1:$3,3,0),0)</f>
        <v>0</v>
      </c>
      <c r="M818" s="1844"/>
      <c r="N818" s="1844"/>
      <c r="O818" s="1844"/>
      <c r="P818" s="1844">
        <f>H818+Q818-R818</f>
        <v>0</v>
      </c>
      <c r="Q818" s="1050"/>
      <c r="R818" s="1050"/>
      <c r="S818" s="1050"/>
      <c r="T818" s="2059">
        <f>IFERROR(HLOOKUP(B818,pp1p!$1:$3,3,0),0)+IFERROR(HLOOKUP(B818,pp3p1m!$1:$3,3,0),0)</f>
        <v>0</v>
      </c>
    </row>
    <row r="819" spans="1:20" ht="22.15" hidden="1" customHeight="1">
      <c r="A819" s="59"/>
      <c r="B819" s="1586" t="s">
        <v>4868</v>
      </c>
      <c r="C819" s="1015" t="str">
        <f t="shared" si="150"/>
        <v xml:space="preserve"> </v>
      </c>
      <c r="D819" s="1543">
        <f>9.02*2.2*2</f>
        <v>39.688000000000002</v>
      </c>
      <c r="E819" s="1047"/>
      <c r="F819" s="1059" t="str">
        <f>VLOOKUP($B819,DG!A:D,DG!$C$2,)</f>
        <v>Sắt góc L75 x75 x8-2.200</v>
      </c>
      <c r="G819" s="1047" t="str">
        <f>VLOOKUP($B819,DG!A:D,DG!$D$2,)</f>
        <v>cái</v>
      </c>
      <c r="H819" s="1845">
        <f t="shared" ref="H819:H824" si="157">H$818*$D819</f>
        <v>0</v>
      </c>
      <c r="I819" s="1845">
        <f t="shared" ref="I819:K822" si="158">I$809*$D819</f>
        <v>0</v>
      </c>
      <c r="J819" s="1845">
        <f t="shared" si="158"/>
        <v>0</v>
      </c>
      <c r="K819" s="1845">
        <f t="shared" si="158"/>
        <v>0</v>
      </c>
      <c r="L819" s="1845">
        <f t="shared" ref="L819:N824" si="159">L$818*$D819</f>
        <v>0</v>
      </c>
      <c r="M819" s="1845">
        <f t="shared" si="159"/>
        <v>0</v>
      </c>
      <c r="N819" s="1845">
        <f t="shared" si="159"/>
        <v>0</v>
      </c>
      <c r="O819" s="1845"/>
      <c r="P819" s="1845"/>
      <c r="Q819" s="1056"/>
      <c r="R819" s="1056"/>
      <c r="S819" s="1056"/>
      <c r="T819" s="2059">
        <f t="shared" si="151"/>
        <v>0</v>
      </c>
    </row>
    <row r="820" spans="1:20" ht="22.15" hidden="1" customHeight="1">
      <c r="A820" s="59"/>
      <c r="B820" s="1586" t="s">
        <v>457</v>
      </c>
      <c r="C820" s="1015" t="str">
        <f t="shared" si="150"/>
        <v xml:space="preserve"> </v>
      </c>
      <c r="D820" s="1543">
        <f>3.77*0.72*4</f>
        <v>10.8576</v>
      </c>
      <c r="E820" s="1047"/>
      <c r="F820" s="1059" t="str">
        <f>VLOOKUP($B820,DG!A:D,DG!$C$2,)</f>
        <v>Sắt góc L50 x50 x5</v>
      </c>
      <c r="G820" s="1047" t="str">
        <f>VLOOKUP($B820,DG!A:D,DG!$D$2,)</f>
        <v>kg</v>
      </c>
      <c r="H820" s="1845">
        <f t="shared" si="157"/>
        <v>0</v>
      </c>
      <c r="I820" s="1845">
        <f t="shared" si="158"/>
        <v>0</v>
      </c>
      <c r="J820" s="1845">
        <f t="shared" si="158"/>
        <v>0</v>
      </c>
      <c r="K820" s="1845">
        <f t="shared" si="158"/>
        <v>0</v>
      </c>
      <c r="L820" s="1845">
        <f t="shared" si="159"/>
        <v>0</v>
      </c>
      <c r="M820" s="1845">
        <f t="shared" si="159"/>
        <v>0</v>
      </c>
      <c r="N820" s="1845">
        <f t="shared" si="159"/>
        <v>0</v>
      </c>
      <c r="O820" s="1845"/>
      <c r="P820" s="1845"/>
      <c r="Q820" s="1056"/>
      <c r="R820" s="1056"/>
      <c r="S820" s="1056"/>
      <c r="T820" s="2059">
        <f t="shared" si="151"/>
        <v>0</v>
      </c>
    </row>
    <row r="821" spans="1:20" ht="22.15" hidden="1" customHeight="1">
      <c r="A821" s="59"/>
      <c r="B821" s="1586" t="s">
        <v>1792</v>
      </c>
      <c r="C821" s="1015" t="str">
        <f t="shared" si="150"/>
        <v xml:space="preserve"> </v>
      </c>
      <c r="D821" s="1544">
        <v>4</v>
      </c>
      <c r="E821" s="1047"/>
      <c r="F821" s="1059" t="str">
        <f>VLOOKUP($B821,DG!A:D,DG!$C$2,)</f>
        <v>Boulon 16x50+ 2 long đền vuông D18-50x50x3/Zn</v>
      </c>
      <c r="G821" s="1047" t="str">
        <f>VLOOKUP($B821,DG!A:D,DG!$D$2,)</f>
        <v>bộ</v>
      </c>
      <c r="H821" s="1845">
        <f t="shared" si="157"/>
        <v>0</v>
      </c>
      <c r="I821" s="1845">
        <f t="shared" si="158"/>
        <v>0</v>
      </c>
      <c r="J821" s="1845">
        <f t="shared" si="158"/>
        <v>0</v>
      </c>
      <c r="K821" s="1845">
        <f t="shared" si="158"/>
        <v>0</v>
      </c>
      <c r="L821" s="1845">
        <f t="shared" si="159"/>
        <v>0</v>
      </c>
      <c r="M821" s="1845">
        <f t="shared" si="159"/>
        <v>0</v>
      </c>
      <c r="N821" s="1845">
        <f t="shared" si="159"/>
        <v>0</v>
      </c>
      <c r="O821" s="1845"/>
      <c r="P821" s="1845"/>
      <c r="Q821" s="1056"/>
      <c r="R821" s="1056"/>
      <c r="S821" s="1056"/>
      <c r="T821" s="2059">
        <f t="shared" si="151"/>
        <v>0</v>
      </c>
    </row>
    <row r="822" spans="1:20" ht="22.15" hidden="1" customHeight="1">
      <c r="A822" s="59"/>
      <c r="B822" s="1586" t="s">
        <v>1614</v>
      </c>
      <c r="C822" s="1015" t="str">
        <f t="shared" si="150"/>
        <v xml:space="preserve"> </v>
      </c>
      <c r="D822" s="1544">
        <v>1</v>
      </c>
      <c r="E822" s="1047"/>
      <c r="F822" s="1059" t="str">
        <f>VLOOKUP($B822,DG!A:D,DG!$C$2,)</f>
        <v>Boulon 16x250+ 2 long đền vuông D18-50x50x3/Zn</v>
      </c>
      <c r="G822" s="1047" t="str">
        <f>VLOOKUP($B822,DG!A:D,DG!$D$2,)</f>
        <v>bộ</v>
      </c>
      <c r="H822" s="1845">
        <f t="shared" si="157"/>
        <v>0</v>
      </c>
      <c r="I822" s="1845">
        <f t="shared" si="158"/>
        <v>0</v>
      </c>
      <c r="J822" s="1845">
        <f t="shared" si="158"/>
        <v>0</v>
      </c>
      <c r="K822" s="1845">
        <f t="shared" si="158"/>
        <v>0</v>
      </c>
      <c r="L822" s="1845">
        <f t="shared" si="159"/>
        <v>0</v>
      </c>
      <c r="M822" s="1845">
        <f t="shared" si="159"/>
        <v>0</v>
      </c>
      <c r="N822" s="1845">
        <f t="shared" si="159"/>
        <v>0</v>
      </c>
      <c r="O822" s="1845"/>
      <c r="P822" s="1845"/>
      <c r="Q822" s="1056"/>
      <c r="R822" s="1056"/>
      <c r="S822" s="1056"/>
      <c r="T822" s="2059">
        <f t="shared" si="151"/>
        <v>0</v>
      </c>
    </row>
    <row r="823" spans="1:20" ht="22.15" hidden="1" customHeight="1">
      <c r="A823" s="59"/>
      <c r="B823" s="1586" t="s">
        <v>1615</v>
      </c>
      <c r="C823" s="1015" t="str">
        <f t="shared" si="150"/>
        <v xml:space="preserve"> </v>
      </c>
      <c r="D823" s="1544">
        <v>1</v>
      </c>
      <c r="E823" s="1047"/>
      <c r="F823" s="1059" t="str">
        <f>VLOOKUP($B823,DG!A:D,DG!$C$2,)</f>
        <v>Boulon 16x300+ 2 long đền vuông D18-50x50x3/Zn</v>
      </c>
      <c r="G823" s="1047" t="str">
        <f>VLOOKUP($B823,DG!A:D,DG!$D$2,)</f>
        <v>bộ</v>
      </c>
      <c r="H823" s="1845">
        <f t="shared" si="157"/>
        <v>0</v>
      </c>
      <c r="I823" s="1845">
        <f t="shared" ref="I823:K824" si="160">I$818*$D823</f>
        <v>0</v>
      </c>
      <c r="J823" s="1845">
        <f t="shared" si="160"/>
        <v>0</v>
      </c>
      <c r="K823" s="1845">
        <f t="shared" si="160"/>
        <v>0</v>
      </c>
      <c r="L823" s="1845">
        <f t="shared" si="159"/>
        <v>0</v>
      </c>
      <c r="M823" s="1845">
        <f t="shared" si="159"/>
        <v>0</v>
      </c>
      <c r="N823" s="1845">
        <f t="shared" si="159"/>
        <v>0</v>
      </c>
      <c r="O823" s="1845"/>
      <c r="P823" s="1845"/>
      <c r="Q823" s="1056"/>
      <c r="R823" s="1056"/>
      <c r="S823" s="1056"/>
      <c r="T823" s="2059">
        <f t="shared" si="151"/>
        <v>0</v>
      </c>
    </row>
    <row r="824" spans="1:20" ht="22.15" hidden="1" customHeight="1">
      <c r="A824" s="59"/>
      <c r="B824" s="1586" t="s">
        <v>415</v>
      </c>
      <c r="C824" s="1015" t="str">
        <f t="shared" si="150"/>
        <v xml:space="preserve"> </v>
      </c>
      <c r="D824" s="1544">
        <v>2</v>
      </c>
      <c r="E824" s="1047"/>
      <c r="F824" s="1059" t="str">
        <f>VLOOKUP($B824,DG!A:D,DG!$C$2,)</f>
        <v>Boulon 16x300VRS+ 4 long đền vuông D18-50x50x3/Zn</v>
      </c>
      <c r="G824" s="1047" t="str">
        <f>VLOOKUP($B824,DG!A:D,DG!$D$2,)</f>
        <v>bộ</v>
      </c>
      <c r="H824" s="1845">
        <f t="shared" si="157"/>
        <v>0</v>
      </c>
      <c r="I824" s="1845">
        <f t="shared" si="160"/>
        <v>0</v>
      </c>
      <c r="J824" s="1845">
        <f t="shared" si="160"/>
        <v>0</v>
      </c>
      <c r="K824" s="1845">
        <f t="shared" si="160"/>
        <v>0</v>
      </c>
      <c r="L824" s="1845">
        <f t="shared" si="159"/>
        <v>0</v>
      </c>
      <c r="M824" s="1845">
        <f t="shared" si="159"/>
        <v>0</v>
      </c>
      <c r="N824" s="1845">
        <f t="shared" si="159"/>
        <v>0</v>
      </c>
      <c r="O824" s="1845"/>
      <c r="P824" s="1845"/>
      <c r="Q824" s="1056"/>
      <c r="R824" s="1056"/>
      <c r="S824" s="1056"/>
      <c r="T824" s="2059">
        <f t="shared" si="151"/>
        <v>0</v>
      </c>
    </row>
    <row r="825" spans="1:20" ht="22.15" hidden="1" customHeight="1">
      <c r="A825" s="59"/>
      <c r="B825" s="1586" t="s">
        <v>2004</v>
      </c>
      <c r="C825" s="1015" t="str">
        <f t="shared" si="150"/>
        <v xml:space="preserve"> </v>
      </c>
      <c r="D825" s="1544">
        <v>1</v>
      </c>
      <c r="E825" s="1047" t="str">
        <f>VLOOKUP($B825,DG!A:D,DG!$B$2,)</f>
        <v>05.6202</v>
      </c>
      <c r="F825" s="1052" t="str">
        <f>VLOOKUP($B825,DG!A:D,DG!$C$2,)</f>
        <v>Lắp xà néo ≤ 50kg</v>
      </c>
      <c r="G825" s="1047" t="str">
        <f>VLOOKUP($B825,DG!A:D,DG!$D$2,)</f>
        <v>bộ</v>
      </c>
      <c r="H825" s="1845"/>
      <c r="I825" s="1845"/>
      <c r="J825" s="1845"/>
      <c r="K825" s="1845"/>
      <c r="L825" s="1845"/>
      <c r="M825" s="1845"/>
      <c r="N825" s="1845"/>
      <c r="O825" s="1845"/>
      <c r="P825" s="1845"/>
      <c r="Q825" s="1061"/>
      <c r="R825" s="1061"/>
      <c r="S825" s="1061"/>
      <c r="T825" s="2059">
        <f t="shared" si="151"/>
        <v>0</v>
      </c>
    </row>
    <row r="826" spans="1:20" ht="22.15" hidden="1" customHeight="1">
      <c r="A826" s="59"/>
      <c r="B826" s="1586" t="s">
        <v>2002</v>
      </c>
      <c r="C826" s="1015" t="str">
        <f t="shared" si="150"/>
        <v xml:space="preserve"> </v>
      </c>
      <c r="D826" s="1542"/>
      <c r="E826" s="1047" t="str">
        <f>VLOOKUP($B826,DG!A:D,DG!$B$2,)</f>
        <v>02.1115</v>
      </c>
      <c r="F826" s="1052" t="str">
        <f>VLOOKUP($B826,DG!A:D,DG!$C$2,)</f>
        <v>Bốc dỡ xà, thép thanh</v>
      </c>
      <c r="G826" s="1047" t="str">
        <f>VLOOKUP($B826,DG!A:D,DG!$D$2,)</f>
        <v>tấn</v>
      </c>
      <c r="H826" s="1845"/>
      <c r="I826" s="1845"/>
      <c r="J826" s="1845"/>
      <c r="K826" s="1845"/>
      <c r="L826" s="1845"/>
      <c r="M826" s="1845"/>
      <c r="N826" s="1845"/>
      <c r="O826" s="1845"/>
      <c r="P826" s="1845"/>
      <c r="Q826" s="1061"/>
      <c r="R826" s="1061"/>
      <c r="S826" s="1061"/>
      <c r="T826" s="2059">
        <f t="shared" si="151"/>
        <v>0</v>
      </c>
    </row>
    <row r="827" spans="1:20" ht="22.15" hidden="1" customHeight="1">
      <c r="A827" s="59"/>
      <c r="B827" s="1598" t="s">
        <v>2003</v>
      </c>
      <c r="C827" s="1015" t="str">
        <f t="shared" si="150"/>
        <v xml:space="preserve"> </v>
      </c>
      <c r="D827" s="1542"/>
      <c r="E827" s="1047" t="str">
        <f>VLOOKUP($B827,DG!A:C,2,)</f>
        <v>02.1361</v>
      </c>
      <c r="F827" s="1052" t="str">
        <f>VLOOKUP($B827,DG!A:C,3,)</f>
        <v>V/c xà vào vị trí (cư ly &lt;=100m)</v>
      </c>
      <c r="G827" s="1047" t="str">
        <f>VLOOKUP($B827,DG!A:D,4,0)</f>
        <v>tấn</v>
      </c>
      <c r="H827" s="1845"/>
      <c r="I827" s="1845"/>
      <c r="J827" s="1845"/>
      <c r="K827" s="1845"/>
      <c r="L827" s="1845"/>
      <c r="M827" s="1845"/>
      <c r="N827" s="1845"/>
      <c r="O827" s="1845"/>
      <c r="P827" s="1845"/>
      <c r="Q827" s="1061"/>
      <c r="R827" s="1061"/>
      <c r="S827" s="1061"/>
      <c r="T827" s="2059">
        <f t="shared" si="151"/>
        <v>0</v>
      </c>
    </row>
    <row r="828" spans="1:20" ht="22.15" hidden="1" customHeight="1">
      <c r="A828" s="59"/>
      <c r="B828" s="1598" t="s">
        <v>635</v>
      </c>
      <c r="C828" s="1015" t="str">
        <f t="shared" si="150"/>
        <v xml:space="preserve"> </v>
      </c>
      <c r="D828" s="1543"/>
      <c r="E828" s="1047" t="str">
        <f>VLOOKUP($B828,DG!A:C,2,)</f>
        <v>02.1482</v>
      </c>
      <c r="F828" s="1052" t="str">
        <f>VLOOKUP($B828,DG!A:C,3,)</f>
        <v>V/c dụng cụ thi công vào vị trí (cự ly &lt;=100m)</v>
      </c>
      <c r="G828" s="1047" t="str">
        <f>VLOOKUP($B828,DG!A:D,4,0)</f>
        <v>tấn</v>
      </c>
      <c r="H828" s="1845"/>
      <c r="I828" s="1845"/>
      <c r="J828" s="1845"/>
      <c r="K828" s="1845"/>
      <c r="L828" s="1845"/>
      <c r="M828" s="1845"/>
      <c r="N828" s="1845"/>
      <c r="O828" s="1845"/>
      <c r="P828" s="1845"/>
      <c r="Q828" s="1061"/>
      <c r="R828" s="1061"/>
      <c r="S828" s="1061"/>
      <c r="T828" s="2059">
        <f t="shared" si="151"/>
        <v>0</v>
      </c>
    </row>
    <row r="829" spans="1:20" ht="22.15" hidden="1" customHeight="1">
      <c r="A829" s="1581" t="s">
        <v>2302</v>
      </c>
      <c r="B829" s="1583" t="s">
        <v>2302</v>
      </c>
      <c r="C829" s="1854" t="str">
        <f t="shared" si="150"/>
        <v xml:space="preserve"> </v>
      </c>
      <c r="D829" s="1541"/>
      <c r="E829" s="1048"/>
      <c r="F829" s="1396" t="s">
        <v>2428</v>
      </c>
      <c r="G829" s="1049" t="s">
        <v>2394</v>
      </c>
      <c r="H829" s="1843">
        <f>SUM(I829:O829)</f>
        <v>0</v>
      </c>
      <c r="I829" s="1844"/>
      <c r="J829" s="1844"/>
      <c r="K829" s="1844">
        <f>IFERROR(HLOOKUP(B829,pp3p1m!$1:$3,3,0),0)</f>
        <v>0</v>
      </c>
      <c r="L829" s="1844">
        <f>IFERROR(HLOOKUP(chitiet!B829,pp1p!$1:$3,3,0),0)</f>
        <v>0</v>
      </c>
      <c r="M829" s="1844"/>
      <c r="N829" s="1844"/>
      <c r="O829" s="1844"/>
      <c r="P829" s="1843">
        <f>H829+Q829-R829</f>
        <v>0</v>
      </c>
      <c r="Q829" s="1050"/>
      <c r="R829" s="1050"/>
      <c r="S829" s="1050"/>
      <c r="T829" s="2059">
        <f>IFERROR(HLOOKUP(B829,pp1p!$1:$3,3,0),0)+IFERROR(HLOOKUP(B829,pp3p1m!$1:$3,3,0),0)</f>
        <v>0</v>
      </c>
    </row>
    <row r="830" spans="1:20" ht="22.15" hidden="1" customHeight="1">
      <c r="B830" s="1586" t="s">
        <v>109</v>
      </c>
      <c r="C830" s="1854" t="str">
        <f t="shared" si="150"/>
        <v xml:space="preserve"> </v>
      </c>
      <c r="D830" s="1543">
        <v>1</v>
      </c>
      <c r="E830" s="1047"/>
      <c r="F830" s="1059" t="str">
        <f>VLOOKUP($B830,DG!A:D,DG!$C$2,)</f>
        <v>Sắt góc L75 x75 x8</v>
      </c>
      <c r="G830" s="1047" t="str">
        <f>VLOOKUP($B830,DG!A:D,DG!$D$2,)</f>
        <v>kg</v>
      </c>
      <c r="H830" s="1845">
        <f t="shared" ref="H830:N831" si="161">H$829*$D830</f>
        <v>0</v>
      </c>
      <c r="I830" s="1845">
        <f t="shared" si="161"/>
        <v>0</v>
      </c>
      <c r="J830" s="1845">
        <f t="shared" si="161"/>
        <v>0</v>
      </c>
      <c r="K830" s="1845">
        <f t="shared" si="161"/>
        <v>0</v>
      </c>
      <c r="L830" s="1845">
        <f t="shared" si="161"/>
        <v>0</v>
      </c>
      <c r="M830" s="1845">
        <f t="shared" si="161"/>
        <v>0</v>
      </c>
      <c r="N830" s="1845">
        <f t="shared" si="161"/>
        <v>0</v>
      </c>
      <c r="O830" s="1845"/>
      <c r="P830" s="1845">
        <f>$P$829*D830</f>
        <v>0</v>
      </c>
      <c r="Q830" s="1060">
        <f>$Q$829*D830</f>
        <v>0</v>
      </c>
      <c r="R830" s="1056"/>
      <c r="S830" s="1056"/>
      <c r="T830" s="2059">
        <f t="shared" si="151"/>
        <v>0</v>
      </c>
    </row>
    <row r="831" spans="1:20" ht="22.15" hidden="1" customHeight="1">
      <c r="B831" s="1586" t="s">
        <v>457</v>
      </c>
      <c r="C831" s="1854" t="str">
        <f t="shared" si="150"/>
        <v xml:space="preserve"> </v>
      </c>
      <c r="D831" s="1543">
        <v>2</v>
      </c>
      <c r="E831" s="1047"/>
      <c r="F831" s="1059" t="str">
        <f>VLOOKUP($B831,DG!A:D,DG!$C$2,)&amp;": thanh chống 810"</f>
        <v>Sắt góc L50 x50 x5: thanh chống 810</v>
      </c>
      <c r="G831" s="1047" t="str">
        <f>VLOOKUP($B831,DG!A:D,DG!$D$2,)</f>
        <v>kg</v>
      </c>
      <c r="H831" s="1845">
        <f t="shared" si="161"/>
        <v>0</v>
      </c>
      <c r="I831" s="1845">
        <f t="shared" si="161"/>
        <v>0</v>
      </c>
      <c r="J831" s="1845">
        <f t="shared" si="161"/>
        <v>0</v>
      </c>
      <c r="K831" s="1845">
        <f t="shared" si="161"/>
        <v>0</v>
      </c>
      <c r="L831" s="1845">
        <f t="shared" si="161"/>
        <v>0</v>
      </c>
      <c r="M831" s="1845">
        <f t="shared" si="161"/>
        <v>0</v>
      </c>
      <c r="N831" s="1845">
        <f t="shared" si="161"/>
        <v>0</v>
      </c>
      <c r="O831" s="1845"/>
      <c r="P831" s="1845">
        <f>$P$829*D831</f>
        <v>0</v>
      </c>
      <c r="Q831" s="1056">
        <f>$Q$829*D831</f>
        <v>0</v>
      </c>
      <c r="R831" s="1056"/>
      <c r="S831" s="1056"/>
      <c r="T831" s="2059">
        <f t="shared" si="151"/>
        <v>0</v>
      </c>
    </row>
    <row r="832" spans="1:20" ht="22.15" hidden="1" customHeight="1">
      <c r="A832" s="59"/>
      <c r="B832" s="1586" t="s">
        <v>2429</v>
      </c>
      <c r="C832" s="1015" t="str">
        <f t="shared" si="150"/>
        <v xml:space="preserve"> </v>
      </c>
      <c r="D832" s="1543"/>
      <c r="E832" s="1047"/>
      <c r="F832" s="1059" t="str">
        <f>VLOOKUP($B832,DG!A:D,DG!$C$2,)&amp;": thanh chống 810"</f>
        <v>Cổ dê bắt xà + bulon: thanh chống 810</v>
      </c>
      <c r="G832" s="1047" t="str">
        <f>VLOOKUP($B832,DG!A:D,DG!$D$2,)</f>
        <v>bộ</v>
      </c>
      <c r="H832" s="1845"/>
      <c r="I832" s="1845"/>
      <c r="J832" s="1845"/>
      <c r="K832" s="1845"/>
      <c r="L832" s="1845"/>
      <c r="M832" s="1845"/>
      <c r="N832" s="1845"/>
      <c r="O832" s="1845"/>
      <c r="P832" s="1845"/>
      <c r="Q832" s="1056"/>
      <c r="R832" s="1056"/>
      <c r="S832" s="1056"/>
      <c r="T832" s="2059">
        <f t="shared" si="151"/>
        <v>0</v>
      </c>
    </row>
    <row r="833" spans="1:20" ht="22.15" hidden="1" customHeight="1">
      <c r="A833" s="59"/>
      <c r="B833" s="1586" t="s">
        <v>569</v>
      </c>
      <c r="C833" s="1015" t="str">
        <f t="shared" si="150"/>
        <v xml:space="preserve"> </v>
      </c>
      <c r="D833" s="1543"/>
      <c r="E833" s="1047"/>
      <c r="F833" s="1059" t="str">
        <f>VLOOKUP($B833,DG!A:D,DG!$C$2,)&amp;": thanh chống 810"</f>
        <v>Cổ dê chống lắc 8x80x800 : thanh chống 810</v>
      </c>
      <c r="G833" s="1047" t="str">
        <f>VLOOKUP($B833,DG!A:D,DG!$D$2,)</f>
        <v>bộ</v>
      </c>
      <c r="H833" s="1845"/>
      <c r="I833" s="1845"/>
      <c r="J833" s="1845"/>
      <c r="K833" s="1845"/>
      <c r="L833" s="1845"/>
      <c r="M833" s="1845"/>
      <c r="N833" s="1845"/>
      <c r="O833" s="1845"/>
      <c r="P833" s="1845"/>
      <c r="Q833" s="1056"/>
      <c r="R833" s="1056"/>
      <c r="S833" s="1056"/>
      <c r="T833" s="2059">
        <f t="shared" si="151"/>
        <v>0</v>
      </c>
    </row>
    <row r="834" spans="1:20" ht="22.15" hidden="1" customHeight="1">
      <c r="B834" s="1586" t="s">
        <v>1614</v>
      </c>
      <c r="C834" s="1854" t="str">
        <f t="shared" si="150"/>
        <v xml:space="preserve"> </v>
      </c>
      <c r="D834" s="1544">
        <v>2</v>
      </c>
      <c r="E834" s="1047"/>
      <c r="F834" s="1059" t="str">
        <f>VLOOKUP($B834,DG!A:D,DG!$C$2,)</f>
        <v>Boulon 16x250+ 2 long đền vuông D18-50x50x3/Zn</v>
      </c>
      <c r="G834" s="1047" t="str">
        <f>VLOOKUP($B834,DG!A:D,DG!$D$2,)</f>
        <v>bộ</v>
      </c>
      <c r="H834" s="1845">
        <f t="shared" ref="H834:N835" si="162">H$829*$D834</f>
        <v>0</v>
      </c>
      <c r="I834" s="1845">
        <f t="shared" si="162"/>
        <v>0</v>
      </c>
      <c r="J834" s="1845">
        <f t="shared" si="162"/>
        <v>0</v>
      </c>
      <c r="K834" s="1845">
        <f t="shared" si="162"/>
        <v>0</v>
      </c>
      <c r="L834" s="1845">
        <f t="shared" si="162"/>
        <v>0</v>
      </c>
      <c r="M834" s="1845">
        <f t="shared" si="162"/>
        <v>0</v>
      </c>
      <c r="N834" s="1845">
        <f t="shared" si="162"/>
        <v>0</v>
      </c>
      <c r="O834" s="1845"/>
      <c r="P834" s="1845">
        <f>$P$829*D834</f>
        <v>0</v>
      </c>
      <c r="Q834" s="1056">
        <f>$Q$829*D834</f>
        <v>0</v>
      </c>
      <c r="R834" s="1056"/>
      <c r="S834" s="1056"/>
      <c r="T834" s="2059">
        <f t="shared" si="151"/>
        <v>0</v>
      </c>
    </row>
    <row r="835" spans="1:20" ht="22.15" hidden="1" customHeight="1">
      <c r="B835" s="1586" t="s">
        <v>1792</v>
      </c>
      <c r="C835" s="1854" t="str">
        <f t="shared" si="150"/>
        <v xml:space="preserve"> </v>
      </c>
      <c r="D835" s="1544">
        <v>2</v>
      </c>
      <c r="E835" s="1047"/>
      <c r="F835" s="1059" t="str">
        <f>VLOOKUP($B835,DG!A:D,DG!$C$2,)</f>
        <v>Boulon 16x50+ 2 long đền vuông D18-50x50x3/Zn</v>
      </c>
      <c r="G835" s="1047" t="str">
        <f>VLOOKUP($B835,DG!A:D,DG!$D$2,)</f>
        <v>bộ</v>
      </c>
      <c r="H835" s="1845">
        <f t="shared" si="162"/>
        <v>0</v>
      </c>
      <c r="I835" s="1845">
        <f t="shared" si="162"/>
        <v>0</v>
      </c>
      <c r="J835" s="1845">
        <f t="shared" si="162"/>
        <v>0</v>
      </c>
      <c r="K835" s="1845">
        <f t="shared" si="162"/>
        <v>0</v>
      </c>
      <c r="L835" s="1845">
        <f t="shared" si="162"/>
        <v>0</v>
      </c>
      <c r="M835" s="1845">
        <f t="shared" si="162"/>
        <v>0</v>
      </c>
      <c r="N835" s="1845">
        <f t="shared" si="162"/>
        <v>0</v>
      </c>
      <c r="O835" s="1845"/>
      <c r="P835" s="1845">
        <f>$P$829*D835</f>
        <v>0</v>
      </c>
      <c r="Q835" s="1056">
        <f>$Q$829*D835</f>
        <v>0</v>
      </c>
      <c r="R835" s="1056"/>
      <c r="S835" s="1056"/>
      <c r="T835" s="2059">
        <f t="shared" si="151"/>
        <v>0</v>
      </c>
    </row>
    <row r="836" spans="1:20" ht="22.15" hidden="1" customHeight="1">
      <c r="B836" s="1586" t="s">
        <v>516</v>
      </c>
      <c r="C836" s="1854" t="str">
        <f t="shared" si="150"/>
        <v xml:space="preserve"> </v>
      </c>
      <c r="D836" s="1544">
        <v>1</v>
      </c>
      <c r="E836" s="1063" t="str">
        <f>VLOOKUP($B836,DG!A:D,DG!$B$2,)</f>
        <v>05.6102</v>
      </c>
      <c r="F836" s="1052" t="str">
        <f>VLOOKUP($B836,DG!A:D,DG!$C$2,)</f>
        <v>Lắp xà đỡ ≤ 50kg</v>
      </c>
      <c r="G836" s="1047" t="str">
        <f>VLOOKUP($B836,DG!A:D,DG!$D$2,)</f>
        <v>bộ</v>
      </c>
      <c r="H836" s="1845">
        <f>H$829*$D836</f>
        <v>0</v>
      </c>
      <c r="I836" s="1845"/>
      <c r="J836" s="1845"/>
      <c r="K836" s="1845"/>
      <c r="L836" s="1845"/>
      <c r="M836" s="1845"/>
      <c r="N836" s="1845"/>
      <c r="O836" s="1845"/>
      <c r="P836" s="1845">
        <f>$P$829*D836</f>
        <v>0</v>
      </c>
      <c r="Q836" s="1056">
        <f>$Q$829*D836</f>
        <v>0</v>
      </c>
      <c r="R836" s="1061"/>
      <c r="S836" s="1061"/>
      <c r="T836" s="2059">
        <f t="shared" si="151"/>
        <v>0</v>
      </c>
    </row>
    <row r="837" spans="1:20" ht="22.15" hidden="1" customHeight="1">
      <c r="A837" s="59"/>
      <c r="B837" s="1586" t="s">
        <v>2002</v>
      </c>
      <c r="C837" s="1015" t="str">
        <f t="shared" si="150"/>
        <v xml:space="preserve"> </v>
      </c>
      <c r="D837" s="1542">
        <f>D838</f>
        <v>0</v>
      </c>
      <c r="E837" s="1047" t="str">
        <f>VLOOKUP($B837,DG!A:D,DG!$B$2,)</f>
        <v>02.1115</v>
      </c>
      <c r="F837" s="1052" t="str">
        <f>VLOOKUP($B837,DG!A:D,DG!$C$2,)</f>
        <v>Bốc dỡ xà, thép thanh</v>
      </c>
      <c r="G837" s="1047" t="str">
        <f>VLOOKUP($B837,DG!A:D,DG!$D$2,)</f>
        <v>tấn</v>
      </c>
      <c r="H837" s="1845"/>
      <c r="I837" s="1845"/>
      <c r="J837" s="1845"/>
      <c r="K837" s="1845"/>
      <c r="L837" s="1845"/>
      <c r="M837" s="1845"/>
      <c r="N837" s="1845"/>
      <c r="O837" s="1845"/>
      <c r="P837" s="1845"/>
      <c r="Q837" s="1061"/>
      <c r="R837" s="1061"/>
      <c r="S837" s="1061"/>
      <c r="T837" s="2059">
        <f t="shared" si="151"/>
        <v>0</v>
      </c>
    </row>
    <row r="838" spans="1:20" ht="22.15" hidden="1" customHeight="1">
      <c r="A838" s="59"/>
      <c r="B838" s="1598" t="s">
        <v>2003</v>
      </c>
      <c r="C838" s="1015" t="str">
        <f t="shared" si="150"/>
        <v xml:space="preserve"> </v>
      </c>
      <c r="D838" s="1542">
        <f>ROUND(SUM(D830:D831)*1.05/1000,3)*0</f>
        <v>0</v>
      </c>
      <c r="E838" s="1047" t="str">
        <f>VLOOKUP($B838,DG!A:C,2,)</f>
        <v>02.1361</v>
      </c>
      <c r="F838" s="1052" t="str">
        <f>VLOOKUP($B838,DG!A:C,3,)</f>
        <v>V/c xà vào vị trí (cư ly &lt;=100m)</v>
      </c>
      <c r="G838" s="1047" t="str">
        <f>VLOOKUP($B838,DG!A:D,4,0)</f>
        <v>tấn</v>
      </c>
      <c r="H838" s="1845"/>
      <c r="I838" s="1845"/>
      <c r="J838" s="1845"/>
      <c r="K838" s="1845"/>
      <c r="L838" s="1845"/>
      <c r="M838" s="1845"/>
      <c r="N838" s="1845"/>
      <c r="O838" s="1845"/>
      <c r="P838" s="1845"/>
      <c r="Q838" s="1061"/>
      <c r="R838" s="1061"/>
      <c r="S838" s="1061"/>
      <c r="T838" s="2059">
        <f t="shared" si="151"/>
        <v>0</v>
      </c>
    </row>
    <row r="839" spans="1:20" ht="22.15" hidden="1" customHeight="1">
      <c r="A839" s="59"/>
      <c r="B839" s="1598" t="s">
        <v>635</v>
      </c>
      <c r="C839" s="1015" t="str">
        <f t="shared" si="150"/>
        <v xml:space="preserve"> </v>
      </c>
      <c r="D839" s="1543">
        <f>0.05*0</f>
        <v>0</v>
      </c>
      <c r="E839" s="1047" t="str">
        <f>VLOOKUP($B839,DG!A:C,2,)</f>
        <v>02.1482</v>
      </c>
      <c r="F839" s="1052" t="str">
        <f>VLOOKUP($B839,DG!A:C,3,)</f>
        <v>V/c dụng cụ thi công vào vị trí (cự ly &lt;=100m)</v>
      </c>
      <c r="G839" s="1047" t="str">
        <f>VLOOKUP($B839,DG!A:D,4,0)</f>
        <v>tấn</v>
      </c>
      <c r="H839" s="1845"/>
      <c r="I839" s="1845"/>
      <c r="J839" s="1845"/>
      <c r="K839" s="1845"/>
      <c r="L839" s="1845"/>
      <c r="M839" s="1845"/>
      <c r="N839" s="1845"/>
      <c r="O839" s="1845"/>
      <c r="P839" s="1845"/>
      <c r="Q839" s="1061"/>
      <c r="R839" s="1061"/>
      <c r="S839" s="1061"/>
      <c r="T839" s="2059">
        <f t="shared" si="151"/>
        <v>0</v>
      </c>
    </row>
    <row r="840" spans="1:20" ht="22.15" hidden="1" customHeight="1">
      <c r="A840" s="56" t="s">
        <v>2318</v>
      </c>
      <c r="B840" s="1583" t="s">
        <v>2318</v>
      </c>
      <c r="C840" s="1015" t="str">
        <f t="shared" si="150"/>
        <v xml:space="preserve"> </v>
      </c>
      <c r="D840" s="1541"/>
      <c r="E840" s="1048"/>
      <c r="F840" s="1396" t="s">
        <v>2430</v>
      </c>
      <c r="G840" s="1049" t="s">
        <v>2394</v>
      </c>
      <c r="H840" s="1843">
        <f>SUM(I840:O840)</f>
        <v>0</v>
      </c>
      <c r="I840" s="1844"/>
      <c r="J840" s="1844"/>
      <c r="K840" s="1844">
        <f>IFERROR(HLOOKUP(B840,pp3p1m!$1:$3,3,0),0)</f>
        <v>0</v>
      </c>
      <c r="L840" s="1844">
        <f>IFERROR(HLOOKUP(chitiet!B840,pp1p!$1:$3,3,0),0)</f>
        <v>0</v>
      </c>
      <c r="M840" s="1844"/>
      <c r="N840" s="1844"/>
      <c r="O840" s="1844"/>
      <c r="P840" s="1844">
        <f>H840+Q840-R840</f>
        <v>0</v>
      </c>
      <c r="Q840" s="1050"/>
      <c r="R840" s="1050"/>
      <c r="S840" s="1050"/>
      <c r="T840" s="2059">
        <f>IFERROR(HLOOKUP(B840,pp1p!$1:$3,3,0),0)+IFERROR(HLOOKUP(B840,pp3p1m!$1:$3,3,0),0)</f>
        <v>0</v>
      </c>
    </row>
    <row r="841" spans="1:20" ht="22.15" hidden="1" customHeight="1">
      <c r="A841" s="59"/>
      <c r="B841" s="1586" t="s">
        <v>109</v>
      </c>
      <c r="C841" s="1015" t="str">
        <f t="shared" si="150"/>
        <v xml:space="preserve"> </v>
      </c>
      <c r="D841" s="1543">
        <f>9.02*(2.2+4*0.07)</f>
        <v>22.369600000000002</v>
      </c>
      <c r="E841" s="1047"/>
      <c r="F841" s="1059" t="str">
        <f>VLOOKUP($B841,DG!A:D,DG!$C$2,)</f>
        <v>Sắt góc L75 x75 x8</v>
      </c>
      <c r="G841" s="1047" t="str">
        <f>VLOOKUP($B841,DG!A:D,DG!$D$2,)</f>
        <v>kg</v>
      </c>
      <c r="H841" s="1845">
        <f t="shared" ref="H841:H848" si="163">$H$840*$D841</f>
        <v>0</v>
      </c>
      <c r="I841" s="1845">
        <f t="shared" ref="I841:I848" si="164">$I$840*$D841</f>
        <v>0</v>
      </c>
      <c r="J841" s="1845">
        <f t="shared" ref="J841:N844" si="165">J$829*$D841</f>
        <v>0</v>
      </c>
      <c r="K841" s="1845">
        <f t="shared" si="165"/>
        <v>0</v>
      </c>
      <c r="L841" s="1845">
        <f t="shared" si="165"/>
        <v>0</v>
      </c>
      <c r="M841" s="1845">
        <f t="shared" si="165"/>
        <v>0</v>
      </c>
      <c r="N841" s="1845">
        <f t="shared" si="165"/>
        <v>0</v>
      </c>
      <c r="O841" s="1845"/>
      <c r="P841" s="1845"/>
      <c r="Q841" s="1056"/>
      <c r="R841" s="1056"/>
      <c r="S841" s="1056"/>
      <c r="T841" s="2059">
        <f t="shared" si="151"/>
        <v>0</v>
      </c>
    </row>
    <row r="842" spans="1:20" ht="22.15" hidden="1" customHeight="1">
      <c r="A842" s="59"/>
      <c r="B842" s="1586" t="s">
        <v>457</v>
      </c>
      <c r="C842" s="1015" t="str">
        <f t="shared" si="150"/>
        <v xml:space="preserve"> </v>
      </c>
      <c r="D842" s="1543">
        <f>3.77*0.92*2</f>
        <v>6.9368000000000007</v>
      </c>
      <c r="E842" s="1047"/>
      <c r="F842" s="1059" t="str">
        <f>VLOOKUP($B842,DG!A:D,DG!$C$2,)&amp;" thanh chống 920"</f>
        <v>Sắt góc L50 x50 x5 thanh chống 920</v>
      </c>
      <c r="G842" s="1047" t="str">
        <f>VLOOKUP($B842,DG!A:D,DG!$D$2,)</f>
        <v>kg</v>
      </c>
      <c r="H842" s="1845">
        <f t="shared" si="163"/>
        <v>0</v>
      </c>
      <c r="I842" s="1845">
        <f t="shared" si="164"/>
        <v>0</v>
      </c>
      <c r="J842" s="1845">
        <f t="shared" si="165"/>
        <v>0</v>
      </c>
      <c r="K842" s="1845">
        <f t="shared" si="165"/>
        <v>0</v>
      </c>
      <c r="L842" s="1845">
        <f t="shared" si="165"/>
        <v>0</v>
      </c>
      <c r="M842" s="1845">
        <f t="shared" si="165"/>
        <v>0</v>
      </c>
      <c r="N842" s="1845">
        <f t="shared" si="165"/>
        <v>0</v>
      </c>
      <c r="O842" s="1845"/>
      <c r="P842" s="1845"/>
      <c r="Q842" s="1056"/>
      <c r="R842" s="1056"/>
      <c r="S842" s="1056"/>
      <c r="T842" s="2059">
        <f t="shared" si="151"/>
        <v>0</v>
      </c>
    </row>
    <row r="843" spans="1:20" ht="22.15" hidden="1" customHeight="1">
      <c r="A843" s="59"/>
      <c r="B843" s="1586" t="s">
        <v>1614</v>
      </c>
      <c r="C843" s="1015" t="str">
        <f t="shared" si="150"/>
        <v xml:space="preserve"> </v>
      </c>
      <c r="D843" s="1544">
        <v>2</v>
      </c>
      <c r="E843" s="1047"/>
      <c r="F843" s="1059" t="str">
        <f>VLOOKUP($B843,DG!A:D,DG!$C$2,)</f>
        <v>Boulon 16x250+ 2 long đền vuông D18-50x50x3/Zn</v>
      </c>
      <c r="G843" s="1047" t="str">
        <f>VLOOKUP($B843,DG!A:D,DG!$D$2,)</f>
        <v>bộ</v>
      </c>
      <c r="H843" s="1845">
        <f t="shared" si="163"/>
        <v>0</v>
      </c>
      <c r="I843" s="1845">
        <f t="shared" si="164"/>
        <v>0</v>
      </c>
      <c r="J843" s="1845">
        <f t="shared" si="165"/>
        <v>0</v>
      </c>
      <c r="K843" s="1845">
        <f t="shared" si="165"/>
        <v>0</v>
      </c>
      <c r="L843" s="1845">
        <f t="shared" si="165"/>
        <v>0</v>
      </c>
      <c r="M843" s="1845">
        <f t="shared" si="165"/>
        <v>0</v>
      </c>
      <c r="N843" s="1845">
        <f t="shared" si="165"/>
        <v>0</v>
      </c>
      <c r="O843" s="1845"/>
      <c r="P843" s="1845"/>
      <c r="Q843" s="1056"/>
      <c r="R843" s="1056"/>
      <c r="S843" s="1056"/>
      <c r="T843" s="2059">
        <f t="shared" si="151"/>
        <v>0</v>
      </c>
    </row>
    <row r="844" spans="1:20" ht="22.15" hidden="1" customHeight="1">
      <c r="A844" s="59"/>
      <c r="B844" s="1586" t="s">
        <v>1792</v>
      </c>
      <c r="C844" s="1015" t="str">
        <f t="shared" si="150"/>
        <v xml:space="preserve"> </v>
      </c>
      <c r="D844" s="1544">
        <v>2</v>
      </c>
      <c r="E844" s="1047"/>
      <c r="F844" s="1059" t="str">
        <f>VLOOKUP($B844,DG!A:D,DG!$C$2,)</f>
        <v>Boulon 16x50+ 2 long đền vuông D18-50x50x3/Zn</v>
      </c>
      <c r="G844" s="1047" t="str">
        <f>VLOOKUP($B844,DG!A:D,DG!$D$2,)</f>
        <v>bộ</v>
      </c>
      <c r="H844" s="1845">
        <f t="shared" si="163"/>
        <v>0</v>
      </c>
      <c r="I844" s="1845">
        <f t="shared" si="164"/>
        <v>0</v>
      </c>
      <c r="J844" s="1845">
        <f t="shared" si="165"/>
        <v>0</v>
      </c>
      <c r="K844" s="1845">
        <f t="shared" si="165"/>
        <v>0</v>
      </c>
      <c r="L844" s="1845">
        <f t="shared" si="165"/>
        <v>0</v>
      </c>
      <c r="M844" s="1845">
        <f t="shared" si="165"/>
        <v>0</v>
      </c>
      <c r="N844" s="1845">
        <f t="shared" si="165"/>
        <v>0</v>
      </c>
      <c r="O844" s="1845"/>
      <c r="P844" s="1845"/>
      <c r="Q844" s="1056"/>
      <c r="R844" s="1056"/>
      <c r="S844" s="1056"/>
      <c r="T844" s="2059">
        <f t="shared" si="151"/>
        <v>0</v>
      </c>
    </row>
    <row r="845" spans="1:20" ht="22.15" hidden="1" customHeight="1">
      <c r="A845" s="59"/>
      <c r="B845" s="1586" t="s">
        <v>516</v>
      </c>
      <c r="C845" s="1015" t="str">
        <f t="shared" si="150"/>
        <v xml:space="preserve"> </v>
      </c>
      <c r="D845" s="1544">
        <v>1</v>
      </c>
      <c r="E845" s="1047" t="str">
        <f>VLOOKUP($B845,DG!A:D,DG!$B$2,)</f>
        <v>05.6102</v>
      </c>
      <c r="F845" s="1052" t="str">
        <f>VLOOKUP($B845,DG!A:D,DG!$C$2,)</f>
        <v>Lắp xà đỡ ≤ 50kg</v>
      </c>
      <c r="G845" s="1047" t="str">
        <f>VLOOKUP($B845,DG!A:D,DG!$D$2,)</f>
        <v>bộ</v>
      </c>
      <c r="H845" s="1845">
        <f t="shared" si="163"/>
        <v>0</v>
      </c>
      <c r="I845" s="1845">
        <f t="shared" si="164"/>
        <v>0</v>
      </c>
      <c r="J845" s="1845"/>
      <c r="K845" s="1845"/>
      <c r="L845" s="1845"/>
      <c r="M845" s="1845"/>
      <c r="N845" s="1845"/>
      <c r="O845" s="1845"/>
      <c r="P845" s="1845"/>
      <c r="Q845" s="1061"/>
      <c r="R845" s="1061"/>
      <c r="S845" s="1061"/>
      <c r="T845" s="2059">
        <f t="shared" si="151"/>
        <v>0</v>
      </c>
    </row>
    <row r="846" spans="1:20" ht="22.15" hidden="1" customHeight="1">
      <c r="A846" s="59"/>
      <c r="B846" s="1586" t="s">
        <v>2002</v>
      </c>
      <c r="C846" s="1015" t="str">
        <f t="shared" si="150"/>
        <v xml:space="preserve"> </v>
      </c>
      <c r="D846" s="1542">
        <f>D847</f>
        <v>0</v>
      </c>
      <c r="E846" s="1047" t="str">
        <f>VLOOKUP($B846,DG!A:D,DG!$B$2,)</f>
        <v>02.1115</v>
      </c>
      <c r="F846" s="1052" t="str">
        <f>VLOOKUP($B846,DG!A:D,DG!$C$2,)</f>
        <v>Bốc dỡ xà, thép thanh</v>
      </c>
      <c r="G846" s="1047" t="str">
        <f>VLOOKUP($B846,DG!A:D,DG!$D$2,)</f>
        <v>tấn</v>
      </c>
      <c r="H846" s="1845">
        <f t="shared" si="163"/>
        <v>0</v>
      </c>
      <c r="I846" s="1845">
        <f t="shared" si="164"/>
        <v>0</v>
      </c>
      <c r="J846" s="1845"/>
      <c r="K846" s="1845"/>
      <c r="L846" s="1845"/>
      <c r="M846" s="1845"/>
      <c r="N846" s="1845"/>
      <c r="O846" s="1845"/>
      <c r="P846" s="1845"/>
      <c r="Q846" s="1061"/>
      <c r="R846" s="1061"/>
      <c r="S846" s="1061"/>
      <c r="T846" s="2059">
        <f t="shared" si="151"/>
        <v>0</v>
      </c>
    </row>
    <row r="847" spans="1:20" ht="22.15" hidden="1" customHeight="1">
      <c r="A847" s="59"/>
      <c r="B847" s="1598" t="s">
        <v>2003</v>
      </c>
      <c r="C847" s="1015" t="str">
        <f t="shared" si="150"/>
        <v xml:space="preserve"> </v>
      </c>
      <c r="D847" s="1542">
        <f>ROUND(SUM(D841:D842)*1.05/1000,3)*0</f>
        <v>0</v>
      </c>
      <c r="E847" s="1047" t="str">
        <f>VLOOKUP($B847,DG!A:C,2,)</f>
        <v>02.1361</v>
      </c>
      <c r="F847" s="1052" t="str">
        <f>VLOOKUP($B847,DG!A:C,3,)</f>
        <v>V/c xà vào vị trí (cư ly &lt;=100m)</v>
      </c>
      <c r="G847" s="1047" t="str">
        <f>VLOOKUP($B847,DG!A:D,4,0)</f>
        <v>tấn</v>
      </c>
      <c r="H847" s="1845">
        <f t="shared" si="163"/>
        <v>0</v>
      </c>
      <c r="I847" s="1845">
        <f t="shared" si="164"/>
        <v>0</v>
      </c>
      <c r="J847" s="1845"/>
      <c r="K847" s="1845"/>
      <c r="L847" s="1845"/>
      <c r="M847" s="1845"/>
      <c r="N847" s="1845"/>
      <c r="O847" s="1845"/>
      <c r="P847" s="1845"/>
      <c r="Q847" s="1061"/>
      <c r="R847" s="1061"/>
      <c r="S847" s="1061"/>
      <c r="T847" s="2059">
        <f t="shared" si="151"/>
        <v>0</v>
      </c>
    </row>
    <row r="848" spans="1:20" ht="22.15" hidden="1" customHeight="1">
      <c r="A848" s="59"/>
      <c r="B848" s="1598" t="s">
        <v>635</v>
      </c>
      <c r="C848" s="1015" t="str">
        <f t="shared" si="150"/>
        <v xml:space="preserve"> </v>
      </c>
      <c r="D848" s="1543">
        <f>0.05*0</f>
        <v>0</v>
      </c>
      <c r="E848" s="1047" t="str">
        <f>VLOOKUP($B848,DG!A:C,2,)</f>
        <v>02.1482</v>
      </c>
      <c r="F848" s="1052" t="str">
        <f>VLOOKUP($B848,DG!A:C,3,)</f>
        <v>V/c dụng cụ thi công vào vị trí (cự ly &lt;=100m)</v>
      </c>
      <c r="G848" s="1047" t="str">
        <f>VLOOKUP($B848,DG!A:D,4,0)</f>
        <v>tấn</v>
      </c>
      <c r="H848" s="1845">
        <f t="shared" si="163"/>
        <v>0</v>
      </c>
      <c r="I848" s="1845">
        <f t="shared" si="164"/>
        <v>0</v>
      </c>
      <c r="J848" s="1845"/>
      <c r="K848" s="1845"/>
      <c r="L848" s="1845"/>
      <c r="M848" s="1845"/>
      <c r="N848" s="1845"/>
      <c r="O848" s="1845"/>
      <c r="P848" s="1845"/>
      <c r="Q848" s="1061"/>
      <c r="R848" s="1061"/>
      <c r="S848" s="1061"/>
      <c r="T848" s="2059">
        <f t="shared" si="151"/>
        <v>0</v>
      </c>
    </row>
    <row r="849" spans="1:20" ht="22.15" hidden="1" customHeight="1">
      <c r="A849" s="56" t="s">
        <v>1084</v>
      </c>
      <c r="B849" s="1583" t="s">
        <v>1084</v>
      </c>
      <c r="C849" s="1015" t="str">
        <f t="shared" si="150"/>
        <v xml:space="preserve"> </v>
      </c>
      <c r="D849" s="1541"/>
      <c r="E849" s="1048"/>
      <c r="F849" s="1396" t="s">
        <v>2431</v>
      </c>
      <c r="G849" s="1049" t="s">
        <v>2394</v>
      </c>
      <c r="H849" s="1843">
        <f>SUM(I849:O849)</f>
        <v>0</v>
      </c>
      <c r="I849" s="1844"/>
      <c r="J849" s="1844"/>
      <c r="K849" s="1844">
        <f>IFERROR(HLOOKUP(B849,pp3p1m!$1:$3,3,0),0)</f>
        <v>0</v>
      </c>
      <c r="L849" s="1844">
        <f>IFERROR(HLOOKUP(chitiet!B849,pp1p!$1:$3,3,0),0)</f>
        <v>0</v>
      </c>
      <c r="M849" s="1844"/>
      <c r="N849" s="1844"/>
      <c r="O849" s="1844"/>
      <c r="P849" s="1844">
        <f>H849+Q849-R849</f>
        <v>0</v>
      </c>
      <c r="Q849" s="1050"/>
      <c r="R849" s="1050"/>
      <c r="S849" s="1050"/>
      <c r="T849" s="2059">
        <f>IFERROR(HLOOKUP(B849,pp1p!$1:$3,3,0),0)+IFERROR(HLOOKUP(B849,pp3p1m!$1:$3,3,0),0)</f>
        <v>0</v>
      </c>
    </row>
    <row r="850" spans="1:20" ht="22.15" hidden="1" customHeight="1">
      <c r="A850" s="59"/>
      <c r="B850" s="1602" t="s">
        <v>1885</v>
      </c>
      <c r="C850" s="1015" t="str">
        <f t="shared" si="150"/>
        <v xml:space="preserve"> </v>
      </c>
      <c r="D850" s="1543">
        <v>1</v>
      </c>
      <c r="E850" s="1047"/>
      <c r="F850" s="1052" t="str">
        <f>VLOOKUP($B850,DG!A:D,DG!$C$2,)</f>
        <v>Lắp xà trụ ghép ≤ 140kg</v>
      </c>
      <c r="G850" s="1047" t="str">
        <f>VLOOKUP($B850,DG!A:D,DG!$D$2,)</f>
        <v>bộ</v>
      </c>
      <c r="H850" s="1845">
        <f>$H$8391*$D850</f>
        <v>0</v>
      </c>
      <c r="I850" s="1845">
        <f t="shared" ref="I850:N851" si="166">I$849*$D850</f>
        <v>0</v>
      </c>
      <c r="J850" s="1845">
        <f t="shared" si="166"/>
        <v>0</v>
      </c>
      <c r="K850" s="1845">
        <f t="shared" si="166"/>
        <v>0</v>
      </c>
      <c r="L850" s="1845">
        <f t="shared" si="166"/>
        <v>0</v>
      </c>
      <c r="M850" s="1845">
        <f t="shared" si="166"/>
        <v>0</v>
      </c>
      <c r="N850" s="1845">
        <f t="shared" si="166"/>
        <v>0</v>
      </c>
      <c r="O850" s="1845"/>
      <c r="P850" s="1845"/>
      <c r="Q850" s="1056"/>
      <c r="R850" s="1056"/>
      <c r="S850" s="1056"/>
      <c r="T850" s="2059">
        <f t="shared" si="151"/>
        <v>0</v>
      </c>
    </row>
    <row r="851" spans="1:20" ht="22.15" hidden="1" customHeight="1">
      <c r="A851" s="59"/>
      <c r="B851" s="1586" t="s">
        <v>2002</v>
      </c>
      <c r="C851" s="1015" t="str">
        <f t="shared" si="150"/>
        <v xml:space="preserve"> </v>
      </c>
      <c r="D851" s="1543">
        <f>D852</f>
        <v>0.06</v>
      </c>
      <c r="E851" s="1047"/>
      <c r="F851" s="1052" t="str">
        <f>VLOOKUP($B851,DG!A:D,DG!$C$2,)</f>
        <v>Bốc dỡ xà, thép thanh</v>
      </c>
      <c r="G851" s="1047" t="str">
        <f>VLOOKUP($B851,DG!A:D,DG!$D$2,)</f>
        <v>tấn</v>
      </c>
      <c r="H851" s="1845">
        <f>$H$8391*$D851</f>
        <v>0</v>
      </c>
      <c r="I851" s="1845">
        <f t="shared" si="166"/>
        <v>0</v>
      </c>
      <c r="J851" s="1845">
        <f t="shared" si="166"/>
        <v>0</v>
      </c>
      <c r="K851" s="1845">
        <f t="shared" si="166"/>
        <v>0</v>
      </c>
      <c r="L851" s="1845">
        <f t="shared" si="166"/>
        <v>0</v>
      </c>
      <c r="M851" s="1845">
        <f t="shared" si="166"/>
        <v>0</v>
      </c>
      <c r="N851" s="1845">
        <f t="shared" si="166"/>
        <v>0</v>
      </c>
      <c r="O851" s="1845"/>
      <c r="P851" s="1845"/>
      <c r="Q851" s="1056"/>
      <c r="R851" s="1056"/>
      <c r="S851" s="1056"/>
      <c r="T851" s="2059">
        <f t="shared" si="151"/>
        <v>0</v>
      </c>
    </row>
    <row r="852" spans="1:20" ht="22.15" hidden="1" customHeight="1">
      <c r="A852" s="59"/>
      <c r="B852" s="1598" t="s">
        <v>2003</v>
      </c>
      <c r="C852" s="1015" t="str">
        <f t="shared" si="150"/>
        <v xml:space="preserve"> </v>
      </c>
      <c r="D852" s="1542">
        <v>0.06</v>
      </c>
      <c r="E852" s="1047" t="str">
        <f>VLOOKUP($B852,DG!A:C,2,)</f>
        <v>02.1361</v>
      </c>
      <c r="F852" s="1052" t="str">
        <f>VLOOKUP($B852,DG!A:C,3,)</f>
        <v>V/c xà vào vị trí (cư ly &lt;=100m)</v>
      </c>
      <c r="G852" s="1047" t="str">
        <f>VLOOKUP($B852,DG!A:D,4,0)</f>
        <v>tấn</v>
      </c>
      <c r="H852" s="1845">
        <f>$H$8391*$D852</f>
        <v>0</v>
      </c>
      <c r="I852" s="1845"/>
      <c r="J852" s="1845"/>
      <c r="K852" s="1845"/>
      <c r="L852" s="1845"/>
      <c r="M852" s="1845"/>
      <c r="N852" s="1845"/>
      <c r="O852" s="1845"/>
      <c r="P852" s="1845"/>
      <c r="Q852" s="1061"/>
      <c r="R852" s="1061"/>
      <c r="S852" s="1061"/>
      <c r="T852" s="2059">
        <f t="shared" si="151"/>
        <v>0</v>
      </c>
    </row>
    <row r="853" spans="1:20" ht="22.15" hidden="1" customHeight="1">
      <c r="A853" s="59"/>
      <c r="B853" s="1598" t="s">
        <v>635</v>
      </c>
      <c r="C853" s="1015" t="str">
        <f t="shared" si="150"/>
        <v xml:space="preserve"> </v>
      </c>
      <c r="D853" s="1543">
        <v>0.05</v>
      </c>
      <c r="E853" s="1047" t="str">
        <f>VLOOKUP($B853,DG!A:C,2,)</f>
        <v>02.1482</v>
      </c>
      <c r="F853" s="1052" t="str">
        <f>VLOOKUP($B853,DG!A:C,3,)</f>
        <v>V/c dụng cụ thi công vào vị trí (cự ly &lt;=100m)</v>
      </c>
      <c r="G853" s="1047" t="str">
        <f>VLOOKUP($B853,DG!A:D,4,0)</f>
        <v>tấn</v>
      </c>
      <c r="H853" s="1845">
        <f>$H$8391*$D853</f>
        <v>0</v>
      </c>
      <c r="I853" s="1845"/>
      <c r="J853" s="1845"/>
      <c r="K853" s="1845"/>
      <c r="L853" s="1845"/>
      <c r="M853" s="1845"/>
      <c r="N853" s="1845"/>
      <c r="O853" s="1845"/>
      <c r="P853" s="1845"/>
      <c r="Q853" s="1061"/>
      <c r="R853" s="1061"/>
      <c r="S853" s="1061"/>
      <c r="T853" s="2059">
        <f t="shared" si="151"/>
        <v>0</v>
      </c>
    </row>
    <row r="854" spans="1:20" ht="22.15" customHeight="1">
      <c r="A854" s="1018" t="s">
        <v>533</v>
      </c>
      <c r="B854" s="1583" t="s">
        <v>533</v>
      </c>
      <c r="C854" s="1015" t="str">
        <f t="shared" si="150"/>
        <v>x</v>
      </c>
      <c r="D854" s="1541"/>
      <c r="E854" s="1048"/>
      <c r="F854" s="1507" t="s">
        <v>2432</v>
      </c>
      <c r="G854" s="1049" t="s">
        <v>2394</v>
      </c>
      <c r="H854" s="1843">
        <f>SUM(I854:O854)</f>
        <v>3</v>
      </c>
      <c r="I854" s="1844"/>
      <c r="J854" s="1844"/>
      <c r="K854" s="1844">
        <f>IFERROR(HLOOKUP(B854,pp3p1m!$1:$3,3,0),0)</f>
        <v>3</v>
      </c>
      <c r="L854" s="1844">
        <f>IFERROR(HLOOKUP(chitiet!B854,pp1p!$1:$3,3,0),0)</f>
        <v>0</v>
      </c>
      <c r="M854" s="1844"/>
      <c r="N854" s="1844"/>
      <c r="O854" s="1844"/>
      <c r="P854" s="1844">
        <f>H854+Q854-R854</f>
        <v>3</v>
      </c>
      <c r="Q854" s="1050"/>
      <c r="R854" s="1050"/>
      <c r="S854" s="1050"/>
      <c r="T854" s="2059">
        <f>IFERROR(HLOOKUP(B854,pp1p!$1:$3,3,0),0)+IFERROR(HLOOKUP(B854,pp3p1m!$1:$3,3,0),0)</f>
        <v>3</v>
      </c>
    </row>
    <row r="855" spans="1:20" ht="22.15" customHeight="1">
      <c r="A855" s="1017"/>
      <c r="B855" s="1580" t="s">
        <v>4869</v>
      </c>
      <c r="C855" s="1015" t="str">
        <f t="shared" ref="C855:C929" si="167">IF(OR(P855&lt;&gt;0,H855&lt;&gt;0),"x"," ")</f>
        <v>x</v>
      </c>
      <c r="D855" s="1543">
        <v>2</v>
      </c>
      <c r="E855" s="1047"/>
      <c r="F855" s="1059" t="str">
        <f>VLOOKUP($B855,DG!A:D,DG!$C$2,)</f>
        <v>Sắt góc L75 x75 x8 x2200</v>
      </c>
      <c r="G855" s="1047" t="str">
        <f>VLOOKUP($B855,DG!A:D,DG!$D$2,)</f>
        <v>cái</v>
      </c>
      <c r="H855" s="1845">
        <f t="shared" ref="H855:H861" si="168">$H$854*$D855</f>
        <v>6</v>
      </c>
      <c r="I855" s="1845">
        <f t="shared" ref="I855:J860" si="169">I$798*$D855</f>
        <v>0</v>
      </c>
      <c r="J855" s="1845">
        <f t="shared" si="169"/>
        <v>0</v>
      </c>
      <c r="K855" s="1845">
        <f t="shared" ref="K855:K860" si="170">K$854*$D855</f>
        <v>6</v>
      </c>
      <c r="L855" s="1845">
        <f t="shared" ref="L855:N860" si="171">L$798*$D855</f>
        <v>0</v>
      </c>
      <c r="M855" s="1845">
        <f t="shared" si="171"/>
        <v>0</v>
      </c>
      <c r="N855" s="1845">
        <f t="shared" si="171"/>
        <v>0</v>
      </c>
      <c r="O855" s="1845"/>
      <c r="P855" s="1845">
        <f t="shared" ref="P855:P861" si="172">$P$854*D855</f>
        <v>6</v>
      </c>
      <c r="Q855" s="1056">
        <f t="shared" ref="Q855:Q861" si="173">$Q$854*D855</f>
        <v>0</v>
      </c>
      <c r="R855" s="1056"/>
      <c r="S855" s="1056"/>
      <c r="T855" s="2059">
        <f t="shared" si="151"/>
        <v>0</v>
      </c>
    </row>
    <row r="856" spans="1:20" ht="22.15" customHeight="1">
      <c r="A856" s="1017"/>
      <c r="B856" s="1580" t="s">
        <v>5196</v>
      </c>
      <c r="C856" s="1015" t="str">
        <f t="shared" si="167"/>
        <v>x</v>
      </c>
      <c r="D856" s="1543">
        <v>4</v>
      </c>
      <c r="E856" s="1047"/>
      <c r="F856" s="1059" t="str">
        <f>VLOOKUP($B856,DG!A:D,DG!$C$2,)</f>
        <v>Sắt góc L50 x50 x5 - 810</v>
      </c>
      <c r="G856" s="1047" t="str">
        <f>VLOOKUP($B856,DG!A:D,DG!$D$2,)</f>
        <v>cái</v>
      </c>
      <c r="H856" s="1845">
        <f t="shared" si="168"/>
        <v>12</v>
      </c>
      <c r="I856" s="1845">
        <f t="shared" si="169"/>
        <v>0</v>
      </c>
      <c r="J856" s="1845">
        <f t="shared" si="169"/>
        <v>0</v>
      </c>
      <c r="K856" s="1845">
        <f t="shared" si="170"/>
        <v>12</v>
      </c>
      <c r="L856" s="1845">
        <f t="shared" si="171"/>
        <v>0</v>
      </c>
      <c r="M856" s="1845">
        <f t="shared" si="171"/>
        <v>0</v>
      </c>
      <c r="N856" s="1845">
        <f t="shared" si="171"/>
        <v>0</v>
      </c>
      <c r="O856" s="1845"/>
      <c r="P856" s="1845">
        <f t="shared" si="172"/>
        <v>12</v>
      </c>
      <c r="Q856" s="1056">
        <f t="shared" si="173"/>
        <v>0</v>
      </c>
      <c r="R856" s="1056"/>
      <c r="S856" s="1056"/>
      <c r="T856" s="2059">
        <f t="shared" si="151"/>
        <v>0</v>
      </c>
    </row>
    <row r="857" spans="1:20" ht="22.15" customHeight="1">
      <c r="A857" s="1017"/>
      <c r="B857" s="1580" t="s">
        <v>1544</v>
      </c>
      <c r="C857" s="1015" t="str">
        <f t="shared" si="167"/>
        <v>x</v>
      </c>
      <c r="D857" s="1544">
        <v>1</v>
      </c>
      <c r="E857" s="1047"/>
      <c r="F857" s="1059" t="str">
        <f>VLOOKUP($B857,DG!A:D,DG!$C$2,)</f>
        <v>Boulon 16x500+ 2 long đền vuông D18-50x50x3/Zn</v>
      </c>
      <c r="G857" s="1047" t="str">
        <f>VLOOKUP($B857,DG!A:D,DG!$D$2,)</f>
        <v>bộ</v>
      </c>
      <c r="H857" s="1845">
        <f t="shared" si="168"/>
        <v>3</v>
      </c>
      <c r="I857" s="1845">
        <f t="shared" si="169"/>
        <v>0</v>
      </c>
      <c r="J857" s="1845">
        <f t="shared" si="169"/>
        <v>0</v>
      </c>
      <c r="K857" s="1845">
        <f t="shared" si="170"/>
        <v>3</v>
      </c>
      <c r="L857" s="1845">
        <f t="shared" si="171"/>
        <v>0</v>
      </c>
      <c r="M857" s="1845">
        <f t="shared" si="171"/>
        <v>0</v>
      </c>
      <c r="N857" s="1845">
        <f t="shared" si="171"/>
        <v>0</v>
      </c>
      <c r="O857" s="1845"/>
      <c r="P857" s="1845">
        <f t="shared" si="172"/>
        <v>3</v>
      </c>
      <c r="Q857" s="1056">
        <f t="shared" si="173"/>
        <v>0</v>
      </c>
      <c r="R857" s="1056"/>
      <c r="S857" s="1056"/>
      <c r="T857" s="2059">
        <f t="shared" si="151"/>
        <v>0</v>
      </c>
    </row>
    <row r="858" spans="1:20" ht="22.15" customHeight="1">
      <c r="A858" s="1017"/>
      <c r="B858" s="1580" t="s">
        <v>1788</v>
      </c>
      <c r="C858" s="1015" t="str">
        <f t="shared" si="167"/>
        <v>x</v>
      </c>
      <c r="D858" s="1544">
        <v>1</v>
      </c>
      <c r="E858" s="1047"/>
      <c r="F858" s="1059" t="str">
        <f>VLOOKUP($B858,DG!A:D,DG!$C$2,)</f>
        <v>Boulon 16x600+ 2 long đền vuông D18-50x50x3/Zn</v>
      </c>
      <c r="G858" s="1047" t="str">
        <f>VLOOKUP($B858,DG!A:D,DG!$D$2,)</f>
        <v>bộ</v>
      </c>
      <c r="H858" s="1845">
        <f t="shared" si="168"/>
        <v>3</v>
      </c>
      <c r="I858" s="1845">
        <f t="shared" si="169"/>
        <v>0</v>
      </c>
      <c r="J858" s="1845">
        <f t="shared" si="169"/>
        <v>0</v>
      </c>
      <c r="K858" s="1845">
        <f t="shared" si="170"/>
        <v>3</v>
      </c>
      <c r="L858" s="1845">
        <f t="shared" si="171"/>
        <v>0</v>
      </c>
      <c r="M858" s="1845">
        <f t="shared" si="171"/>
        <v>0</v>
      </c>
      <c r="N858" s="1845">
        <f t="shared" si="171"/>
        <v>0</v>
      </c>
      <c r="O858" s="1845"/>
      <c r="P858" s="1845">
        <f t="shared" si="172"/>
        <v>3</v>
      </c>
      <c r="Q858" s="1056">
        <f t="shared" si="173"/>
        <v>0</v>
      </c>
      <c r="R858" s="1056"/>
      <c r="S858" s="1056"/>
      <c r="T858" s="2059">
        <f t="shared" si="151"/>
        <v>0</v>
      </c>
    </row>
    <row r="859" spans="1:20" ht="22.15" customHeight="1">
      <c r="A859" s="1017"/>
      <c r="B859" s="1580" t="s">
        <v>532</v>
      </c>
      <c r="C859" s="1015" t="str">
        <f t="shared" si="167"/>
        <v>x</v>
      </c>
      <c r="D859" s="1544">
        <v>2</v>
      </c>
      <c r="E859" s="1047"/>
      <c r="F859" s="1059" t="str">
        <f>VLOOKUP($B859,DG!A:D,DG!$C$2,)</f>
        <v>Boulon 16x550VRS+ 4 long đền vuông D18-50x50x3/Zn</v>
      </c>
      <c r="G859" s="1047" t="str">
        <f>VLOOKUP($B859,DG!A:D,DG!$D$2,)</f>
        <v>bộ</v>
      </c>
      <c r="H859" s="1845">
        <f t="shared" si="168"/>
        <v>6</v>
      </c>
      <c r="I859" s="1845">
        <f t="shared" si="169"/>
        <v>0</v>
      </c>
      <c r="J859" s="1845">
        <f t="shared" si="169"/>
        <v>0</v>
      </c>
      <c r="K859" s="1845">
        <f t="shared" si="170"/>
        <v>6</v>
      </c>
      <c r="L859" s="1845">
        <f t="shared" si="171"/>
        <v>0</v>
      </c>
      <c r="M859" s="1845">
        <f t="shared" si="171"/>
        <v>0</v>
      </c>
      <c r="N859" s="1845">
        <f t="shared" si="171"/>
        <v>0</v>
      </c>
      <c r="O859" s="1845"/>
      <c r="P859" s="1845">
        <f t="shared" si="172"/>
        <v>6</v>
      </c>
      <c r="Q859" s="1056">
        <f t="shared" si="173"/>
        <v>0</v>
      </c>
      <c r="R859" s="1056"/>
      <c r="S859" s="1056"/>
      <c r="T859" s="2059">
        <f t="shared" si="151"/>
        <v>0</v>
      </c>
    </row>
    <row r="860" spans="1:20" ht="22.15" customHeight="1">
      <c r="A860" s="1017"/>
      <c r="B860" s="1580" t="s">
        <v>1791</v>
      </c>
      <c r="C860" s="1015" t="str">
        <f t="shared" si="167"/>
        <v>x</v>
      </c>
      <c r="D860" s="1544">
        <v>4</v>
      </c>
      <c r="E860" s="1047"/>
      <c r="F860" s="1059" t="str">
        <f>VLOOKUP($B860,DG!A:D,DG!$C$2,)</f>
        <v>Boulon 16x35+ 2 long đền vuông D18-50x50x3/Zn</v>
      </c>
      <c r="G860" s="1047" t="str">
        <f>VLOOKUP($B860,DG!A:D,DG!$D$2,)</f>
        <v>bộ</v>
      </c>
      <c r="H860" s="1845">
        <f t="shared" si="168"/>
        <v>12</v>
      </c>
      <c r="I860" s="1845">
        <f t="shared" si="169"/>
        <v>0</v>
      </c>
      <c r="J860" s="1845">
        <f t="shared" si="169"/>
        <v>0</v>
      </c>
      <c r="K860" s="1845">
        <f t="shared" si="170"/>
        <v>12</v>
      </c>
      <c r="L860" s="1845">
        <f t="shared" si="171"/>
        <v>0</v>
      </c>
      <c r="M860" s="1845">
        <f t="shared" si="171"/>
        <v>0</v>
      </c>
      <c r="N860" s="1845">
        <f t="shared" si="171"/>
        <v>0</v>
      </c>
      <c r="O860" s="1845"/>
      <c r="P860" s="1845">
        <f t="shared" si="172"/>
        <v>12</v>
      </c>
      <c r="Q860" s="1056">
        <f t="shared" si="173"/>
        <v>0</v>
      </c>
      <c r="R860" s="1056"/>
      <c r="S860" s="1056"/>
      <c r="T860" s="2059">
        <f t="shared" si="151"/>
        <v>0</v>
      </c>
    </row>
    <row r="861" spans="1:20" ht="22.15" customHeight="1">
      <c r="A861" s="1017"/>
      <c r="B861" s="1580" t="s">
        <v>517</v>
      </c>
      <c r="C861" s="1015" t="str">
        <f t="shared" si="167"/>
        <v>x</v>
      </c>
      <c r="D861" s="1544">
        <v>1</v>
      </c>
      <c r="E861" s="1063" t="str">
        <f>VLOOKUP($B861,DG!A:D,DG!$B$2,)</f>
        <v>05.6203</v>
      </c>
      <c r="F861" s="1052" t="str">
        <f>VLOOKUP($B861,DG!A:D,DG!$C$2,)</f>
        <v>Lắp xà néo ≤ 100kg</v>
      </c>
      <c r="G861" s="1047" t="str">
        <f>VLOOKUP($B861,DG!A:D,DG!$D$2,)</f>
        <v>bộ</v>
      </c>
      <c r="H861" s="1845">
        <f t="shared" si="168"/>
        <v>3</v>
      </c>
      <c r="I861" s="1845"/>
      <c r="J861" s="1845"/>
      <c r="K861" s="1845"/>
      <c r="L861" s="1845"/>
      <c r="M861" s="1845"/>
      <c r="N861" s="1845"/>
      <c r="O861" s="1845"/>
      <c r="P861" s="1845">
        <f t="shared" si="172"/>
        <v>3</v>
      </c>
      <c r="Q861" s="1056">
        <f t="shared" si="173"/>
        <v>0</v>
      </c>
      <c r="R861" s="1061"/>
      <c r="S861" s="1061"/>
      <c r="T861" s="2059">
        <f t="shared" ref="T861:T935" si="174">IFERROR(HLOOKUP(B861,BangKeTru,3,0),0)</f>
        <v>0</v>
      </c>
    </row>
    <row r="862" spans="1:20" ht="22.15" hidden="1" customHeight="1">
      <c r="A862" s="59"/>
      <c r="B862" s="1586" t="s">
        <v>2002</v>
      </c>
      <c r="C862" s="1015" t="str">
        <f t="shared" si="167"/>
        <v xml:space="preserve"> </v>
      </c>
      <c r="D862" s="1542">
        <f>D863</f>
        <v>0</v>
      </c>
      <c r="E862" s="1047" t="str">
        <f>VLOOKUP($B862,DG!A:D,DG!$B$2,)</f>
        <v>02.1115</v>
      </c>
      <c r="F862" s="1052" t="str">
        <f>VLOOKUP($B862,DG!A:D,DG!$C$2,)</f>
        <v>Bốc dỡ xà, thép thanh</v>
      </c>
      <c r="G862" s="1047" t="str">
        <f>VLOOKUP($B862,DG!A:D,DG!$D$2,)</f>
        <v>tấn</v>
      </c>
      <c r="H862" s="1845"/>
      <c r="I862" s="1845"/>
      <c r="J862" s="1845"/>
      <c r="K862" s="1845"/>
      <c r="L862" s="1845"/>
      <c r="M862" s="1845"/>
      <c r="N862" s="1845"/>
      <c r="O862" s="1845"/>
      <c r="P862" s="1845"/>
      <c r="Q862" s="1061"/>
      <c r="R862" s="1061"/>
      <c r="S862" s="1061"/>
      <c r="T862" s="2059">
        <f t="shared" si="174"/>
        <v>0</v>
      </c>
    </row>
    <row r="863" spans="1:20" ht="22.15" hidden="1" customHeight="1">
      <c r="A863" s="59"/>
      <c r="B863" s="1598" t="s">
        <v>2003</v>
      </c>
      <c r="C863" s="1015" t="str">
        <f t="shared" si="167"/>
        <v xml:space="preserve"> </v>
      </c>
      <c r="D863" s="1542">
        <f>ROUND(SUM(D855:D856)*1.05/1000,3)*0</f>
        <v>0</v>
      </c>
      <c r="E863" s="1047" t="str">
        <f>VLOOKUP($B863,DG!A:C,2,)</f>
        <v>02.1361</v>
      </c>
      <c r="F863" s="1052" t="str">
        <f>VLOOKUP($B863,DG!A:C,3,)</f>
        <v>V/c xà vào vị trí (cư ly &lt;=100m)</v>
      </c>
      <c r="G863" s="1047" t="str">
        <f>VLOOKUP($B863,DG!A:D,4,0)</f>
        <v>tấn</v>
      </c>
      <c r="H863" s="1845"/>
      <c r="I863" s="1845"/>
      <c r="J863" s="1845"/>
      <c r="K863" s="1845"/>
      <c r="L863" s="1845"/>
      <c r="M863" s="1845"/>
      <c r="N863" s="1845"/>
      <c r="O863" s="1845"/>
      <c r="P863" s="1845"/>
      <c r="Q863" s="1061"/>
      <c r="R863" s="1061"/>
      <c r="S863" s="1061"/>
      <c r="T863" s="2059">
        <f t="shared" si="174"/>
        <v>0</v>
      </c>
    </row>
    <row r="864" spans="1:20" ht="22.15" hidden="1" customHeight="1">
      <c r="A864" s="59"/>
      <c r="B864" s="1598" t="s">
        <v>635</v>
      </c>
      <c r="C864" s="1015" t="str">
        <f t="shared" si="167"/>
        <v xml:space="preserve"> </v>
      </c>
      <c r="D864" s="1543">
        <f>0.05*0</f>
        <v>0</v>
      </c>
      <c r="E864" s="1047" t="str">
        <f>VLOOKUP($B864,DG!A:C,2,)</f>
        <v>02.1482</v>
      </c>
      <c r="F864" s="1052" t="str">
        <f>VLOOKUP($B864,DG!A:C,3,)</f>
        <v>V/c dụng cụ thi công vào vị trí (cự ly &lt;=100m)</v>
      </c>
      <c r="G864" s="1047" t="str">
        <f>VLOOKUP($B864,DG!A:D,4,0)</f>
        <v>tấn</v>
      </c>
      <c r="H864" s="1845"/>
      <c r="I864" s="1845"/>
      <c r="J864" s="1845"/>
      <c r="K864" s="1845"/>
      <c r="L864" s="1845"/>
      <c r="M864" s="1845"/>
      <c r="N864" s="1845"/>
      <c r="O864" s="1845"/>
      <c r="P864" s="1845"/>
      <c r="Q864" s="1061"/>
      <c r="R864" s="1061"/>
      <c r="S864" s="1061"/>
      <c r="T864" s="2059">
        <f t="shared" si="174"/>
        <v>0</v>
      </c>
    </row>
    <row r="865" spans="1:20" ht="22.15" hidden="1" customHeight="1">
      <c r="A865" s="59"/>
      <c r="B865" s="1598"/>
      <c r="C865" s="1015" t="str">
        <f t="shared" si="167"/>
        <v xml:space="preserve"> </v>
      </c>
      <c r="D865" s="1543"/>
      <c r="E865" s="1047"/>
      <c r="F865" s="1059"/>
      <c r="G865" s="1047"/>
      <c r="H865" s="1845"/>
      <c r="I865" s="1845"/>
      <c r="J865" s="1845"/>
      <c r="K865" s="1845"/>
      <c r="L865" s="1845"/>
      <c r="M865" s="1845"/>
      <c r="N865" s="1845"/>
      <c r="O865" s="1845"/>
      <c r="P865" s="1845"/>
      <c r="Q865" s="1061"/>
      <c r="R865" s="1061"/>
      <c r="S865" s="1061"/>
      <c r="T865" s="2059">
        <f t="shared" si="174"/>
        <v>0</v>
      </c>
    </row>
    <row r="866" spans="1:20" ht="22.15" hidden="1" customHeight="1">
      <c r="A866" s="59"/>
      <c r="B866" s="1598"/>
      <c r="C866" s="1015" t="str">
        <f t="shared" si="167"/>
        <v xml:space="preserve"> </v>
      </c>
      <c r="D866" s="1543"/>
      <c r="E866" s="1047"/>
      <c r="F866" s="1059"/>
      <c r="G866" s="1047"/>
      <c r="H866" s="1845"/>
      <c r="I866" s="1845"/>
      <c r="J866" s="1845"/>
      <c r="K866" s="1845"/>
      <c r="L866" s="1845"/>
      <c r="M866" s="1845"/>
      <c r="N866" s="1845"/>
      <c r="O866" s="1845"/>
      <c r="P866" s="1845"/>
      <c r="Q866" s="1061"/>
      <c r="R866" s="1061"/>
      <c r="S866" s="1061"/>
      <c r="T866" s="2059">
        <f t="shared" si="174"/>
        <v>0</v>
      </c>
    </row>
    <row r="867" spans="1:20" ht="22.15" hidden="1" customHeight="1">
      <c r="A867" s="56" t="s">
        <v>1114</v>
      </c>
      <c r="B867" s="1583" t="s">
        <v>4861</v>
      </c>
      <c r="C867" s="1015" t="str">
        <f t="shared" si="167"/>
        <v xml:space="preserve"> </v>
      </c>
      <c r="D867" s="1541"/>
      <c r="E867" s="1048"/>
      <c r="F867" s="1396" t="s">
        <v>4863</v>
      </c>
      <c r="G867" s="1049" t="s">
        <v>2394</v>
      </c>
      <c r="H867" s="1843">
        <f>SUM(I867:O867)</f>
        <v>0</v>
      </c>
      <c r="I867" s="1844"/>
      <c r="J867" s="1844"/>
      <c r="K867" s="1844">
        <f>IFERROR(HLOOKUP(B867,pp3p1m!$1:$3,3,0),0)</f>
        <v>0</v>
      </c>
      <c r="L867" s="1844">
        <f>IFERROR(HLOOKUP(chitiet!B867,pp1p!$1:$3,3,0),0)</f>
        <v>0</v>
      </c>
      <c r="M867" s="1844"/>
      <c r="N867" s="1844"/>
      <c r="O867" s="1844"/>
      <c r="P867" s="1844">
        <f>H867+Q867-R867</f>
        <v>0</v>
      </c>
      <c r="Q867" s="1050"/>
      <c r="R867" s="1050"/>
      <c r="S867" s="1050"/>
      <c r="T867" s="2059">
        <f>IFERROR(HLOOKUP(B867,pp1p!$1:$3,3,0),0)+IFERROR(HLOOKUP(B867,pp3p1m!$1:$3,3,0),0)</f>
        <v>0</v>
      </c>
    </row>
    <row r="868" spans="1:20" ht="22.15" hidden="1" customHeight="1">
      <c r="A868" s="59"/>
      <c r="B868" s="1586" t="s">
        <v>4869</v>
      </c>
      <c r="C868" s="1015" t="str">
        <f t="shared" si="167"/>
        <v xml:space="preserve"> </v>
      </c>
      <c r="D868" s="1543">
        <v>1</v>
      </c>
      <c r="E868" s="1047"/>
      <c r="F868" s="1059" t="str">
        <f>VLOOKUP($B868,DG!A:D,DG!$C$2,)</f>
        <v>Sắt góc L75 x75 x8 x2200</v>
      </c>
      <c r="G868" s="1047" t="str">
        <f>VLOOKUP($B868,DG!A:D,DG!$D$2,)</f>
        <v>cái</v>
      </c>
      <c r="H868" s="2224">
        <f t="shared" ref="H868:R873" si="175">H$867*$D868</f>
        <v>0</v>
      </c>
      <c r="I868" s="1845">
        <f t="shared" si="175"/>
        <v>0</v>
      </c>
      <c r="J868" s="1845">
        <f t="shared" si="175"/>
        <v>0</v>
      </c>
      <c r="K868" s="1845">
        <f t="shared" si="175"/>
        <v>0</v>
      </c>
      <c r="L868" s="1845">
        <f t="shared" si="175"/>
        <v>0</v>
      </c>
      <c r="M868" s="1845">
        <f t="shared" si="175"/>
        <v>0</v>
      </c>
      <c r="N868" s="1845">
        <f t="shared" si="175"/>
        <v>0</v>
      </c>
      <c r="O868" s="1845">
        <f t="shared" si="175"/>
        <v>0</v>
      </c>
      <c r="P868" s="2224">
        <f t="shared" si="175"/>
        <v>0</v>
      </c>
      <c r="Q868" s="1845">
        <f t="shared" si="175"/>
        <v>0</v>
      </c>
      <c r="R868" s="1845">
        <f t="shared" si="175"/>
        <v>0</v>
      </c>
      <c r="S868" s="1056"/>
      <c r="T868" s="2059">
        <f t="shared" si="174"/>
        <v>0</v>
      </c>
    </row>
    <row r="869" spans="1:20" ht="22.15" hidden="1" customHeight="1">
      <c r="A869" s="59"/>
      <c r="B869" s="1586" t="s">
        <v>4870</v>
      </c>
      <c r="C869" s="1015" t="str">
        <f t="shared" si="167"/>
        <v xml:space="preserve"> </v>
      </c>
      <c r="D869" s="1543">
        <v>2</v>
      </c>
      <c r="E869" s="1047"/>
      <c r="F869" s="1059" t="str">
        <f>VLOOKUP($B869,DG!A:D,DG!$C$2,)</f>
        <v>Sắt góc L50 x50 x5 x920</v>
      </c>
      <c r="G869" s="1047" t="str">
        <f>VLOOKUP($B869,DG!A:D,DG!$D$2,)</f>
        <v>cái</v>
      </c>
      <c r="H869" s="2224">
        <f t="shared" si="175"/>
        <v>0</v>
      </c>
      <c r="I869" s="1845">
        <f t="shared" ref="I869:J873" si="176">I$798*$D869</f>
        <v>0</v>
      </c>
      <c r="J869" s="1845">
        <f t="shared" si="176"/>
        <v>0</v>
      </c>
      <c r="K869" s="1845">
        <f t="shared" ref="K869:K873" si="177">K$867*$D869</f>
        <v>0</v>
      </c>
      <c r="L869" s="1845">
        <f t="shared" ref="L869:N873" si="178">L$798*$D869</f>
        <v>0</v>
      </c>
      <c r="M869" s="1845">
        <f t="shared" si="178"/>
        <v>0</v>
      </c>
      <c r="N869" s="1845">
        <f t="shared" si="178"/>
        <v>0</v>
      </c>
      <c r="O869" s="1845"/>
      <c r="P869" s="2224">
        <f t="shared" si="175"/>
        <v>0</v>
      </c>
      <c r="Q869" s="1845">
        <f t="shared" si="175"/>
        <v>0</v>
      </c>
      <c r="R869" s="1845">
        <f t="shared" si="175"/>
        <v>0</v>
      </c>
      <c r="S869" s="1056"/>
      <c r="T869" s="2059">
        <f t="shared" si="174"/>
        <v>0</v>
      </c>
    </row>
    <row r="870" spans="1:20" ht="22.15" hidden="1" customHeight="1">
      <c r="A870" s="59"/>
      <c r="B870" s="1586" t="s">
        <v>1614</v>
      </c>
      <c r="C870" s="1015" t="str">
        <f t="shared" si="167"/>
        <v xml:space="preserve"> </v>
      </c>
      <c r="D870" s="1544">
        <v>1</v>
      </c>
      <c r="E870" s="1047"/>
      <c r="F870" s="1059" t="str">
        <f>VLOOKUP($B870,DG!A:D,DG!$C$2,)</f>
        <v>Boulon 16x250+ 2 long đền vuông D18-50x50x3/Zn</v>
      </c>
      <c r="G870" s="1047" t="str">
        <f>VLOOKUP($B870,DG!A:D,DG!$D$2,)</f>
        <v>bộ</v>
      </c>
      <c r="H870" s="1845">
        <f t="shared" si="175"/>
        <v>0</v>
      </c>
      <c r="I870" s="1845">
        <f t="shared" si="176"/>
        <v>0</v>
      </c>
      <c r="J870" s="1845">
        <f t="shared" si="176"/>
        <v>0</v>
      </c>
      <c r="K870" s="1845">
        <f t="shared" si="177"/>
        <v>0</v>
      </c>
      <c r="L870" s="1845">
        <f t="shared" si="178"/>
        <v>0</v>
      </c>
      <c r="M870" s="1845">
        <f t="shared" si="178"/>
        <v>0</v>
      </c>
      <c r="N870" s="1845">
        <f t="shared" si="178"/>
        <v>0</v>
      </c>
      <c r="O870" s="1845"/>
      <c r="P870" s="1845">
        <f t="shared" si="175"/>
        <v>0</v>
      </c>
      <c r="Q870" s="1845">
        <f t="shared" si="175"/>
        <v>0</v>
      </c>
      <c r="R870" s="1845">
        <f t="shared" si="175"/>
        <v>0</v>
      </c>
      <c r="S870" s="1056"/>
      <c r="T870" s="2059">
        <f t="shared" si="174"/>
        <v>0</v>
      </c>
    </row>
    <row r="871" spans="1:20" ht="22.15" hidden="1" customHeight="1">
      <c r="A871" s="59"/>
      <c r="B871" s="1586" t="s">
        <v>1615</v>
      </c>
      <c r="C871" s="1015" t="str">
        <f t="shared" si="167"/>
        <v xml:space="preserve"> </v>
      </c>
      <c r="D871" s="1544">
        <v>1</v>
      </c>
      <c r="E871" s="1047"/>
      <c r="F871" s="1059" t="str">
        <f>VLOOKUP($B871,DG!A:D,DG!$C$2,)</f>
        <v>Boulon 16x300+ 2 long đền vuông D18-50x50x3/Zn</v>
      </c>
      <c r="G871" s="1047" t="str">
        <f>VLOOKUP($B871,DG!A:D,DG!$D$2,)</f>
        <v>bộ</v>
      </c>
      <c r="H871" s="1845">
        <f t="shared" si="175"/>
        <v>0</v>
      </c>
      <c r="I871" s="1845">
        <f t="shared" si="176"/>
        <v>0</v>
      </c>
      <c r="J871" s="1845">
        <f t="shared" si="176"/>
        <v>0</v>
      </c>
      <c r="K871" s="1845">
        <f t="shared" si="177"/>
        <v>0</v>
      </c>
      <c r="L871" s="1845">
        <f t="shared" si="178"/>
        <v>0</v>
      </c>
      <c r="M871" s="1845">
        <f t="shared" si="178"/>
        <v>0</v>
      </c>
      <c r="N871" s="1845">
        <f t="shared" si="178"/>
        <v>0</v>
      </c>
      <c r="O871" s="1845"/>
      <c r="P871" s="1845">
        <f t="shared" si="175"/>
        <v>0</v>
      </c>
      <c r="Q871" s="1845">
        <f t="shared" si="175"/>
        <v>0</v>
      </c>
      <c r="R871" s="1845">
        <f t="shared" si="175"/>
        <v>0</v>
      </c>
      <c r="S871" s="1056"/>
      <c r="T871" s="2059">
        <f t="shared" si="174"/>
        <v>0</v>
      </c>
    </row>
    <row r="872" spans="1:20" ht="22.15" hidden="1" customHeight="1">
      <c r="A872" s="59"/>
      <c r="B872" s="1586" t="s">
        <v>415</v>
      </c>
      <c r="C872" s="1015" t="str">
        <f t="shared" si="167"/>
        <v xml:space="preserve"> </v>
      </c>
      <c r="D872" s="1544">
        <v>4</v>
      </c>
      <c r="E872" s="1047"/>
      <c r="F872" s="1059" t="str">
        <f>VLOOKUP($B872,DG!A:D,DG!$C$2,)</f>
        <v>Boulon 16x300VRS+ 4 long đền vuông D18-50x50x3/Zn</v>
      </c>
      <c r="G872" s="1047" t="str">
        <f>VLOOKUP($B872,DG!A:D,DG!$D$2,)</f>
        <v>bộ</v>
      </c>
      <c r="H872" s="1845">
        <f t="shared" si="175"/>
        <v>0</v>
      </c>
      <c r="I872" s="1845">
        <f t="shared" si="176"/>
        <v>0</v>
      </c>
      <c r="J872" s="1845">
        <f t="shared" si="176"/>
        <v>0</v>
      </c>
      <c r="K872" s="1845">
        <f t="shared" si="177"/>
        <v>0</v>
      </c>
      <c r="L872" s="1845">
        <f t="shared" si="178"/>
        <v>0</v>
      </c>
      <c r="M872" s="1845">
        <f t="shared" si="178"/>
        <v>0</v>
      </c>
      <c r="N872" s="1845">
        <f t="shared" si="178"/>
        <v>0</v>
      </c>
      <c r="O872" s="1845"/>
      <c r="P872" s="1845">
        <f t="shared" si="175"/>
        <v>0</v>
      </c>
      <c r="Q872" s="1845">
        <f t="shared" si="175"/>
        <v>0</v>
      </c>
      <c r="R872" s="1845">
        <f t="shared" si="175"/>
        <v>0</v>
      </c>
      <c r="S872" s="1056"/>
      <c r="T872" s="2059">
        <f t="shared" si="174"/>
        <v>0</v>
      </c>
    </row>
    <row r="873" spans="1:20" ht="22.15" hidden="1" customHeight="1">
      <c r="A873" s="59"/>
      <c r="B873" s="1586" t="s">
        <v>1792</v>
      </c>
      <c r="C873" s="1015" t="str">
        <f t="shared" si="167"/>
        <v xml:space="preserve"> </v>
      </c>
      <c r="D873" s="1544">
        <v>4</v>
      </c>
      <c r="E873" s="1047"/>
      <c r="F873" s="1059" t="str">
        <f>VLOOKUP($B873,DG!A:D,DG!$C$2,)</f>
        <v>Boulon 16x50+ 2 long đền vuông D18-50x50x3/Zn</v>
      </c>
      <c r="G873" s="1047" t="str">
        <f>VLOOKUP($B873,DG!A:D,DG!$D$2,)</f>
        <v>bộ</v>
      </c>
      <c r="H873" s="1845">
        <f t="shared" si="175"/>
        <v>0</v>
      </c>
      <c r="I873" s="1845">
        <f t="shared" si="176"/>
        <v>0</v>
      </c>
      <c r="J873" s="1845">
        <f t="shared" si="176"/>
        <v>0</v>
      </c>
      <c r="K873" s="1845">
        <f t="shared" si="177"/>
        <v>0</v>
      </c>
      <c r="L873" s="1845">
        <f t="shared" si="178"/>
        <v>0</v>
      </c>
      <c r="M873" s="1845">
        <f t="shared" si="178"/>
        <v>0</v>
      </c>
      <c r="N873" s="1845">
        <f t="shared" si="178"/>
        <v>0</v>
      </c>
      <c r="O873" s="1845"/>
      <c r="P873" s="1845">
        <f t="shared" si="175"/>
        <v>0</v>
      </c>
      <c r="Q873" s="1845">
        <f t="shared" si="175"/>
        <v>0</v>
      </c>
      <c r="R873" s="1845">
        <f t="shared" si="175"/>
        <v>0</v>
      </c>
      <c r="S873" s="1056"/>
      <c r="T873" s="2059">
        <f t="shared" si="174"/>
        <v>0</v>
      </c>
    </row>
    <row r="874" spans="1:20" ht="22.15" hidden="1" customHeight="1">
      <c r="A874" s="59"/>
      <c r="B874" s="1586" t="s">
        <v>518</v>
      </c>
      <c r="C874" s="1015" t="str">
        <f t="shared" si="167"/>
        <v xml:space="preserve"> </v>
      </c>
      <c r="D874" s="1544">
        <v>1</v>
      </c>
      <c r="E874" s="1047" t="str">
        <f>VLOOKUP($B874,DG!A:D,DG!$B$2,)</f>
        <v>05.6203</v>
      </c>
      <c r="F874" s="1052" t="str">
        <f>VLOOKUP($B874,DG!A:D,DG!$C$2,)</f>
        <v>Lắp xà néo ≤ 100kg</v>
      </c>
      <c r="G874" s="1047" t="str">
        <f>VLOOKUP($B874,DG!A:D,DG!$D$2,)</f>
        <v>bộ</v>
      </c>
      <c r="H874" s="1845"/>
      <c r="I874" s="1845"/>
      <c r="J874" s="1845"/>
      <c r="K874" s="1845"/>
      <c r="L874" s="1845"/>
      <c r="M874" s="1845"/>
      <c r="N874" s="1845"/>
      <c r="O874" s="1845"/>
      <c r="P874" s="1845"/>
      <c r="Q874" s="1061"/>
      <c r="R874" s="1061"/>
      <c r="S874" s="1061"/>
      <c r="T874" s="2059">
        <f t="shared" si="174"/>
        <v>0</v>
      </c>
    </row>
    <row r="875" spans="1:20" ht="22.15" hidden="1" customHeight="1">
      <c r="A875" s="59"/>
      <c r="B875" s="1586" t="s">
        <v>2002</v>
      </c>
      <c r="C875" s="1015" t="str">
        <f t="shared" si="167"/>
        <v xml:space="preserve"> </v>
      </c>
      <c r="D875" s="1542">
        <f>D876</f>
        <v>0</v>
      </c>
      <c r="E875" s="1047" t="str">
        <f>VLOOKUP($B875,DG!A:D,DG!$B$2,)</f>
        <v>02.1115</v>
      </c>
      <c r="F875" s="1052" t="str">
        <f>VLOOKUP($B875,DG!A:D,DG!$C$2,)</f>
        <v>Bốc dỡ xà, thép thanh</v>
      </c>
      <c r="G875" s="1047" t="str">
        <f>VLOOKUP($B875,DG!A:D,DG!$D$2,)</f>
        <v>tấn</v>
      </c>
      <c r="H875" s="1845"/>
      <c r="I875" s="1845"/>
      <c r="J875" s="1845"/>
      <c r="K875" s="1845"/>
      <c r="L875" s="1845"/>
      <c r="M875" s="1845"/>
      <c r="N875" s="1845"/>
      <c r="O875" s="1845"/>
      <c r="P875" s="1845"/>
      <c r="Q875" s="1061"/>
      <c r="R875" s="1061"/>
      <c r="S875" s="1061"/>
      <c r="T875" s="2059">
        <f t="shared" si="174"/>
        <v>0</v>
      </c>
    </row>
    <row r="876" spans="1:20" ht="22.15" hidden="1" customHeight="1">
      <c r="A876" s="59"/>
      <c r="B876" s="1598" t="s">
        <v>2003</v>
      </c>
      <c r="C876" s="1015" t="str">
        <f t="shared" si="167"/>
        <v xml:space="preserve"> </v>
      </c>
      <c r="D876" s="1542">
        <f>ROUND(SUM(D868:D869)*1.05/1000,3)*0</f>
        <v>0</v>
      </c>
      <c r="E876" s="1047" t="str">
        <f>VLOOKUP($B876,DG!A:C,2,)</f>
        <v>02.1361</v>
      </c>
      <c r="F876" s="1052" t="str">
        <f>VLOOKUP($B876,DG!A:C,3,)</f>
        <v>V/c xà vào vị trí (cư ly &lt;=100m)</v>
      </c>
      <c r="G876" s="1047" t="str">
        <f>VLOOKUP($B876,DG!A:D,4,0)</f>
        <v>tấn</v>
      </c>
      <c r="H876" s="1845"/>
      <c r="I876" s="1845"/>
      <c r="J876" s="1845"/>
      <c r="K876" s="1845"/>
      <c r="L876" s="1845"/>
      <c r="M876" s="1845"/>
      <c r="N876" s="1845"/>
      <c r="O876" s="1845"/>
      <c r="P876" s="1845"/>
      <c r="Q876" s="1061"/>
      <c r="R876" s="1061"/>
      <c r="S876" s="1061"/>
      <c r="T876" s="2059">
        <f t="shared" si="174"/>
        <v>0</v>
      </c>
    </row>
    <row r="877" spans="1:20" ht="22.15" hidden="1" customHeight="1">
      <c r="A877" s="59"/>
      <c r="B877" s="1598" t="s">
        <v>635</v>
      </c>
      <c r="C877" s="1015" t="str">
        <f t="shared" si="167"/>
        <v xml:space="preserve"> </v>
      </c>
      <c r="D877" s="1543">
        <f>0.05*0</f>
        <v>0</v>
      </c>
      <c r="E877" s="1047" t="str">
        <f>VLOOKUP($B877,DG!A:C,2,)</f>
        <v>02.1482</v>
      </c>
      <c r="F877" s="1052" t="str">
        <f>VLOOKUP($B877,DG!A:C,3,)</f>
        <v>V/c dụng cụ thi công vào vị trí (cự ly &lt;=100m)</v>
      </c>
      <c r="G877" s="1047" t="str">
        <f>VLOOKUP($B877,DG!A:D,4,0)</f>
        <v>tấn</v>
      </c>
      <c r="H877" s="1845"/>
      <c r="I877" s="1845"/>
      <c r="J877" s="1845"/>
      <c r="K877" s="1845"/>
      <c r="L877" s="1845"/>
      <c r="M877" s="1845"/>
      <c r="N877" s="1845"/>
      <c r="O877" s="1845"/>
      <c r="P877" s="1845"/>
      <c r="Q877" s="1061"/>
      <c r="R877" s="1061"/>
      <c r="S877" s="1061"/>
      <c r="T877" s="2059">
        <f t="shared" si="174"/>
        <v>0</v>
      </c>
    </row>
    <row r="878" spans="1:20" ht="22.15" hidden="1" customHeight="1">
      <c r="A878" s="56" t="s">
        <v>1114</v>
      </c>
      <c r="B878" s="1583" t="s">
        <v>4862</v>
      </c>
      <c r="C878" s="1015" t="str">
        <f t="shared" ref="C878:C888" si="179">IF(OR(P878&lt;&gt;0,H878&lt;&gt;0),"x"," ")</f>
        <v xml:space="preserve"> </v>
      </c>
      <c r="D878" s="1541"/>
      <c r="E878" s="1048"/>
      <c r="F878" s="1396" t="s">
        <v>4867</v>
      </c>
      <c r="G878" s="1049" t="s">
        <v>2394</v>
      </c>
      <c r="H878" s="1843">
        <f>SUM(I878:O878)</f>
        <v>0</v>
      </c>
      <c r="I878" s="1844"/>
      <c r="J878" s="1844"/>
      <c r="K878" s="1844">
        <f>IFERROR(HLOOKUP(B878,pp3p1m!$1:$3,3,0),0)</f>
        <v>0</v>
      </c>
      <c r="L878" s="1844">
        <f>IFERROR(HLOOKUP(chitiet!B878,pp1p!$1:$3,3,0),0)</f>
        <v>0</v>
      </c>
      <c r="M878" s="1844"/>
      <c r="N878" s="1844"/>
      <c r="O878" s="1844"/>
      <c r="P878" s="1844">
        <f>H878+Q878-R878</f>
        <v>0</v>
      </c>
      <c r="Q878" s="1050"/>
      <c r="R878" s="1050"/>
      <c r="S878" s="1050"/>
      <c r="T878" s="2059">
        <f>IFERROR(HLOOKUP(B878,pp1p!$1:$3,3,0),0)+IFERROR(HLOOKUP(B878,pp3p1m!$1:$3,3,0),0)</f>
        <v>0</v>
      </c>
    </row>
    <row r="879" spans="1:20" ht="22.15" hidden="1" customHeight="1">
      <c r="A879" s="59"/>
      <c r="B879" s="1586" t="s">
        <v>4869</v>
      </c>
      <c r="C879" s="1015" t="str">
        <f t="shared" si="179"/>
        <v xml:space="preserve"> </v>
      </c>
      <c r="D879" s="1543">
        <v>2</v>
      </c>
      <c r="E879" s="1047"/>
      <c r="F879" s="1059" t="str">
        <f>VLOOKUP($B879,DG!A:D,DG!$C$2,)</f>
        <v>Sắt góc L75 x75 x8 x2200</v>
      </c>
      <c r="G879" s="1047" t="str">
        <f>VLOOKUP($B879,DG!A:D,DG!$D$2,)</f>
        <v>cái</v>
      </c>
      <c r="H879" s="2224">
        <f t="shared" ref="H879:H884" si="180">H$867*$D879</f>
        <v>0</v>
      </c>
      <c r="I879" s="1845">
        <f t="shared" ref="I879:J884" si="181">I$798*$D879</f>
        <v>0</v>
      </c>
      <c r="J879" s="1845">
        <f t="shared" si="181"/>
        <v>0</v>
      </c>
      <c r="K879" s="1845">
        <f t="shared" ref="K879:K884" si="182">K$867*$D879</f>
        <v>0</v>
      </c>
      <c r="L879" s="1845">
        <f t="shared" ref="L879:N884" si="183">L$798*$D879</f>
        <v>0</v>
      </c>
      <c r="M879" s="1845">
        <f t="shared" si="183"/>
        <v>0</v>
      </c>
      <c r="N879" s="1845">
        <f t="shared" si="183"/>
        <v>0</v>
      </c>
      <c r="O879" s="1845"/>
      <c r="P879" s="2224">
        <f t="shared" ref="P879:R884" si="184">P$867*$D879</f>
        <v>0</v>
      </c>
      <c r="Q879" s="2224">
        <f t="shared" si="184"/>
        <v>0</v>
      </c>
      <c r="R879" s="2224">
        <f t="shared" si="184"/>
        <v>0</v>
      </c>
      <c r="S879" s="1056"/>
      <c r="T879" s="2059">
        <f t="shared" ref="T879:T888" si="185">IFERROR(HLOOKUP(B879,BangKeTru,3,0),0)</f>
        <v>0</v>
      </c>
    </row>
    <row r="880" spans="1:20" ht="22.15" hidden="1" customHeight="1">
      <c r="A880" s="59"/>
      <c r="B880" s="1586" t="s">
        <v>4870</v>
      </c>
      <c r="C880" s="1015" t="str">
        <f t="shared" si="179"/>
        <v xml:space="preserve"> </v>
      </c>
      <c r="D880" s="1543">
        <v>4</v>
      </c>
      <c r="E880" s="1047"/>
      <c r="F880" s="1059" t="str">
        <f>VLOOKUP($B880,DG!A:D,DG!$C$2,)</f>
        <v>Sắt góc L50 x50 x5 x920</v>
      </c>
      <c r="G880" s="1047" t="str">
        <f>VLOOKUP($B880,DG!A:D,DG!$D$2,)</f>
        <v>cái</v>
      </c>
      <c r="H880" s="2224">
        <f t="shared" si="180"/>
        <v>0</v>
      </c>
      <c r="I880" s="1845">
        <f t="shared" si="181"/>
        <v>0</v>
      </c>
      <c r="J880" s="1845">
        <f t="shared" si="181"/>
        <v>0</v>
      </c>
      <c r="K880" s="1845">
        <f t="shared" si="182"/>
        <v>0</v>
      </c>
      <c r="L880" s="1845">
        <f t="shared" si="183"/>
        <v>0</v>
      </c>
      <c r="M880" s="1845">
        <f t="shared" si="183"/>
        <v>0</v>
      </c>
      <c r="N880" s="1845">
        <f t="shared" si="183"/>
        <v>0</v>
      </c>
      <c r="O880" s="1845"/>
      <c r="P880" s="2224">
        <f t="shared" si="184"/>
        <v>0</v>
      </c>
      <c r="Q880" s="2224">
        <f t="shared" si="184"/>
        <v>0</v>
      </c>
      <c r="R880" s="2224">
        <f t="shared" si="184"/>
        <v>0</v>
      </c>
      <c r="S880" s="1056"/>
      <c r="T880" s="2059">
        <f t="shared" si="185"/>
        <v>0</v>
      </c>
    </row>
    <row r="881" spans="1:20" ht="22.15" hidden="1" customHeight="1">
      <c r="A881" s="59"/>
      <c r="B881" s="1586" t="s">
        <v>1614</v>
      </c>
      <c r="C881" s="1015" t="str">
        <f t="shared" si="179"/>
        <v xml:space="preserve"> </v>
      </c>
      <c r="D881" s="1544">
        <v>2</v>
      </c>
      <c r="E881" s="1047"/>
      <c r="F881" s="1059" t="str">
        <f>VLOOKUP($B881,DG!A:D,DG!$C$2,)</f>
        <v>Boulon 16x250+ 2 long đền vuông D18-50x50x3/Zn</v>
      </c>
      <c r="G881" s="1047" t="str">
        <f>VLOOKUP($B881,DG!A:D,DG!$D$2,)</f>
        <v>bộ</v>
      </c>
      <c r="H881" s="1845">
        <f t="shared" si="180"/>
        <v>0</v>
      </c>
      <c r="I881" s="1845">
        <f t="shared" si="181"/>
        <v>0</v>
      </c>
      <c r="J881" s="1845">
        <f t="shared" si="181"/>
        <v>0</v>
      </c>
      <c r="K881" s="1845">
        <f t="shared" si="182"/>
        <v>0</v>
      </c>
      <c r="L881" s="1845">
        <f t="shared" si="183"/>
        <v>0</v>
      </c>
      <c r="M881" s="1845">
        <f t="shared" si="183"/>
        <v>0</v>
      </c>
      <c r="N881" s="1845">
        <f t="shared" si="183"/>
        <v>0</v>
      </c>
      <c r="O881" s="1845"/>
      <c r="P881" s="1845">
        <f t="shared" si="184"/>
        <v>0</v>
      </c>
      <c r="Q881" s="1845">
        <f t="shared" si="184"/>
        <v>0</v>
      </c>
      <c r="R881" s="1845">
        <f t="shared" si="184"/>
        <v>0</v>
      </c>
      <c r="S881" s="1056"/>
      <c r="T881" s="2059">
        <f t="shared" si="185"/>
        <v>0</v>
      </c>
    </row>
    <row r="882" spans="1:20" ht="22.15" hidden="1" customHeight="1">
      <c r="A882" s="59"/>
      <c r="B882" s="1586" t="s">
        <v>1615</v>
      </c>
      <c r="C882" s="1015" t="str">
        <f t="shared" si="179"/>
        <v xml:space="preserve"> </v>
      </c>
      <c r="D882" s="1544">
        <v>2</v>
      </c>
      <c r="E882" s="1047"/>
      <c r="F882" s="1059" t="str">
        <f>VLOOKUP($B882,DG!A:D,DG!$C$2,)</f>
        <v>Boulon 16x300+ 2 long đền vuông D18-50x50x3/Zn</v>
      </c>
      <c r="G882" s="1047" t="str">
        <f>VLOOKUP($B882,DG!A:D,DG!$D$2,)</f>
        <v>bộ</v>
      </c>
      <c r="H882" s="1845">
        <f t="shared" si="180"/>
        <v>0</v>
      </c>
      <c r="I882" s="1845">
        <f t="shared" si="181"/>
        <v>0</v>
      </c>
      <c r="J882" s="1845">
        <f t="shared" si="181"/>
        <v>0</v>
      </c>
      <c r="K882" s="1845">
        <f t="shared" si="182"/>
        <v>0</v>
      </c>
      <c r="L882" s="1845">
        <f t="shared" si="183"/>
        <v>0</v>
      </c>
      <c r="M882" s="1845">
        <f t="shared" si="183"/>
        <v>0</v>
      </c>
      <c r="N882" s="1845">
        <f t="shared" si="183"/>
        <v>0</v>
      </c>
      <c r="O882" s="1845"/>
      <c r="P882" s="1845">
        <f t="shared" si="184"/>
        <v>0</v>
      </c>
      <c r="Q882" s="1845">
        <f t="shared" si="184"/>
        <v>0</v>
      </c>
      <c r="R882" s="1845">
        <f t="shared" si="184"/>
        <v>0</v>
      </c>
      <c r="S882" s="1056"/>
      <c r="T882" s="2059">
        <f t="shared" si="185"/>
        <v>0</v>
      </c>
    </row>
    <row r="883" spans="1:20" ht="22.15" hidden="1" customHeight="1">
      <c r="A883" s="59"/>
      <c r="B883" s="1586" t="s">
        <v>415</v>
      </c>
      <c r="C883" s="1015" t="str">
        <f t="shared" si="179"/>
        <v xml:space="preserve"> </v>
      </c>
      <c r="D883" s="1544">
        <v>4</v>
      </c>
      <c r="E883" s="1047"/>
      <c r="F883" s="1059" t="str">
        <f>VLOOKUP($B883,DG!A:D,DG!$C$2,)</f>
        <v>Boulon 16x300VRS+ 4 long đền vuông D18-50x50x3/Zn</v>
      </c>
      <c r="G883" s="1047" t="str">
        <f>VLOOKUP($B883,DG!A:D,DG!$D$2,)</f>
        <v>bộ</v>
      </c>
      <c r="H883" s="1845">
        <f t="shared" si="180"/>
        <v>0</v>
      </c>
      <c r="I883" s="1845">
        <f t="shared" si="181"/>
        <v>0</v>
      </c>
      <c r="J883" s="1845">
        <f t="shared" si="181"/>
        <v>0</v>
      </c>
      <c r="K883" s="1845">
        <f t="shared" si="182"/>
        <v>0</v>
      </c>
      <c r="L883" s="1845">
        <f t="shared" si="183"/>
        <v>0</v>
      </c>
      <c r="M883" s="1845">
        <f t="shared" si="183"/>
        <v>0</v>
      </c>
      <c r="N883" s="1845">
        <f t="shared" si="183"/>
        <v>0</v>
      </c>
      <c r="O883" s="1845"/>
      <c r="P883" s="1845">
        <f t="shared" si="184"/>
        <v>0</v>
      </c>
      <c r="Q883" s="1845">
        <f t="shared" si="184"/>
        <v>0</v>
      </c>
      <c r="R883" s="1845">
        <f t="shared" si="184"/>
        <v>0</v>
      </c>
      <c r="S883" s="1056"/>
      <c r="T883" s="2059">
        <f t="shared" si="185"/>
        <v>0</v>
      </c>
    </row>
    <row r="884" spans="1:20" ht="22.15" hidden="1" customHeight="1">
      <c r="A884" s="59"/>
      <c r="B884" s="1586" t="s">
        <v>1792</v>
      </c>
      <c r="C884" s="1015" t="str">
        <f t="shared" si="179"/>
        <v xml:space="preserve"> </v>
      </c>
      <c r="D884" s="1544">
        <v>4</v>
      </c>
      <c r="E884" s="1047"/>
      <c r="F884" s="1059" t="str">
        <f>VLOOKUP($B884,DG!A:D,DG!$C$2,)</f>
        <v>Boulon 16x50+ 2 long đền vuông D18-50x50x3/Zn</v>
      </c>
      <c r="G884" s="1047" t="str">
        <f>VLOOKUP($B884,DG!A:D,DG!$D$2,)</f>
        <v>bộ</v>
      </c>
      <c r="H884" s="1845">
        <f t="shared" si="180"/>
        <v>0</v>
      </c>
      <c r="I884" s="1845">
        <f t="shared" si="181"/>
        <v>0</v>
      </c>
      <c r="J884" s="1845">
        <f t="shared" si="181"/>
        <v>0</v>
      </c>
      <c r="K884" s="1845">
        <f t="shared" si="182"/>
        <v>0</v>
      </c>
      <c r="L884" s="1845">
        <f t="shared" si="183"/>
        <v>0</v>
      </c>
      <c r="M884" s="1845">
        <f t="shared" si="183"/>
        <v>0</v>
      </c>
      <c r="N884" s="1845">
        <f t="shared" si="183"/>
        <v>0</v>
      </c>
      <c r="O884" s="1845"/>
      <c r="P884" s="1845">
        <f t="shared" si="184"/>
        <v>0</v>
      </c>
      <c r="Q884" s="1845">
        <f t="shared" si="184"/>
        <v>0</v>
      </c>
      <c r="R884" s="1845">
        <f t="shared" si="184"/>
        <v>0</v>
      </c>
      <c r="S884" s="1056"/>
      <c r="T884" s="2059">
        <f t="shared" si="185"/>
        <v>0</v>
      </c>
    </row>
    <row r="885" spans="1:20" ht="22.15" hidden="1" customHeight="1">
      <c r="A885" s="59"/>
      <c r="B885" s="1586" t="s">
        <v>518</v>
      </c>
      <c r="C885" s="1015" t="str">
        <f t="shared" si="179"/>
        <v xml:space="preserve"> </v>
      </c>
      <c r="D885" s="1544">
        <v>1</v>
      </c>
      <c r="E885" s="1047" t="str">
        <f>VLOOKUP($B885,DG!A:D,DG!$B$2,)</f>
        <v>05.6203</v>
      </c>
      <c r="F885" s="1052" t="str">
        <f>VLOOKUP($B885,DG!A:D,DG!$C$2,)</f>
        <v>Lắp xà néo ≤ 100kg</v>
      </c>
      <c r="G885" s="1047" t="str">
        <f>VLOOKUP($B885,DG!A:D,DG!$D$2,)</f>
        <v>bộ</v>
      </c>
      <c r="H885" s="1845"/>
      <c r="I885" s="1845"/>
      <c r="J885" s="1845"/>
      <c r="K885" s="1845"/>
      <c r="L885" s="1845"/>
      <c r="M885" s="1845"/>
      <c r="N885" s="1845"/>
      <c r="O885" s="1845"/>
      <c r="P885" s="1845"/>
      <c r="Q885" s="1061"/>
      <c r="R885" s="1061"/>
      <c r="S885" s="1061"/>
      <c r="T885" s="2059">
        <f t="shared" si="185"/>
        <v>0</v>
      </c>
    </row>
    <row r="886" spans="1:20" ht="22.15" hidden="1" customHeight="1">
      <c r="A886" s="59"/>
      <c r="B886" s="1586" t="s">
        <v>2002</v>
      </c>
      <c r="C886" s="1015" t="str">
        <f t="shared" si="179"/>
        <v xml:space="preserve"> </v>
      </c>
      <c r="D886" s="1542">
        <f>D887</f>
        <v>0</v>
      </c>
      <c r="E886" s="1047" t="str">
        <f>VLOOKUP($B886,DG!A:D,DG!$B$2,)</f>
        <v>02.1115</v>
      </c>
      <c r="F886" s="1052" t="str">
        <f>VLOOKUP($B886,DG!A:D,DG!$C$2,)</f>
        <v>Bốc dỡ xà, thép thanh</v>
      </c>
      <c r="G886" s="1047" t="str">
        <f>VLOOKUP($B886,DG!A:D,DG!$D$2,)</f>
        <v>tấn</v>
      </c>
      <c r="H886" s="1845"/>
      <c r="I886" s="1845"/>
      <c r="J886" s="1845"/>
      <c r="K886" s="1845"/>
      <c r="L886" s="1845"/>
      <c r="M886" s="1845"/>
      <c r="N886" s="1845"/>
      <c r="O886" s="1845"/>
      <c r="P886" s="1845"/>
      <c r="Q886" s="1061"/>
      <c r="R886" s="1061"/>
      <c r="S886" s="1061"/>
      <c r="T886" s="2059">
        <f t="shared" si="185"/>
        <v>0</v>
      </c>
    </row>
    <row r="887" spans="1:20" ht="22.15" hidden="1" customHeight="1">
      <c r="A887" s="59"/>
      <c r="B887" s="1598" t="s">
        <v>2003</v>
      </c>
      <c r="C887" s="1015" t="str">
        <f t="shared" si="179"/>
        <v xml:space="preserve"> </v>
      </c>
      <c r="D887" s="1542">
        <f>ROUND(SUM(D879:D880)*1.05/1000,3)*0</f>
        <v>0</v>
      </c>
      <c r="E887" s="1047" t="str">
        <f>VLOOKUP($B887,DG!A:C,2,)</f>
        <v>02.1361</v>
      </c>
      <c r="F887" s="1052" t="str">
        <f>VLOOKUP($B887,DG!A:C,3,)</f>
        <v>V/c xà vào vị trí (cư ly &lt;=100m)</v>
      </c>
      <c r="G887" s="1047" t="str">
        <f>VLOOKUP($B887,DG!A:D,4,0)</f>
        <v>tấn</v>
      </c>
      <c r="H887" s="1845"/>
      <c r="I887" s="1845"/>
      <c r="J887" s="1845"/>
      <c r="K887" s="1845"/>
      <c r="L887" s="1845"/>
      <c r="M887" s="1845"/>
      <c r="N887" s="1845"/>
      <c r="O887" s="1845"/>
      <c r="P887" s="1845"/>
      <c r="Q887" s="1061"/>
      <c r="R887" s="1061"/>
      <c r="S887" s="1061"/>
      <c r="T887" s="2059">
        <f t="shared" si="185"/>
        <v>0</v>
      </c>
    </row>
    <row r="888" spans="1:20" ht="22.15" hidden="1" customHeight="1">
      <c r="A888" s="59"/>
      <c r="B888" s="1598" t="s">
        <v>635</v>
      </c>
      <c r="C888" s="1015" t="str">
        <f t="shared" si="179"/>
        <v xml:space="preserve"> </v>
      </c>
      <c r="D888" s="1543">
        <f>0.05*0</f>
        <v>0</v>
      </c>
      <c r="E888" s="1047" t="str">
        <f>VLOOKUP($B888,DG!A:C,2,)</f>
        <v>02.1482</v>
      </c>
      <c r="F888" s="1052" t="str">
        <f>VLOOKUP($B888,DG!A:C,3,)</f>
        <v>V/c dụng cụ thi công vào vị trí (cự ly &lt;=100m)</v>
      </c>
      <c r="G888" s="1047" t="str">
        <f>VLOOKUP($B888,DG!A:D,4,0)</f>
        <v>tấn</v>
      </c>
      <c r="H888" s="1845"/>
      <c r="I888" s="1845"/>
      <c r="J888" s="1845"/>
      <c r="K888" s="1845"/>
      <c r="L888" s="1845"/>
      <c r="M888" s="1845"/>
      <c r="N888" s="1845"/>
      <c r="O888" s="1845"/>
      <c r="P888" s="1845"/>
      <c r="Q888" s="1061"/>
      <c r="R888" s="1061"/>
      <c r="S888" s="1061"/>
      <c r="T888" s="2059">
        <f t="shared" si="185"/>
        <v>0</v>
      </c>
    </row>
    <row r="889" spans="1:20" ht="22.15" hidden="1" customHeight="1">
      <c r="A889" s="56" t="s">
        <v>2304</v>
      </c>
      <c r="B889" s="1583" t="s">
        <v>2304</v>
      </c>
      <c r="C889" s="1015" t="str">
        <f t="shared" si="167"/>
        <v xml:space="preserve"> </v>
      </c>
      <c r="D889" s="1541"/>
      <c r="E889" s="1048"/>
      <c r="F889" s="1396" t="s">
        <v>2434</v>
      </c>
      <c r="G889" s="1049" t="s">
        <v>2394</v>
      </c>
      <c r="H889" s="1843">
        <f>SUM(I889:O889)</f>
        <v>0</v>
      </c>
      <c r="I889" s="1844"/>
      <c r="J889" s="1844"/>
      <c r="K889" s="1844">
        <f>IFERROR(HLOOKUP(B889,pp3p1m!$1:$3,3,0),0)</f>
        <v>0</v>
      </c>
      <c r="L889" s="1844">
        <f>IFERROR(HLOOKUP(chitiet!B889,pp1p!$1:$3,3,0),0)</f>
        <v>0</v>
      </c>
      <c r="M889" s="1844"/>
      <c r="N889" s="1844"/>
      <c r="O889" s="1844"/>
      <c r="P889" s="1844">
        <f>H889+Q889-R889</f>
        <v>0</v>
      </c>
      <c r="Q889" s="1050"/>
      <c r="R889" s="1050"/>
      <c r="S889" s="1050"/>
      <c r="T889" s="2059">
        <f>IFERROR(HLOOKUP(B889,pp1p!$1:$3,3,0),0)+IFERROR(HLOOKUP(B889,pp3p1m!$1:$3,3,0),0)</f>
        <v>0</v>
      </c>
    </row>
    <row r="890" spans="1:20" ht="22.15" hidden="1" customHeight="1">
      <c r="A890" s="59"/>
      <c r="B890" s="1586" t="s">
        <v>109</v>
      </c>
      <c r="C890" s="1015" t="str">
        <f t="shared" si="167"/>
        <v xml:space="preserve"> </v>
      </c>
      <c r="D890" s="1543">
        <f>9.02*(2.4+4*0.07)</f>
        <v>24.173599999999997</v>
      </c>
      <c r="E890" s="1047"/>
      <c r="F890" s="1059" t="str">
        <f>VLOOKUP($B890,DG!A:D,DG!$C$2,)</f>
        <v>Sắt góc L75 x75 x8</v>
      </c>
      <c r="G890" s="1047" t="str">
        <f>VLOOKUP($B890,DG!A:D,DG!$D$2,)</f>
        <v>kg</v>
      </c>
      <c r="H890" s="1845">
        <f t="shared" ref="H890:N893" si="186">H$889*$D890</f>
        <v>0</v>
      </c>
      <c r="I890" s="1845">
        <f t="shared" si="186"/>
        <v>0</v>
      </c>
      <c r="J890" s="1845">
        <f t="shared" si="186"/>
        <v>0</v>
      </c>
      <c r="K890" s="1845">
        <f t="shared" si="186"/>
        <v>0</v>
      </c>
      <c r="L890" s="1845">
        <f t="shared" si="186"/>
        <v>0</v>
      </c>
      <c r="M890" s="1845">
        <f t="shared" si="186"/>
        <v>0</v>
      </c>
      <c r="N890" s="1845">
        <f t="shared" si="186"/>
        <v>0</v>
      </c>
      <c r="O890" s="1845"/>
      <c r="P890" s="1845"/>
      <c r="Q890" s="1056"/>
      <c r="R890" s="1056"/>
      <c r="S890" s="1056"/>
      <c r="T890" s="2059">
        <f t="shared" si="174"/>
        <v>0</v>
      </c>
    </row>
    <row r="891" spans="1:20" ht="22.15" hidden="1" customHeight="1">
      <c r="A891" s="59"/>
      <c r="B891" s="1586" t="s">
        <v>457</v>
      </c>
      <c r="C891" s="1015" t="str">
        <f t="shared" si="167"/>
        <v xml:space="preserve"> </v>
      </c>
      <c r="D891" s="1543">
        <f>3.77*0.92*2</f>
        <v>6.9368000000000007</v>
      </c>
      <c r="E891" s="1047"/>
      <c r="F891" s="1059" t="str">
        <f>VLOOKUP($B891,DG!A:D,DG!$C$2,)&amp;" (chống 920)"</f>
        <v>Sắt góc L50 x50 x5 (chống 920)</v>
      </c>
      <c r="G891" s="1047" t="str">
        <f>VLOOKUP($B891,DG!A:D,DG!$D$2,)</f>
        <v>kg</v>
      </c>
      <c r="H891" s="1845">
        <f t="shared" si="186"/>
        <v>0</v>
      </c>
      <c r="I891" s="1845">
        <f t="shared" si="186"/>
        <v>0</v>
      </c>
      <c r="J891" s="1845">
        <f t="shared" si="186"/>
        <v>0</v>
      </c>
      <c r="K891" s="1845">
        <f t="shared" si="186"/>
        <v>0</v>
      </c>
      <c r="L891" s="1845">
        <f t="shared" si="186"/>
        <v>0</v>
      </c>
      <c r="M891" s="1845">
        <f t="shared" si="186"/>
        <v>0</v>
      </c>
      <c r="N891" s="1845">
        <f t="shared" si="186"/>
        <v>0</v>
      </c>
      <c r="O891" s="1845"/>
      <c r="P891" s="1845"/>
      <c r="Q891" s="1056"/>
      <c r="R891" s="1056"/>
      <c r="S891" s="1056"/>
      <c r="T891" s="2059">
        <f t="shared" si="174"/>
        <v>0</v>
      </c>
    </row>
    <row r="892" spans="1:20" ht="22.15" hidden="1" customHeight="1">
      <c r="A892" s="59"/>
      <c r="B892" s="1586" t="s">
        <v>1615</v>
      </c>
      <c r="C892" s="1015" t="str">
        <f t="shared" si="167"/>
        <v xml:space="preserve"> </v>
      </c>
      <c r="D892" s="1544">
        <v>2</v>
      </c>
      <c r="E892" s="1047"/>
      <c r="F892" s="1059" t="str">
        <f>VLOOKUP($B892,DG!A:D,DG!$C$2,)</f>
        <v>Boulon 16x300+ 2 long đền vuông D18-50x50x3/Zn</v>
      </c>
      <c r="G892" s="1047" t="str">
        <f>VLOOKUP($B892,DG!A:D,DG!$D$2,)</f>
        <v>bộ</v>
      </c>
      <c r="H892" s="1845">
        <f t="shared" si="186"/>
        <v>0</v>
      </c>
      <c r="I892" s="1845">
        <f t="shared" si="186"/>
        <v>0</v>
      </c>
      <c r="J892" s="1845">
        <f t="shared" si="186"/>
        <v>0</v>
      </c>
      <c r="K892" s="1845">
        <f t="shared" si="186"/>
        <v>0</v>
      </c>
      <c r="L892" s="1845">
        <f t="shared" si="186"/>
        <v>0</v>
      </c>
      <c r="M892" s="1845">
        <f t="shared" si="186"/>
        <v>0</v>
      </c>
      <c r="N892" s="1845">
        <f t="shared" si="186"/>
        <v>0</v>
      </c>
      <c r="O892" s="1845"/>
      <c r="P892" s="1845"/>
      <c r="Q892" s="1056"/>
      <c r="R892" s="1056"/>
      <c r="S892" s="1056"/>
      <c r="T892" s="2059">
        <f t="shared" si="174"/>
        <v>0</v>
      </c>
    </row>
    <row r="893" spans="1:20" ht="22.15" hidden="1" customHeight="1">
      <c r="A893" s="59"/>
      <c r="B893" s="1586" t="s">
        <v>1792</v>
      </c>
      <c r="C893" s="1015" t="str">
        <f t="shared" si="167"/>
        <v xml:space="preserve"> </v>
      </c>
      <c r="D893" s="1544">
        <v>2</v>
      </c>
      <c r="E893" s="1047"/>
      <c r="F893" s="1059" t="str">
        <f>VLOOKUP($B893,DG!A:D,DG!$C$2,)</f>
        <v>Boulon 16x50+ 2 long đền vuông D18-50x50x3/Zn</v>
      </c>
      <c r="G893" s="1047" t="str">
        <f>VLOOKUP($B893,DG!A:D,DG!$D$2,)</f>
        <v>bộ</v>
      </c>
      <c r="H893" s="1845">
        <f t="shared" si="186"/>
        <v>0</v>
      </c>
      <c r="I893" s="1845">
        <f t="shared" si="186"/>
        <v>0</v>
      </c>
      <c r="J893" s="1845">
        <f t="shared" si="186"/>
        <v>0</v>
      </c>
      <c r="K893" s="1845">
        <f t="shared" si="186"/>
        <v>0</v>
      </c>
      <c r="L893" s="1845">
        <f t="shared" si="186"/>
        <v>0</v>
      </c>
      <c r="M893" s="1845">
        <f t="shared" si="186"/>
        <v>0</v>
      </c>
      <c r="N893" s="1845">
        <f t="shared" si="186"/>
        <v>0</v>
      </c>
      <c r="O893" s="1845"/>
      <c r="P893" s="1845"/>
      <c r="Q893" s="1056"/>
      <c r="R893" s="1056"/>
      <c r="S893" s="1056"/>
      <c r="T893" s="2059">
        <f t="shared" si="174"/>
        <v>0</v>
      </c>
    </row>
    <row r="894" spans="1:20" ht="22.15" hidden="1" customHeight="1">
      <c r="A894" s="59"/>
      <c r="B894" s="1586" t="s">
        <v>516</v>
      </c>
      <c r="C894" s="1015" t="str">
        <f t="shared" si="167"/>
        <v xml:space="preserve"> </v>
      </c>
      <c r="D894" s="1544">
        <v>1</v>
      </c>
      <c r="E894" s="1047" t="str">
        <f>VLOOKUP($B894,DG!A:D,DG!$B$2,)</f>
        <v>05.6102</v>
      </c>
      <c r="F894" s="1052" t="str">
        <f>VLOOKUP($B894,DG!A:D,DG!$C$2,)</f>
        <v>Lắp xà đỡ ≤ 50kg</v>
      </c>
      <c r="G894" s="1047" t="str">
        <f>VLOOKUP($B894,DG!A:D,DG!$D$2,)</f>
        <v>bộ</v>
      </c>
      <c r="H894" s="1845"/>
      <c r="I894" s="1845"/>
      <c r="J894" s="1845"/>
      <c r="K894" s="1845"/>
      <c r="L894" s="1845"/>
      <c r="M894" s="1845"/>
      <c r="N894" s="1845"/>
      <c r="O894" s="1845"/>
      <c r="P894" s="1845"/>
      <c r="Q894" s="1061"/>
      <c r="R894" s="1061"/>
      <c r="S894" s="1061"/>
      <c r="T894" s="2059">
        <f t="shared" si="174"/>
        <v>0</v>
      </c>
    </row>
    <row r="895" spans="1:20" ht="22.15" hidden="1" customHeight="1">
      <c r="A895" s="59"/>
      <c r="B895" s="1586" t="s">
        <v>2002</v>
      </c>
      <c r="C895" s="1015" t="str">
        <f t="shared" si="167"/>
        <v xml:space="preserve"> </v>
      </c>
      <c r="D895" s="1542"/>
      <c r="E895" s="1047" t="str">
        <f>VLOOKUP($B895,DG!A:D,DG!$B$2,)</f>
        <v>02.1115</v>
      </c>
      <c r="F895" s="1052" t="str">
        <f>VLOOKUP($B895,DG!A:D,DG!$C$2,)</f>
        <v>Bốc dỡ xà, thép thanh</v>
      </c>
      <c r="G895" s="1047" t="str">
        <f>VLOOKUP($B895,DG!A:D,DG!$D$2,)</f>
        <v>tấn</v>
      </c>
      <c r="H895" s="1845"/>
      <c r="I895" s="1845"/>
      <c r="J895" s="1845"/>
      <c r="K895" s="1845"/>
      <c r="L895" s="1845"/>
      <c r="M895" s="1845"/>
      <c r="N895" s="1845"/>
      <c r="O895" s="1845"/>
      <c r="P895" s="1845"/>
      <c r="Q895" s="1061"/>
      <c r="R895" s="1061"/>
      <c r="S895" s="1061"/>
      <c r="T895" s="2059">
        <f t="shared" si="174"/>
        <v>0</v>
      </c>
    </row>
    <row r="896" spans="1:20" ht="22.15" hidden="1" customHeight="1">
      <c r="A896" s="59"/>
      <c r="B896" s="1598" t="s">
        <v>2003</v>
      </c>
      <c r="C896" s="1015" t="str">
        <f t="shared" si="167"/>
        <v xml:space="preserve"> </v>
      </c>
      <c r="D896" s="1542"/>
      <c r="E896" s="1047" t="str">
        <f>VLOOKUP($B896,DG!A:C,2,)</f>
        <v>02.1361</v>
      </c>
      <c r="F896" s="1052" t="str">
        <f>VLOOKUP($B896,DG!A:C,3,)</f>
        <v>V/c xà vào vị trí (cư ly &lt;=100m)</v>
      </c>
      <c r="G896" s="1047" t="str">
        <f>VLOOKUP($B896,DG!A:D,4,0)</f>
        <v>tấn</v>
      </c>
      <c r="H896" s="1845"/>
      <c r="I896" s="1845"/>
      <c r="J896" s="1845"/>
      <c r="K896" s="1845"/>
      <c r="L896" s="1845"/>
      <c r="M896" s="1845"/>
      <c r="N896" s="1845"/>
      <c r="O896" s="1845"/>
      <c r="P896" s="1845"/>
      <c r="Q896" s="1061"/>
      <c r="R896" s="1061"/>
      <c r="S896" s="1061"/>
      <c r="T896" s="2059">
        <f t="shared" si="174"/>
        <v>0</v>
      </c>
    </row>
    <row r="897" spans="1:20" ht="22.15" hidden="1" customHeight="1">
      <c r="A897" s="59"/>
      <c r="B897" s="1598" t="s">
        <v>635</v>
      </c>
      <c r="C897" s="1015" t="str">
        <f t="shared" si="167"/>
        <v xml:space="preserve"> </v>
      </c>
      <c r="D897" s="1543"/>
      <c r="E897" s="1047" t="str">
        <f>VLOOKUP($B897,DG!A:C,2,)</f>
        <v>02.1482</v>
      </c>
      <c r="F897" s="1052" t="str">
        <f>VLOOKUP($B897,DG!A:C,3,)</f>
        <v>V/c dụng cụ thi công vào vị trí (cự ly &lt;=100m)</v>
      </c>
      <c r="G897" s="1047" t="str">
        <f>VLOOKUP($B897,DG!A:D,4,0)</f>
        <v>tấn</v>
      </c>
      <c r="H897" s="1845"/>
      <c r="I897" s="1845"/>
      <c r="J897" s="1845"/>
      <c r="K897" s="1845"/>
      <c r="L897" s="1845"/>
      <c r="M897" s="1845"/>
      <c r="N897" s="1845"/>
      <c r="O897" s="1845"/>
      <c r="P897" s="1845"/>
      <c r="Q897" s="1061"/>
      <c r="R897" s="1061"/>
      <c r="S897" s="1061"/>
      <c r="T897" s="2059">
        <f t="shared" si="174"/>
        <v>0</v>
      </c>
    </row>
    <row r="898" spans="1:20" ht="22.15" hidden="1" customHeight="1">
      <c r="A898" s="56" t="s">
        <v>912</v>
      </c>
      <c r="B898" s="1583" t="s">
        <v>912</v>
      </c>
      <c r="C898" s="1015" t="str">
        <f t="shared" si="167"/>
        <v xml:space="preserve"> </v>
      </c>
      <c r="D898" s="1541"/>
      <c r="E898" s="1048"/>
      <c r="F898" s="1396" t="s">
        <v>2435</v>
      </c>
      <c r="G898" s="1049" t="s">
        <v>2394</v>
      </c>
      <c r="H898" s="1843">
        <f>SUM(I898:O898)</f>
        <v>0</v>
      </c>
      <c r="I898" s="1844"/>
      <c r="J898" s="1844"/>
      <c r="K898" s="1844">
        <f>IFERROR(HLOOKUP(B898,pp3p1m!$1:$3,3,0),0)</f>
        <v>0</v>
      </c>
      <c r="L898" s="1844">
        <f>IFERROR(HLOOKUP(chitiet!B898,pp1p!$1:$3,3,0),0)</f>
        <v>0</v>
      </c>
      <c r="M898" s="1844"/>
      <c r="N898" s="1844"/>
      <c r="O898" s="1844"/>
      <c r="P898" s="1844">
        <f>H898+Q898-R898</f>
        <v>0</v>
      </c>
      <c r="Q898" s="1050"/>
      <c r="R898" s="1050"/>
      <c r="S898" s="1050"/>
      <c r="T898" s="2059">
        <f>IFERROR(HLOOKUP(B898,pp1p!$1:$3,3,0),0)+IFERROR(HLOOKUP(B898,pp3p1m!$1:$3,3,0),0)</f>
        <v>0</v>
      </c>
    </row>
    <row r="899" spans="1:20" ht="22.15" hidden="1" customHeight="1">
      <c r="A899" s="59"/>
      <c r="B899" s="1586" t="s">
        <v>109</v>
      </c>
      <c r="C899" s="1015" t="str">
        <f t="shared" si="167"/>
        <v xml:space="preserve"> </v>
      </c>
      <c r="D899" s="1543">
        <f>9.02*(2.4+4*0.07)*2</f>
        <v>48.347199999999994</v>
      </c>
      <c r="E899" s="1047"/>
      <c r="F899" s="1059" t="str">
        <f>VLOOKUP($B899,DG!A:D,DG!$C$2,)</f>
        <v>Sắt góc L75 x75 x8</v>
      </c>
      <c r="G899" s="1047" t="str">
        <f>VLOOKUP($B899,DG!A:D,DG!$D$2,)</f>
        <v>kg</v>
      </c>
      <c r="H899" s="1845">
        <f t="shared" ref="H899:N903" si="187">H$898*$D899</f>
        <v>0</v>
      </c>
      <c r="I899" s="1845">
        <f t="shared" si="187"/>
        <v>0</v>
      </c>
      <c r="J899" s="1845">
        <f t="shared" si="187"/>
        <v>0</v>
      </c>
      <c r="K899" s="1845">
        <f t="shared" si="187"/>
        <v>0</v>
      </c>
      <c r="L899" s="1845">
        <f t="shared" si="187"/>
        <v>0</v>
      </c>
      <c r="M899" s="1845">
        <f t="shared" si="187"/>
        <v>0</v>
      </c>
      <c r="N899" s="1845">
        <f t="shared" si="187"/>
        <v>0</v>
      </c>
      <c r="O899" s="1845"/>
      <c r="P899" s="1845"/>
      <c r="Q899" s="1056"/>
      <c r="R899" s="1056"/>
      <c r="S899" s="1056"/>
      <c r="T899" s="2059">
        <f t="shared" si="174"/>
        <v>0</v>
      </c>
    </row>
    <row r="900" spans="1:20" ht="22.15" hidden="1" customHeight="1">
      <c r="A900" s="59"/>
      <c r="B900" s="1586" t="s">
        <v>457</v>
      </c>
      <c r="C900" s="1015" t="str">
        <f t="shared" si="167"/>
        <v xml:space="preserve"> </v>
      </c>
      <c r="D900" s="1543">
        <f>3.77*0.92*4</f>
        <v>13.873600000000001</v>
      </c>
      <c r="E900" s="1047"/>
      <c r="F900" s="1059" t="str">
        <f>VLOOKUP($B900,DG!A:D,DG!$C$2,)&amp;" (chống 920)"</f>
        <v>Sắt góc L50 x50 x5 (chống 920)</v>
      </c>
      <c r="G900" s="1047" t="str">
        <f>VLOOKUP($B900,DG!A:D,DG!$D$2,)</f>
        <v>kg</v>
      </c>
      <c r="H900" s="1845">
        <f t="shared" si="187"/>
        <v>0</v>
      </c>
      <c r="I900" s="1845">
        <f t="shared" si="187"/>
        <v>0</v>
      </c>
      <c r="J900" s="1845">
        <f t="shared" si="187"/>
        <v>0</v>
      </c>
      <c r="K900" s="1845">
        <f t="shared" si="187"/>
        <v>0</v>
      </c>
      <c r="L900" s="1845">
        <f t="shared" si="187"/>
        <v>0</v>
      </c>
      <c r="M900" s="1845">
        <f t="shared" si="187"/>
        <v>0</v>
      </c>
      <c r="N900" s="1845">
        <f t="shared" si="187"/>
        <v>0</v>
      </c>
      <c r="O900" s="1845"/>
      <c r="P900" s="1845"/>
      <c r="Q900" s="1056"/>
      <c r="R900" s="1056"/>
      <c r="S900" s="1056"/>
      <c r="T900" s="2059">
        <f t="shared" si="174"/>
        <v>0</v>
      </c>
    </row>
    <row r="901" spans="1:20" ht="22.15" hidden="1" customHeight="1">
      <c r="A901" s="59"/>
      <c r="B901" s="1586" t="s">
        <v>1614</v>
      </c>
      <c r="C901" s="1015" t="str">
        <f t="shared" si="167"/>
        <v xml:space="preserve"> </v>
      </c>
      <c r="D901" s="1544">
        <v>1</v>
      </c>
      <c r="E901" s="1047"/>
      <c r="F901" s="1059" t="str">
        <f>VLOOKUP($B901,DG!A:D,DG!$C$2,)</f>
        <v>Boulon 16x250+ 2 long đền vuông D18-50x50x3/Zn</v>
      </c>
      <c r="G901" s="1047" t="str">
        <f>VLOOKUP($B901,DG!A:D,DG!$D$2,)</f>
        <v>bộ</v>
      </c>
      <c r="H901" s="1845">
        <f t="shared" si="187"/>
        <v>0</v>
      </c>
      <c r="I901" s="1845">
        <f t="shared" si="187"/>
        <v>0</v>
      </c>
      <c r="J901" s="1845">
        <f t="shared" si="187"/>
        <v>0</v>
      </c>
      <c r="K901" s="1845">
        <f t="shared" si="187"/>
        <v>0</v>
      </c>
      <c r="L901" s="1845">
        <f t="shared" si="187"/>
        <v>0</v>
      </c>
      <c r="M901" s="1845">
        <f t="shared" si="187"/>
        <v>0</v>
      </c>
      <c r="N901" s="1845">
        <f t="shared" si="187"/>
        <v>0</v>
      </c>
      <c r="O901" s="1845"/>
      <c r="P901" s="1845"/>
      <c r="Q901" s="1056"/>
      <c r="R901" s="1056"/>
      <c r="S901" s="1056"/>
      <c r="T901" s="2059">
        <f t="shared" si="174"/>
        <v>0</v>
      </c>
    </row>
    <row r="902" spans="1:20" ht="22.15" hidden="1" customHeight="1">
      <c r="A902" s="59"/>
      <c r="B902" s="1586" t="s">
        <v>1615</v>
      </c>
      <c r="C902" s="1015" t="str">
        <f t="shared" si="167"/>
        <v xml:space="preserve"> </v>
      </c>
      <c r="D902" s="1544">
        <v>1</v>
      </c>
      <c r="E902" s="1047"/>
      <c r="F902" s="1059" t="str">
        <f>VLOOKUP($B902,DG!A:D,DG!$C$2,)</f>
        <v>Boulon 16x300+ 2 long đền vuông D18-50x50x3/Zn</v>
      </c>
      <c r="G902" s="1047" t="str">
        <f>VLOOKUP($B902,DG!A:D,DG!$D$2,)</f>
        <v>bộ</v>
      </c>
      <c r="H902" s="1845">
        <f t="shared" si="187"/>
        <v>0</v>
      </c>
      <c r="I902" s="1845">
        <f t="shared" si="187"/>
        <v>0</v>
      </c>
      <c r="J902" s="1845">
        <f t="shared" si="187"/>
        <v>0</v>
      </c>
      <c r="K902" s="1845">
        <f t="shared" si="187"/>
        <v>0</v>
      </c>
      <c r="L902" s="1845">
        <f t="shared" si="187"/>
        <v>0</v>
      </c>
      <c r="M902" s="1845">
        <f t="shared" si="187"/>
        <v>0</v>
      </c>
      <c r="N902" s="1845">
        <f t="shared" si="187"/>
        <v>0</v>
      </c>
      <c r="O902" s="1845"/>
      <c r="P902" s="1845"/>
      <c r="Q902" s="1056"/>
      <c r="R902" s="1056"/>
      <c r="S902" s="1056"/>
      <c r="T902" s="2059">
        <f t="shared" si="174"/>
        <v>0</v>
      </c>
    </row>
    <row r="903" spans="1:20" ht="22.15" hidden="1" customHeight="1">
      <c r="A903" s="59"/>
      <c r="B903" s="1586" t="s">
        <v>415</v>
      </c>
      <c r="C903" s="1015" t="str">
        <f t="shared" si="167"/>
        <v xml:space="preserve"> </v>
      </c>
      <c r="D903" s="1544">
        <v>4</v>
      </c>
      <c r="E903" s="1047"/>
      <c r="F903" s="1059" t="str">
        <f>VLOOKUP($B903,DG!A:D,DG!$C$2,)</f>
        <v>Boulon 16x300VRS+ 4 long đền vuông D18-50x50x3/Zn</v>
      </c>
      <c r="G903" s="1047" t="str">
        <f>VLOOKUP($B903,DG!A:D,DG!$D$2,)</f>
        <v>bộ</v>
      </c>
      <c r="H903" s="1845">
        <f t="shared" si="187"/>
        <v>0</v>
      </c>
      <c r="I903" s="1845">
        <f t="shared" si="187"/>
        <v>0</v>
      </c>
      <c r="J903" s="1845">
        <f t="shared" si="187"/>
        <v>0</v>
      </c>
      <c r="K903" s="1845">
        <f t="shared" si="187"/>
        <v>0</v>
      </c>
      <c r="L903" s="1845">
        <f t="shared" si="187"/>
        <v>0</v>
      </c>
      <c r="M903" s="1845">
        <f t="shared" si="187"/>
        <v>0</v>
      </c>
      <c r="N903" s="1845">
        <f t="shared" si="187"/>
        <v>0</v>
      </c>
      <c r="O903" s="1845"/>
      <c r="P903" s="1845"/>
      <c r="Q903" s="1056"/>
      <c r="R903" s="1056"/>
      <c r="S903" s="1056"/>
      <c r="T903" s="2059">
        <f t="shared" si="174"/>
        <v>0</v>
      </c>
    </row>
    <row r="904" spans="1:20" ht="22.15" hidden="1" customHeight="1">
      <c r="A904" s="59"/>
      <c r="B904" s="1586" t="s">
        <v>517</v>
      </c>
      <c r="C904" s="1015" t="str">
        <f t="shared" si="167"/>
        <v xml:space="preserve"> </v>
      </c>
      <c r="D904" s="1544">
        <v>1</v>
      </c>
      <c r="E904" s="1063" t="str">
        <f>VLOOKUP($B904,DG!A:D,DG!$B$2,)</f>
        <v>05.6203</v>
      </c>
      <c r="F904" s="1052" t="str">
        <f>VLOOKUP($B904,DG!A:D,DG!$C$2,)</f>
        <v>Lắp xà néo ≤ 100kg</v>
      </c>
      <c r="G904" s="1047" t="str">
        <f>VLOOKUP($B904,DG!A:D,DG!$D$2,)</f>
        <v>bộ</v>
      </c>
      <c r="H904" s="1845"/>
      <c r="I904" s="1845"/>
      <c r="J904" s="1845"/>
      <c r="K904" s="1845"/>
      <c r="L904" s="1845"/>
      <c r="M904" s="1845"/>
      <c r="N904" s="1845"/>
      <c r="O904" s="1845"/>
      <c r="P904" s="1845"/>
      <c r="Q904" s="1061"/>
      <c r="R904" s="1061"/>
      <c r="S904" s="1061"/>
      <c r="T904" s="2059">
        <f t="shared" si="174"/>
        <v>0</v>
      </c>
    </row>
    <row r="905" spans="1:20" ht="22.15" hidden="1" customHeight="1">
      <c r="A905" s="59"/>
      <c r="B905" s="1586" t="s">
        <v>2002</v>
      </c>
      <c r="C905" s="1015" t="str">
        <f t="shared" si="167"/>
        <v xml:space="preserve"> </v>
      </c>
      <c r="D905" s="1542">
        <f>D906</f>
        <v>0</v>
      </c>
      <c r="E905" s="1047" t="str">
        <f>VLOOKUP($B905,DG!A:D,DG!$B$2,)</f>
        <v>02.1115</v>
      </c>
      <c r="F905" s="1052" t="str">
        <f>VLOOKUP($B905,DG!A:D,DG!$C$2,)</f>
        <v>Bốc dỡ xà, thép thanh</v>
      </c>
      <c r="G905" s="1047" t="str">
        <f>VLOOKUP($B905,DG!A:D,DG!$D$2,)</f>
        <v>tấn</v>
      </c>
      <c r="H905" s="1845"/>
      <c r="I905" s="1845"/>
      <c r="J905" s="1845"/>
      <c r="K905" s="1845"/>
      <c r="L905" s="1845"/>
      <c r="M905" s="1845"/>
      <c r="N905" s="1845"/>
      <c r="O905" s="1845"/>
      <c r="P905" s="1845"/>
      <c r="Q905" s="1061"/>
      <c r="R905" s="1061"/>
      <c r="S905" s="1061"/>
      <c r="T905" s="2059">
        <f t="shared" si="174"/>
        <v>0</v>
      </c>
    </row>
    <row r="906" spans="1:20" ht="22.15" hidden="1" customHeight="1">
      <c r="A906" s="59"/>
      <c r="B906" s="1598" t="s">
        <v>2003</v>
      </c>
      <c r="C906" s="1015" t="str">
        <f t="shared" si="167"/>
        <v xml:space="preserve"> </v>
      </c>
      <c r="D906" s="1542">
        <f>ROUND(SUM(D899:D900)*1.05/1000,3)*0</f>
        <v>0</v>
      </c>
      <c r="E906" s="1047" t="str">
        <f>VLOOKUP($B906,DG!A:C,2,)</f>
        <v>02.1361</v>
      </c>
      <c r="F906" s="1052" t="str">
        <f>VLOOKUP($B906,DG!A:C,3,)</f>
        <v>V/c xà vào vị trí (cư ly &lt;=100m)</v>
      </c>
      <c r="G906" s="1047" t="str">
        <f>VLOOKUP($B906,DG!A:D,4,0)</f>
        <v>tấn</v>
      </c>
      <c r="H906" s="1845"/>
      <c r="I906" s="1845"/>
      <c r="J906" s="1845"/>
      <c r="K906" s="1845"/>
      <c r="L906" s="1845"/>
      <c r="M906" s="1845"/>
      <c r="N906" s="1845"/>
      <c r="O906" s="1845"/>
      <c r="P906" s="1845"/>
      <c r="Q906" s="1061"/>
      <c r="R906" s="1061"/>
      <c r="S906" s="1061"/>
      <c r="T906" s="2059">
        <f t="shared" si="174"/>
        <v>0</v>
      </c>
    </row>
    <row r="907" spans="1:20" ht="22.15" hidden="1" customHeight="1">
      <c r="A907" s="59"/>
      <c r="B907" s="1598" t="s">
        <v>635</v>
      </c>
      <c r="C907" s="1015" t="str">
        <f t="shared" si="167"/>
        <v xml:space="preserve"> </v>
      </c>
      <c r="D907" s="1543">
        <f>0.05*0</f>
        <v>0</v>
      </c>
      <c r="E907" s="1047" t="str">
        <f>VLOOKUP($B907,DG!A:C,2,)</f>
        <v>02.1482</v>
      </c>
      <c r="F907" s="1052" t="str">
        <f>VLOOKUP($B907,DG!A:C,3,)</f>
        <v>V/c dụng cụ thi công vào vị trí (cự ly &lt;=100m)</v>
      </c>
      <c r="G907" s="1047" t="str">
        <f>VLOOKUP($B907,DG!A:D,4,0)</f>
        <v>tấn</v>
      </c>
      <c r="H907" s="1845"/>
      <c r="I907" s="1845"/>
      <c r="J907" s="1845"/>
      <c r="K907" s="1845"/>
      <c r="L907" s="1845"/>
      <c r="M907" s="1845"/>
      <c r="N907" s="1845"/>
      <c r="O907" s="1845"/>
      <c r="P907" s="1845"/>
      <c r="Q907" s="1061"/>
      <c r="R907" s="1061"/>
      <c r="S907" s="1061"/>
      <c r="T907" s="2059">
        <f t="shared" si="174"/>
        <v>0</v>
      </c>
    </row>
    <row r="908" spans="1:20" ht="22.15" hidden="1" customHeight="1">
      <c r="A908" s="56" t="s">
        <v>715</v>
      </c>
      <c r="B908" s="1583" t="s">
        <v>715</v>
      </c>
      <c r="C908" s="1015" t="str">
        <f t="shared" si="167"/>
        <v xml:space="preserve"> </v>
      </c>
      <c r="D908" s="1541"/>
      <c r="E908" s="1048"/>
      <c r="F908" s="1396" t="s">
        <v>2436</v>
      </c>
      <c r="G908" s="1049" t="s">
        <v>2394</v>
      </c>
      <c r="H908" s="1843">
        <f>SUM(I908:O908)</f>
        <v>0</v>
      </c>
      <c r="I908" s="1844"/>
      <c r="J908" s="1844"/>
      <c r="K908" s="1844">
        <f>IFERROR(HLOOKUP(B908,pp3p1m!$1:$3,3,0),0)</f>
        <v>0</v>
      </c>
      <c r="L908" s="1844">
        <f>IFERROR(HLOOKUP(chitiet!B908,pp1p!$1:$3,3,0),0)</f>
        <v>0</v>
      </c>
      <c r="M908" s="1844"/>
      <c r="N908" s="1844"/>
      <c r="O908" s="1844"/>
      <c r="P908" s="1844">
        <f>H908+Q908-R908</f>
        <v>0</v>
      </c>
      <c r="Q908" s="1050"/>
      <c r="R908" s="1050"/>
      <c r="S908" s="1050"/>
      <c r="T908" s="2059">
        <f>IFERROR(HLOOKUP(B908,pp1p!$1:$3,3,0),0)+IFERROR(HLOOKUP(B908,pp3p1m!$1:$3,3,0),0)</f>
        <v>0</v>
      </c>
    </row>
    <row r="909" spans="1:20" ht="22.15" hidden="1" customHeight="1">
      <c r="A909" s="59"/>
      <c r="B909" s="1586" t="s">
        <v>518</v>
      </c>
      <c r="C909" s="1015" t="str">
        <f t="shared" si="167"/>
        <v xml:space="preserve"> </v>
      </c>
      <c r="D909" s="1544">
        <v>1</v>
      </c>
      <c r="E909" s="1047" t="str">
        <f>VLOOKUP($B909,DG!A:D,DG!$B$2,)</f>
        <v>05.6203</v>
      </c>
      <c r="F909" s="1052" t="str">
        <f>VLOOKUP($B909,DG!A:D,DG!$C$2,)</f>
        <v>Lắp xà néo ≤ 100kg</v>
      </c>
      <c r="G909" s="1047" t="str">
        <f>VLOOKUP($B909,DG!A:D,DG!$D$2,)</f>
        <v>bộ</v>
      </c>
      <c r="H909" s="1845"/>
      <c r="I909" s="1845"/>
      <c r="J909" s="1845"/>
      <c r="K909" s="1845"/>
      <c r="L909" s="1845"/>
      <c r="M909" s="1845"/>
      <c r="N909" s="1845"/>
      <c r="O909" s="1845"/>
      <c r="P909" s="1845"/>
      <c r="Q909" s="1061"/>
      <c r="R909" s="1061"/>
      <c r="S909" s="1061"/>
      <c r="T909" s="2059">
        <f t="shared" si="174"/>
        <v>0</v>
      </c>
    </row>
    <row r="910" spans="1:20" ht="22.15" hidden="1" customHeight="1">
      <c r="A910" s="59"/>
      <c r="B910" s="1586" t="s">
        <v>2002</v>
      </c>
      <c r="C910" s="1015" t="str">
        <f t="shared" si="167"/>
        <v xml:space="preserve"> </v>
      </c>
      <c r="D910" s="1542">
        <v>5.0999999999999997E-2</v>
      </c>
      <c r="E910" s="1047" t="str">
        <f>VLOOKUP($B910,DG!A:D,DG!$B$2,)</f>
        <v>02.1115</v>
      </c>
      <c r="F910" s="1052" t="str">
        <f>VLOOKUP($B910,DG!A:D,DG!$C$2,)</f>
        <v>Bốc dỡ xà, thép thanh</v>
      </c>
      <c r="G910" s="1047" t="str">
        <f>VLOOKUP($B910,DG!A:D,DG!$D$2,)</f>
        <v>tấn</v>
      </c>
      <c r="H910" s="1845"/>
      <c r="I910" s="1845"/>
      <c r="J910" s="1845"/>
      <c r="K910" s="1845"/>
      <c r="L910" s="1845"/>
      <c r="M910" s="1845"/>
      <c r="N910" s="1845"/>
      <c r="O910" s="1845"/>
      <c r="P910" s="1845"/>
      <c r="Q910" s="1061"/>
      <c r="R910" s="1061"/>
      <c r="S910" s="1061"/>
      <c r="T910" s="2059">
        <f t="shared" si="174"/>
        <v>0</v>
      </c>
    </row>
    <row r="911" spans="1:20" ht="22.15" hidden="1" customHeight="1">
      <c r="A911" s="59"/>
      <c r="B911" s="1598" t="s">
        <v>2003</v>
      </c>
      <c r="C911" s="1015" t="str">
        <f t="shared" si="167"/>
        <v xml:space="preserve"> </v>
      </c>
      <c r="D911" s="1542">
        <v>5.0999999999999997E-2</v>
      </c>
      <c r="E911" s="1047" t="str">
        <f>VLOOKUP($B911,DG!A:C,2,)</f>
        <v>02.1361</v>
      </c>
      <c r="F911" s="1052" t="str">
        <f>VLOOKUP($B911,DG!A:C,3,)</f>
        <v>V/c xà vào vị trí (cư ly &lt;=100m)</v>
      </c>
      <c r="G911" s="1047" t="str">
        <f>VLOOKUP($B911,DG!A:D,4,0)</f>
        <v>tấn</v>
      </c>
      <c r="H911" s="1845"/>
      <c r="I911" s="1845"/>
      <c r="J911" s="1845"/>
      <c r="K911" s="1845"/>
      <c r="L911" s="1845"/>
      <c r="M911" s="1845"/>
      <c r="N911" s="1845"/>
      <c r="O911" s="1845"/>
      <c r="P911" s="1845"/>
      <c r="Q911" s="1061"/>
      <c r="R911" s="1061"/>
      <c r="S911" s="1061"/>
      <c r="T911" s="2059">
        <f t="shared" si="174"/>
        <v>0</v>
      </c>
    </row>
    <row r="912" spans="1:20" ht="22.15" hidden="1" customHeight="1">
      <c r="A912" s="59"/>
      <c r="B912" s="1598" t="s">
        <v>635</v>
      </c>
      <c r="C912" s="1015" t="str">
        <f t="shared" si="167"/>
        <v xml:space="preserve"> </v>
      </c>
      <c r="D912" s="1543"/>
      <c r="E912" s="1047" t="str">
        <f>VLOOKUP($B912,DG!A:C,2,)</f>
        <v>02.1482</v>
      </c>
      <c r="F912" s="1052" t="str">
        <f>VLOOKUP($B912,DG!A:C,3,)</f>
        <v>V/c dụng cụ thi công vào vị trí (cự ly &lt;=100m)</v>
      </c>
      <c r="G912" s="1047" t="str">
        <f>VLOOKUP($B912,DG!A:D,4,0)</f>
        <v>tấn</v>
      </c>
      <c r="H912" s="1845"/>
      <c r="I912" s="1845"/>
      <c r="J912" s="1845"/>
      <c r="K912" s="1845"/>
      <c r="L912" s="1845"/>
      <c r="M912" s="1845"/>
      <c r="N912" s="1845"/>
      <c r="O912" s="1845"/>
      <c r="P912" s="1845"/>
      <c r="Q912" s="1061"/>
      <c r="R912" s="1061"/>
      <c r="S912" s="1061"/>
      <c r="T912" s="2059">
        <f t="shared" si="174"/>
        <v>0</v>
      </c>
    </row>
    <row r="913" spans="1:20" ht="22.15" hidden="1" customHeight="1">
      <c r="A913" s="56" t="s">
        <v>2305</v>
      </c>
      <c r="B913" s="1583" t="s">
        <v>2305</v>
      </c>
      <c r="C913" s="1015" t="str">
        <f t="shared" si="167"/>
        <v xml:space="preserve"> </v>
      </c>
      <c r="D913" s="1541"/>
      <c r="E913" s="1048"/>
      <c r="F913" s="1396" t="s">
        <v>2437</v>
      </c>
      <c r="G913" s="1049" t="s">
        <v>2394</v>
      </c>
      <c r="H913" s="1843">
        <f>SUM(I913:O913)</f>
        <v>0</v>
      </c>
      <c r="I913" s="1844"/>
      <c r="J913" s="1844"/>
      <c r="K913" s="1844">
        <f>IFERROR(HLOOKUP(B913,pp3p1m!$1:$3,3,0),0)</f>
        <v>0</v>
      </c>
      <c r="L913" s="1844">
        <f>IFERROR(HLOOKUP(chitiet!B913,pp1p!$1:$3,3,0),0)</f>
        <v>0</v>
      </c>
      <c r="M913" s="1844"/>
      <c r="N913" s="1844"/>
      <c r="O913" s="1844"/>
      <c r="P913" s="1844">
        <f>H913+Q913-R913</f>
        <v>0</v>
      </c>
      <c r="Q913" s="1050"/>
      <c r="R913" s="1050"/>
      <c r="S913" s="1050"/>
      <c r="T913" s="2059">
        <f>IFERROR(HLOOKUP(B913,pp1p!$1:$3,3,0),0)+IFERROR(HLOOKUP(B913,pp3p1m!$1:$3,3,0),0)</f>
        <v>0</v>
      </c>
    </row>
    <row r="914" spans="1:20" ht="22.15" hidden="1" customHeight="1">
      <c r="A914" s="59"/>
      <c r="B914" s="1586" t="s">
        <v>109</v>
      </c>
      <c r="C914" s="1015" t="str">
        <f t="shared" si="167"/>
        <v xml:space="preserve"> </v>
      </c>
      <c r="D914" s="1543">
        <f>9.42*(0.8+0.07)</f>
        <v>8.1954000000000011</v>
      </c>
      <c r="E914" s="1047"/>
      <c r="F914" s="1059" t="str">
        <f>VLOOKUP($B914,DG!A:D,DG!$C$2,)</f>
        <v>Sắt góc L75 x75 x8</v>
      </c>
      <c r="G914" s="1047" t="str">
        <f>VLOOKUP($B914,DG!A:D,DG!$D$2,)</f>
        <v>kg</v>
      </c>
      <c r="H914" s="1845">
        <f t="shared" ref="H914:N917" si="188">H$913*$D914</f>
        <v>0</v>
      </c>
      <c r="I914" s="1845">
        <f t="shared" si="188"/>
        <v>0</v>
      </c>
      <c r="J914" s="1845">
        <f t="shared" si="188"/>
        <v>0</v>
      </c>
      <c r="K914" s="1845">
        <f t="shared" si="188"/>
        <v>0</v>
      </c>
      <c r="L914" s="1845">
        <f t="shared" si="188"/>
        <v>0</v>
      </c>
      <c r="M914" s="1845">
        <f t="shared" si="188"/>
        <v>0</v>
      </c>
      <c r="N914" s="1845">
        <f t="shared" si="188"/>
        <v>0</v>
      </c>
      <c r="O914" s="1845"/>
      <c r="P914" s="1845"/>
      <c r="Q914" s="1056"/>
      <c r="R914" s="1056"/>
      <c r="S914" s="1056"/>
      <c r="T914" s="2059">
        <f t="shared" si="174"/>
        <v>0</v>
      </c>
    </row>
    <row r="915" spans="1:20" ht="22.15" hidden="1" customHeight="1">
      <c r="A915" s="59"/>
      <c r="B915" s="1586" t="s">
        <v>457</v>
      </c>
      <c r="C915" s="1015" t="str">
        <f t="shared" si="167"/>
        <v xml:space="preserve"> </v>
      </c>
      <c r="D915" s="1543">
        <f>3.77*0.81</f>
        <v>3.0537000000000001</v>
      </c>
      <c r="E915" s="1047"/>
      <c r="F915" s="1059" t="str">
        <f>VLOOKUP($B915,DG!A:D,DG!$C$2,)</f>
        <v>Sắt góc L50 x50 x5</v>
      </c>
      <c r="G915" s="1047" t="str">
        <f>VLOOKUP($B915,DG!A:D,DG!$D$2,)</f>
        <v>kg</v>
      </c>
      <c r="H915" s="1845">
        <f t="shared" si="188"/>
        <v>0</v>
      </c>
      <c r="I915" s="1845">
        <f t="shared" si="188"/>
        <v>0</v>
      </c>
      <c r="J915" s="1845">
        <f t="shared" si="188"/>
        <v>0</v>
      </c>
      <c r="K915" s="1845">
        <f t="shared" si="188"/>
        <v>0</v>
      </c>
      <c r="L915" s="1845">
        <f t="shared" si="188"/>
        <v>0</v>
      </c>
      <c r="M915" s="1845">
        <f t="shared" si="188"/>
        <v>0</v>
      </c>
      <c r="N915" s="1845">
        <f t="shared" si="188"/>
        <v>0</v>
      </c>
      <c r="O915" s="1845"/>
      <c r="P915" s="1845"/>
      <c r="Q915" s="1056"/>
      <c r="R915" s="1056"/>
      <c r="S915" s="1056"/>
      <c r="T915" s="2059">
        <f t="shared" si="174"/>
        <v>0</v>
      </c>
    </row>
    <row r="916" spans="1:20" ht="22.15" hidden="1" customHeight="1">
      <c r="A916" s="59"/>
      <c r="B916" s="1586" t="s">
        <v>1614</v>
      </c>
      <c r="C916" s="1015" t="str">
        <f t="shared" si="167"/>
        <v xml:space="preserve"> </v>
      </c>
      <c r="D916" s="1544">
        <v>2</v>
      </c>
      <c r="E916" s="1047"/>
      <c r="F916" s="1059" t="str">
        <f>VLOOKUP($B916,DG!A:D,DG!$C$2,)</f>
        <v>Boulon 16x250+ 2 long đền vuông D18-50x50x3/Zn</v>
      </c>
      <c r="G916" s="1047" t="str">
        <f>VLOOKUP($B916,DG!A:D,DG!$D$2,)</f>
        <v>bộ</v>
      </c>
      <c r="H916" s="1845">
        <f t="shared" si="188"/>
        <v>0</v>
      </c>
      <c r="I916" s="1845">
        <f t="shared" si="188"/>
        <v>0</v>
      </c>
      <c r="J916" s="1845">
        <f t="shared" si="188"/>
        <v>0</v>
      </c>
      <c r="K916" s="1845">
        <f t="shared" si="188"/>
        <v>0</v>
      </c>
      <c r="L916" s="1845">
        <f t="shared" si="188"/>
        <v>0</v>
      </c>
      <c r="M916" s="1845">
        <f t="shared" si="188"/>
        <v>0</v>
      </c>
      <c r="N916" s="1845">
        <f t="shared" si="188"/>
        <v>0</v>
      </c>
      <c r="O916" s="1845"/>
      <c r="P916" s="1845"/>
      <c r="Q916" s="1056"/>
      <c r="R916" s="1056"/>
      <c r="S916" s="1056"/>
      <c r="T916" s="2059">
        <f t="shared" si="174"/>
        <v>0</v>
      </c>
    </row>
    <row r="917" spans="1:20" ht="22.15" hidden="1" customHeight="1">
      <c r="A917" s="59"/>
      <c r="B917" s="1586" t="s">
        <v>1792</v>
      </c>
      <c r="C917" s="1015" t="str">
        <f t="shared" si="167"/>
        <v xml:space="preserve"> </v>
      </c>
      <c r="D917" s="1544">
        <v>1</v>
      </c>
      <c r="E917" s="1047"/>
      <c r="F917" s="1059" t="str">
        <f>VLOOKUP($B917,DG!A:D,DG!$C$2,)</f>
        <v>Boulon 16x50+ 2 long đền vuông D18-50x50x3/Zn</v>
      </c>
      <c r="G917" s="1047" t="str">
        <f>VLOOKUP($B917,DG!A:D,DG!$D$2,)</f>
        <v>bộ</v>
      </c>
      <c r="H917" s="1845">
        <f t="shared" si="188"/>
        <v>0</v>
      </c>
      <c r="I917" s="1845">
        <f t="shared" si="188"/>
        <v>0</v>
      </c>
      <c r="J917" s="1845">
        <f t="shared" si="188"/>
        <v>0</v>
      </c>
      <c r="K917" s="1845">
        <f t="shared" si="188"/>
        <v>0</v>
      </c>
      <c r="L917" s="1845">
        <f t="shared" si="188"/>
        <v>0</v>
      </c>
      <c r="M917" s="1845">
        <f t="shared" si="188"/>
        <v>0</v>
      </c>
      <c r="N917" s="1845">
        <f t="shared" si="188"/>
        <v>0</v>
      </c>
      <c r="O917" s="1845"/>
      <c r="P917" s="1845"/>
      <c r="Q917" s="1056"/>
      <c r="R917" s="1056"/>
      <c r="S917" s="1056"/>
      <c r="T917" s="2059">
        <f t="shared" si="174"/>
        <v>0</v>
      </c>
    </row>
    <row r="918" spans="1:20" ht="22.15" hidden="1" customHeight="1">
      <c r="A918" s="59"/>
      <c r="B918" s="1603" t="s">
        <v>2001</v>
      </c>
      <c r="C918" s="1015" t="str">
        <f t="shared" si="167"/>
        <v xml:space="preserve"> </v>
      </c>
      <c r="D918" s="1544">
        <v>1</v>
      </c>
      <c r="E918" s="1047" t="str">
        <f>VLOOKUP($B918,DG!A:D,DG!$B$2,)</f>
        <v>05.6401</v>
      </c>
      <c r="F918" s="1052" t="str">
        <f>VLOOKUP($B918,DG!A:D,DG!$C$2,)</f>
        <v>Lắp xà đỡ ≤ 25kg</v>
      </c>
      <c r="G918" s="1047" t="str">
        <f>VLOOKUP($B918,DG!A:D,DG!$D$2,)</f>
        <v>bộ</v>
      </c>
      <c r="H918" s="1845"/>
      <c r="I918" s="1845"/>
      <c r="J918" s="1845"/>
      <c r="K918" s="1845"/>
      <c r="L918" s="1845"/>
      <c r="M918" s="1845"/>
      <c r="N918" s="1845"/>
      <c r="O918" s="1845"/>
      <c r="P918" s="1845"/>
      <c r="Q918" s="1061"/>
      <c r="R918" s="1061"/>
      <c r="S918" s="1061"/>
      <c r="T918" s="2059">
        <f t="shared" si="174"/>
        <v>0</v>
      </c>
    </row>
    <row r="919" spans="1:20" ht="22.15" hidden="1" customHeight="1">
      <c r="A919" s="59"/>
      <c r="B919" s="1586" t="s">
        <v>2002</v>
      </c>
      <c r="C919" s="1015" t="str">
        <f t="shared" si="167"/>
        <v xml:space="preserve"> </v>
      </c>
      <c r="D919" s="1542"/>
      <c r="E919" s="1047" t="str">
        <f>VLOOKUP($B919,DG!A:D,DG!$B$2,)</f>
        <v>02.1115</v>
      </c>
      <c r="F919" s="1052" t="str">
        <f>VLOOKUP($B919,DG!A:D,DG!$C$2,)</f>
        <v>Bốc dỡ xà, thép thanh</v>
      </c>
      <c r="G919" s="1047" t="str">
        <f>VLOOKUP($B919,DG!A:D,DG!$D$2,)</f>
        <v>tấn</v>
      </c>
      <c r="H919" s="1845"/>
      <c r="I919" s="1845"/>
      <c r="J919" s="1845"/>
      <c r="K919" s="1845"/>
      <c r="L919" s="1845"/>
      <c r="M919" s="1845"/>
      <c r="N919" s="1845"/>
      <c r="O919" s="1845"/>
      <c r="P919" s="1845"/>
      <c r="Q919" s="1061"/>
      <c r="R919" s="1061"/>
      <c r="S919" s="1061"/>
      <c r="T919" s="2059">
        <f t="shared" si="174"/>
        <v>0</v>
      </c>
    </row>
    <row r="920" spans="1:20" ht="22.15" hidden="1" customHeight="1">
      <c r="A920" s="59"/>
      <c r="B920" s="1598" t="s">
        <v>2003</v>
      </c>
      <c r="C920" s="1015" t="str">
        <f t="shared" si="167"/>
        <v xml:space="preserve"> </v>
      </c>
      <c r="D920" s="1542"/>
      <c r="E920" s="1047" t="str">
        <f>VLOOKUP($B920,DG!A:C,2,)</f>
        <v>02.1361</v>
      </c>
      <c r="F920" s="1052" t="str">
        <f>VLOOKUP($B920,DG!A:C,3,)</f>
        <v>V/c xà vào vị trí (cư ly &lt;=100m)</v>
      </c>
      <c r="G920" s="1047" t="str">
        <f>VLOOKUP($B920,DG!A:D,4,0)</f>
        <v>tấn</v>
      </c>
      <c r="H920" s="1845"/>
      <c r="I920" s="1845"/>
      <c r="J920" s="1845"/>
      <c r="K920" s="1845"/>
      <c r="L920" s="1845"/>
      <c r="M920" s="1845"/>
      <c r="N920" s="1845"/>
      <c r="O920" s="1845"/>
      <c r="P920" s="1845"/>
      <c r="Q920" s="1061"/>
      <c r="R920" s="1061"/>
      <c r="S920" s="1061"/>
      <c r="T920" s="2059">
        <f t="shared" si="174"/>
        <v>0</v>
      </c>
    </row>
    <row r="921" spans="1:20" ht="22.15" hidden="1" customHeight="1">
      <c r="A921" s="59"/>
      <c r="B921" s="1598" t="s">
        <v>635</v>
      </c>
      <c r="C921" s="1015" t="str">
        <f t="shared" si="167"/>
        <v xml:space="preserve"> </v>
      </c>
      <c r="D921" s="1543"/>
      <c r="E921" s="1047" t="str">
        <f>VLOOKUP($B921,DG!A:C,2,)</f>
        <v>02.1482</v>
      </c>
      <c r="F921" s="1052" t="str">
        <f>VLOOKUP($B921,DG!A:C,3,)</f>
        <v>V/c dụng cụ thi công vào vị trí (cự ly &lt;=100m)</v>
      </c>
      <c r="G921" s="1047" t="str">
        <f>VLOOKUP($B921,DG!A:D,4,0)</f>
        <v>tấn</v>
      </c>
      <c r="H921" s="1845"/>
      <c r="I921" s="1845"/>
      <c r="J921" s="1845"/>
      <c r="K921" s="1845"/>
      <c r="L921" s="1845"/>
      <c r="M921" s="1845"/>
      <c r="N921" s="1845"/>
      <c r="O921" s="1845"/>
      <c r="P921" s="1845"/>
      <c r="Q921" s="1061"/>
      <c r="R921" s="1061"/>
      <c r="S921" s="1061"/>
      <c r="T921" s="2059">
        <f t="shared" si="174"/>
        <v>0</v>
      </c>
    </row>
    <row r="922" spans="1:20" ht="22.15" hidden="1" customHeight="1">
      <c r="A922" s="56" t="s">
        <v>344</v>
      </c>
      <c r="B922" s="1583" t="s">
        <v>344</v>
      </c>
      <c r="C922" s="1015" t="str">
        <f t="shared" si="167"/>
        <v xml:space="preserve"> </v>
      </c>
      <c r="D922" s="1541"/>
      <c r="E922" s="1048"/>
      <c r="F922" s="1396" t="s">
        <v>2438</v>
      </c>
      <c r="G922" s="1049" t="s">
        <v>2394</v>
      </c>
      <c r="H922" s="1843">
        <f>SUM(I922:O922)</f>
        <v>0</v>
      </c>
      <c r="I922" s="1844"/>
      <c r="J922" s="1844"/>
      <c r="K922" s="1844">
        <f>IFERROR(HLOOKUP(B922,pp3p1m!$1:$3,3,0),0)</f>
        <v>0</v>
      </c>
      <c r="L922" s="1844">
        <f>IFERROR(HLOOKUP(chitiet!B922,pp1p!$1:$3,3,0),0)</f>
        <v>0</v>
      </c>
      <c r="M922" s="1844"/>
      <c r="N922" s="1844"/>
      <c r="O922" s="1844"/>
      <c r="P922" s="1844">
        <f>H922+Q922-R922</f>
        <v>0</v>
      </c>
      <c r="Q922" s="1050"/>
      <c r="R922" s="1050"/>
      <c r="S922" s="1050"/>
      <c r="T922" s="2059">
        <f>IFERROR(HLOOKUP(B922,pp1p!$1:$3,3,0),0)+IFERROR(HLOOKUP(B922,pp3p1m!$1:$3,3,0),0)</f>
        <v>0</v>
      </c>
    </row>
    <row r="923" spans="1:20" ht="22.15" hidden="1" customHeight="1">
      <c r="A923" s="59"/>
      <c r="B923" s="1586" t="s">
        <v>109</v>
      </c>
      <c r="C923" s="1015" t="str">
        <f t="shared" si="167"/>
        <v xml:space="preserve"> </v>
      </c>
      <c r="D923" s="1543">
        <f>9.02*(0.8+0.07)*2</f>
        <v>15.694800000000001</v>
      </c>
      <c r="E923" s="1047"/>
      <c r="F923" s="1059" t="str">
        <f>VLOOKUP($B923,DG!A:D,DG!$C$2,)</f>
        <v>Sắt góc L75 x75 x8</v>
      </c>
      <c r="G923" s="1047" t="str">
        <f>VLOOKUP($B923,DG!A:D,DG!$D$2,)</f>
        <v>kg</v>
      </c>
      <c r="H923" s="1845">
        <f t="shared" ref="H923:N927" si="189">H$922*$D923</f>
        <v>0</v>
      </c>
      <c r="I923" s="1845">
        <f t="shared" si="189"/>
        <v>0</v>
      </c>
      <c r="J923" s="1845">
        <f t="shared" si="189"/>
        <v>0</v>
      </c>
      <c r="K923" s="1845">
        <f t="shared" si="189"/>
        <v>0</v>
      </c>
      <c r="L923" s="1845">
        <f t="shared" si="189"/>
        <v>0</v>
      </c>
      <c r="M923" s="1845">
        <f t="shared" si="189"/>
        <v>0</v>
      </c>
      <c r="N923" s="1845">
        <f t="shared" si="189"/>
        <v>0</v>
      </c>
      <c r="O923" s="1845"/>
      <c r="P923" s="1845"/>
      <c r="Q923" s="1056"/>
      <c r="R923" s="1056"/>
      <c r="S923" s="1056"/>
      <c r="T923" s="2059">
        <f t="shared" si="174"/>
        <v>0</v>
      </c>
    </row>
    <row r="924" spans="1:20" ht="22.15" hidden="1" customHeight="1">
      <c r="A924" s="59"/>
      <c r="B924" s="1586" t="s">
        <v>457</v>
      </c>
      <c r="C924" s="1015" t="str">
        <f t="shared" si="167"/>
        <v xml:space="preserve"> </v>
      </c>
      <c r="D924" s="1543">
        <f>3.77*0.81*2</f>
        <v>6.1074000000000002</v>
      </c>
      <c r="E924" s="1047"/>
      <c r="F924" s="1059" t="str">
        <f>VLOOKUP($B924,DG!A:D,DG!$C$2,)</f>
        <v>Sắt góc L50 x50 x5</v>
      </c>
      <c r="G924" s="1047" t="str">
        <f>VLOOKUP($B924,DG!A:D,DG!$D$2,)</f>
        <v>kg</v>
      </c>
      <c r="H924" s="1845">
        <f t="shared" si="189"/>
        <v>0</v>
      </c>
      <c r="I924" s="1845">
        <f t="shared" si="189"/>
        <v>0</v>
      </c>
      <c r="J924" s="1845">
        <f t="shared" si="189"/>
        <v>0</v>
      </c>
      <c r="K924" s="1845">
        <f t="shared" si="189"/>
        <v>0</v>
      </c>
      <c r="L924" s="1845">
        <f t="shared" si="189"/>
        <v>0</v>
      </c>
      <c r="M924" s="1845">
        <f t="shared" si="189"/>
        <v>0</v>
      </c>
      <c r="N924" s="1845">
        <f t="shared" si="189"/>
        <v>0</v>
      </c>
      <c r="O924" s="1845"/>
      <c r="P924" s="1845"/>
      <c r="Q924" s="1056"/>
      <c r="R924" s="1056"/>
      <c r="S924" s="1056"/>
      <c r="T924" s="2059">
        <f t="shared" si="174"/>
        <v>0</v>
      </c>
    </row>
    <row r="925" spans="1:20" ht="22.15" hidden="1" customHeight="1">
      <c r="A925" s="59"/>
      <c r="B925" s="1586" t="s">
        <v>1085</v>
      </c>
      <c r="C925" s="1015" t="str">
        <f t="shared" si="167"/>
        <v xml:space="preserve"> </v>
      </c>
      <c r="D925" s="1544">
        <v>2</v>
      </c>
      <c r="E925" s="1047"/>
      <c r="F925" s="1059" t="str">
        <f>VLOOKUP($B925,DG!A:D,DG!$C$2,)</f>
        <v>Boulon 16x400+ 2 long đền vuông D18-50x50x3/Zn</v>
      </c>
      <c r="G925" s="1047" t="str">
        <f>VLOOKUP($B925,DG!A:D,DG!$D$2,)</f>
        <v>bộ</v>
      </c>
      <c r="H925" s="1845">
        <f t="shared" si="189"/>
        <v>0</v>
      </c>
      <c r="I925" s="1845">
        <f t="shared" si="189"/>
        <v>0</v>
      </c>
      <c r="J925" s="1845">
        <f t="shared" si="189"/>
        <v>0</v>
      </c>
      <c r="K925" s="1845">
        <f t="shared" si="189"/>
        <v>0</v>
      </c>
      <c r="L925" s="1845">
        <f t="shared" si="189"/>
        <v>0</v>
      </c>
      <c r="M925" s="1845">
        <f t="shared" si="189"/>
        <v>0</v>
      </c>
      <c r="N925" s="1845">
        <f t="shared" si="189"/>
        <v>0</v>
      </c>
      <c r="O925" s="1845"/>
      <c r="P925" s="1845"/>
      <c r="Q925" s="1056"/>
      <c r="R925" s="1056"/>
      <c r="S925" s="1056"/>
      <c r="T925" s="2059">
        <f t="shared" si="174"/>
        <v>0</v>
      </c>
    </row>
    <row r="926" spans="1:20" ht="22.15" hidden="1" customHeight="1">
      <c r="A926" s="59"/>
      <c r="B926" s="1586" t="s">
        <v>1745</v>
      </c>
      <c r="C926" s="1015" t="str">
        <f t="shared" si="167"/>
        <v xml:space="preserve"> </v>
      </c>
      <c r="D926" s="1544">
        <v>1</v>
      </c>
      <c r="E926" s="1047"/>
      <c r="F926" s="1059" t="str">
        <f>VLOOKUP($B926,DG!A:D,DG!$C$2,)</f>
        <v>Boulon 16x400VRS+ 4 long đền vuông D18-50x50x3/Zn</v>
      </c>
      <c r="G926" s="1047" t="str">
        <f>VLOOKUP($B926,DG!A:D,DG!$D$2,)</f>
        <v>bộ</v>
      </c>
      <c r="H926" s="1845">
        <f t="shared" si="189"/>
        <v>0</v>
      </c>
      <c r="I926" s="1845">
        <f t="shared" si="189"/>
        <v>0</v>
      </c>
      <c r="J926" s="1845">
        <f t="shared" si="189"/>
        <v>0</v>
      </c>
      <c r="K926" s="1845">
        <f t="shared" si="189"/>
        <v>0</v>
      </c>
      <c r="L926" s="1845">
        <f t="shared" si="189"/>
        <v>0</v>
      </c>
      <c r="M926" s="1845">
        <f t="shared" si="189"/>
        <v>0</v>
      </c>
      <c r="N926" s="1845">
        <f t="shared" si="189"/>
        <v>0</v>
      </c>
      <c r="O926" s="1845"/>
      <c r="P926" s="1845"/>
      <c r="Q926" s="1056"/>
      <c r="R926" s="1056"/>
      <c r="S926" s="1056"/>
      <c r="T926" s="2059">
        <f t="shared" si="174"/>
        <v>0</v>
      </c>
    </row>
    <row r="927" spans="1:20" ht="22.15" hidden="1" customHeight="1">
      <c r="A927" s="59"/>
      <c r="B927" s="1586" t="s">
        <v>1792</v>
      </c>
      <c r="C927" s="1015" t="str">
        <f t="shared" si="167"/>
        <v xml:space="preserve"> </v>
      </c>
      <c r="D927" s="1544">
        <v>2</v>
      </c>
      <c r="E927" s="1047"/>
      <c r="F927" s="1059" t="str">
        <f>VLOOKUP($B927,DG!A:D,DG!$C$2,)</f>
        <v>Boulon 16x50+ 2 long đền vuông D18-50x50x3/Zn</v>
      </c>
      <c r="G927" s="1047" t="str">
        <f>VLOOKUP($B927,DG!A:D,DG!$D$2,)</f>
        <v>bộ</v>
      </c>
      <c r="H927" s="1845">
        <f t="shared" si="189"/>
        <v>0</v>
      </c>
      <c r="I927" s="1845">
        <f t="shared" si="189"/>
        <v>0</v>
      </c>
      <c r="J927" s="1845">
        <f t="shared" si="189"/>
        <v>0</v>
      </c>
      <c r="K927" s="1845">
        <f t="shared" si="189"/>
        <v>0</v>
      </c>
      <c r="L927" s="1845">
        <f t="shared" si="189"/>
        <v>0</v>
      </c>
      <c r="M927" s="1845">
        <f t="shared" si="189"/>
        <v>0</v>
      </c>
      <c r="N927" s="1845">
        <f t="shared" si="189"/>
        <v>0</v>
      </c>
      <c r="O927" s="1845"/>
      <c r="P927" s="1845"/>
      <c r="Q927" s="1056"/>
      <c r="R927" s="1056"/>
      <c r="S927" s="1056"/>
      <c r="T927" s="2059">
        <f t="shared" si="174"/>
        <v>0</v>
      </c>
    </row>
    <row r="928" spans="1:20" ht="22.15" hidden="1" customHeight="1">
      <c r="A928" s="59"/>
      <c r="B928" s="1603" t="s">
        <v>2013</v>
      </c>
      <c r="C928" s="1015" t="str">
        <f t="shared" si="167"/>
        <v xml:space="preserve"> </v>
      </c>
      <c r="D928" s="1544">
        <v>1</v>
      </c>
      <c r="E928" s="1047" t="str">
        <f>VLOOKUP($B928,DG!A:D,DG!$B$2,)</f>
        <v>05.6201</v>
      </c>
      <c r="F928" s="1052" t="str">
        <f>VLOOKUP($B928,DG!A:D,DG!$C$2,)</f>
        <v>Lắp xà néo ≤ 25kg</v>
      </c>
      <c r="G928" s="1047" t="str">
        <f>VLOOKUP($B928,DG!A:D,DG!$D$2,)</f>
        <v>bộ</v>
      </c>
      <c r="H928" s="1845"/>
      <c r="I928" s="1845"/>
      <c r="J928" s="1845"/>
      <c r="K928" s="1845"/>
      <c r="L928" s="1845"/>
      <c r="M928" s="1845"/>
      <c r="N928" s="1845"/>
      <c r="O928" s="1845"/>
      <c r="P928" s="1845"/>
      <c r="Q928" s="1061"/>
      <c r="R928" s="1061"/>
      <c r="S928" s="1061"/>
      <c r="T928" s="2059">
        <f t="shared" si="174"/>
        <v>0</v>
      </c>
    </row>
    <row r="929" spans="1:20" ht="22.15" hidden="1" customHeight="1">
      <c r="A929" s="59"/>
      <c r="B929" s="1586" t="s">
        <v>2002</v>
      </c>
      <c r="C929" s="1015" t="str">
        <f t="shared" si="167"/>
        <v xml:space="preserve"> </v>
      </c>
      <c r="D929" s="1542"/>
      <c r="E929" s="1047" t="str">
        <f>VLOOKUP($B929,DG!A:D,DG!$B$2,)</f>
        <v>02.1115</v>
      </c>
      <c r="F929" s="1052" t="str">
        <f>VLOOKUP($B929,DG!A:D,DG!$C$2,)</f>
        <v>Bốc dỡ xà, thép thanh</v>
      </c>
      <c r="G929" s="1047" t="str">
        <f>VLOOKUP($B929,DG!A:D,DG!$D$2,)</f>
        <v>tấn</v>
      </c>
      <c r="H929" s="1845"/>
      <c r="I929" s="1845"/>
      <c r="J929" s="1845"/>
      <c r="K929" s="1845"/>
      <c r="L929" s="1845"/>
      <c r="M929" s="1845"/>
      <c r="N929" s="1845"/>
      <c r="O929" s="1845"/>
      <c r="P929" s="1845"/>
      <c r="Q929" s="1061"/>
      <c r="R929" s="1061"/>
      <c r="S929" s="1061"/>
      <c r="T929" s="2059">
        <f t="shared" si="174"/>
        <v>0</v>
      </c>
    </row>
    <row r="930" spans="1:20" ht="22.15" hidden="1" customHeight="1">
      <c r="A930" s="59"/>
      <c r="B930" s="1598" t="s">
        <v>2003</v>
      </c>
      <c r="C930" s="1015" t="str">
        <f t="shared" ref="C930:C993" si="190">IF(OR(P930&lt;&gt;0,H930&lt;&gt;0),"x"," ")</f>
        <v xml:space="preserve"> </v>
      </c>
      <c r="D930" s="1542"/>
      <c r="E930" s="1047" t="str">
        <f>VLOOKUP($B930,DG!A:C,2,)</f>
        <v>02.1361</v>
      </c>
      <c r="F930" s="1052" t="str">
        <f>VLOOKUP($B930,DG!A:C,3,)</f>
        <v>V/c xà vào vị trí (cư ly &lt;=100m)</v>
      </c>
      <c r="G930" s="1047" t="str">
        <f>VLOOKUP($B930,DG!A:D,4,0)</f>
        <v>tấn</v>
      </c>
      <c r="H930" s="1845"/>
      <c r="I930" s="1845"/>
      <c r="J930" s="1845"/>
      <c r="K930" s="1845"/>
      <c r="L930" s="1845"/>
      <c r="M930" s="1845"/>
      <c r="N930" s="1845"/>
      <c r="O930" s="1845"/>
      <c r="P930" s="1845"/>
      <c r="Q930" s="1061"/>
      <c r="R930" s="1061"/>
      <c r="S930" s="1061"/>
      <c r="T930" s="2059">
        <f t="shared" si="174"/>
        <v>0</v>
      </c>
    </row>
    <row r="931" spans="1:20" ht="22.15" hidden="1" customHeight="1">
      <c r="A931" s="59"/>
      <c r="B931" s="1598" t="s">
        <v>635</v>
      </c>
      <c r="C931" s="1015" t="str">
        <f t="shared" si="190"/>
        <v xml:space="preserve"> </v>
      </c>
      <c r="D931" s="1543"/>
      <c r="E931" s="1047" t="str">
        <f>VLOOKUP($B931,DG!A:C,2,)</f>
        <v>02.1482</v>
      </c>
      <c r="F931" s="1052" t="str">
        <f>VLOOKUP($B931,DG!A:C,3,)</f>
        <v>V/c dụng cụ thi công vào vị trí (cự ly &lt;=100m)</v>
      </c>
      <c r="G931" s="1047" t="str">
        <f>VLOOKUP($B931,DG!A:D,4,0)</f>
        <v>tấn</v>
      </c>
      <c r="H931" s="1845"/>
      <c r="I931" s="1845"/>
      <c r="J931" s="1845"/>
      <c r="K931" s="1845"/>
      <c r="L931" s="1845"/>
      <c r="M931" s="1845"/>
      <c r="N931" s="1845"/>
      <c r="O931" s="1845"/>
      <c r="P931" s="1845"/>
      <c r="Q931" s="1061"/>
      <c r="R931" s="1061"/>
      <c r="S931" s="1061"/>
      <c r="T931" s="2059">
        <f t="shared" si="174"/>
        <v>0</v>
      </c>
    </row>
    <row r="932" spans="1:20" ht="22.15" customHeight="1">
      <c r="A932" s="56" t="s">
        <v>2300</v>
      </c>
      <c r="B932" s="1583" t="s">
        <v>2300</v>
      </c>
      <c r="C932" s="1015" t="str">
        <f t="shared" si="190"/>
        <v>x</v>
      </c>
      <c r="D932" s="1555"/>
      <c r="E932" s="1048"/>
      <c r="F932" s="1396" t="s">
        <v>2439</v>
      </c>
      <c r="G932" s="1049" t="s">
        <v>2394</v>
      </c>
      <c r="H932" s="1843">
        <f>SUM(I932:O932)</f>
        <v>15</v>
      </c>
      <c r="I932" s="1844"/>
      <c r="J932" s="1844"/>
      <c r="K932" s="1844">
        <f>IFERROR(HLOOKUP(B932,pp3p1m!$1:$3,3,0),0)</f>
        <v>15</v>
      </c>
      <c r="L932" s="1844">
        <f>IFERROR(HLOOKUP(chitiet!B932,pp1p!$1:$3,3,0),0)</f>
        <v>0</v>
      </c>
      <c r="M932" s="1844"/>
      <c r="N932" s="1844"/>
      <c r="O932" s="1844"/>
      <c r="P932" s="1843">
        <f>H932+Q932-R932</f>
        <v>15</v>
      </c>
      <c r="Q932" s="1050"/>
      <c r="R932" s="1050"/>
      <c r="S932" s="1050"/>
      <c r="T932" s="2059">
        <f>IFERROR(HLOOKUP(B932,pp1p!$1:$3,3,0),0)+IFERROR(HLOOKUP(B932,pp3p1m!$1:$3,3,0),0)</f>
        <v>15</v>
      </c>
    </row>
    <row r="933" spans="1:20" ht="22.15" customHeight="1">
      <c r="A933" s="59"/>
      <c r="B933" s="1586" t="s">
        <v>4871</v>
      </c>
      <c r="C933" s="1015" t="str">
        <f t="shared" si="190"/>
        <v>x</v>
      </c>
      <c r="D933" s="1543">
        <v>1</v>
      </c>
      <c r="E933" s="1047"/>
      <c r="F933" s="1059" t="str">
        <f>VLOOKUP($B933,DG!A:D,DG!$C$2,)</f>
        <v>Sắt góc L75 x75 x8-2100</v>
      </c>
      <c r="G933" s="1047" t="str">
        <f>VLOOKUP($B933,DG!A:D,DG!$D$2,)</f>
        <v>cái</v>
      </c>
      <c r="H933" s="1845">
        <f t="shared" ref="H933:R937" si="191">H$932*$D933</f>
        <v>15</v>
      </c>
      <c r="I933" s="1845">
        <f t="shared" si="191"/>
        <v>0</v>
      </c>
      <c r="J933" s="1845">
        <f t="shared" si="191"/>
        <v>0</v>
      </c>
      <c r="K933" s="1845">
        <f t="shared" si="191"/>
        <v>15</v>
      </c>
      <c r="L933" s="1845">
        <f t="shared" si="191"/>
        <v>0</v>
      </c>
      <c r="M933" s="1845">
        <f t="shared" si="191"/>
        <v>0</v>
      </c>
      <c r="N933" s="1845">
        <f t="shared" si="191"/>
        <v>0</v>
      </c>
      <c r="O933" s="1845">
        <f t="shared" si="191"/>
        <v>0</v>
      </c>
      <c r="P933" s="1845">
        <f t="shared" si="191"/>
        <v>15</v>
      </c>
      <c r="Q933" s="1845">
        <f t="shared" si="191"/>
        <v>0</v>
      </c>
      <c r="R933" s="1845">
        <f t="shared" si="191"/>
        <v>0</v>
      </c>
      <c r="S933" s="1056"/>
      <c r="T933" s="2059">
        <f t="shared" si="174"/>
        <v>0</v>
      </c>
    </row>
    <row r="934" spans="1:20" ht="22.15" customHeight="1">
      <c r="A934" s="59"/>
      <c r="B934" s="1586" t="s">
        <v>4872</v>
      </c>
      <c r="C934" s="1015" t="str">
        <f t="shared" si="190"/>
        <v>x</v>
      </c>
      <c r="D934" s="1543">
        <v>1</v>
      </c>
      <c r="E934" s="1047"/>
      <c r="F934" s="1059" t="str">
        <f>VLOOKUP($B934,DG!A:D,DG!$C$2,)</f>
        <v>Sắt góc L50 x50 x5 x1190</v>
      </c>
      <c r="G934" s="1047" t="str">
        <f>VLOOKUP($B934,DG!A:D,DG!$D$2,)</f>
        <v>cái</v>
      </c>
      <c r="H934" s="1845">
        <f t="shared" si="191"/>
        <v>15</v>
      </c>
      <c r="I934" s="1845">
        <f t="shared" si="191"/>
        <v>0</v>
      </c>
      <c r="J934" s="1845">
        <f t="shared" si="191"/>
        <v>0</v>
      </c>
      <c r="K934" s="1845">
        <f t="shared" si="191"/>
        <v>15</v>
      </c>
      <c r="L934" s="1845">
        <f t="shared" si="191"/>
        <v>0</v>
      </c>
      <c r="M934" s="1845">
        <f t="shared" si="191"/>
        <v>0</v>
      </c>
      <c r="N934" s="1845">
        <f t="shared" si="191"/>
        <v>0</v>
      </c>
      <c r="O934" s="1845"/>
      <c r="P934" s="1845">
        <f t="shared" si="191"/>
        <v>15</v>
      </c>
      <c r="Q934" s="1845">
        <f t="shared" si="191"/>
        <v>0</v>
      </c>
      <c r="R934" s="1845">
        <f t="shared" si="191"/>
        <v>0</v>
      </c>
      <c r="S934" s="1056"/>
      <c r="T934" s="2059">
        <f t="shared" si="174"/>
        <v>0</v>
      </c>
    </row>
    <row r="935" spans="1:20" ht="22.15" hidden="1" customHeight="1">
      <c r="A935" s="59"/>
      <c r="B935" s="1586" t="s">
        <v>2114</v>
      </c>
      <c r="C935" s="1015" t="str">
        <f t="shared" si="190"/>
        <v xml:space="preserve"> </v>
      </c>
      <c r="D935" s="1543"/>
      <c r="E935" s="1047"/>
      <c r="F935" s="1059" t="str">
        <f>VLOOKUP($B935,DG!A:D,DG!$C$2,)</f>
        <v>Sắt dẹt 50x5</v>
      </c>
      <c r="G935" s="1047" t="str">
        <f>VLOOKUP($B935,DG!A:D,DG!$D$2,)</f>
        <v>kg</v>
      </c>
      <c r="H935" s="1845">
        <f t="shared" si="191"/>
        <v>0</v>
      </c>
      <c r="I935" s="1845">
        <f t="shared" si="191"/>
        <v>0</v>
      </c>
      <c r="J935" s="1845">
        <f t="shared" si="191"/>
        <v>0</v>
      </c>
      <c r="K935" s="1845">
        <f t="shared" si="191"/>
        <v>0</v>
      </c>
      <c r="L935" s="1845">
        <f t="shared" si="191"/>
        <v>0</v>
      </c>
      <c r="M935" s="1845">
        <f t="shared" si="191"/>
        <v>0</v>
      </c>
      <c r="N935" s="1845">
        <f t="shared" si="191"/>
        <v>0</v>
      </c>
      <c r="O935" s="1845"/>
      <c r="P935" s="1845"/>
      <c r="Q935" s="1056"/>
      <c r="R935" s="1056"/>
      <c r="S935" s="1056"/>
      <c r="T935" s="2059">
        <f t="shared" si="174"/>
        <v>0</v>
      </c>
    </row>
    <row r="936" spans="1:20" ht="22.15" customHeight="1">
      <c r="A936" s="59"/>
      <c r="B936" s="1586" t="s">
        <v>1615</v>
      </c>
      <c r="C936" s="1015" t="str">
        <f t="shared" si="190"/>
        <v>x</v>
      </c>
      <c r="D936" s="1544">
        <v>2</v>
      </c>
      <c r="E936" s="1047"/>
      <c r="F936" s="1059" t="str">
        <f>VLOOKUP($B936,DG!A:D,DG!$C$2,)</f>
        <v>Boulon 16x300+ 2 long đền vuông D18-50x50x3/Zn</v>
      </c>
      <c r="G936" s="1047" t="str">
        <f>VLOOKUP($B936,DG!A:D,DG!$D$2,)</f>
        <v>bộ</v>
      </c>
      <c r="H936" s="1845">
        <f t="shared" si="191"/>
        <v>30</v>
      </c>
      <c r="I936" s="1845">
        <f t="shared" si="191"/>
        <v>0</v>
      </c>
      <c r="J936" s="1845">
        <f t="shared" si="191"/>
        <v>0</v>
      </c>
      <c r="K936" s="1845">
        <f t="shared" si="191"/>
        <v>30</v>
      </c>
      <c r="L936" s="1845">
        <f t="shared" si="191"/>
        <v>0</v>
      </c>
      <c r="M936" s="1845">
        <f t="shared" si="191"/>
        <v>0</v>
      </c>
      <c r="N936" s="1845">
        <f t="shared" si="191"/>
        <v>0</v>
      </c>
      <c r="O936" s="1845"/>
      <c r="P936" s="1845">
        <f t="shared" si="191"/>
        <v>30</v>
      </c>
      <c r="Q936" s="1845">
        <f t="shared" si="191"/>
        <v>0</v>
      </c>
      <c r="R936" s="1845">
        <f t="shared" si="191"/>
        <v>0</v>
      </c>
      <c r="S936" s="1056"/>
      <c r="T936" s="2059">
        <f t="shared" ref="T936:T999" si="192">IFERROR(HLOOKUP(B936,BangKeTru,3,0),0)</f>
        <v>0</v>
      </c>
    </row>
    <row r="937" spans="1:20" ht="22.15" customHeight="1">
      <c r="A937" s="59"/>
      <c r="B937" s="1586" t="s">
        <v>1791</v>
      </c>
      <c r="C937" s="1015" t="str">
        <f t="shared" si="190"/>
        <v>x</v>
      </c>
      <c r="D937" s="1544">
        <v>1</v>
      </c>
      <c r="E937" s="1047"/>
      <c r="F937" s="1059" t="str">
        <f>VLOOKUP($B937,DG!A:D,DG!$C$2,)</f>
        <v>Boulon 16x35+ 2 long đền vuông D18-50x50x3/Zn</v>
      </c>
      <c r="G937" s="1047" t="str">
        <f>VLOOKUP($B937,DG!A:D,DG!$D$2,)</f>
        <v>bộ</v>
      </c>
      <c r="H937" s="1845">
        <f t="shared" si="191"/>
        <v>15</v>
      </c>
      <c r="I937" s="1845">
        <f t="shared" si="191"/>
        <v>0</v>
      </c>
      <c r="J937" s="1845">
        <f t="shared" si="191"/>
        <v>0</v>
      </c>
      <c r="K937" s="1845">
        <f t="shared" si="191"/>
        <v>15</v>
      </c>
      <c r="L937" s="1845">
        <f t="shared" si="191"/>
        <v>0</v>
      </c>
      <c r="M937" s="1845">
        <f t="shared" si="191"/>
        <v>0</v>
      </c>
      <c r="N937" s="1845">
        <f t="shared" si="191"/>
        <v>0</v>
      </c>
      <c r="O937" s="1845"/>
      <c r="P937" s="1845">
        <f t="shared" si="191"/>
        <v>15</v>
      </c>
      <c r="Q937" s="1845">
        <f t="shared" si="191"/>
        <v>0</v>
      </c>
      <c r="R937" s="1845">
        <f t="shared" si="191"/>
        <v>0</v>
      </c>
      <c r="S937" s="1056"/>
      <c r="T937" s="2059">
        <f t="shared" si="192"/>
        <v>0</v>
      </c>
    </row>
    <row r="938" spans="1:20" ht="22.15" hidden="1" customHeight="1">
      <c r="A938" s="59"/>
      <c r="B938" s="1599" t="s">
        <v>987</v>
      </c>
      <c r="C938" s="1015" t="str">
        <f t="shared" si="190"/>
        <v xml:space="preserve"> </v>
      </c>
      <c r="D938" s="1544">
        <v>1</v>
      </c>
      <c r="E938" s="1051" t="str">
        <f>VLOOKUP($B938,DG!A:D,DG!$B$2,)</f>
        <v>05.6102</v>
      </c>
      <c r="F938" s="1052" t="str">
        <f>VLOOKUP($B938,DG!A:D,DG!$C$2,)</f>
        <v>Lắp xà đỡ ≤ 50kg</v>
      </c>
      <c r="G938" s="1047" t="str">
        <f>VLOOKUP($B938,DG!A:D,DG!$D$2,)</f>
        <v>bộ</v>
      </c>
      <c r="H938" s="1845"/>
      <c r="I938" s="1845"/>
      <c r="J938" s="1845"/>
      <c r="K938" s="1845"/>
      <c r="L938" s="1845"/>
      <c r="M938" s="1845"/>
      <c r="N938" s="1845"/>
      <c r="O938" s="1845"/>
      <c r="P938" s="1845"/>
      <c r="Q938" s="1061"/>
      <c r="R938" s="1061"/>
      <c r="S938" s="1061"/>
      <c r="T938" s="2059">
        <f t="shared" si="192"/>
        <v>0</v>
      </c>
    </row>
    <row r="939" spans="1:20" ht="22.15" hidden="1" customHeight="1">
      <c r="A939" s="59"/>
      <c r="B939" s="1586" t="s">
        <v>2002</v>
      </c>
      <c r="C939" s="1015" t="str">
        <f t="shared" si="190"/>
        <v xml:space="preserve"> </v>
      </c>
      <c r="D939" s="1542"/>
      <c r="E939" s="1047" t="str">
        <f>VLOOKUP($B939,DG!A:D,DG!$B$2,)</f>
        <v>02.1115</v>
      </c>
      <c r="F939" s="1052" t="str">
        <f>VLOOKUP($B939,DG!A:D,DG!$C$2,)</f>
        <v>Bốc dỡ xà, thép thanh</v>
      </c>
      <c r="G939" s="1047" t="str">
        <f>VLOOKUP($B939,DG!A:D,DG!$D$2,)</f>
        <v>tấn</v>
      </c>
      <c r="H939" s="1845"/>
      <c r="I939" s="1845"/>
      <c r="J939" s="1845"/>
      <c r="K939" s="1845"/>
      <c r="L939" s="1845"/>
      <c r="M939" s="1845"/>
      <c r="N939" s="1845"/>
      <c r="O939" s="1845"/>
      <c r="P939" s="1845"/>
      <c r="Q939" s="1061"/>
      <c r="R939" s="1061"/>
      <c r="S939" s="1061"/>
      <c r="T939" s="2059">
        <f t="shared" si="192"/>
        <v>0</v>
      </c>
    </row>
    <row r="940" spans="1:20" ht="22.15" hidden="1" customHeight="1">
      <c r="A940" s="59"/>
      <c r="B940" s="1598" t="s">
        <v>2003</v>
      </c>
      <c r="C940" s="1015" t="str">
        <f t="shared" si="190"/>
        <v xml:space="preserve"> </v>
      </c>
      <c r="D940" s="1542"/>
      <c r="E940" s="1047" t="str">
        <f>VLOOKUP($B940,DG!A:C,2,)</f>
        <v>02.1361</v>
      </c>
      <c r="F940" s="1052" t="str">
        <f>VLOOKUP($B940,DG!A:C,3,)</f>
        <v>V/c xà vào vị trí (cư ly &lt;=100m)</v>
      </c>
      <c r="G940" s="1047" t="str">
        <f>VLOOKUP($B940,DG!A:D,4,0)</f>
        <v>tấn</v>
      </c>
      <c r="H940" s="1845"/>
      <c r="I940" s="1845"/>
      <c r="J940" s="1845"/>
      <c r="K940" s="1845"/>
      <c r="L940" s="1845"/>
      <c r="M940" s="1845"/>
      <c r="N940" s="1845"/>
      <c r="O940" s="1845"/>
      <c r="P940" s="1845"/>
      <c r="Q940" s="1061"/>
      <c r="R940" s="1061"/>
      <c r="S940" s="1061"/>
      <c r="T940" s="2059">
        <f t="shared" si="192"/>
        <v>0</v>
      </c>
    </row>
    <row r="941" spans="1:20" ht="22.15" hidden="1" customHeight="1">
      <c r="A941" s="59"/>
      <c r="B941" s="1598" t="s">
        <v>635</v>
      </c>
      <c r="C941" s="1015" t="str">
        <f t="shared" si="190"/>
        <v xml:space="preserve"> </v>
      </c>
      <c r="D941" s="1543"/>
      <c r="E941" s="1047" t="str">
        <f>VLOOKUP($B941,DG!A:C,2,)</f>
        <v>02.1482</v>
      </c>
      <c r="F941" s="1052" t="str">
        <f>VLOOKUP($B941,DG!A:C,3,)</f>
        <v>V/c dụng cụ thi công vào vị trí (cự ly &lt;=100m)</v>
      </c>
      <c r="G941" s="1047" t="str">
        <f>VLOOKUP($B941,DG!A:D,4,0)</f>
        <v>tấn</v>
      </c>
      <c r="H941" s="1845"/>
      <c r="I941" s="1845"/>
      <c r="J941" s="1845"/>
      <c r="K941" s="1845"/>
      <c r="L941" s="1845"/>
      <c r="M941" s="1845"/>
      <c r="N941" s="1845"/>
      <c r="O941" s="1845"/>
      <c r="P941" s="1845"/>
      <c r="Q941" s="1061"/>
      <c r="R941" s="1061"/>
      <c r="S941" s="1061"/>
      <c r="T941" s="2059">
        <f t="shared" si="192"/>
        <v>0</v>
      </c>
    </row>
    <row r="942" spans="1:20" ht="22.15" customHeight="1">
      <c r="A942" s="56" t="s">
        <v>895</v>
      </c>
      <c r="B942" s="1583" t="s">
        <v>895</v>
      </c>
      <c r="C942" s="1015" t="str">
        <f t="shared" si="190"/>
        <v>x</v>
      </c>
      <c r="D942" s="1553"/>
      <c r="E942" s="1048"/>
      <c r="F942" s="1396" t="s">
        <v>2440</v>
      </c>
      <c r="G942" s="1049" t="s">
        <v>2394</v>
      </c>
      <c r="H942" s="1843">
        <f>SUM(I942:O942)</f>
        <v>1</v>
      </c>
      <c r="I942" s="1844"/>
      <c r="J942" s="1844"/>
      <c r="K942" s="1844">
        <f>IFERROR(HLOOKUP(B942,pp3p1m!$1:$3,3,0),0)</f>
        <v>1</v>
      </c>
      <c r="L942" s="1844">
        <f>IFERROR(HLOOKUP(chitiet!B942,pp1p!$1:$3,3,0),0)</f>
        <v>0</v>
      </c>
      <c r="M942" s="1844"/>
      <c r="N942" s="1844"/>
      <c r="O942" s="1844"/>
      <c r="P942" s="1843">
        <f>H942+Q942-R942</f>
        <v>1</v>
      </c>
      <c r="Q942" s="1050"/>
      <c r="R942" s="1050"/>
      <c r="S942" s="1050"/>
      <c r="T942" s="2059">
        <f>IFERROR(HLOOKUP(B942,pp1p!$1:$3,3,0),0)+IFERROR(HLOOKUP(B942,pp3p1m!$1:$3,3,0),0)</f>
        <v>1</v>
      </c>
    </row>
    <row r="943" spans="1:20" ht="22.15" customHeight="1">
      <c r="A943" s="59"/>
      <c r="B943" s="1586" t="s">
        <v>4871</v>
      </c>
      <c r="C943" s="1015" t="str">
        <f t="shared" si="190"/>
        <v>x</v>
      </c>
      <c r="D943" s="1543">
        <v>2</v>
      </c>
      <c r="E943" s="1047"/>
      <c r="F943" s="1059" t="str">
        <f>VLOOKUP($B943,DG!A:D,DG!$C$2,)</f>
        <v>Sắt góc L75 x75 x8-2100</v>
      </c>
      <c r="G943" s="1047" t="str">
        <f>VLOOKUP($B943,DG!A:D,DG!$D$2,)</f>
        <v>cái</v>
      </c>
      <c r="H943" s="1845">
        <f t="shared" ref="H943:R948" si="193">H$942*$D943</f>
        <v>2</v>
      </c>
      <c r="I943" s="1845">
        <f t="shared" si="193"/>
        <v>0</v>
      </c>
      <c r="J943" s="1845">
        <f t="shared" si="193"/>
        <v>0</v>
      </c>
      <c r="K943" s="1845">
        <f t="shared" si="193"/>
        <v>2</v>
      </c>
      <c r="L943" s="1845">
        <f t="shared" si="193"/>
        <v>0</v>
      </c>
      <c r="M943" s="1845">
        <f t="shared" si="193"/>
        <v>0</v>
      </c>
      <c r="N943" s="1845">
        <f t="shared" si="193"/>
        <v>0</v>
      </c>
      <c r="O943" s="1845">
        <f t="shared" si="193"/>
        <v>0</v>
      </c>
      <c r="P943" s="1845">
        <f t="shared" si="193"/>
        <v>2</v>
      </c>
      <c r="Q943" s="1845">
        <f t="shared" si="193"/>
        <v>0</v>
      </c>
      <c r="R943" s="1845">
        <f t="shared" si="193"/>
        <v>0</v>
      </c>
      <c r="S943" s="1056"/>
      <c r="T943" s="2059">
        <f t="shared" si="192"/>
        <v>0</v>
      </c>
    </row>
    <row r="944" spans="1:20" ht="22.15" customHeight="1">
      <c r="A944" s="59"/>
      <c r="B944" s="1586" t="s">
        <v>4872</v>
      </c>
      <c r="C944" s="1015" t="str">
        <f t="shared" si="190"/>
        <v>x</v>
      </c>
      <c r="D944" s="1543">
        <v>2</v>
      </c>
      <c r="E944" s="1047"/>
      <c r="F944" s="1059" t="str">
        <f>VLOOKUP($B944,DG!A:D,DG!$C$2,)</f>
        <v>Sắt góc L50 x50 x5 x1190</v>
      </c>
      <c r="G944" s="1047" t="str">
        <f>VLOOKUP($B944,DG!A:D,DG!$D$2,)</f>
        <v>cái</v>
      </c>
      <c r="H944" s="1845">
        <f t="shared" si="193"/>
        <v>2</v>
      </c>
      <c r="I944" s="1845">
        <f t="shared" si="193"/>
        <v>0</v>
      </c>
      <c r="J944" s="1845">
        <f t="shared" si="193"/>
        <v>0</v>
      </c>
      <c r="K944" s="1845">
        <f t="shared" si="193"/>
        <v>2</v>
      </c>
      <c r="L944" s="1845">
        <f t="shared" si="193"/>
        <v>0</v>
      </c>
      <c r="M944" s="1845">
        <f t="shared" si="193"/>
        <v>0</v>
      </c>
      <c r="N944" s="1845">
        <f t="shared" si="193"/>
        <v>0</v>
      </c>
      <c r="O944" s="1845"/>
      <c r="P944" s="1845">
        <f t="shared" si="193"/>
        <v>2</v>
      </c>
      <c r="Q944" s="1845">
        <f t="shared" si="193"/>
        <v>0</v>
      </c>
      <c r="R944" s="1845">
        <f t="shared" si="193"/>
        <v>0</v>
      </c>
      <c r="S944" s="1056"/>
      <c r="T944" s="2059">
        <f t="shared" si="192"/>
        <v>0</v>
      </c>
    </row>
    <row r="945" spans="1:20" ht="22.15" hidden="1" customHeight="1">
      <c r="A945" s="59"/>
      <c r="B945" s="1586" t="s">
        <v>2114</v>
      </c>
      <c r="C945" s="1015" t="str">
        <f t="shared" si="190"/>
        <v xml:space="preserve"> </v>
      </c>
      <c r="D945" s="1543"/>
      <c r="E945" s="1047"/>
      <c r="F945" s="1059" t="str">
        <f>VLOOKUP($B945,DG!A:D,DG!$C$2,)</f>
        <v>Sắt dẹt 50x5</v>
      </c>
      <c r="G945" s="1047" t="str">
        <f>VLOOKUP($B945,DG!A:D,DG!$D$2,)</f>
        <v>kg</v>
      </c>
      <c r="H945" s="1845">
        <f t="shared" si="193"/>
        <v>0</v>
      </c>
      <c r="I945" s="1845">
        <f t="shared" si="193"/>
        <v>0</v>
      </c>
      <c r="J945" s="1845">
        <f t="shared" si="193"/>
        <v>0</v>
      </c>
      <c r="K945" s="1845">
        <f t="shared" si="193"/>
        <v>0</v>
      </c>
      <c r="L945" s="1845">
        <f t="shared" si="193"/>
        <v>0</v>
      </c>
      <c r="M945" s="1845">
        <f t="shared" si="193"/>
        <v>0</v>
      </c>
      <c r="N945" s="1845">
        <f t="shared" si="193"/>
        <v>0</v>
      </c>
      <c r="O945" s="1845"/>
      <c r="P945" s="1845"/>
      <c r="Q945" s="1056"/>
      <c r="R945" s="1056"/>
      <c r="S945" s="1056"/>
      <c r="T945" s="2059">
        <f t="shared" si="192"/>
        <v>0</v>
      </c>
    </row>
    <row r="946" spans="1:20" ht="22.15" customHeight="1">
      <c r="A946" s="59"/>
      <c r="B946" s="1586" t="s">
        <v>415</v>
      </c>
      <c r="C946" s="1015" t="str">
        <f t="shared" si="190"/>
        <v>x</v>
      </c>
      <c r="D946" s="1544">
        <v>3</v>
      </c>
      <c r="E946" s="1047"/>
      <c r="F946" s="1059" t="str">
        <f>VLOOKUP($B946,DG!A:D,DG!$C$2,)</f>
        <v>Boulon 16x300VRS+ 4 long đền vuông D18-50x50x3/Zn</v>
      </c>
      <c r="G946" s="1047" t="str">
        <f>VLOOKUP($B946,DG!A:D,DG!$D$2,)</f>
        <v>bộ</v>
      </c>
      <c r="H946" s="1845">
        <f t="shared" si="193"/>
        <v>3</v>
      </c>
      <c r="I946" s="1845">
        <f t="shared" si="193"/>
        <v>0</v>
      </c>
      <c r="J946" s="1845">
        <f t="shared" si="193"/>
        <v>0</v>
      </c>
      <c r="K946" s="1845">
        <f t="shared" si="193"/>
        <v>3</v>
      </c>
      <c r="L946" s="1845">
        <f t="shared" si="193"/>
        <v>0</v>
      </c>
      <c r="M946" s="1845">
        <f t="shared" si="193"/>
        <v>0</v>
      </c>
      <c r="N946" s="1845">
        <f t="shared" si="193"/>
        <v>0</v>
      </c>
      <c r="O946" s="1845"/>
      <c r="P946" s="1845">
        <f t="shared" si="193"/>
        <v>3</v>
      </c>
      <c r="Q946" s="1845">
        <f t="shared" si="193"/>
        <v>0</v>
      </c>
      <c r="R946" s="1845">
        <f t="shared" si="193"/>
        <v>0</v>
      </c>
      <c r="S946" s="1056"/>
      <c r="T946" s="2059">
        <f t="shared" si="192"/>
        <v>0</v>
      </c>
    </row>
    <row r="947" spans="1:20" ht="22.15" customHeight="1">
      <c r="A947" s="59"/>
      <c r="B947" s="1586" t="s">
        <v>1615</v>
      </c>
      <c r="C947" s="1015" t="str">
        <f t="shared" si="190"/>
        <v>x</v>
      </c>
      <c r="D947" s="1544">
        <v>2</v>
      </c>
      <c r="E947" s="1047"/>
      <c r="F947" s="1059" t="str">
        <f>VLOOKUP($B947,DG!A:D,DG!$C$2,)</f>
        <v>Boulon 16x300+ 2 long đền vuông D18-50x50x3/Zn</v>
      </c>
      <c r="G947" s="1047" t="str">
        <f>VLOOKUP($B947,DG!A:D,DG!$D$2,)</f>
        <v>bộ</v>
      </c>
      <c r="H947" s="1845">
        <f t="shared" si="193"/>
        <v>2</v>
      </c>
      <c r="I947" s="1845">
        <f t="shared" si="193"/>
        <v>0</v>
      </c>
      <c r="J947" s="1845">
        <f t="shared" si="193"/>
        <v>0</v>
      </c>
      <c r="K947" s="1845">
        <f t="shared" si="193"/>
        <v>2</v>
      </c>
      <c r="L947" s="1845">
        <f t="shared" si="193"/>
        <v>0</v>
      </c>
      <c r="M947" s="1845">
        <f t="shared" si="193"/>
        <v>0</v>
      </c>
      <c r="N947" s="1845">
        <f t="shared" si="193"/>
        <v>0</v>
      </c>
      <c r="O947" s="1845"/>
      <c r="P947" s="1845">
        <f t="shared" si="193"/>
        <v>2</v>
      </c>
      <c r="Q947" s="1845">
        <f t="shared" si="193"/>
        <v>0</v>
      </c>
      <c r="R947" s="1845">
        <f t="shared" si="193"/>
        <v>0</v>
      </c>
      <c r="S947" s="1056"/>
      <c r="T947" s="2059">
        <f t="shared" si="192"/>
        <v>0</v>
      </c>
    </row>
    <row r="948" spans="1:20" ht="22.15" customHeight="1">
      <c r="A948" s="59"/>
      <c r="B948" s="1586" t="s">
        <v>1791</v>
      </c>
      <c r="C948" s="1015" t="str">
        <f t="shared" si="190"/>
        <v>x</v>
      </c>
      <c r="D948" s="1544">
        <v>2</v>
      </c>
      <c r="E948" s="1047"/>
      <c r="F948" s="1059" t="str">
        <f>VLOOKUP($B948,DG!A:D,DG!$C$2,)</f>
        <v>Boulon 16x35+ 2 long đền vuông D18-50x50x3/Zn</v>
      </c>
      <c r="G948" s="1047" t="str">
        <f>VLOOKUP($B948,DG!A:D,DG!$D$2,)</f>
        <v>bộ</v>
      </c>
      <c r="H948" s="1845">
        <f t="shared" si="193"/>
        <v>2</v>
      </c>
      <c r="I948" s="1845">
        <f t="shared" si="193"/>
        <v>0</v>
      </c>
      <c r="J948" s="1845">
        <f t="shared" si="193"/>
        <v>0</v>
      </c>
      <c r="K948" s="1845">
        <f t="shared" si="193"/>
        <v>2</v>
      </c>
      <c r="L948" s="1845">
        <f t="shared" si="193"/>
        <v>0</v>
      </c>
      <c r="M948" s="1845">
        <f t="shared" si="193"/>
        <v>0</v>
      </c>
      <c r="N948" s="1845">
        <f t="shared" si="193"/>
        <v>0</v>
      </c>
      <c r="O948" s="1845"/>
      <c r="P948" s="1845">
        <f t="shared" si="193"/>
        <v>2</v>
      </c>
      <c r="Q948" s="1845">
        <f t="shared" si="193"/>
        <v>0</v>
      </c>
      <c r="R948" s="1845">
        <f t="shared" si="193"/>
        <v>0</v>
      </c>
      <c r="S948" s="1056"/>
      <c r="T948" s="2059">
        <f t="shared" si="192"/>
        <v>0</v>
      </c>
    </row>
    <row r="949" spans="1:20" ht="22.15" hidden="1" customHeight="1">
      <c r="A949" s="59"/>
      <c r="B949" s="1599" t="s">
        <v>517</v>
      </c>
      <c r="C949" s="1015" t="str">
        <f t="shared" si="190"/>
        <v xml:space="preserve"> </v>
      </c>
      <c r="D949" s="1544">
        <v>1</v>
      </c>
      <c r="E949" s="1051" t="str">
        <f>VLOOKUP($B949,DG!A:D,DG!$B$2,)</f>
        <v>05.6203</v>
      </c>
      <c r="F949" s="1052" t="str">
        <f>VLOOKUP($B949,DG!A:D,DG!$C$2,)</f>
        <v>Lắp xà néo ≤ 100kg</v>
      </c>
      <c r="G949" s="1047" t="str">
        <f>VLOOKUP($B949,DG!A:D,DG!$D$2,)</f>
        <v>bộ</v>
      </c>
      <c r="H949" s="1845"/>
      <c r="I949" s="1845"/>
      <c r="J949" s="1845"/>
      <c r="K949" s="1845"/>
      <c r="L949" s="1845"/>
      <c r="M949" s="1845"/>
      <c r="N949" s="1845"/>
      <c r="O949" s="1845"/>
      <c r="P949" s="1845"/>
      <c r="Q949" s="1061"/>
      <c r="R949" s="1061"/>
      <c r="S949" s="1061"/>
      <c r="T949" s="2059">
        <f t="shared" si="192"/>
        <v>0</v>
      </c>
    </row>
    <row r="950" spans="1:20" ht="22.15" hidden="1" customHeight="1">
      <c r="A950" s="59"/>
      <c r="B950" s="1586" t="s">
        <v>2002</v>
      </c>
      <c r="C950" s="1015" t="str">
        <f t="shared" si="190"/>
        <v xml:space="preserve"> </v>
      </c>
      <c r="D950" s="1542"/>
      <c r="E950" s="1047" t="str">
        <f>VLOOKUP($B950,DG!A:D,DG!$B$2,)</f>
        <v>02.1115</v>
      </c>
      <c r="F950" s="1052" t="str">
        <f>VLOOKUP($B950,DG!A:D,DG!$C$2,)</f>
        <v>Bốc dỡ xà, thép thanh</v>
      </c>
      <c r="G950" s="1047" t="str">
        <f>VLOOKUP($B950,DG!A:D,DG!$D$2,)</f>
        <v>tấn</v>
      </c>
      <c r="H950" s="1845"/>
      <c r="I950" s="1845"/>
      <c r="J950" s="1845"/>
      <c r="K950" s="1845"/>
      <c r="L950" s="1845"/>
      <c r="M950" s="1845"/>
      <c r="N950" s="1845"/>
      <c r="O950" s="1845"/>
      <c r="P950" s="1845"/>
      <c r="Q950" s="1061"/>
      <c r="R950" s="1061"/>
      <c r="S950" s="1061"/>
      <c r="T950" s="2059">
        <f t="shared" si="192"/>
        <v>0</v>
      </c>
    </row>
    <row r="951" spans="1:20" ht="22.15" hidden="1" customHeight="1">
      <c r="A951" s="59"/>
      <c r="B951" s="1598" t="s">
        <v>2003</v>
      </c>
      <c r="C951" s="1015" t="str">
        <f t="shared" si="190"/>
        <v xml:space="preserve"> </v>
      </c>
      <c r="D951" s="1542"/>
      <c r="E951" s="1047" t="str">
        <f>VLOOKUP($B951,DG!A:C,2,)</f>
        <v>02.1361</v>
      </c>
      <c r="F951" s="1052" t="str">
        <f>VLOOKUP($B951,DG!A:C,3,)</f>
        <v>V/c xà vào vị trí (cư ly &lt;=100m)</v>
      </c>
      <c r="G951" s="1047" t="str">
        <f>VLOOKUP($B951,DG!A:D,4,0)</f>
        <v>tấn</v>
      </c>
      <c r="H951" s="1845"/>
      <c r="I951" s="1845"/>
      <c r="J951" s="1845"/>
      <c r="K951" s="1845"/>
      <c r="L951" s="1845"/>
      <c r="M951" s="1845"/>
      <c r="N951" s="1845"/>
      <c r="O951" s="1845"/>
      <c r="P951" s="1845"/>
      <c r="Q951" s="1061"/>
      <c r="R951" s="1061"/>
      <c r="S951" s="1061"/>
      <c r="T951" s="2059">
        <f t="shared" si="192"/>
        <v>0</v>
      </c>
    </row>
    <row r="952" spans="1:20" ht="22.15" hidden="1" customHeight="1">
      <c r="A952" s="59"/>
      <c r="B952" s="1598" t="s">
        <v>635</v>
      </c>
      <c r="C952" s="1015" t="str">
        <f t="shared" si="190"/>
        <v xml:space="preserve"> </v>
      </c>
      <c r="D952" s="1543"/>
      <c r="E952" s="1047" t="str">
        <f>VLOOKUP($B952,DG!A:C,2,)</f>
        <v>02.1482</v>
      </c>
      <c r="F952" s="1052" t="str">
        <f>VLOOKUP($B952,DG!A:C,3,)</f>
        <v>V/c dụng cụ thi công vào vị trí (cự ly &lt;=100m)</v>
      </c>
      <c r="G952" s="1047" t="str">
        <f>VLOOKUP($B952,DG!A:D,4,0)</f>
        <v>tấn</v>
      </c>
      <c r="H952" s="1845"/>
      <c r="I952" s="1845"/>
      <c r="J952" s="1845"/>
      <c r="K952" s="1845"/>
      <c r="L952" s="1845"/>
      <c r="M952" s="1845"/>
      <c r="N952" s="1845"/>
      <c r="O952" s="1845"/>
      <c r="P952" s="1845"/>
      <c r="Q952" s="1061"/>
      <c r="R952" s="1061"/>
      <c r="S952" s="1061"/>
      <c r="T952" s="2059">
        <f t="shared" si="192"/>
        <v>0</v>
      </c>
    </row>
    <row r="953" spans="1:20" ht="22.15" hidden="1" customHeight="1">
      <c r="A953" s="1581" t="s">
        <v>2301</v>
      </c>
      <c r="B953" s="1583" t="s">
        <v>2301</v>
      </c>
      <c r="C953" s="1854" t="str">
        <f t="shared" si="190"/>
        <v xml:space="preserve"> </v>
      </c>
      <c r="D953" s="1541"/>
      <c r="E953" s="1048"/>
      <c r="F953" s="1396" t="s">
        <v>2441</v>
      </c>
      <c r="G953" s="1049" t="s">
        <v>2394</v>
      </c>
      <c r="H953" s="1843">
        <f>SUM(I953:O953)</f>
        <v>0</v>
      </c>
      <c r="I953" s="1844"/>
      <c r="J953" s="1844"/>
      <c r="K953" s="1844">
        <f>IFERROR(HLOOKUP(B953,pp3p1m!$1:$3,3,0),0)</f>
        <v>0</v>
      </c>
      <c r="L953" s="1844">
        <f>IFERROR(HLOOKUP(chitiet!B953,pp1p!$1:$3,3,0),0)</f>
        <v>0</v>
      </c>
      <c r="M953" s="1844"/>
      <c r="N953" s="1844"/>
      <c r="O953" s="1844"/>
      <c r="P953" s="1843">
        <f>H953+Q953-R953</f>
        <v>0</v>
      </c>
      <c r="Q953" s="1050"/>
      <c r="R953" s="1050"/>
      <c r="S953" s="1050"/>
      <c r="T953" s="2059">
        <f>IFERROR(HLOOKUP(B953,pp1p!$1:$3,3,0),0)+IFERROR(HLOOKUP(B953,pp3p1m!$1:$3,3,0),0)</f>
        <v>0</v>
      </c>
    </row>
    <row r="954" spans="1:20" ht="22.15" hidden="1" customHeight="1">
      <c r="B954" s="1580" t="s">
        <v>109</v>
      </c>
      <c r="C954" s="1854" t="str">
        <f t="shared" si="190"/>
        <v xml:space="preserve"> </v>
      </c>
      <c r="D954" s="1543">
        <v>1</v>
      </c>
      <c r="E954" s="1047"/>
      <c r="F954" s="1059" t="str">
        <f>VLOOKUP($B954,DG!A:D,DG!$C$2,)&amp;" - 2000"</f>
        <v>Sắt góc L75 x75 x8 - 2000</v>
      </c>
      <c r="G954" s="1047" t="str">
        <f>VLOOKUP($B954,DG!A:D,DG!$D$2,)</f>
        <v>kg</v>
      </c>
      <c r="H954" s="1845">
        <f t="shared" ref="H954:N957" si="194">H$953*$D954</f>
        <v>0</v>
      </c>
      <c r="I954" s="1845">
        <f t="shared" si="194"/>
        <v>0</v>
      </c>
      <c r="J954" s="1845">
        <f t="shared" si="194"/>
        <v>0</v>
      </c>
      <c r="K954" s="1845">
        <f t="shared" si="194"/>
        <v>0</v>
      </c>
      <c r="L954" s="1845">
        <f t="shared" si="194"/>
        <v>0</v>
      </c>
      <c r="M954" s="1845">
        <f t="shared" si="194"/>
        <v>0</v>
      </c>
      <c r="N954" s="1845">
        <f t="shared" si="194"/>
        <v>0</v>
      </c>
      <c r="O954" s="1845"/>
      <c r="P954" s="1852">
        <f>$P$953*D954</f>
        <v>0</v>
      </c>
      <c r="Q954" s="1062">
        <f>$Q$953*D954</f>
        <v>0</v>
      </c>
      <c r="R954" s="1056"/>
      <c r="S954" s="1056"/>
      <c r="T954" s="2059">
        <f t="shared" si="192"/>
        <v>0</v>
      </c>
    </row>
    <row r="955" spans="1:20" ht="22.15" hidden="1" customHeight="1">
      <c r="B955" s="1580" t="s">
        <v>457</v>
      </c>
      <c r="C955" s="1854" t="str">
        <f t="shared" si="190"/>
        <v xml:space="preserve"> </v>
      </c>
      <c r="D955" s="1543">
        <v>1</v>
      </c>
      <c r="E955" s="1047"/>
      <c r="F955" s="1059" t="str">
        <f>VLOOKUP($B955,DG!A:D,DG!$C$2,)&amp;" :chống 1150"</f>
        <v>Sắt góc L50 x50 x5 :chống 1150</v>
      </c>
      <c r="G955" s="1047" t="str">
        <f>VLOOKUP($B955,DG!A:D,DG!$D$2,)</f>
        <v>kg</v>
      </c>
      <c r="H955" s="1845">
        <f t="shared" si="194"/>
        <v>0</v>
      </c>
      <c r="I955" s="1845">
        <f t="shared" si="194"/>
        <v>0</v>
      </c>
      <c r="J955" s="1845">
        <f t="shared" si="194"/>
        <v>0</v>
      </c>
      <c r="K955" s="1845">
        <f t="shared" si="194"/>
        <v>0</v>
      </c>
      <c r="L955" s="1845">
        <f t="shared" si="194"/>
        <v>0</v>
      </c>
      <c r="M955" s="1845">
        <f t="shared" si="194"/>
        <v>0</v>
      </c>
      <c r="N955" s="1845">
        <f t="shared" si="194"/>
        <v>0</v>
      </c>
      <c r="O955" s="1845"/>
      <c r="P955" s="1845">
        <f>$P$953*D955</f>
        <v>0</v>
      </c>
      <c r="Q955" s="1062">
        <f>$Q$953*D955</f>
        <v>0</v>
      </c>
      <c r="R955" s="1056"/>
      <c r="S955" s="1056"/>
      <c r="T955" s="2059">
        <f t="shared" si="192"/>
        <v>0</v>
      </c>
    </row>
    <row r="956" spans="1:20" ht="22.15" hidden="1" customHeight="1">
      <c r="B956" s="1580" t="s">
        <v>1614</v>
      </c>
      <c r="C956" s="1854" t="str">
        <f t="shared" si="190"/>
        <v xml:space="preserve"> </v>
      </c>
      <c r="D956" s="1544">
        <v>2</v>
      </c>
      <c r="E956" s="1047"/>
      <c r="F956" s="1059" t="str">
        <f>VLOOKUP($B956,DG!A:D,DG!$C$2,)</f>
        <v>Boulon 16x250+ 2 long đền vuông D18-50x50x3/Zn</v>
      </c>
      <c r="G956" s="1047" t="str">
        <f>VLOOKUP($B956,DG!A:D,DG!$D$2,)</f>
        <v>bộ</v>
      </c>
      <c r="H956" s="1845">
        <f t="shared" si="194"/>
        <v>0</v>
      </c>
      <c r="I956" s="1845">
        <f t="shared" si="194"/>
        <v>0</v>
      </c>
      <c r="J956" s="1845">
        <f t="shared" si="194"/>
        <v>0</v>
      </c>
      <c r="K956" s="1845">
        <f t="shared" si="194"/>
        <v>0</v>
      </c>
      <c r="L956" s="1845">
        <f t="shared" si="194"/>
        <v>0</v>
      </c>
      <c r="M956" s="1845">
        <f t="shared" si="194"/>
        <v>0</v>
      </c>
      <c r="N956" s="1845">
        <f t="shared" si="194"/>
        <v>0</v>
      </c>
      <c r="O956" s="1845"/>
      <c r="P956" s="1845">
        <f>$P$953*D956</f>
        <v>0</v>
      </c>
      <c r="Q956" s="1056">
        <f>$Q$953*D956</f>
        <v>0</v>
      </c>
      <c r="R956" s="1056"/>
      <c r="S956" s="1056"/>
      <c r="T956" s="2059">
        <f t="shared" si="192"/>
        <v>0</v>
      </c>
    </row>
    <row r="957" spans="1:20" ht="22.15" hidden="1" customHeight="1">
      <c r="B957" s="1580" t="s">
        <v>1791</v>
      </c>
      <c r="C957" s="1854" t="str">
        <f t="shared" si="190"/>
        <v xml:space="preserve"> </v>
      </c>
      <c r="D957" s="1544">
        <v>1</v>
      </c>
      <c r="E957" s="1047"/>
      <c r="F957" s="1059" t="str">
        <f>VLOOKUP($B957,DG!A:D,DG!$C$2,)</f>
        <v>Boulon 16x35+ 2 long đền vuông D18-50x50x3/Zn</v>
      </c>
      <c r="G957" s="1047" t="str">
        <f>VLOOKUP($B957,DG!A:D,DG!$D$2,)</f>
        <v>bộ</v>
      </c>
      <c r="H957" s="1845">
        <f t="shared" si="194"/>
        <v>0</v>
      </c>
      <c r="I957" s="1845">
        <f t="shared" si="194"/>
        <v>0</v>
      </c>
      <c r="J957" s="1845">
        <f t="shared" si="194"/>
        <v>0</v>
      </c>
      <c r="K957" s="1845">
        <f t="shared" si="194"/>
        <v>0</v>
      </c>
      <c r="L957" s="1845">
        <f t="shared" si="194"/>
        <v>0</v>
      </c>
      <c r="M957" s="1845">
        <f t="shared" si="194"/>
        <v>0</v>
      </c>
      <c r="N957" s="1845">
        <f t="shared" si="194"/>
        <v>0</v>
      </c>
      <c r="O957" s="1845"/>
      <c r="P957" s="1845">
        <f>$P$953*D957</f>
        <v>0</v>
      </c>
      <c r="Q957" s="1056">
        <f>$Q$953*D957</f>
        <v>0</v>
      </c>
      <c r="R957" s="1056"/>
      <c r="S957" s="1056"/>
      <c r="T957" s="2059">
        <f t="shared" si="192"/>
        <v>0</v>
      </c>
    </row>
    <row r="958" spans="1:20" ht="22.15" hidden="1" customHeight="1">
      <c r="B958" s="1580" t="s">
        <v>2001</v>
      </c>
      <c r="C958" s="1854" t="str">
        <f t="shared" si="190"/>
        <v xml:space="preserve"> </v>
      </c>
      <c r="D958" s="1544">
        <v>1</v>
      </c>
      <c r="E958" s="1063" t="str">
        <f>VLOOKUP($B958,DG!A:D,DG!$B$2,)</f>
        <v>05.6401</v>
      </c>
      <c r="F958" s="1052" t="str">
        <f>VLOOKUP($B958,DG!A:D,DG!$C$2,)</f>
        <v>Lắp xà đỡ ≤ 25kg</v>
      </c>
      <c r="G958" s="1047" t="str">
        <f>VLOOKUP($B958,DG!A:D,DG!$D$2,)</f>
        <v>bộ</v>
      </c>
      <c r="H958" s="1845">
        <f>H$953*$D958</f>
        <v>0</v>
      </c>
      <c r="I958" s="1845"/>
      <c r="J958" s="1845"/>
      <c r="K958" s="1845"/>
      <c r="L958" s="1845"/>
      <c r="M958" s="1845"/>
      <c r="N958" s="1845"/>
      <c r="O958" s="1845"/>
      <c r="P958" s="1845">
        <f>$P$953*D958</f>
        <v>0</v>
      </c>
      <c r="Q958" s="1056">
        <f>$Q$953*D958</f>
        <v>0</v>
      </c>
      <c r="R958" s="1061"/>
      <c r="S958" s="1061"/>
      <c r="T958" s="2059">
        <f t="shared" si="192"/>
        <v>0</v>
      </c>
    </row>
    <row r="959" spans="1:20" ht="22.15" hidden="1" customHeight="1">
      <c r="A959" s="59"/>
      <c r="B959" s="1586" t="s">
        <v>2002</v>
      </c>
      <c r="C959" s="1015" t="str">
        <f t="shared" si="190"/>
        <v xml:space="preserve"> </v>
      </c>
      <c r="D959" s="1542"/>
      <c r="E959" s="1047" t="str">
        <f>VLOOKUP($B959,DG!A:D,DG!$B$2,)</f>
        <v>02.1115</v>
      </c>
      <c r="F959" s="1052" t="str">
        <f>VLOOKUP($B959,DG!A:D,DG!$C$2,)</f>
        <v>Bốc dỡ xà, thép thanh</v>
      </c>
      <c r="G959" s="1047" t="str">
        <f>VLOOKUP($B959,DG!A:D,DG!$D$2,)</f>
        <v>tấn</v>
      </c>
      <c r="H959" s="1845"/>
      <c r="I959" s="1845"/>
      <c r="J959" s="1845"/>
      <c r="K959" s="1845"/>
      <c r="L959" s="1845"/>
      <c r="M959" s="1845"/>
      <c r="N959" s="1845"/>
      <c r="O959" s="1845"/>
      <c r="P959" s="1845"/>
      <c r="Q959" s="1061"/>
      <c r="R959" s="1061"/>
      <c r="S959" s="1061"/>
      <c r="T959" s="2059">
        <f t="shared" si="192"/>
        <v>0</v>
      </c>
    </row>
    <row r="960" spans="1:20" ht="22.15" hidden="1" customHeight="1">
      <c r="A960" s="59"/>
      <c r="B960" s="1598" t="s">
        <v>2003</v>
      </c>
      <c r="C960" s="1015" t="str">
        <f t="shared" si="190"/>
        <v xml:space="preserve"> </v>
      </c>
      <c r="D960" s="1542"/>
      <c r="E960" s="1047" t="str">
        <f>VLOOKUP($B960,DG!A:C,2,)</f>
        <v>02.1361</v>
      </c>
      <c r="F960" s="1052" t="str">
        <f>VLOOKUP($B960,DG!A:C,3,)</f>
        <v>V/c xà vào vị trí (cư ly &lt;=100m)</v>
      </c>
      <c r="G960" s="1047" t="str">
        <f>VLOOKUP($B960,DG!A:D,4,0)</f>
        <v>tấn</v>
      </c>
      <c r="H960" s="1845"/>
      <c r="I960" s="1845"/>
      <c r="J960" s="1845"/>
      <c r="K960" s="1845"/>
      <c r="L960" s="1845"/>
      <c r="M960" s="1845"/>
      <c r="N960" s="1845"/>
      <c r="O960" s="1845"/>
      <c r="P960" s="1845"/>
      <c r="Q960" s="1061"/>
      <c r="R960" s="1061"/>
      <c r="S960" s="1061"/>
      <c r="T960" s="2059">
        <f t="shared" si="192"/>
        <v>0</v>
      </c>
    </row>
    <row r="961" spans="1:20" ht="22.15" hidden="1" customHeight="1">
      <c r="A961" s="59"/>
      <c r="B961" s="1598" t="s">
        <v>635</v>
      </c>
      <c r="C961" s="1015" t="str">
        <f t="shared" si="190"/>
        <v xml:space="preserve"> </v>
      </c>
      <c r="D961" s="1543"/>
      <c r="E961" s="1047" t="str">
        <f>VLOOKUP($B961,DG!A:C,2,)</f>
        <v>02.1482</v>
      </c>
      <c r="F961" s="1052" t="str">
        <f>VLOOKUP($B961,DG!A:C,3,)</f>
        <v>V/c dụng cụ thi công vào vị trí (cự ly &lt;=100m)</v>
      </c>
      <c r="G961" s="1047" t="str">
        <f>VLOOKUP($B961,DG!A:D,4,0)</f>
        <v>tấn</v>
      </c>
      <c r="H961" s="1845"/>
      <c r="I961" s="1845"/>
      <c r="J961" s="1845"/>
      <c r="K961" s="1845"/>
      <c r="L961" s="1845"/>
      <c r="M961" s="1845"/>
      <c r="N961" s="1845"/>
      <c r="O961" s="1845"/>
      <c r="P961" s="1845"/>
      <c r="Q961" s="1061"/>
      <c r="R961" s="1061"/>
      <c r="S961" s="1061"/>
      <c r="T961" s="2059">
        <f t="shared" si="192"/>
        <v>0</v>
      </c>
    </row>
    <row r="962" spans="1:20" ht="22.15" hidden="1" customHeight="1">
      <c r="A962" s="1581" t="s">
        <v>2127</v>
      </c>
      <c r="B962" s="1583" t="s">
        <v>2127</v>
      </c>
      <c r="C962" s="1015" t="str">
        <f t="shared" si="190"/>
        <v xml:space="preserve"> </v>
      </c>
      <c r="D962" s="1541"/>
      <c r="E962" s="1048"/>
      <c r="F962" s="1396" t="s">
        <v>2442</v>
      </c>
      <c r="G962" s="1049" t="s">
        <v>2394</v>
      </c>
      <c r="H962" s="1843">
        <f>SUM(I962:O962)</f>
        <v>0</v>
      </c>
      <c r="I962" s="1844"/>
      <c r="J962" s="1844"/>
      <c r="K962" s="1844">
        <f>IFERROR(HLOOKUP(B962,pp3p1m!$1:$3,3,0),0)</f>
        <v>0</v>
      </c>
      <c r="L962" s="1844">
        <f>IFERROR(HLOOKUP(chitiet!B962,pp1p!$1:$3,3,0),0)</f>
        <v>0</v>
      </c>
      <c r="M962" s="1844"/>
      <c r="N962" s="1844"/>
      <c r="O962" s="1844"/>
      <c r="P962" s="1844">
        <f>H962+Q962-R962</f>
        <v>0</v>
      </c>
      <c r="Q962" s="1050"/>
      <c r="R962" s="1050"/>
      <c r="S962" s="1050"/>
      <c r="T962" s="2059">
        <f>IFERROR(HLOOKUP(B962,pp1p!$1:$3,3,0),0)+IFERROR(HLOOKUP(B962,pp3p1m!$1:$3,3,0),0)</f>
        <v>0</v>
      </c>
    </row>
    <row r="963" spans="1:20" ht="22.15" hidden="1" customHeight="1">
      <c r="B963" s="1580" t="s">
        <v>109</v>
      </c>
      <c r="C963" s="1015" t="str">
        <f t="shared" si="190"/>
        <v xml:space="preserve"> </v>
      </c>
      <c r="D963" s="1543">
        <f>9.02*2*(2+3*0.07)</f>
        <v>39.868399999999994</v>
      </c>
      <c r="E963" s="1047"/>
      <c r="F963" s="1059" t="str">
        <f>VLOOKUP($B963,DG!A:D,DG!$C$2,)</f>
        <v>Sắt góc L75 x75 x8</v>
      </c>
      <c r="G963" s="1047" t="str">
        <f>VLOOKUP($B963,DG!A:D,DG!$D$2,)</f>
        <v>kg</v>
      </c>
      <c r="H963" s="1845">
        <f t="shared" ref="H963:N968" si="195">H$962*$D963</f>
        <v>0</v>
      </c>
      <c r="I963" s="1845">
        <f t="shared" si="195"/>
        <v>0</v>
      </c>
      <c r="J963" s="1845">
        <f t="shared" si="195"/>
        <v>0</v>
      </c>
      <c r="K963" s="1845">
        <f t="shared" si="195"/>
        <v>0</v>
      </c>
      <c r="L963" s="1845">
        <f t="shared" si="195"/>
        <v>0</v>
      </c>
      <c r="M963" s="1845">
        <f t="shared" si="195"/>
        <v>0</v>
      </c>
      <c r="N963" s="1845">
        <f t="shared" si="195"/>
        <v>0</v>
      </c>
      <c r="O963" s="1845"/>
      <c r="P963" s="1845">
        <f t="shared" ref="P963:P969" si="196">$P$962*D963</f>
        <v>0</v>
      </c>
      <c r="Q963" s="1056"/>
      <c r="R963" s="1056"/>
      <c r="S963" s="1056"/>
      <c r="T963" s="2059">
        <f t="shared" si="192"/>
        <v>0</v>
      </c>
    </row>
    <row r="964" spans="1:20" ht="22.15" hidden="1" customHeight="1">
      <c r="B964" s="1580" t="s">
        <v>457</v>
      </c>
      <c r="C964" s="1015" t="str">
        <f t="shared" si="190"/>
        <v xml:space="preserve"> </v>
      </c>
      <c r="D964" s="1543">
        <f>3.77*1.15*2</f>
        <v>8.6709999999999994</v>
      </c>
      <c r="E964" s="1047"/>
      <c r="F964" s="1059" t="str">
        <f>VLOOKUP($B964,DG!A:D,DG!$C$2,)</f>
        <v>Sắt góc L50 x50 x5</v>
      </c>
      <c r="G964" s="1047" t="str">
        <f>VLOOKUP($B964,DG!A:D,DG!$D$2,)</f>
        <v>kg</v>
      </c>
      <c r="H964" s="1845">
        <f t="shared" si="195"/>
        <v>0</v>
      </c>
      <c r="I964" s="1845">
        <f t="shared" si="195"/>
        <v>0</v>
      </c>
      <c r="J964" s="1845">
        <f t="shared" si="195"/>
        <v>0</v>
      </c>
      <c r="K964" s="1845">
        <f t="shared" si="195"/>
        <v>0</v>
      </c>
      <c r="L964" s="1845">
        <f t="shared" si="195"/>
        <v>0</v>
      </c>
      <c r="M964" s="1845">
        <f t="shared" si="195"/>
        <v>0</v>
      </c>
      <c r="N964" s="1845">
        <f t="shared" si="195"/>
        <v>0</v>
      </c>
      <c r="O964" s="1845"/>
      <c r="P964" s="1845">
        <f t="shared" si="196"/>
        <v>0</v>
      </c>
      <c r="Q964" s="1056"/>
      <c r="R964" s="1056"/>
      <c r="S964" s="1056"/>
      <c r="T964" s="2059">
        <f t="shared" si="192"/>
        <v>0</v>
      </c>
    </row>
    <row r="965" spans="1:20" ht="22.15" hidden="1" customHeight="1">
      <c r="B965" s="1580" t="s">
        <v>415</v>
      </c>
      <c r="C965" s="1015" t="str">
        <f t="shared" si="190"/>
        <v xml:space="preserve"> </v>
      </c>
      <c r="D965" s="1544">
        <v>1</v>
      </c>
      <c r="E965" s="1047"/>
      <c r="F965" s="1059" t="str">
        <f>VLOOKUP($B965,DG!A:D,DG!$C$2,)</f>
        <v>Boulon 16x300VRS+ 4 long đền vuông D18-50x50x3/Zn</v>
      </c>
      <c r="G965" s="1047" t="str">
        <f>VLOOKUP($B965,DG!A:D,DG!$D$2,)</f>
        <v>bộ</v>
      </c>
      <c r="H965" s="1845">
        <f t="shared" si="195"/>
        <v>0</v>
      </c>
      <c r="I965" s="1845">
        <f t="shared" si="195"/>
        <v>0</v>
      </c>
      <c r="J965" s="1845">
        <f t="shared" si="195"/>
        <v>0</v>
      </c>
      <c r="K965" s="1845">
        <f t="shared" si="195"/>
        <v>0</v>
      </c>
      <c r="L965" s="1845">
        <f t="shared" si="195"/>
        <v>0</v>
      </c>
      <c r="M965" s="1845">
        <f t="shared" si="195"/>
        <v>0</v>
      </c>
      <c r="N965" s="1845">
        <f t="shared" si="195"/>
        <v>0</v>
      </c>
      <c r="O965" s="1845"/>
      <c r="P965" s="1845">
        <f t="shared" si="196"/>
        <v>0</v>
      </c>
      <c r="Q965" s="1056"/>
      <c r="R965" s="1056"/>
      <c r="S965" s="1056"/>
      <c r="T965" s="2059">
        <f t="shared" si="192"/>
        <v>0</v>
      </c>
    </row>
    <row r="966" spans="1:20" ht="22.15" hidden="1" customHeight="1">
      <c r="B966" s="1580" t="s">
        <v>1615</v>
      </c>
      <c r="C966" s="1015" t="str">
        <f t="shared" si="190"/>
        <v xml:space="preserve"> </v>
      </c>
      <c r="D966" s="1544">
        <v>1</v>
      </c>
      <c r="E966" s="1047"/>
      <c r="F966" s="1059" t="str">
        <f>VLOOKUP($B966,DG!A:D,DG!$C$2,)</f>
        <v>Boulon 16x300+ 2 long đền vuông D18-50x50x3/Zn</v>
      </c>
      <c r="G966" s="1047" t="str">
        <f>VLOOKUP($B966,DG!A:D,DG!$D$2,)</f>
        <v>bộ</v>
      </c>
      <c r="H966" s="1845">
        <f t="shared" si="195"/>
        <v>0</v>
      </c>
      <c r="I966" s="1845">
        <f t="shared" si="195"/>
        <v>0</v>
      </c>
      <c r="J966" s="1845">
        <f t="shared" si="195"/>
        <v>0</v>
      </c>
      <c r="K966" s="1845">
        <f t="shared" si="195"/>
        <v>0</v>
      </c>
      <c r="L966" s="1845">
        <f t="shared" si="195"/>
        <v>0</v>
      </c>
      <c r="M966" s="1845">
        <f t="shared" si="195"/>
        <v>0</v>
      </c>
      <c r="N966" s="1845">
        <f t="shared" si="195"/>
        <v>0</v>
      </c>
      <c r="O966" s="1845"/>
      <c r="P966" s="1845">
        <f t="shared" si="196"/>
        <v>0</v>
      </c>
      <c r="Q966" s="1056"/>
      <c r="R966" s="1056"/>
      <c r="S966" s="1056"/>
      <c r="T966" s="2059">
        <f t="shared" si="192"/>
        <v>0</v>
      </c>
    </row>
    <row r="967" spans="1:20" ht="22.15" hidden="1" customHeight="1">
      <c r="B967" s="1580" t="s">
        <v>1614</v>
      </c>
      <c r="C967" s="1015" t="str">
        <f t="shared" si="190"/>
        <v xml:space="preserve"> </v>
      </c>
      <c r="D967" s="1544">
        <v>1</v>
      </c>
      <c r="E967" s="1047"/>
      <c r="F967" s="1059" t="str">
        <f>VLOOKUP($B967,DG!A:D,DG!$C$2,)</f>
        <v>Boulon 16x250+ 2 long đền vuông D18-50x50x3/Zn</v>
      </c>
      <c r="G967" s="1047" t="str">
        <f>VLOOKUP($B967,DG!A:D,DG!$D$2,)</f>
        <v>bộ</v>
      </c>
      <c r="H967" s="1845">
        <f t="shared" si="195"/>
        <v>0</v>
      </c>
      <c r="I967" s="1845">
        <f t="shared" si="195"/>
        <v>0</v>
      </c>
      <c r="J967" s="1845">
        <f t="shared" si="195"/>
        <v>0</v>
      </c>
      <c r="K967" s="1845">
        <f t="shared" si="195"/>
        <v>0</v>
      </c>
      <c r="L967" s="1845">
        <f t="shared" si="195"/>
        <v>0</v>
      </c>
      <c r="M967" s="1845">
        <f t="shared" si="195"/>
        <v>0</v>
      </c>
      <c r="N967" s="1845">
        <f t="shared" si="195"/>
        <v>0</v>
      </c>
      <c r="O967" s="1845"/>
      <c r="P967" s="1845">
        <f t="shared" si="196"/>
        <v>0</v>
      </c>
      <c r="Q967" s="1056"/>
      <c r="R967" s="1056"/>
      <c r="S967" s="1056"/>
      <c r="T967" s="2059">
        <f t="shared" si="192"/>
        <v>0</v>
      </c>
    </row>
    <row r="968" spans="1:20" ht="22.15" hidden="1" customHeight="1">
      <c r="B968" s="1580" t="s">
        <v>1792</v>
      </c>
      <c r="C968" s="1015" t="str">
        <f t="shared" si="190"/>
        <v xml:space="preserve"> </v>
      </c>
      <c r="D968" s="1544">
        <v>2</v>
      </c>
      <c r="E968" s="1047"/>
      <c r="F968" s="1059" t="str">
        <f>VLOOKUP($B968,DG!A:D,DG!$C$2,)</f>
        <v>Boulon 16x50+ 2 long đền vuông D18-50x50x3/Zn</v>
      </c>
      <c r="G968" s="1047" t="str">
        <f>VLOOKUP($B968,DG!A:D,DG!$D$2,)</f>
        <v>bộ</v>
      </c>
      <c r="H968" s="1845">
        <f t="shared" si="195"/>
        <v>0</v>
      </c>
      <c r="I968" s="1845">
        <f t="shared" si="195"/>
        <v>0</v>
      </c>
      <c r="J968" s="1845">
        <f t="shared" si="195"/>
        <v>0</v>
      </c>
      <c r="K968" s="1845">
        <f t="shared" si="195"/>
        <v>0</v>
      </c>
      <c r="L968" s="1845">
        <f t="shared" si="195"/>
        <v>0</v>
      </c>
      <c r="M968" s="1845">
        <f t="shared" si="195"/>
        <v>0</v>
      </c>
      <c r="N968" s="1845">
        <f t="shared" si="195"/>
        <v>0</v>
      </c>
      <c r="O968" s="1845"/>
      <c r="P968" s="1845">
        <f t="shared" si="196"/>
        <v>0</v>
      </c>
      <c r="Q968" s="1056"/>
      <c r="R968" s="1056"/>
      <c r="S968" s="1056"/>
      <c r="T968" s="2059">
        <f t="shared" si="192"/>
        <v>0</v>
      </c>
    </row>
    <row r="969" spans="1:20" ht="22.15" hidden="1" customHeight="1">
      <c r="B969" s="1580" t="s">
        <v>2004</v>
      </c>
      <c r="C969" s="1015" t="str">
        <f t="shared" si="190"/>
        <v xml:space="preserve"> </v>
      </c>
      <c r="D969" s="1544">
        <v>1</v>
      </c>
      <c r="E969" s="1063" t="str">
        <f>VLOOKUP($B969,DG!A:D,DG!$B$2,)</f>
        <v>05.6202</v>
      </c>
      <c r="F969" s="1052" t="str">
        <f>VLOOKUP($B969,DG!A:D,DG!$C$2,)</f>
        <v>Lắp xà néo ≤ 50kg</v>
      </c>
      <c r="G969" s="1047" t="str">
        <f>VLOOKUP($B969,DG!A:D,DG!$D$2,)</f>
        <v>bộ</v>
      </c>
      <c r="H969" s="1845">
        <f>H$962*$D969</f>
        <v>0</v>
      </c>
      <c r="I969" s="1845"/>
      <c r="J969" s="1845"/>
      <c r="K969" s="1845"/>
      <c r="L969" s="1845"/>
      <c r="M969" s="1845"/>
      <c r="N969" s="1845"/>
      <c r="O969" s="1845"/>
      <c r="P969" s="1845">
        <f t="shared" si="196"/>
        <v>0</v>
      </c>
      <c r="Q969" s="1061"/>
      <c r="R969" s="1061"/>
      <c r="S969" s="1061"/>
      <c r="T969" s="2059">
        <f t="shared" si="192"/>
        <v>0</v>
      </c>
    </row>
    <row r="970" spans="1:20" ht="22.15" hidden="1" customHeight="1">
      <c r="A970" s="59"/>
      <c r="B970" s="1586" t="s">
        <v>2002</v>
      </c>
      <c r="C970" s="1015" t="str">
        <f t="shared" si="190"/>
        <v xml:space="preserve"> </v>
      </c>
      <c r="D970" s="1542"/>
      <c r="E970" s="1047" t="str">
        <f>VLOOKUP($B970,DG!A:D,DG!$B$2,)</f>
        <v>02.1115</v>
      </c>
      <c r="F970" s="1052" t="str">
        <f>VLOOKUP($B970,DG!A:D,DG!$C$2,)</f>
        <v>Bốc dỡ xà, thép thanh</v>
      </c>
      <c r="G970" s="1047" t="str">
        <f>VLOOKUP($B970,DG!A:D,DG!$D$2,)</f>
        <v>tấn</v>
      </c>
      <c r="H970" s="1845"/>
      <c r="I970" s="1845"/>
      <c r="J970" s="1845"/>
      <c r="K970" s="1845"/>
      <c r="L970" s="1845"/>
      <c r="M970" s="1845"/>
      <c r="N970" s="1845"/>
      <c r="O970" s="1845"/>
      <c r="P970" s="1845"/>
      <c r="Q970" s="1061"/>
      <c r="R970" s="1061"/>
      <c r="S970" s="1061"/>
      <c r="T970" s="2059">
        <f t="shared" si="192"/>
        <v>0</v>
      </c>
    </row>
    <row r="971" spans="1:20" ht="22.15" hidden="1" customHeight="1">
      <c r="A971" s="59"/>
      <c r="B971" s="1598" t="s">
        <v>2003</v>
      </c>
      <c r="C971" s="1015" t="str">
        <f t="shared" si="190"/>
        <v xml:space="preserve"> </v>
      </c>
      <c r="D971" s="1542"/>
      <c r="E971" s="1047" t="str">
        <f>VLOOKUP($B971,DG!A:C,2,)</f>
        <v>02.1361</v>
      </c>
      <c r="F971" s="1052" t="str">
        <f>VLOOKUP($B971,DG!A:C,3,)</f>
        <v>V/c xà vào vị trí (cư ly &lt;=100m)</v>
      </c>
      <c r="G971" s="1047" t="str">
        <f>VLOOKUP($B971,DG!A:D,4,0)</f>
        <v>tấn</v>
      </c>
      <c r="H971" s="1845"/>
      <c r="I971" s="1845"/>
      <c r="J971" s="1845"/>
      <c r="K971" s="1845"/>
      <c r="L971" s="1845"/>
      <c r="M971" s="1845"/>
      <c r="N971" s="1845"/>
      <c r="O971" s="1845"/>
      <c r="P971" s="1845"/>
      <c r="Q971" s="1061"/>
      <c r="R971" s="1061"/>
      <c r="S971" s="1061"/>
      <c r="T971" s="2059">
        <f t="shared" si="192"/>
        <v>0</v>
      </c>
    </row>
    <row r="972" spans="1:20" ht="22.15" hidden="1" customHeight="1">
      <c r="A972" s="59"/>
      <c r="B972" s="1598" t="s">
        <v>635</v>
      </c>
      <c r="C972" s="1015" t="str">
        <f t="shared" si="190"/>
        <v xml:space="preserve"> </v>
      </c>
      <c r="D972" s="1543"/>
      <c r="E972" s="1047" t="str">
        <f>VLOOKUP($B972,DG!A:C,2,)</f>
        <v>02.1482</v>
      </c>
      <c r="F972" s="1052" t="str">
        <f>VLOOKUP($B972,DG!A:C,3,)</f>
        <v>V/c dụng cụ thi công vào vị trí (cự ly &lt;=100m)</v>
      </c>
      <c r="G972" s="1047" t="str">
        <f>VLOOKUP($B972,DG!A:D,4,0)</f>
        <v>tấn</v>
      </c>
      <c r="H972" s="1845"/>
      <c r="I972" s="1845"/>
      <c r="J972" s="1845"/>
      <c r="K972" s="1845"/>
      <c r="L972" s="1845"/>
      <c r="M972" s="1845"/>
      <c r="N972" s="1845"/>
      <c r="O972" s="1845"/>
      <c r="P972" s="1845"/>
      <c r="Q972" s="1061"/>
      <c r="R972" s="1061"/>
      <c r="S972" s="1061"/>
      <c r="T972" s="2059">
        <f t="shared" si="192"/>
        <v>0</v>
      </c>
    </row>
    <row r="973" spans="1:20" ht="22.15" hidden="1" customHeight="1">
      <c r="A973" s="56" t="s">
        <v>2306</v>
      </c>
      <c r="B973" s="1583" t="s">
        <v>2306</v>
      </c>
      <c r="C973" s="1015" t="str">
        <f t="shared" si="190"/>
        <v xml:space="preserve"> </v>
      </c>
      <c r="D973" s="1541"/>
      <c r="E973" s="1048"/>
      <c r="F973" s="1396" t="s">
        <v>2443</v>
      </c>
      <c r="G973" s="1049" t="s">
        <v>2394</v>
      </c>
      <c r="H973" s="1843">
        <f>SUM(I973:O973)</f>
        <v>0</v>
      </c>
      <c r="I973" s="1844"/>
      <c r="J973" s="1844"/>
      <c r="K973" s="1844">
        <f>IFERROR(HLOOKUP(B973,pp3p1m!$1:$3,3,0),0)</f>
        <v>0</v>
      </c>
      <c r="L973" s="1844">
        <f>IFERROR(HLOOKUP(chitiet!B973,pp1p!$1:$3,3,0),0)</f>
        <v>0</v>
      </c>
      <c r="M973" s="1844"/>
      <c r="N973" s="1844"/>
      <c r="O973" s="1844"/>
      <c r="P973" s="1844">
        <f>H973+Q973-R973</f>
        <v>0</v>
      </c>
      <c r="Q973" s="1050"/>
      <c r="R973" s="1050"/>
      <c r="S973" s="1050"/>
      <c r="T973" s="2059">
        <f>IFERROR(HLOOKUP(B973,pp1p!$1:$3,3,0),0)+IFERROR(HLOOKUP(B973,pp3p1m!$1:$3,3,0),0)</f>
        <v>0</v>
      </c>
    </row>
    <row r="974" spans="1:20" ht="22.15" hidden="1" customHeight="1">
      <c r="A974" s="59"/>
      <c r="B974" s="1586" t="s">
        <v>109</v>
      </c>
      <c r="C974" s="1015" t="str">
        <f t="shared" si="190"/>
        <v xml:space="preserve"> </v>
      </c>
      <c r="D974" s="1543">
        <f>9.02*(2.4+3*0.07)</f>
        <v>23.542199999999998</v>
      </c>
      <c r="E974" s="1047"/>
      <c r="F974" s="1059" t="str">
        <f>VLOOKUP($B974,DG!A:D,DG!$C$2,)</f>
        <v>Sắt góc L75 x75 x8</v>
      </c>
      <c r="G974" s="1047" t="str">
        <f>VLOOKUP($B974,DG!A:D,DG!$D$2,)</f>
        <v>kg</v>
      </c>
      <c r="H974" s="1845">
        <f t="shared" ref="H974:L977" si="197">H$973*$D974</f>
        <v>0</v>
      </c>
      <c r="I974" s="1845">
        <f t="shared" si="197"/>
        <v>0</v>
      </c>
      <c r="J974" s="1845">
        <f t="shared" si="197"/>
        <v>0</v>
      </c>
      <c r="K974" s="1845">
        <f t="shared" si="197"/>
        <v>0</v>
      </c>
      <c r="L974" s="1845">
        <f t="shared" si="197"/>
        <v>0</v>
      </c>
      <c r="M974" s="1845"/>
      <c r="N974" s="1845"/>
      <c r="O974" s="1845"/>
      <c r="P974" s="1845"/>
      <c r="Q974" s="1056"/>
      <c r="R974" s="1056"/>
      <c r="S974" s="1056"/>
      <c r="T974" s="2059">
        <f t="shared" si="192"/>
        <v>0</v>
      </c>
    </row>
    <row r="975" spans="1:20" ht="22.15" hidden="1" customHeight="1">
      <c r="A975" s="59"/>
      <c r="B975" s="1586" t="s">
        <v>1615</v>
      </c>
      <c r="C975" s="1015" t="str">
        <f t="shared" si="190"/>
        <v xml:space="preserve"> </v>
      </c>
      <c r="D975" s="1544">
        <v>2</v>
      </c>
      <c r="E975" s="1047"/>
      <c r="F975" s="1059" t="str">
        <f>VLOOKUP($B975,DG!A:D,DG!$C$2,)</f>
        <v>Boulon 16x300+ 2 long đền vuông D18-50x50x3/Zn</v>
      </c>
      <c r="G975" s="1047" t="str">
        <f>VLOOKUP($B975,DG!A:D,DG!$D$2,)</f>
        <v>bộ</v>
      </c>
      <c r="H975" s="1845">
        <f t="shared" si="197"/>
        <v>0</v>
      </c>
      <c r="I975" s="1845">
        <f t="shared" si="197"/>
        <v>0</v>
      </c>
      <c r="J975" s="1845">
        <f t="shared" si="197"/>
        <v>0</v>
      </c>
      <c r="K975" s="1845">
        <f t="shared" si="197"/>
        <v>0</v>
      </c>
      <c r="L975" s="1845">
        <f t="shared" si="197"/>
        <v>0</v>
      </c>
      <c r="M975" s="1845"/>
      <c r="N975" s="1845"/>
      <c r="O975" s="1845"/>
      <c r="P975" s="1845"/>
      <c r="Q975" s="1056"/>
      <c r="R975" s="1056"/>
      <c r="S975" s="1056"/>
      <c r="T975" s="2059">
        <f t="shared" si="192"/>
        <v>0</v>
      </c>
    </row>
    <row r="976" spans="1:20" ht="22.15" hidden="1" customHeight="1">
      <c r="A976" s="59"/>
      <c r="B976" s="1586" t="s">
        <v>2250</v>
      </c>
      <c r="C976" s="1015" t="str">
        <f t="shared" si="190"/>
        <v xml:space="preserve"> </v>
      </c>
      <c r="D976" s="1544">
        <v>1</v>
      </c>
      <c r="E976" s="1047"/>
      <c r="F976" s="1052" t="str">
        <f>VLOOKUP($B976,DG!A:D,DG!$C$2,)</f>
        <v>Lắp xà cột Pi loại ≤140kg/xà</v>
      </c>
      <c r="G976" s="1047" t="str">
        <f>VLOOKUP($B976,DG!A:D,DG!$D$2,)</f>
        <v>bộ</v>
      </c>
      <c r="H976" s="1845">
        <f t="shared" si="197"/>
        <v>0</v>
      </c>
      <c r="I976" s="1845">
        <f t="shared" si="197"/>
        <v>0</v>
      </c>
      <c r="J976" s="1845">
        <f t="shared" si="197"/>
        <v>0</v>
      </c>
      <c r="K976" s="1845">
        <f t="shared" si="197"/>
        <v>0</v>
      </c>
      <c r="L976" s="1845">
        <f t="shared" si="197"/>
        <v>0</v>
      </c>
      <c r="M976" s="1845"/>
      <c r="N976" s="1845"/>
      <c r="O976" s="1845"/>
      <c r="P976" s="1845"/>
      <c r="Q976" s="1056"/>
      <c r="R976" s="1056"/>
      <c r="S976" s="1056"/>
      <c r="T976" s="2059">
        <f t="shared" si="192"/>
        <v>0</v>
      </c>
    </row>
    <row r="977" spans="1:20" ht="22.15" hidden="1" customHeight="1">
      <c r="A977" s="59"/>
      <c r="B977" s="1586" t="s">
        <v>2002</v>
      </c>
      <c r="C977" s="1015" t="str">
        <f t="shared" si="190"/>
        <v xml:space="preserve"> </v>
      </c>
      <c r="D977" s="1542">
        <f>D978</f>
        <v>2.7E-2</v>
      </c>
      <c r="E977" s="1047"/>
      <c r="F977" s="1052" t="str">
        <f>VLOOKUP($B977,DG!A:D,DG!$C$2,)</f>
        <v>Bốc dỡ xà, thép thanh</v>
      </c>
      <c r="G977" s="1047" t="str">
        <f>VLOOKUP($B977,DG!A:D,DG!$D$2,)</f>
        <v>tấn</v>
      </c>
      <c r="H977" s="1845">
        <f t="shared" si="197"/>
        <v>0</v>
      </c>
      <c r="I977" s="1845">
        <f t="shared" si="197"/>
        <v>0</v>
      </c>
      <c r="J977" s="1845">
        <f t="shared" si="197"/>
        <v>0</v>
      </c>
      <c r="K977" s="1845">
        <f t="shared" si="197"/>
        <v>0</v>
      </c>
      <c r="L977" s="1845">
        <f t="shared" si="197"/>
        <v>0</v>
      </c>
      <c r="M977" s="1845"/>
      <c r="N977" s="1845"/>
      <c r="O977" s="1845"/>
      <c r="P977" s="1845"/>
      <c r="Q977" s="1056"/>
      <c r="R977" s="1056"/>
      <c r="S977" s="1056"/>
      <c r="T977" s="2059">
        <f t="shared" si="192"/>
        <v>0</v>
      </c>
    </row>
    <row r="978" spans="1:20" ht="22.15" hidden="1" customHeight="1">
      <c r="A978" s="59"/>
      <c r="B978" s="1598" t="s">
        <v>2003</v>
      </c>
      <c r="C978" s="1015" t="str">
        <f t="shared" si="190"/>
        <v xml:space="preserve"> </v>
      </c>
      <c r="D978" s="1542">
        <f>ROUND(SUM(D974:D975)*1.05/1000,3)</f>
        <v>2.7E-2</v>
      </c>
      <c r="E978" s="1047" t="str">
        <f>VLOOKUP($B978,DG!A:C,2,)</f>
        <v>02.1361</v>
      </c>
      <c r="F978" s="1052" t="str">
        <f>VLOOKUP($B978,DG!A:C,3,)</f>
        <v>V/c xà vào vị trí (cư ly &lt;=100m)</v>
      </c>
      <c r="G978" s="1047" t="str">
        <f>VLOOKUP($B978,DG!A:D,4,0)</f>
        <v>tấn</v>
      </c>
      <c r="H978" s="1845"/>
      <c r="I978" s="1845"/>
      <c r="J978" s="1845"/>
      <c r="K978" s="1845"/>
      <c r="L978" s="1845"/>
      <c r="M978" s="1845"/>
      <c r="N978" s="1845"/>
      <c r="O978" s="1845"/>
      <c r="P978" s="1845"/>
      <c r="Q978" s="1061"/>
      <c r="R978" s="1061"/>
      <c r="S978" s="1061"/>
      <c r="T978" s="2059">
        <f t="shared" si="192"/>
        <v>0</v>
      </c>
    </row>
    <row r="979" spans="1:20" ht="22.15" hidden="1" customHeight="1">
      <c r="A979" s="59"/>
      <c r="B979" s="1598" t="s">
        <v>635</v>
      </c>
      <c r="C979" s="1015" t="str">
        <f t="shared" si="190"/>
        <v xml:space="preserve"> </v>
      </c>
      <c r="D979" s="1543">
        <v>0.05</v>
      </c>
      <c r="E979" s="1047" t="str">
        <f>VLOOKUP($B979,DG!A:C,2,)</f>
        <v>02.1482</v>
      </c>
      <c r="F979" s="1052" t="str">
        <f>VLOOKUP($B979,DG!A:C,3,)</f>
        <v>V/c dụng cụ thi công vào vị trí (cự ly &lt;=100m)</v>
      </c>
      <c r="G979" s="1047" t="str">
        <f>VLOOKUP($B979,DG!A:D,4,0)</f>
        <v>tấn</v>
      </c>
      <c r="H979" s="1845"/>
      <c r="I979" s="1845"/>
      <c r="J979" s="1845"/>
      <c r="K979" s="1845"/>
      <c r="L979" s="1845"/>
      <c r="M979" s="1845"/>
      <c r="N979" s="1845"/>
      <c r="O979" s="1845"/>
      <c r="P979" s="1845"/>
      <c r="Q979" s="1061"/>
      <c r="R979" s="1061"/>
      <c r="S979" s="1061"/>
      <c r="T979" s="2059">
        <f t="shared" si="192"/>
        <v>0</v>
      </c>
    </row>
    <row r="980" spans="1:20" ht="22.15" hidden="1" customHeight="1">
      <c r="A980" s="56" t="s">
        <v>213</v>
      </c>
      <c r="B980" s="1583" t="s">
        <v>213</v>
      </c>
      <c r="C980" s="1015" t="str">
        <f t="shared" si="190"/>
        <v xml:space="preserve"> </v>
      </c>
      <c r="D980" s="1541"/>
      <c r="E980" s="1048"/>
      <c r="F980" s="1396" t="s">
        <v>2444</v>
      </c>
      <c r="G980" s="1049" t="s">
        <v>2394</v>
      </c>
      <c r="H980" s="1843">
        <f>SUM(I980:O980)</f>
        <v>0</v>
      </c>
      <c r="I980" s="1844"/>
      <c r="J980" s="1844"/>
      <c r="K980" s="1844">
        <f>IFERROR(HLOOKUP(B980,pp3p1m!$1:$3,3,0),0)</f>
        <v>0</v>
      </c>
      <c r="L980" s="1844">
        <f>IFERROR(HLOOKUP(chitiet!B980,pp1p!$1:$3,3,0),0)</f>
        <v>0</v>
      </c>
      <c r="M980" s="1844"/>
      <c r="N980" s="1844"/>
      <c r="O980" s="1844"/>
      <c r="P980" s="1844">
        <f>H980+Q980-R980</f>
        <v>0</v>
      </c>
      <c r="Q980" s="1050"/>
      <c r="R980" s="1050"/>
      <c r="S980" s="1050"/>
      <c r="T980" s="2059">
        <f>IFERROR(HLOOKUP(B980,pp1p!$1:$3,3,0),0)+IFERROR(HLOOKUP(B980,pp3p1m!$1:$3,3,0),0)</f>
        <v>0</v>
      </c>
    </row>
    <row r="981" spans="1:20" ht="22.15" hidden="1" customHeight="1">
      <c r="A981" s="59"/>
      <c r="B981" s="1586" t="s">
        <v>109</v>
      </c>
      <c r="C981" s="1015" t="str">
        <f t="shared" si="190"/>
        <v xml:space="preserve"> </v>
      </c>
      <c r="D981" s="1543">
        <f>9.02*(2.4+3*0.1)*2</f>
        <v>48.707999999999998</v>
      </c>
      <c r="E981" s="1047"/>
      <c r="F981" s="1059" t="str">
        <f>VLOOKUP($B981,DG!A:D,DG!$C$2,)</f>
        <v>Sắt góc L75 x75 x8</v>
      </c>
      <c r="G981" s="1047" t="str">
        <f>VLOOKUP($B981,DG!A:D,DG!$D$2,)</f>
        <v>kg</v>
      </c>
      <c r="H981" s="1845">
        <f t="shared" ref="H981:L985" si="198">H$980*$D981</f>
        <v>0</v>
      </c>
      <c r="I981" s="1845">
        <f t="shared" si="198"/>
        <v>0</v>
      </c>
      <c r="J981" s="1845">
        <f t="shared" si="198"/>
        <v>0</v>
      </c>
      <c r="K981" s="1845">
        <f t="shared" si="198"/>
        <v>0</v>
      </c>
      <c r="L981" s="1845">
        <f t="shared" si="198"/>
        <v>0</v>
      </c>
      <c r="M981" s="1845"/>
      <c r="N981" s="1845"/>
      <c r="O981" s="1845"/>
      <c r="P981" s="1845"/>
      <c r="Q981" s="1056"/>
      <c r="R981" s="1056"/>
      <c r="S981" s="1056"/>
      <c r="T981" s="2059">
        <f t="shared" si="192"/>
        <v>0</v>
      </c>
    </row>
    <row r="982" spans="1:20" ht="22.15" hidden="1" customHeight="1">
      <c r="A982" s="59"/>
      <c r="B982" s="1586" t="s">
        <v>1615</v>
      </c>
      <c r="C982" s="1015" t="str">
        <f t="shared" si="190"/>
        <v xml:space="preserve"> </v>
      </c>
      <c r="D982" s="1544">
        <v>2</v>
      </c>
      <c r="E982" s="1047"/>
      <c r="F982" s="1059" t="str">
        <f>VLOOKUP($B982,DG!A:D,DG!$C$2,)</f>
        <v>Boulon 16x300+ 2 long đền vuông D18-50x50x3/Zn</v>
      </c>
      <c r="G982" s="1047" t="str">
        <f>VLOOKUP($B982,DG!A:D,DG!$D$2,)</f>
        <v>bộ</v>
      </c>
      <c r="H982" s="1845">
        <f t="shared" si="198"/>
        <v>0</v>
      </c>
      <c r="I982" s="1845">
        <f t="shared" si="198"/>
        <v>0</v>
      </c>
      <c r="J982" s="1845">
        <f t="shared" si="198"/>
        <v>0</v>
      </c>
      <c r="K982" s="1845">
        <f t="shared" si="198"/>
        <v>0</v>
      </c>
      <c r="L982" s="1845">
        <f t="shared" si="198"/>
        <v>0</v>
      </c>
      <c r="M982" s="1845"/>
      <c r="N982" s="1845"/>
      <c r="O982" s="1845"/>
      <c r="P982" s="1845"/>
      <c r="Q982" s="1056"/>
      <c r="R982" s="1056"/>
      <c r="S982" s="1056"/>
      <c r="T982" s="2059">
        <f t="shared" si="192"/>
        <v>0</v>
      </c>
    </row>
    <row r="983" spans="1:20" ht="22.15" hidden="1" customHeight="1">
      <c r="A983" s="59"/>
      <c r="B983" s="1586" t="s">
        <v>1790</v>
      </c>
      <c r="C983" s="1015" t="str">
        <f t="shared" si="190"/>
        <v xml:space="preserve"> </v>
      </c>
      <c r="D983" s="1544">
        <v>4</v>
      </c>
      <c r="E983" s="1047"/>
      <c r="F983" s="1059" t="str">
        <f>VLOOKUP($B983,DG!A:D,DG!$C$2,)</f>
        <v>Boulon 16x300VRS+ 4 long đền vuông D18-50x50x3/Zn</v>
      </c>
      <c r="G983" s="1047" t="str">
        <f>VLOOKUP($B983,DG!A:D,DG!$D$2,)</f>
        <v>bộ</v>
      </c>
      <c r="H983" s="1845">
        <f t="shared" si="198"/>
        <v>0</v>
      </c>
      <c r="I983" s="1845">
        <f t="shared" si="198"/>
        <v>0</v>
      </c>
      <c r="J983" s="1845">
        <f t="shared" si="198"/>
        <v>0</v>
      </c>
      <c r="K983" s="1845">
        <f t="shared" si="198"/>
        <v>0</v>
      </c>
      <c r="L983" s="1845">
        <f t="shared" si="198"/>
        <v>0</v>
      </c>
      <c r="M983" s="1845"/>
      <c r="N983" s="1845"/>
      <c r="O983" s="1845"/>
      <c r="P983" s="1845"/>
      <c r="Q983" s="1056"/>
      <c r="R983" s="1056"/>
      <c r="S983" s="1056"/>
      <c r="T983" s="2059">
        <f t="shared" si="192"/>
        <v>0</v>
      </c>
    </row>
    <row r="984" spans="1:20" ht="22.15" hidden="1" customHeight="1">
      <c r="A984" s="59"/>
      <c r="B984" s="1586" t="s">
        <v>2250</v>
      </c>
      <c r="C984" s="1015" t="str">
        <f t="shared" si="190"/>
        <v xml:space="preserve"> </v>
      </c>
      <c r="D984" s="1544">
        <v>1</v>
      </c>
      <c r="E984" s="1047"/>
      <c r="F984" s="1052" t="str">
        <f>VLOOKUP($B984,DG!A:D,DG!$C$2,)</f>
        <v>Lắp xà cột Pi loại ≤140kg/xà</v>
      </c>
      <c r="G984" s="1047" t="str">
        <f>VLOOKUP($B984,DG!A:D,DG!$D$2,)</f>
        <v>bộ</v>
      </c>
      <c r="H984" s="1845">
        <f t="shared" si="198"/>
        <v>0</v>
      </c>
      <c r="I984" s="1845">
        <f t="shared" si="198"/>
        <v>0</v>
      </c>
      <c r="J984" s="1845">
        <f t="shared" si="198"/>
        <v>0</v>
      </c>
      <c r="K984" s="1845">
        <f t="shared" si="198"/>
        <v>0</v>
      </c>
      <c r="L984" s="1845">
        <f t="shared" si="198"/>
        <v>0</v>
      </c>
      <c r="M984" s="1845"/>
      <c r="N984" s="1845"/>
      <c r="O984" s="1845"/>
      <c r="P984" s="1845"/>
      <c r="Q984" s="1056"/>
      <c r="R984" s="1056"/>
      <c r="S984" s="1056"/>
      <c r="T984" s="2059">
        <f t="shared" si="192"/>
        <v>0</v>
      </c>
    </row>
    <row r="985" spans="1:20" ht="22.15" hidden="1" customHeight="1">
      <c r="A985" s="59"/>
      <c r="B985" s="1586" t="s">
        <v>2002</v>
      </c>
      <c r="C985" s="1015" t="str">
        <f t="shared" si="190"/>
        <v xml:space="preserve"> </v>
      </c>
      <c r="D985" s="1542">
        <f>D986*0</f>
        <v>0</v>
      </c>
      <c r="E985" s="1047"/>
      <c r="F985" s="1052" t="str">
        <f>VLOOKUP($B985,DG!A:D,DG!$C$2,)</f>
        <v>Bốc dỡ xà, thép thanh</v>
      </c>
      <c r="G985" s="1047" t="str">
        <f>VLOOKUP($B985,DG!A:D,DG!$D$2,)</f>
        <v>tấn</v>
      </c>
      <c r="H985" s="1845">
        <f t="shared" si="198"/>
        <v>0</v>
      </c>
      <c r="I985" s="1845">
        <f t="shared" si="198"/>
        <v>0</v>
      </c>
      <c r="J985" s="1845">
        <f t="shared" si="198"/>
        <v>0</v>
      </c>
      <c r="K985" s="1845">
        <f t="shared" si="198"/>
        <v>0</v>
      </c>
      <c r="L985" s="1845">
        <f t="shared" si="198"/>
        <v>0</v>
      </c>
      <c r="M985" s="1845"/>
      <c r="N985" s="1845"/>
      <c r="O985" s="1845"/>
      <c r="P985" s="1845"/>
      <c r="Q985" s="1056"/>
      <c r="R985" s="1056"/>
      <c r="S985" s="1056"/>
      <c r="T985" s="2059">
        <f t="shared" si="192"/>
        <v>0</v>
      </c>
    </row>
    <row r="986" spans="1:20" ht="22.15" hidden="1" customHeight="1">
      <c r="A986" s="59"/>
      <c r="B986" s="1598" t="s">
        <v>2003</v>
      </c>
      <c r="C986" s="1015" t="str">
        <f t="shared" si="190"/>
        <v xml:space="preserve"> </v>
      </c>
      <c r="D986" s="1542">
        <f>ROUND(SUM(D981:D981)*1.05/1000,3)*0</f>
        <v>0</v>
      </c>
      <c r="E986" s="1047" t="str">
        <f>VLOOKUP($B986,DG!A:C,2,)</f>
        <v>02.1361</v>
      </c>
      <c r="F986" s="1052" t="str">
        <f>VLOOKUP($B986,DG!A:C,3,)</f>
        <v>V/c xà vào vị trí (cư ly &lt;=100m)</v>
      </c>
      <c r="G986" s="1047" t="str">
        <f>VLOOKUP($B986,DG!A:D,4,0)</f>
        <v>tấn</v>
      </c>
      <c r="H986" s="1845"/>
      <c r="I986" s="1845"/>
      <c r="J986" s="1845"/>
      <c r="K986" s="1845"/>
      <c r="L986" s="1845"/>
      <c r="M986" s="1845"/>
      <c r="N986" s="1845"/>
      <c r="O986" s="1845"/>
      <c r="P986" s="1845"/>
      <c r="Q986" s="1061"/>
      <c r="R986" s="1061"/>
      <c r="S986" s="1061"/>
      <c r="T986" s="2059">
        <f t="shared" si="192"/>
        <v>0</v>
      </c>
    </row>
    <row r="987" spans="1:20" ht="22.15" hidden="1" customHeight="1">
      <c r="A987" s="59"/>
      <c r="B987" s="1598" t="s">
        <v>635</v>
      </c>
      <c r="C987" s="1015" t="str">
        <f t="shared" si="190"/>
        <v xml:space="preserve"> </v>
      </c>
      <c r="D987" s="1543">
        <f>0.05*0</f>
        <v>0</v>
      </c>
      <c r="E987" s="1047" t="str">
        <f>VLOOKUP($B987,DG!A:C,2,)</f>
        <v>02.1482</v>
      </c>
      <c r="F987" s="1052" t="str">
        <f>VLOOKUP($B987,DG!A:C,3,)</f>
        <v>V/c dụng cụ thi công vào vị trí (cự ly &lt;=100m)</v>
      </c>
      <c r="G987" s="1047" t="str">
        <f>VLOOKUP($B987,DG!A:D,4,0)</f>
        <v>tấn</v>
      </c>
      <c r="H987" s="1845"/>
      <c r="I987" s="1845"/>
      <c r="J987" s="1845"/>
      <c r="K987" s="1845"/>
      <c r="L987" s="1845"/>
      <c r="M987" s="1845"/>
      <c r="N987" s="1845"/>
      <c r="O987" s="1845"/>
      <c r="P987" s="1845"/>
      <c r="Q987" s="1061"/>
      <c r="R987" s="1061"/>
      <c r="S987" s="1061"/>
      <c r="T987" s="2059">
        <f t="shared" si="192"/>
        <v>0</v>
      </c>
    </row>
    <row r="988" spans="1:20" ht="22.15" hidden="1" customHeight="1">
      <c r="A988" s="59" t="s">
        <v>2319</v>
      </c>
      <c r="B988" s="1583" t="s">
        <v>2319</v>
      </c>
      <c r="C988" s="1015" t="str">
        <f t="shared" si="190"/>
        <v xml:space="preserve"> </v>
      </c>
      <c r="D988" s="1541"/>
      <c r="E988" s="1048"/>
      <c r="F988" s="1396" t="s">
        <v>2445</v>
      </c>
      <c r="G988" s="1049" t="s">
        <v>2394</v>
      </c>
      <c r="H988" s="1843">
        <f>SUM(I988:O988)</f>
        <v>0</v>
      </c>
      <c r="I988" s="1844"/>
      <c r="J988" s="1844"/>
      <c r="K988" s="1844">
        <f>IFERROR(HLOOKUP(B988,pp3p1m!$1:$3,3,0),0)</f>
        <v>0</v>
      </c>
      <c r="L988" s="1844">
        <f>IFERROR(HLOOKUP(chitiet!B988,pp1p!$1:$3,3,0),0)</f>
        <v>0</v>
      </c>
      <c r="M988" s="1844"/>
      <c r="N988" s="1844"/>
      <c r="O988" s="1844"/>
      <c r="P988" s="1844">
        <f>H988+Q988-R988</f>
        <v>0</v>
      </c>
      <c r="Q988" s="1050"/>
      <c r="R988" s="1050"/>
      <c r="S988" s="1050"/>
      <c r="T988" s="2059">
        <f>IFERROR(HLOOKUP(B988,pp1p!$1:$3,3,0),0)+IFERROR(HLOOKUP(B988,pp3p1m!$1:$3,3,0),0)</f>
        <v>0</v>
      </c>
    </row>
    <row r="989" spans="1:20" ht="22.15" hidden="1" customHeight="1">
      <c r="A989" s="59"/>
      <c r="B989" s="1586" t="s">
        <v>109</v>
      </c>
      <c r="C989" s="1015" t="str">
        <f t="shared" si="190"/>
        <v xml:space="preserve"> </v>
      </c>
      <c r="D989" s="1543">
        <f>9.02*(2.6+3*0.07)</f>
        <v>25.3462</v>
      </c>
      <c r="E989" s="1047"/>
      <c r="F989" s="1059" t="s">
        <v>2446</v>
      </c>
      <c r="G989" s="1047" t="s">
        <v>2256</v>
      </c>
      <c r="H989" s="1845">
        <f t="shared" ref="H989:L992" si="199">H$987*$D989</f>
        <v>0</v>
      </c>
      <c r="I989" s="1845">
        <f t="shared" si="199"/>
        <v>0</v>
      </c>
      <c r="J989" s="1845">
        <f t="shared" si="199"/>
        <v>0</v>
      </c>
      <c r="K989" s="1845">
        <f t="shared" si="199"/>
        <v>0</v>
      </c>
      <c r="L989" s="1845">
        <f t="shared" si="199"/>
        <v>0</v>
      </c>
      <c r="M989" s="1845"/>
      <c r="N989" s="1845"/>
      <c r="O989" s="1845"/>
      <c r="P989" s="1845">
        <f>$P$988*D989</f>
        <v>0</v>
      </c>
      <c r="Q989" s="1056"/>
      <c r="R989" s="1056">
        <f>$R$988*D989</f>
        <v>0</v>
      </c>
      <c r="S989" s="1056"/>
      <c r="T989" s="2059">
        <f t="shared" si="192"/>
        <v>0</v>
      </c>
    </row>
    <row r="990" spans="1:20" ht="22.15" hidden="1" customHeight="1">
      <c r="A990" s="59"/>
      <c r="B990" s="1586" t="s">
        <v>1614</v>
      </c>
      <c r="C990" s="1015" t="str">
        <f t="shared" si="190"/>
        <v xml:space="preserve"> </v>
      </c>
      <c r="D990" s="1544">
        <v>2</v>
      </c>
      <c r="E990" s="1047"/>
      <c r="F990" s="1059" t="s">
        <v>2447</v>
      </c>
      <c r="G990" s="1047" t="s">
        <v>2448</v>
      </c>
      <c r="H990" s="1845">
        <f t="shared" si="199"/>
        <v>0</v>
      </c>
      <c r="I990" s="1845">
        <f t="shared" si="199"/>
        <v>0</v>
      </c>
      <c r="J990" s="1845">
        <f t="shared" si="199"/>
        <v>0</v>
      </c>
      <c r="K990" s="1845">
        <f t="shared" si="199"/>
        <v>0</v>
      </c>
      <c r="L990" s="1845">
        <f t="shared" si="199"/>
        <v>0</v>
      </c>
      <c r="M990" s="1845"/>
      <c r="N990" s="1845"/>
      <c r="O990" s="1845"/>
      <c r="P990" s="1845">
        <f>$P$988*D990</f>
        <v>0</v>
      </c>
      <c r="Q990" s="1056"/>
      <c r="R990" s="1056">
        <f>$R$988*D990</f>
        <v>0</v>
      </c>
      <c r="S990" s="1056"/>
      <c r="T990" s="2059">
        <f t="shared" si="192"/>
        <v>0</v>
      </c>
    </row>
    <row r="991" spans="1:20" ht="22.15" hidden="1" customHeight="1">
      <c r="A991" s="59"/>
      <c r="B991" s="1586" t="s">
        <v>2250</v>
      </c>
      <c r="C991" s="1015" t="str">
        <f t="shared" si="190"/>
        <v xml:space="preserve"> </v>
      </c>
      <c r="D991" s="1543">
        <v>1</v>
      </c>
      <c r="E991" s="1047"/>
      <c r="F991" s="1052" t="s">
        <v>2449</v>
      </c>
      <c r="G991" s="1047" t="s">
        <v>2448</v>
      </c>
      <c r="H991" s="1845">
        <f t="shared" si="199"/>
        <v>0</v>
      </c>
      <c r="I991" s="1845">
        <f t="shared" si="199"/>
        <v>0</v>
      </c>
      <c r="J991" s="1845">
        <f t="shared" si="199"/>
        <v>0</v>
      </c>
      <c r="K991" s="1845">
        <f t="shared" si="199"/>
        <v>0</v>
      </c>
      <c r="L991" s="1845">
        <f t="shared" si="199"/>
        <v>0</v>
      </c>
      <c r="M991" s="1845"/>
      <c r="N991" s="1845"/>
      <c r="O991" s="1845"/>
      <c r="P991" s="1845">
        <f>$P$988*D991</f>
        <v>0</v>
      </c>
      <c r="Q991" s="1056"/>
      <c r="R991" s="1056">
        <f>$R$988*D991</f>
        <v>0</v>
      </c>
      <c r="S991" s="1056"/>
      <c r="T991" s="2059">
        <f t="shared" si="192"/>
        <v>0</v>
      </c>
    </row>
    <row r="992" spans="1:20" ht="22.15" hidden="1" customHeight="1">
      <c r="A992" s="59"/>
      <c r="B992" s="1586" t="s">
        <v>2002</v>
      </c>
      <c r="C992" s="1015" t="str">
        <f t="shared" si="190"/>
        <v xml:space="preserve"> </v>
      </c>
      <c r="D992" s="1542">
        <f>D993</f>
        <v>0</v>
      </c>
      <c r="E992" s="1047"/>
      <c r="F992" s="1052" t="s">
        <v>2450</v>
      </c>
      <c r="G992" s="1047" t="s">
        <v>2451</v>
      </c>
      <c r="H992" s="1845">
        <f t="shared" si="199"/>
        <v>0</v>
      </c>
      <c r="I992" s="1845">
        <f t="shared" si="199"/>
        <v>0</v>
      </c>
      <c r="J992" s="1845">
        <f t="shared" si="199"/>
        <v>0</v>
      </c>
      <c r="K992" s="1845">
        <f t="shared" si="199"/>
        <v>0</v>
      </c>
      <c r="L992" s="1845">
        <f t="shared" si="199"/>
        <v>0</v>
      </c>
      <c r="M992" s="1845"/>
      <c r="N992" s="1845"/>
      <c r="O992" s="1845"/>
      <c r="P992" s="1845">
        <f>$P$988*D992</f>
        <v>0</v>
      </c>
      <c r="Q992" s="1056"/>
      <c r="R992" s="1056">
        <f>$R$988*D992</f>
        <v>0</v>
      </c>
      <c r="S992" s="1056"/>
      <c r="T992" s="2059">
        <f t="shared" si="192"/>
        <v>0</v>
      </c>
    </row>
    <row r="993" spans="1:20" ht="22.15" hidden="1" customHeight="1">
      <c r="A993" s="59"/>
      <c r="B993" s="1598" t="s">
        <v>2003</v>
      </c>
      <c r="C993" s="1015" t="str">
        <f t="shared" si="190"/>
        <v xml:space="preserve"> </v>
      </c>
      <c r="D993" s="1542"/>
      <c r="E993" s="1047" t="s">
        <v>1612</v>
      </c>
      <c r="F993" s="1052" t="s">
        <v>2452</v>
      </c>
      <c r="G993" s="1047" t="s">
        <v>2451</v>
      </c>
      <c r="H993" s="1845"/>
      <c r="I993" s="1845"/>
      <c r="J993" s="1845"/>
      <c r="K993" s="1845"/>
      <c r="L993" s="1845"/>
      <c r="M993" s="1845"/>
      <c r="N993" s="1845"/>
      <c r="O993" s="1845"/>
      <c r="P993" s="1845"/>
      <c r="Q993" s="1061"/>
      <c r="R993" s="1061"/>
      <c r="S993" s="1061"/>
      <c r="T993" s="2059">
        <f t="shared" si="192"/>
        <v>0</v>
      </c>
    </row>
    <row r="994" spans="1:20" ht="22.15" hidden="1" customHeight="1">
      <c r="A994" s="59"/>
      <c r="B994" s="1598" t="s">
        <v>635</v>
      </c>
      <c r="C994" s="1015" t="str">
        <f t="shared" ref="C994:C1057" si="200">IF(OR(P994&lt;&gt;0,H994&lt;&gt;0),"x"," ")</f>
        <v xml:space="preserve"> </v>
      </c>
      <c r="D994" s="1543"/>
      <c r="E994" s="1047" t="s">
        <v>1697</v>
      </c>
      <c r="F994" s="1052" t="s">
        <v>2453</v>
      </c>
      <c r="G994" s="1047" t="s">
        <v>2451</v>
      </c>
      <c r="H994" s="1845"/>
      <c r="I994" s="1845"/>
      <c r="J994" s="1845"/>
      <c r="K994" s="1845"/>
      <c r="L994" s="1845"/>
      <c r="M994" s="1845"/>
      <c r="N994" s="1845"/>
      <c r="O994" s="1845"/>
      <c r="P994" s="1845"/>
      <c r="Q994" s="1061"/>
      <c r="R994" s="1061"/>
      <c r="S994" s="1061"/>
      <c r="T994" s="2059">
        <f t="shared" si="192"/>
        <v>0</v>
      </c>
    </row>
    <row r="995" spans="1:20" ht="22.15" hidden="1" customHeight="1">
      <c r="A995" s="1577" t="s">
        <v>1506</v>
      </c>
      <c r="B995" s="1583" t="s">
        <v>1506</v>
      </c>
      <c r="C995" s="1015" t="str">
        <f t="shared" si="200"/>
        <v xml:space="preserve"> </v>
      </c>
      <c r="D995" s="1541"/>
      <c r="E995" s="1048"/>
      <c r="F995" s="1396" t="s">
        <v>2454</v>
      </c>
      <c r="G995" s="1049" t="s">
        <v>2394</v>
      </c>
      <c r="H995" s="1843">
        <f>SUM(I995:O995)</f>
        <v>0</v>
      </c>
      <c r="I995" s="1844"/>
      <c r="J995" s="1844"/>
      <c r="K995" s="1844">
        <f>IFERROR(HLOOKUP(B995,pp3p1m!$1:$3,3,0),0)</f>
        <v>0</v>
      </c>
      <c r="L995" s="1844">
        <f>IFERROR(HLOOKUP(chitiet!B995,pp1p!$1:$3,3,0),0)</f>
        <v>0</v>
      </c>
      <c r="M995" s="1844"/>
      <c r="N995" s="1844"/>
      <c r="O995" s="1844"/>
      <c r="P995" s="1844">
        <f>H995+Q995-R995</f>
        <v>0</v>
      </c>
      <c r="Q995" s="1050"/>
      <c r="R995" s="1050"/>
      <c r="S995" s="1050"/>
      <c r="T995" s="2059">
        <f>IFERROR(HLOOKUP(B995,pp1p!$1:$3,3,0),0)+IFERROR(HLOOKUP(B995,pp3p1m!$1:$3,3,0),0)</f>
        <v>0</v>
      </c>
    </row>
    <row r="996" spans="1:20" ht="22.15" hidden="1" customHeight="1">
      <c r="B996" s="1586" t="s">
        <v>109</v>
      </c>
      <c r="C996" s="1015" t="str">
        <f t="shared" si="200"/>
        <v xml:space="preserve"> </v>
      </c>
      <c r="D996" s="1543">
        <f>9.02*(2.6+3*0.07)*2</f>
        <v>50.692399999999999</v>
      </c>
      <c r="E996" s="1047"/>
      <c r="F996" s="1059" t="s">
        <v>2446</v>
      </c>
      <c r="G996" s="1047" t="s">
        <v>2256</v>
      </c>
      <c r="H996" s="1845">
        <f>$H$995*$D996</f>
        <v>0</v>
      </c>
      <c r="I996" s="1845">
        <f t="shared" ref="I996:L1000" si="201">I$987*$D996</f>
        <v>0</v>
      </c>
      <c r="J996" s="1845">
        <f t="shared" si="201"/>
        <v>0</v>
      </c>
      <c r="K996" s="1845">
        <f t="shared" si="201"/>
        <v>0</v>
      </c>
      <c r="L996" s="1845">
        <f t="shared" si="201"/>
        <v>0</v>
      </c>
      <c r="M996" s="1845"/>
      <c r="N996" s="1845"/>
      <c r="O996" s="1845"/>
      <c r="P996" s="1845">
        <f>$P$995*D996</f>
        <v>0</v>
      </c>
      <c r="Q996" s="1056">
        <f>$Q$995*D996</f>
        <v>0</v>
      </c>
      <c r="R996" s="1060">
        <f>$R$995*D996</f>
        <v>0</v>
      </c>
      <c r="S996" s="1056"/>
      <c r="T996" s="2059">
        <f t="shared" si="192"/>
        <v>0</v>
      </c>
    </row>
    <row r="997" spans="1:20" ht="22.15" hidden="1" customHeight="1">
      <c r="B997" s="1586" t="s">
        <v>1614</v>
      </c>
      <c r="C997" s="1015" t="str">
        <f t="shared" si="200"/>
        <v xml:space="preserve"> </v>
      </c>
      <c r="D997" s="1544">
        <v>2</v>
      </c>
      <c r="E997" s="1047"/>
      <c r="F997" s="1059" t="s">
        <v>2447</v>
      </c>
      <c r="G997" s="1047" t="s">
        <v>2448</v>
      </c>
      <c r="H997" s="1845">
        <f>$H$995*$D997</f>
        <v>0</v>
      </c>
      <c r="I997" s="1845">
        <f t="shared" si="201"/>
        <v>0</v>
      </c>
      <c r="J997" s="1845">
        <f t="shared" si="201"/>
        <v>0</v>
      </c>
      <c r="K997" s="1845">
        <f t="shared" si="201"/>
        <v>0</v>
      </c>
      <c r="L997" s="1845">
        <f t="shared" si="201"/>
        <v>0</v>
      </c>
      <c r="M997" s="1845"/>
      <c r="N997" s="1845"/>
      <c r="O997" s="1845"/>
      <c r="P997" s="1845">
        <f>$P$995*D997</f>
        <v>0</v>
      </c>
      <c r="Q997" s="1056">
        <f>$Q$995*D997</f>
        <v>0</v>
      </c>
      <c r="R997" s="1056">
        <f>$R$995*D997</f>
        <v>0</v>
      </c>
      <c r="S997" s="1056"/>
      <c r="T997" s="2059">
        <f t="shared" si="192"/>
        <v>0</v>
      </c>
    </row>
    <row r="998" spans="1:20" ht="22.15" hidden="1" customHeight="1">
      <c r="B998" s="1586" t="s">
        <v>1790</v>
      </c>
      <c r="C998" s="1015" t="str">
        <f t="shared" si="200"/>
        <v xml:space="preserve"> </v>
      </c>
      <c r="D998" s="1544">
        <v>2</v>
      </c>
      <c r="E998" s="1047"/>
      <c r="F998" s="1059" t="s">
        <v>2455</v>
      </c>
      <c r="G998" s="1047" t="s">
        <v>2448</v>
      </c>
      <c r="H998" s="1845">
        <f>$H$995*$D998</f>
        <v>0</v>
      </c>
      <c r="I998" s="1845">
        <f t="shared" si="201"/>
        <v>0</v>
      </c>
      <c r="J998" s="1845">
        <f t="shared" si="201"/>
        <v>0</v>
      </c>
      <c r="K998" s="1845">
        <f t="shared" si="201"/>
        <v>0</v>
      </c>
      <c r="L998" s="1845">
        <f t="shared" si="201"/>
        <v>0</v>
      </c>
      <c r="M998" s="1845"/>
      <c r="N998" s="1845"/>
      <c r="O998" s="1845"/>
      <c r="P998" s="1845">
        <f>$P$995*D998</f>
        <v>0</v>
      </c>
      <c r="Q998" s="1056">
        <f>$Q$995*D998</f>
        <v>0</v>
      </c>
      <c r="R998" s="1056">
        <f>$R$995*D998</f>
        <v>0</v>
      </c>
      <c r="S998" s="1056"/>
      <c r="T998" s="2059">
        <f t="shared" si="192"/>
        <v>0</v>
      </c>
    </row>
    <row r="999" spans="1:20" ht="22.15" hidden="1" customHeight="1">
      <c r="B999" s="1586" t="s">
        <v>2250</v>
      </c>
      <c r="C999" s="1015" t="str">
        <f t="shared" si="200"/>
        <v xml:space="preserve"> </v>
      </c>
      <c r="D999" s="1543">
        <v>1</v>
      </c>
      <c r="E999" s="1063"/>
      <c r="F999" s="1052" t="s">
        <v>2449</v>
      </c>
      <c r="G999" s="1047" t="s">
        <v>2448</v>
      </c>
      <c r="H999" s="1845">
        <f>$H$995*$D999</f>
        <v>0</v>
      </c>
      <c r="I999" s="1845">
        <f t="shared" si="201"/>
        <v>0</v>
      </c>
      <c r="J999" s="1845">
        <f t="shared" si="201"/>
        <v>0</v>
      </c>
      <c r="K999" s="1845">
        <f t="shared" si="201"/>
        <v>0</v>
      </c>
      <c r="L999" s="1845">
        <f t="shared" si="201"/>
        <v>0</v>
      </c>
      <c r="M999" s="1845"/>
      <c r="N999" s="1845"/>
      <c r="O999" s="1845"/>
      <c r="P999" s="1845">
        <f>$P$995*D999</f>
        <v>0</v>
      </c>
      <c r="Q999" s="1056">
        <f>$Q$995*D999</f>
        <v>0</v>
      </c>
      <c r="R999" s="1056">
        <f>$R$995*D999</f>
        <v>0</v>
      </c>
      <c r="S999" s="1056"/>
      <c r="T999" s="2059">
        <f t="shared" si="192"/>
        <v>0</v>
      </c>
    </row>
    <row r="1000" spans="1:20" ht="22.15" hidden="1" customHeight="1">
      <c r="A1000" s="59"/>
      <c r="B1000" s="1586" t="s">
        <v>2002</v>
      </c>
      <c r="C1000" s="1015" t="str">
        <f t="shared" si="200"/>
        <v xml:space="preserve"> </v>
      </c>
      <c r="D1000" s="1542"/>
      <c r="E1000" s="1047"/>
      <c r="F1000" s="1052" t="s">
        <v>2450</v>
      </c>
      <c r="G1000" s="1047" t="s">
        <v>2451</v>
      </c>
      <c r="H1000" s="1845">
        <f>H$987*$D1000</f>
        <v>0</v>
      </c>
      <c r="I1000" s="1845">
        <f t="shared" si="201"/>
        <v>0</v>
      </c>
      <c r="J1000" s="1845">
        <f t="shared" si="201"/>
        <v>0</v>
      </c>
      <c r="K1000" s="1845">
        <f t="shared" si="201"/>
        <v>0</v>
      </c>
      <c r="L1000" s="1845">
        <f t="shared" si="201"/>
        <v>0</v>
      </c>
      <c r="M1000" s="1845"/>
      <c r="N1000" s="1845"/>
      <c r="O1000" s="1845"/>
      <c r="P1000" s="1845">
        <f>$P$995*D1000</f>
        <v>0</v>
      </c>
      <c r="Q1000" s="1056">
        <f>$Q$995*D1000</f>
        <v>0</v>
      </c>
      <c r="R1000" s="1056">
        <f>$R$995*D1000</f>
        <v>0</v>
      </c>
      <c r="S1000" s="1056"/>
      <c r="T1000" s="2059">
        <f t="shared" ref="T1000:T1063" si="202">IFERROR(HLOOKUP(B1000,BangKeTru,3,0),0)</f>
        <v>0</v>
      </c>
    </row>
    <row r="1001" spans="1:20" ht="22.15" hidden="1" customHeight="1">
      <c r="A1001" s="59"/>
      <c r="B1001" s="1598" t="s">
        <v>2003</v>
      </c>
      <c r="C1001" s="1015" t="str">
        <f t="shared" si="200"/>
        <v xml:space="preserve"> </v>
      </c>
      <c r="D1001" s="1542"/>
      <c r="E1001" s="1047" t="s">
        <v>1612</v>
      </c>
      <c r="F1001" s="1052" t="s">
        <v>2452</v>
      </c>
      <c r="G1001" s="1047" t="s">
        <v>2451</v>
      </c>
      <c r="H1001" s="1845"/>
      <c r="I1001" s="1845"/>
      <c r="J1001" s="1845"/>
      <c r="K1001" s="1845"/>
      <c r="L1001" s="1845"/>
      <c r="M1001" s="1845"/>
      <c r="N1001" s="1845"/>
      <c r="O1001" s="1845"/>
      <c r="P1001" s="1845"/>
      <c r="Q1001" s="1061"/>
      <c r="R1001" s="1061"/>
      <c r="S1001" s="1061"/>
      <c r="T1001" s="2059">
        <f t="shared" si="202"/>
        <v>0</v>
      </c>
    </row>
    <row r="1002" spans="1:20" ht="22.15" hidden="1" customHeight="1">
      <c r="A1002" s="59"/>
      <c r="B1002" s="1598" t="s">
        <v>635</v>
      </c>
      <c r="C1002" s="1015" t="str">
        <f t="shared" si="200"/>
        <v xml:space="preserve"> </v>
      </c>
      <c r="D1002" s="1543"/>
      <c r="E1002" s="1047" t="s">
        <v>1697</v>
      </c>
      <c r="F1002" s="1052" t="s">
        <v>2453</v>
      </c>
      <c r="G1002" s="1047" t="s">
        <v>2451</v>
      </c>
      <c r="H1002" s="1845"/>
      <c r="I1002" s="1845"/>
      <c r="J1002" s="1845"/>
      <c r="K1002" s="1845"/>
      <c r="L1002" s="1845"/>
      <c r="M1002" s="1845"/>
      <c r="N1002" s="1845"/>
      <c r="O1002" s="1845"/>
      <c r="P1002" s="1845"/>
      <c r="Q1002" s="1061"/>
      <c r="R1002" s="1061"/>
      <c r="S1002" s="1061"/>
      <c r="T1002" s="2059">
        <f t="shared" si="202"/>
        <v>0</v>
      </c>
    </row>
    <row r="1003" spans="1:20" ht="22.15" hidden="1" customHeight="1">
      <c r="A1003" s="56" t="s">
        <v>1579</v>
      </c>
      <c r="B1003" s="1583" t="s">
        <v>1579</v>
      </c>
      <c r="C1003" s="1015" t="str">
        <f t="shared" si="200"/>
        <v xml:space="preserve"> </v>
      </c>
      <c r="D1003" s="1541"/>
      <c r="E1003" s="1048"/>
      <c r="F1003" s="1396" t="s">
        <v>2456</v>
      </c>
      <c r="G1003" s="1049" t="s">
        <v>2394</v>
      </c>
      <c r="H1003" s="1843">
        <f>SUM(I1003:O1003)</f>
        <v>0</v>
      </c>
      <c r="I1003" s="1844"/>
      <c r="J1003" s="1844"/>
      <c r="K1003" s="1844">
        <f>IFERROR(HLOOKUP(B1003,pp3p1m!$1:$3,3,0),0)</f>
        <v>0</v>
      </c>
      <c r="L1003" s="1844">
        <f>IFERROR(HLOOKUP(chitiet!B1003,pp1p!$1:$3,3,0),0)</f>
        <v>0</v>
      </c>
      <c r="M1003" s="1844"/>
      <c r="N1003" s="1844"/>
      <c r="O1003" s="1844"/>
      <c r="P1003" s="1844">
        <f>H1003+Q1003-R1003</f>
        <v>0</v>
      </c>
      <c r="Q1003" s="1050"/>
      <c r="R1003" s="1050"/>
      <c r="S1003" s="1050"/>
      <c r="T1003" s="2059">
        <f>IFERROR(HLOOKUP(B1003,pp1p!$1:$3,3,0),0)+IFERROR(HLOOKUP(B1003,pp3p1m!$1:$3,3,0),0)</f>
        <v>0</v>
      </c>
    </row>
    <row r="1004" spans="1:20" ht="22.15" hidden="1" customHeight="1">
      <c r="A1004" s="59"/>
      <c r="B1004" s="1586" t="s">
        <v>109</v>
      </c>
      <c r="C1004" s="1015" t="str">
        <f t="shared" si="200"/>
        <v xml:space="preserve"> </v>
      </c>
      <c r="D1004" s="1543">
        <f>9.02*(2.8+3*0.1)*2</f>
        <v>55.923999999999992</v>
      </c>
      <c r="E1004" s="1047"/>
      <c r="F1004" s="1059" t="str">
        <f>VLOOKUP($B1004,DG!A:D,DG!$C$2,)</f>
        <v>Sắt góc L75 x75 x8</v>
      </c>
      <c r="G1004" s="1047" t="str">
        <f>VLOOKUP($B1004,DG!A:D,DG!$D$2,)</f>
        <v>kg</v>
      </c>
      <c r="H1004" s="1845">
        <f t="shared" ref="H1004:L1008" si="203">H$1003*$D1004</f>
        <v>0</v>
      </c>
      <c r="I1004" s="1845">
        <f t="shared" si="203"/>
        <v>0</v>
      </c>
      <c r="J1004" s="1845">
        <f t="shared" si="203"/>
        <v>0</v>
      </c>
      <c r="K1004" s="1845">
        <f t="shared" si="203"/>
        <v>0</v>
      </c>
      <c r="L1004" s="1845">
        <f t="shared" si="203"/>
        <v>0</v>
      </c>
      <c r="M1004" s="1845"/>
      <c r="N1004" s="1845"/>
      <c r="O1004" s="1845"/>
      <c r="P1004" s="1845"/>
      <c r="Q1004" s="1056"/>
      <c r="R1004" s="1056"/>
      <c r="S1004" s="1056"/>
      <c r="T1004" s="2059">
        <f t="shared" si="202"/>
        <v>0</v>
      </c>
    </row>
    <row r="1005" spans="1:20" ht="22.15" hidden="1" customHeight="1">
      <c r="A1005" s="59"/>
      <c r="B1005" s="1586" t="s">
        <v>457</v>
      </c>
      <c r="C1005" s="1015" t="str">
        <f t="shared" si="200"/>
        <v xml:space="preserve"> </v>
      </c>
      <c r="D1005" s="1543">
        <f>0.92*3.77*4</f>
        <v>13.873600000000001</v>
      </c>
      <c r="E1005" s="1047"/>
      <c r="F1005" s="1059" t="str">
        <f>VLOOKUP($B1005,DG!A:D,DG!$C$2,)</f>
        <v>Sắt góc L50 x50 x5</v>
      </c>
      <c r="G1005" s="1047" t="str">
        <f>VLOOKUP($B1005,DG!A:D,DG!$D$2,)</f>
        <v>kg</v>
      </c>
      <c r="H1005" s="1845">
        <f t="shared" si="203"/>
        <v>0</v>
      </c>
      <c r="I1005" s="1845">
        <f t="shared" si="203"/>
        <v>0</v>
      </c>
      <c r="J1005" s="1845">
        <f t="shared" si="203"/>
        <v>0</v>
      </c>
      <c r="K1005" s="1845">
        <f t="shared" si="203"/>
        <v>0</v>
      </c>
      <c r="L1005" s="1845">
        <f t="shared" si="203"/>
        <v>0</v>
      </c>
      <c r="M1005" s="1845"/>
      <c r="N1005" s="1845"/>
      <c r="O1005" s="1845"/>
      <c r="P1005" s="1845"/>
      <c r="Q1005" s="1056"/>
      <c r="R1005" s="1056"/>
      <c r="S1005" s="1056"/>
      <c r="T1005" s="2059">
        <f t="shared" si="202"/>
        <v>0</v>
      </c>
    </row>
    <row r="1006" spans="1:20" ht="22.15" hidden="1" customHeight="1">
      <c r="A1006" s="59"/>
      <c r="B1006" s="1586" t="s">
        <v>457</v>
      </c>
      <c r="C1006" s="1015" t="str">
        <f t="shared" si="200"/>
        <v xml:space="preserve"> </v>
      </c>
      <c r="D1006" s="1543">
        <f>2*0.45*6</f>
        <v>5.4</v>
      </c>
      <c r="E1006" s="1047"/>
      <c r="F1006" s="1059" t="s">
        <v>2457</v>
      </c>
      <c r="G1006" s="1047" t="str">
        <f>VLOOKUP($B1006,DG!A:D,DG!$D$2,)</f>
        <v>kg</v>
      </c>
      <c r="H1006" s="1845">
        <f t="shared" si="203"/>
        <v>0</v>
      </c>
      <c r="I1006" s="1845">
        <f t="shared" si="203"/>
        <v>0</v>
      </c>
      <c r="J1006" s="1845">
        <f t="shared" si="203"/>
        <v>0</v>
      </c>
      <c r="K1006" s="1845">
        <f t="shared" si="203"/>
        <v>0</v>
      </c>
      <c r="L1006" s="1845">
        <f t="shared" si="203"/>
        <v>0</v>
      </c>
      <c r="M1006" s="1845"/>
      <c r="N1006" s="1845"/>
      <c r="O1006" s="1845"/>
      <c r="P1006" s="1845"/>
      <c r="Q1006" s="1056"/>
      <c r="R1006" s="1056"/>
      <c r="S1006" s="1056"/>
      <c r="T1006" s="2059">
        <f t="shared" si="202"/>
        <v>0</v>
      </c>
    </row>
    <row r="1007" spans="1:20" ht="22.15" hidden="1" customHeight="1">
      <c r="A1007" s="59"/>
      <c r="B1007" s="1586" t="s">
        <v>1615</v>
      </c>
      <c r="C1007" s="1015" t="str">
        <f t="shared" si="200"/>
        <v xml:space="preserve"> </v>
      </c>
      <c r="D1007" s="1544">
        <v>4</v>
      </c>
      <c r="E1007" s="1047"/>
      <c r="F1007" s="1059" t="str">
        <f>VLOOKUP($B1007,DG!A:D,DG!$C$2,)</f>
        <v>Boulon 16x300+ 2 long đền vuông D18-50x50x3/Zn</v>
      </c>
      <c r="G1007" s="1047" t="str">
        <f>VLOOKUP($B1007,DG!A:D,DG!$D$2,)</f>
        <v>bộ</v>
      </c>
      <c r="H1007" s="1845">
        <f t="shared" si="203"/>
        <v>0</v>
      </c>
      <c r="I1007" s="1845">
        <f t="shared" si="203"/>
        <v>0</v>
      </c>
      <c r="J1007" s="1845">
        <f t="shared" si="203"/>
        <v>0</v>
      </c>
      <c r="K1007" s="1845">
        <f t="shared" si="203"/>
        <v>0</v>
      </c>
      <c r="L1007" s="1845">
        <f t="shared" si="203"/>
        <v>0</v>
      </c>
      <c r="M1007" s="1845"/>
      <c r="N1007" s="1845"/>
      <c r="O1007" s="1845"/>
      <c r="P1007" s="1845"/>
      <c r="Q1007" s="1056"/>
      <c r="R1007" s="1056"/>
      <c r="S1007" s="1056"/>
      <c r="T1007" s="2059">
        <f t="shared" si="202"/>
        <v>0</v>
      </c>
    </row>
    <row r="1008" spans="1:20" ht="22.15" hidden="1" customHeight="1">
      <c r="A1008" s="59"/>
      <c r="B1008" s="1586" t="s">
        <v>1790</v>
      </c>
      <c r="C1008" s="1015" t="str">
        <f t="shared" si="200"/>
        <v xml:space="preserve"> </v>
      </c>
      <c r="D1008" s="1544">
        <v>4</v>
      </c>
      <c r="E1008" s="1047"/>
      <c r="F1008" s="1059" t="str">
        <f>VLOOKUP($B1008,DG!A:D,DG!$C$2,)</f>
        <v>Boulon 16x300VRS+ 4 long đền vuông D18-50x50x3/Zn</v>
      </c>
      <c r="G1008" s="1047" t="str">
        <f>VLOOKUP($B1008,DG!A:D,DG!$D$2,)</f>
        <v>bộ</v>
      </c>
      <c r="H1008" s="1845">
        <f t="shared" si="203"/>
        <v>0</v>
      </c>
      <c r="I1008" s="1845">
        <f t="shared" si="203"/>
        <v>0</v>
      </c>
      <c r="J1008" s="1845">
        <f t="shared" si="203"/>
        <v>0</v>
      </c>
      <c r="K1008" s="1845">
        <f t="shared" si="203"/>
        <v>0</v>
      </c>
      <c r="L1008" s="1845">
        <f t="shared" si="203"/>
        <v>0</v>
      </c>
      <c r="M1008" s="1845"/>
      <c r="N1008" s="1845"/>
      <c r="O1008" s="1845"/>
      <c r="P1008" s="1845"/>
      <c r="Q1008" s="1056"/>
      <c r="R1008" s="1056"/>
      <c r="S1008" s="1056"/>
      <c r="T1008" s="2059">
        <f t="shared" si="202"/>
        <v>0</v>
      </c>
    </row>
    <row r="1009" spans="1:20" ht="22.15" hidden="1" customHeight="1">
      <c r="A1009" s="59"/>
      <c r="B1009" s="1586" t="s">
        <v>2250</v>
      </c>
      <c r="C1009" s="1015" t="str">
        <f t="shared" si="200"/>
        <v xml:space="preserve"> </v>
      </c>
      <c r="D1009" s="1544">
        <v>1</v>
      </c>
      <c r="E1009" s="1047"/>
      <c r="F1009" s="1052" t="str">
        <f>VLOOKUP($B1009,DG!A:D,DG!$C$2,)</f>
        <v>Lắp xà cột Pi loại ≤140kg/xà</v>
      </c>
      <c r="G1009" s="1047" t="str">
        <f>VLOOKUP($B1009,DG!A:D,DG!$D$2,)</f>
        <v>bộ</v>
      </c>
      <c r="H1009" s="1845"/>
      <c r="I1009" s="1845"/>
      <c r="J1009" s="1845"/>
      <c r="K1009" s="1845"/>
      <c r="L1009" s="1845"/>
      <c r="M1009" s="1845"/>
      <c r="N1009" s="1845"/>
      <c r="O1009" s="1845"/>
      <c r="P1009" s="1845"/>
      <c r="Q1009" s="1056"/>
      <c r="R1009" s="1056"/>
      <c r="S1009" s="1056"/>
      <c r="T1009" s="2059">
        <f t="shared" si="202"/>
        <v>0</v>
      </c>
    </row>
    <row r="1010" spans="1:20" ht="22.15" hidden="1" customHeight="1">
      <c r="A1010" s="59"/>
      <c r="B1010" s="1586" t="s">
        <v>2002</v>
      </c>
      <c r="C1010" s="1015" t="str">
        <f t="shared" si="200"/>
        <v xml:space="preserve"> </v>
      </c>
      <c r="D1010" s="1542">
        <f>D1011</f>
        <v>7.9000000000000001E-2</v>
      </c>
      <c r="E1010" s="1047"/>
      <c r="F1010" s="1052" t="str">
        <f>VLOOKUP($B1010,DG!A:D,DG!$C$2,)</f>
        <v>Bốc dỡ xà, thép thanh</v>
      </c>
      <c r="G1010" s="1047" t="str">
        <f>VLOOKUP($B1010,DG!A:D,DG!$D$2,)</f>
        <v>tấn</v>
      </c>
      <c r="H1010" s="1845"/>
      <c r="I1010" s="1845"/>
      <c r="J1010" s="1845"/>
      <c r="K1010" s="1845"/>
      <c r="L1010" s="1845"/>
      <c r="M1010" s="1845"/>
      <c r="N1010" s="1845"/>
      <c r="O1010" s="1845"/>
      <c r="P1010" s="1845"/>
      <c r="Q1010" s="1056"/>
      <c r="R1010" s="1056"/>
      <c r="S1010" s="1056"/>
      <c r="T1010" s="2059">
        <f t="shared" si="202"/>
        <v>0</v>
      </c>
    </row>
    <row r="1011" spans="1:20" ht="22.15" hidden="1" customHeight="1">
      <c r="A1011" s="59"/>
      <c r="B1011" s="1598" t="s">
        <v>2003</v>
      </c>
      <c r="C1011" s="1015" t="str">
        <f t="shared" si="200"/>
        <v xml:space="preserve"> </v>
      </c>
      <c r="D1011" s="1542">
        <f>ROUND(SUM(D1004:D1006)*1.05/1000,3)</f>
        <v>7.9000000000000001E-2</v>
      </c>
      <c r="E1011" s="1047" t="str">
        <f>VLOOKUP($B1011,DG!A:C,2,)</f>
        <v>02.1361</v>
      </c>
      <c r="F1011" s="1052" t="str">
        <f>VLOOKUP($B1011,DG!A:C,3,)</f>
        <v>V/c xà vào vị trí (cư ly &lt;=100m)</v>
      </c>
      <c r="G1011" s="1047" t="str">
        <f>VLOOKUP($B1011,DG!A:D,4,0)</f>
        <v>tấn</v>
      </c>
      <c r="H1011" s="1845"/>
      <c r="I1011" s="1845"/>
      <c r="J1011" s="1845"/>
      <c r="K1011" s="1845"/>
      <c r="L1011" s="1845"/>
      <c r="M1011" s="1845"/>
      <c r="N1011" s="1845"/>
      <c r="O1011" s="1845"/>
      <c r="P1011" s="1845"/>
      <c r="Q1011" s="1061"/>
      <c r="R1011" s="1061"/>
      <c r="S1011" s="1061"/>
      <c r="T1011" s="2059">
        <f t="shared" si="202"/>
        <v>0</v>
      </c>
    </row>
    <row r="1012" spans="1:20" ht="22.15" hidden="1" customHeight="1">
      <c r="A1012" s="59"/>
      <c r="B1012" s="1598" t="s">
        <v>635</v>
      </c>
      <c r="C1012" s="1015" t="str">
        <f t="shared" si="200"/>
        <v xml:space="preserve"> </v>
      </c>
      <c r="D1012" s="1543">
        <v>0.05</v>
      </c>
      <c r="E1012" s="1047" t="str">
        <f>VLOOKUP($B1012,DG!A:C,2,)</f>
        <v>02.1482</v>
      </c>
      <c r="F1012" s="1052" t="str">
        <f>VLOOKUP($B1012,DG!A:C,3,)</f>
        <v>V/c dụng cụ thi công vào vị trí (cự ly &lt;=100m)</v>
      </c>
      <c r="G1012" s="1047" t="str">
        <f>VLOOKUP($B1012,DG!A:D,4,0)</f>
        <v>tấn</v>
      </c>
      <c r="H1012" s="1845"/>
      <c r="I1012" s="1845"/>
      <c r="J1012" s="1845"/>
      <c r="K1012" s="1845"/>
      <c r="L1012" s="1845"/>
      <c r="M1012" s="1845"/>
      <c r="N1012" s="1845"/>
      <c r="O1012" s="1845"/>
      <c r="P1012" s="1845"/>
      <c r="Q1012" s="1061"/>
      <c r="R1012" s="1061"/>
      <c r="S1012" s="1061"/>
      <c r="T1012" s="2059">
        <f t="shared" si="202"/>
        <v>0</v>
      </c>
    </row>
    <row r="1013" spans="1:20" ht="22.15" hidden="1" customHeight="1">
      <c r="A1013" s="56" t="s">
        <v>105</v>
      </c>
      <c r="B1013" s="1583" t="s">
        <v>105</v>
      </c>
      <c r="C1013" s="1015" t="str">
        <f t="shared" si="200"/>
        <v xml:space="preserve"> </v>
      </c>
      <c r="D1013" s="1541"/>
      <c r="E1013" s="1048"/>
      <c r="F1013" s="1396" t="s">
        <v>2458</v>
      </c>
      <c r="G1013" s="1049" t="s">
        <v>2394</v>
      </c>
      <c r="H1013" s="1843">
        <f>SUM(I1013:O1013)</f>
        <v>0</v>
      </c>
      <c r="I1013" s="1844"/>
      <c r="J1013" s="1844"/>
      <c r="K1013" s="1844">
        <f>IFERROR(HLOOKUP(B1013,pp3p1m!$1:$3,3,0),0)</f>
        <v>0</v>
      </c>
      <c r="L1013" s="1844">
        <f>IFERROR(HLOOKUP(chitiet!B1013,pp1p!$1:$3,3,0),0)</f>
        <v>0</v>
      </c>
      <c r="M1013" s="1844"/>
      <c r="N1013" s="1844"/>
      <c r="O1013" s="1844"/>
      <c r="P1013" s="1844">
        <f>H1013+Q1013-R1013</f>
        <v>0</v>
      </c>
      <c r="Q1013" s="1050"/>
      <c r="R1013" s="1050"/>
      <c r="S1013" s="1050"/>
      <c r="T1013" s="2059">
        <f>IFERROR(HLOOKUP(B1013,pp1p!$1:$3,3,0),0)+IFERROR(HLOOKUP(B1013,pp3p1m!$1:$3,3,0),0)</f>
        <v>0</v>
      </c>
    </row>
    <row r="1014" spans="1:20" ht="22.15" hidden="1" customHeight="1">
      <c r="A1014" s="59"/>
      <c r="B1014" s="1586" t="s">
        <v>109</v>
      </c>
      <c r="C1014" s="1015" t="str">
        <f t="shared" si="200"/>
        <v xml:space="preserve"> </v>
      </c>
      <c r="D1014" s="1543">
        <f>9.02*(3+3*0.1)*2</f>
        <v>59.531999999999996</v>
      </c>
      <c r="E1014" s="1047"/>
      <c r="F1014" s="1059" t="str">
        <f>VLOOKUP($B1014,DG!A:D,DG!$C$2,)</f>
        <v>Sắt góc L75 x75 x8</v>
      </c>
      <c r="G1014" s="1047" t="str">
        <f>VLOOKUP($B1014,DG!A:D,DG!$D$2,)</f>
        <v>kg</v>
      </c>
      <c r="H1014" s="1845">
        <f t="shared" ref="H1014:L1018" si="204">H$1013*$D1014</f>
        <v>0</v>
      </c>
      <c r="I1014" s="1845">
        <f t="shared" si="204"/>
        <v>0</v>
      </c>
      <c r="J1014" s="1845">
        <f t="shared" si="204"/>
        <v>0</v>
      </c>
      <c r="K1014" s="1845">
        <f t="shared" si="204"/>
        <v>0</v>
      </c>
      <c r="L1014" s="1845">
        <f t="shared" si="204"/>
        <v>0</v>
      </c>
      <c r="M1014" s="1845"/>
      <c r="N1014" s="1845"/>
      <c r="O1014" s="1845"/>
      <c r="P1014" s="1845"/>
      <c r="Q1014" s="1056"/>
      <c r="R1014" s="1056"/>
      <c r="S1014" s="1056"/>
      <c r="T1014" s="2059">
        <f t="shared" si="202"/>
        <v>0</v>
      </c>
    </row>
    <row r="1015" spans="1:20" ht="22.15" hidden="1" customHeight="1">
      <c r="A1015" s="59"/>
      <c r="B1015" s="1586" t="s">
        <v>279</v>
      </c>
      <c r="C1015" s="1015" t="str">
        <f t="shared" si="200"/>
        <v xml:space="preserve"> </v>
      </c>
      <c r="D1015" s="1543">
        <f>0.92*2.826*4</f>
        <v>10.39968</v>
      </c>
      <c r="E1015" s="1047"/>
      <c r="F1015" s="1059" t="str">
        <f>VLOOKUP($B1015,DG!A:D,DG!$C$2,)</f>
        <v>Sắt dẹt 60 x 6</v>
      </c>
      <c r="G1015" s="1047" t="str">
        <f>VLOOKUP($B1015,DG!A:D,DG!$D$2,)</f>
        <v>kg</v>
      </c>
      <c r="H1015" s="1845">
        <f t="shared" si="204"/>
        <v>0</v>
      </c>
      <c r="I1015" s="1845">
        <f t="shared" si="204"/>
        <v>0</v>
      </c>
      <c r="J1015" s="1845">
        <f t="shared" si="204"/>
        <v>0</v>
      </c>
      <c r="K1015" s="1845">
        <f t="shared" si="204"/>
        <v>0</v>
      </c>
      <c r="L1015" s="1845">
        <f t="shared" si="204"/>
        <v>0</v>
      </c>
      <c r="M1015" s="1845"/>
      <c r="N1015" s="1845"/>
      <c r="O1015" s="1845"/>
      <c r="P1015" s="1845"/>
      <c r="Q1015" s="1056"/>
      <c r="R1015" s="1056"/>
      <c r="S1015" s="1056"/>
      <c r="T1015" s="2059">
        <f t="shared" si="202"/>
        <v>0</v>
      </c>
    </row>
    <row r="1016" spans="1:20" ht="22.15" hidden="1" customHeight="1">
      <c r="A1016" s="59"/>
      <c r="B1016" s="1586" t="s">
        <v>1792</v>
      </c>
      <c r="C1016" s="1015" t="str">
        <f t="shared" si="200"/>
        <v xml:space="preserve"> </v>
      </c>
      <c r="D1016" s="1544">
        <v>4</v>
      </c>
      <c r="E1016" s="1047"/>
      <c r="F1016" s="1059" t="str">
        <f>VLOOKUP($B1016,DG!A:D,DG!$C$2,)</f>
        <v>Boulon 16x50+ 2 long đền vuông D18-50x50x3/Zn</v>
      </c>
      <c r="G1016" s="1047" t="str">
        <f>VLOOKUP($B1016,DG!A:D,DG!$D$2,)</f>
        <v>bộ</v>
      </c>
      <c r="H1016" s="1845">
        <f t="shared" si="204"/>
        <v>0</v>
      </c>
      <c r="I1016" s="1845">
        <f t="shared" si="204"/>
        <v>0</v>
      </c>
      <c r="J1016" s="1845">
        <f t="shared" si="204"/>
        <v>0</v>
      </c>
      <c r="K1016" s="1845">
        <f t="shared" si="204"/>
        <v>0</v>
      </c>
      <c r="L1016" s="1845">
        <f t="shared" si="204"/>
        <v>0</v>
      </c>
      <c r="M1016" s="1845"/>
      <c r="N1016" s="1845"/>
      <c r="O1016" s="1845"/>
      <c r="P1016" s="1845"/>
      <c r="Q1016" s="1056"/>
      <c r="R1016" s="1056"/>
      <c r="S1016" s="1056"/>
      <c r="T1016" s="2059">
        <f t="shared" si="202"/>
        <v>0</v>
      </c>
    </row>
    <row r="1017" spans="1:20" ht="22.15" hidden="1" customHeight="1">
      <c r="A1017" s="59"/>
      <c r="B1017" s="1586" t="s">
        <v>1614</v>
      </c>
      <c r="C1017" s="1015" t="str">
        <f t="shared" si="200"/>
        <v xml:space="preserve"> </v>
      </c>
      <c r="D1017" s="1544">
        <v>4</v>
      </c>
      <c r="E1017" s="1047"/>
      <c r="F1017" s="1059" t="str">
        <f>VLOOKUP($B1017,DG!A:D,DG!$C$2,)</f>
        <v>Boulon 16x250+ 2 long đền vuông D18-50x50x3/Zn</v>
      </c>
      <c r="G1017" s="1047" t="str">
        <f>VLOOKUP($B1017,DG!A:D,DG!$D$2,)</f>
        <v>bộ</v>
      </c>
      <c r="H1017" s="1845">
        <f t="shared" si="204"/>
        <v>0</v>
      </c>
      <c r="I1017" s="1845">
        <f t="shared" si="204"/>
        <v>0</v>
      </c>
      <c r="J1017" s="1845">
        <f t="shared" si="204"/>
        <v>0</v>
      </c>
      <c r="K1017" s="1845">
        <f t="shared" si="204"/>
        <v>0</v>
      </c>
      <c r="L1017" s="1845">
        <f t="shared" si="204"/>
        <v>0</v>
      </c>
      <c r="M1017" s="1845"/>
      <c r="N1017" s="1845"/>
      <c r="O1017" s="1845"/>
      <c r="P1017" s="1845"/>
      <c r="Q1017" s="1056"/>
      <c r="R1017" s="1056"/>
      <c r="S1017" s="1056"/>
      <c r="T1017" s="2059">
        <f t="shared" si="202"/>
        <v>0</v>
      </c>
    </row>
    <row r="1018" spans="1:20" ht="22.15" hidden="1" customHeight="1">
      <c r="A1018" s="59"/>
      <c r="B1018" s="1586" t="s">
        <v>1790</v>
      </c>
      <c r="C1018" s="1015" t="str">
        <f t="shared" si="200"/>
        <v xml:space="preserve"> </v>
      </c>
      <c r="D1018" s="1544">
        <v>4</v>
      </c>
      <c r="E1018" s="1047"/>
      <c r="F1018" s="1059" t="str">
        <f>VLOOKUP($B1018,DG!A:D,DG!$C$2,)</f>
        <v>Boulon 16x300VRS+ 4 long đền vuông D18-50x50x3/Zn</v>
      </c>
      <c r="G1018" s="1047" t="str">
        <f>VLOOKUP($B1018,DG!A:D,DG!$D$2,)</f>
        <v>bộ</v>
      </c>
      <c r="H1018" s="1845">
        <f t="shared" si="204"/>
        <v>0</v>
      </c>
      <c r="I1018" s="1845">
        <f t="shared" si="204"/>
        <v>0</v>
      </c>
      <c r="J1018" s="1845">
        <f t="shared" si="204"/>
        <v>0</v>
      </c>
      <c r="K1018" s="1845">
        <f t="shared" si="204"/>
        <v>0</v>
      </c>
      <c r="L1018" s="1845">
        <f t="shared" si="204"/>
        <v>0</v>
      </c>
      <c r="M1018" s="1845"/>
      <c r="N1018" s="1845"/>
      <c r="O1018" s="1845"/>
      <c r="P1018" s="1845"/>
      <c r="Q1018" s="1056"/>
      <c r="R1018" s="1056"/>
      <c r="S1018" s="1056"/>
      <c r="T1018" s="2059">
        <f t="shared" si="202"/>
        <v>0</v>
      </c>
    </row>
    <row r="1019" spans="1:20" ht="22.15" hidden="1" customHeight="1">
      <c r="A1019" s="59"/>
      <c r="B1019" s="1586" t="s">
        <v>2250</v>
      </c>
      <c r="C1019" s="1015" t="str">
        <f t="shared" si="200"/>
        <v xml:space="preserve"> </v>
      </c>
      <c r="D1019" s="1544">
        <v>1</v>
      </c>
      <c r="E1019" s="1047"/>
      <c r="F1019" s="1052" t="str">
        <f>VLOOKUP($B1019,DG!A:D,DG!$C$2,)</f>
        <v>Lắp xà cột Pi loại ≤140kg/xà</v>
      </c>
      <c r="G1019" s="1047" t="str">
        <f>VLOOKUP($B1019,DG!A:D,DG!$D$2,)</f>
        <v>bộ</v>
      </c>
      <c r="H1019" s="1845"/>
      <c r="I1019" s="1845"/>
      <c r="J1019" s="1845"/>
      <c r="K1019" s="1845"/>
      <c r="L1019" s="1845"/>
      <c r="M1019" s="1845"/>
      <c r="N1019" s="1845"/>
      <c r="O1019" s="1845"/>
      <c r="P1019" s="1845"/>
      <c r="Q1019" s="1056"/>
      <c r="R1019" s="1056"/>
      <c r="S1019" s="1056"/>
      <c r="T1019" s="2059">
        <f t="shared" si="202"/>
        <v>0</v>
      </c>
    </row>
    <row r="1020" spans="1:20" ht="22.15" hidden="1" customHeight="1">
      <c r="A1020" s="59"/>
      <c r="B1020" s="1586" t="s">
        <v>2002</v>
      </c>
      <c r="C1020" s="1015" t="str">
        <f t="shared" si="200"/>
        <v xml:space="preserve"> </v>
      </c>
      <c r="D1020" s="1542">
        <f>D1021</f>
        <v>7.2999999999999995E-2</v>
      </c>
      <c r="E1020" s="1047"/>
      <c r="F1020" s="1052" t="str">
        <f>VLOOKUP($B1020,DG!A:D,DG!$C$2,)</f>
        <v>Bốc dỡ xà, thép thanh</v>
      </c>
      <c r="G1020" s="1047" t="str">
        <f>VLOOKUP($B1020,DG!A:D,DG!$D$2,)</f>
        <v>tấn</v>
      </c>
      <c r="H1020" s="1845"/>
      <c r="I1020" s="1845"/>
      <c r="J1020" s="1845"/>
      <c r="K1020" s="1845"/>
      <c r="L1020" s="1845"/>
      <c r="M1020" s="1845"/>
      <c r="N1020" s="1845"/>
      <c r="O1020" s="1845"/>
      <c r="P1020" s="1845"/>
      <c r="Q1020" s="1056"/>
      <c r="R1020" s="1056"/>
      <c r="S1020" s="1056"/>
      <c r="T1020" s="2059">
        <f t="shared" si="202"/>
        <v>0</v>
      </c>
    </row>
    <row r="1021" spans="1:20" ht="22.15" hidden="1" customHeight="1">
      <c r="A1021" s="59"/>
      <c r="B1021" s="1598" t="s">
        <v>2003</v>
      </c>
      <c r="C1021" s="1015" t="str">
        <f t="shared" si="200"/>
        <v xml:space="preserve"> </v>
      </c>
      <c r="D1021" s="1542">
        <f>ROUND(SUM(D1014:D1015)*1.05/1000,3)</f>
        <v>7.2999999999999995E-2</v>
      </c>
      <c r="E1021" s="1047" t="str">
        <f>VLOOKUP($B1021,DG!A:C,2,)</f>
        <v>02.1361</v>
      </c>
      <c r="F1021" s="1052" t="str">
        <f>VLOOKUP($B1021,DG!A:C,3,)</f>
        <v>V/c xà vào vị trí (cư ly &lt;=100m)</v>
      </c>
      <c r="G1021" s="1047" t="str">
        <f>VLOOKUP($B1021,DG!A:D,4,0)</f>
        <v>tấn</v>
      </c>
      <c r="H1021" s="1845"/>
      <c r="I1021" s="1845"/>
      <c r="J1021" s="1845"/>
      <c r="K1021" s="1845"/>
      <c r="L1021" s="1845"/>
      <c r="M1021" s="1845"/>
      <c r="N1021" s="1845"/>
      <c r="O1021" s="1845"/>
      <c r="P1021" s="1845"/>
      <c r="Q1021" s="1061"/>
      <c r="R1021" s="1061"/>
      <c r="S1021" s="1061"/>
      <c r="T1021" s="2059">
        <f t="shared" si="202"/>
        <v>0</v>
      </c>
    </row>
    <row r="1022" spans="1:20" ht="22.15" hidden="1" customHeight="1">
      <c r="A1022" s="59"/>
      <c r="B1022" s="1598" t="s">
        <v>635</v>
      </c>
      <c r="C1022" s="1015" t="str">
        <f t="shared" si="200"/>
        <v xml:space="preserve"> </v>
      </c>
      <c r="D1022" s="1543">
        <v>0.05</v>
      </c>
      <c r="E1022" s="1047" t="str">
        <f>VLOOKUP($B1022,DG!A:C,2,)</f>
        <v>02.1482</v>
      </c>
      <c r="F1022" s="1052" t="str">
        <f>VLOOKUP($B1022,DG!A:C,3,)</f>
        <v>V/c dụng cụ thi công vào vị trí (cự ly &lt;=100m)</v>
      </c>
      <c r="G1022" s="1047" t="str">
        <f>VLOOKUP($B1022,DG!A:D,4,0)</f>
        <v>tấn</v>
      </c>
      <c r="H1022" s="1845"/>
      <c r="I1022" s="1845"/>
      <c r="J1022" s="1845"/>
      <c r="K1022" s="1845"/>
      <c r="L1022" s="1845"/>
      <c r="M1022" s="1845"/>
      <c r="N1022" s="1845"/>
      <c r="O1022" s="1845"/>
      <c r="P1022" s="1845"/>
      <c r="Q1022" s="1061"/>
      <c r="R1022" s="1061"/>
      <c r="S1022" s="1061"/>
      <c r="T1022" s="2059">
        <f t="shared" si="202"/>
        <v>0</v>
      </c>
    </row>
    <row r="1023" spans="1:20" ht="22.15" hidden="1" customHeight="1">
      <c r="A1023" s="56" t="s">
        <v>2307</v>
      </c>
      <c r="B1023" s="1583" t="s">
        <v>2307</v>
      </c>
      <c r="C1023" s="1015" t="str">
        <f t="shared" si="200"/>
        <v xml:space="preserve"> </v>
      </c>
      <c r="D1023" s="1541"/>
      <c r="E1023" s="1048"/>
      <c r="F1023" s="1396" t="s">
        <v>2459</v>
      </c>
      <c r="G1023" s="1049" t="s">
        <v>2394</v>
      </c>
      <c r="H1023" s="1843">
        <f>SUM(I1023:O1023)</f>
        <v>0</v>
      </c>
      <c r="I1023" s="1844"/>
      <c r="J1023" s="1844"/>
      <c r="K1023" s="1844">
        <f>IFERROR(HLOOKUP(B1023,pp3p1m!$1:$3,3,0),0)</f>
        <v>0</v>
      </c>
      <c r="L1023" s="1844">
        <f>IFERROR(HLOOKUP(chitiet!B1023,pp1p!$1:$3,3,0),0)</f>
        <v>0</v>
      </c>
      <c r="M1023" s="1844"/>
      <c r="N1023" s="1844"/>
      <c r="O1023" s="1844"/>
      <c r="P1023" s="1844">
        <f>H1023+Q1023-R1023</f>
        <v>0</v>
      </c>
      <c r="Q1023" s="1050"/>
      <c r="R1023" s="1050"/>
      <c r="S1023" s="1050"/>
      <c r="T1023" s="2059">
        <f>IFERROR(HLOOKUP(B1023,pp1p!$1:$3,3,0),0)+IFERROR(HLOOKUP(B1023,pp3p1m!$1:$3,3,0),0)</f>
        <v>0</v>
      </c>
    </row>
    <row r="1024" spans="1:20" ht="22.15" hidden="1" customHeight="1">
      <c r="A1024" s="59"/>
      <c r="B1024" s="1586" t="s">
        <v>109</v>
      </c>
      <c r="C1024" s="1015" t="str">
        <f t="shared" si="200"/>
        <v xml:space="preserve"> </v>
      </c>
      <c r="D1024" s="1543">
        <f>9.02*(3.8+6*0.1)</f>
        <v>39.688000000000002</v>
      </c>
      <c r="E1024" s="1047"/>
      <c r="F1024" s="1059" t="str">
        <f>VLOOKUP($B1024,DG!A:D,DG!$C$2,)</f>
        <v>Sắt góc L75 x75 x8</v>
      </c>
      <c r="G1024" s="1047" t="str">
        <f>VLOOKUP($B1024,DG!A:D,DG!$D$2,)</f>
        <v>kg</v>
      </c>
      <c r="H1024" s="1845">
        <f t="shared" ref="H1024:L1028" si="205">H$1023*$D1024</f>
        <v>0</v>
      </c>
      <c r="I1024" s="1845">
        <f t="shared" si="205"/>
        <v>0</v>
      </c>
      <c r="J1024" s="1845">
        <f t="shared" si="205"/>
        <v>0</v>
      </c>
      <c r="K1024" s="1845">
        <f t="shared" si="205"/>
        <v>0</v>
      </c>
      <c r="L1024" s="1845">
        <f t="shared" si="205"/>
        <v>0</v>
      </c>
      <c r="M1024" s="1845"/>
      <c r="N1024" s="1845"/>
      <c r="O1024" s="1845"/>
      <c r="P1024" s="1845"/>
      <c r="Q1024" s="1056"/>
      <c r="R1024" s="1056"/>
      <c r="S1024" s="1056"/>
      <c r="T1024" s="2059">
        <f t="shared" si="202"/>
        <v>0</v>
      </c>
    </row>
    <row r="1025" spans="1:20" ht="22.15" hidden="1" customHeight="1">
      <c r="A1025" s="59"/>
      <c r="B1025" s="1586" t="s">
        <v>457</v>
      </c>
      <c r="C1025" s="1015" t="str">
        <f t="shared" si="200"/>
        <v xml:space="preserve"> </v>
      </c>
      <c r="D1025" s="1543">
        <f>3.77*2.05*2</f>
        <v>15.456999999999999</v>
      </c>
      <c r="E1025" s="1047"/>
      <c r="F1025" s="1059" t="str">
        <f>VLOOKUP($B1025,DG!A:D,DG!$C$2,)</f>
        <v>Sắt góc L50 x50 x5</v>
      </c>
      <c r="G1025" s="1047" t="str">
        <f>VLOOKUP($B1025,DG!A:D,DG!$D$2,)</f>
        <v>kg</v>
      </c>
      <c r="H1025" s="1845">
        <f t="shared" si="205"/>
        <v>0</v>
      </c>
      <c r="I1025" s="1845">
        <f t="shared" si="205"/>
        <v>0</v>
      </c>
      <c r="J1025" s="1845">
        <f t="shared" si="205"/>
        <v>0</v>
      </c>
      <c r="K1025" s="1845">
        <f t="shared" si="205"/>
        <v>0</v>
      </c>
      <c r="L1025" s="1845">
        <f t="shared" si="205"/>
        <v>0</v>
      </c>
      <c r="M1025" s="1845"/>
      <c r="N1025" s="1845"/>
      <c r="O1025" s="1845"/>
      <c r="P1025" s="1845"/>
      <c r="Q1025" s="1056"/>
      <c r="R1025" s="1056"/>
      <c r="S1025" s="1056"/>
      <c r="T1025" s="2059">
        <f t="shared" si="202"/>
        <v>0</v>
      </c>
    </row>
    <row r="1026" spans="1:20" ht="22.15" hidden="1" customHeight="1">
      <c r="A1026" s="59"/>
      <c r="B1026" s="1586" t="s">
        <v>2114</v>
      </c>
      <c r="C1026" s="1015" t="str">
        <f t="shared" si="200"/>
        <v xml:space="preserve"> </v>
      </c>
      <c r="D1026" s="1543">
        <f>1.963*0.4*2</f>
        <v>1.5704000000000002</v>
      </c>
      <c r="E1026" s="1047"/>
      <c r="F1026" s="1059" t="str">
        <f>VLOOKUP($B1026,DG!A:D,DG!$C$2,)</f>
        <v>Sắt dẹt 50x5</v>
      </c>
      <c r="G1026" s="1047" t="str">
        <f>VLOOKUP($B1026,DG!A:D,DG!$D$2,)</f>
        <v>kg</v>
      </c>
      <c r="H1026" s="1845">
        <f t="shared" si="205"/>
        <v>0</v>
      </c>
      <c r="I1026" s="1845">
        <f t="shared" si="205"/>
        <v>0</v>
      </c>
      <c r="J1026" s="1845">
        <f t="shared" si="205"/>
        <v>0</v>
      </c>
      <c r="K1026" s="1845">
        <f t="shared" si="205"/>
        <v>0</v>
      </c>
      <c r="L1026" s="1845">
        <f t="shared" si="205"/>
        <v>0</v>
      </c>
      <c r="M1026" s="1845"/>
      <c r="N1026" s="1845"/>
      <c r="O1026" s="1845"/>
      <c r="P1026" s="1845"/>
      <c r="Q1026" s="1056"/>
      <c r="R1026" s="1056"/>
      <c r="S1026" s="1056"/>
      <c r="T1026" s="2059">
        <f t="shared" si="202"/>
        <v>0</v>
      </c>
    </row>
    <row r="1027" spans="1:20" ht="22.15" hidden="1" customHeight="1">
      <c r="A1027" s="59"/>
      <c r="B1027" s="1586" t="s">
        <v>1614</v>
      </c>
      <c r="C1027" s="1015" t="str">
        <f t="shared" si="200"/>
        <v xml:space="preserve"> </v>
      </c>
      <c r="D1027" s="1544">
        <v>2</v>
      </c>
      <c r="E1027" s="1047"/>
      <c r="F1027" s="1059" t="str">
        <f>VLOOKUP($B1027,DG!A:D,DG!$C$2,)</f>
        <v>Boulon 16x250+ 2 long đền vuông D18-50x50x3/Zn</v>
      </c>
      <c r="G1027" s="1047" t="str">
        <f>VLOOKUP($B1027,DG!A:D,DG!$D$2,)</f>
        <v>bộ</v>
      </c>
      <c r="H1027" s="1845">
        <f t="shared" si="205"/>
        <v>0</v>
      </c>
      <c r="I1027" s="1845">
        <f t="shared" si="205"/>
        <v>0</v>
      </c>
      <c r="J1027" s="1845">
        <f t="shared" si="205"/>
        <v>0</v>
      </c>
      <c r="K1027" s="1845">
        <f t="shared" si="205"/>
        <v>0</v>
      </c>
      <c r="L1027" s="1845">
        <f t="shared" si="205"/>
        <v>0</v>
      </c>
      <c r="M1027" s="1845"/>
      <c r="N1027" s="1845"/>
      <c r="O1027" s="1845"/>
      <c r="P1027" s="1845"/>
      <c r="Q1027" s="1056"/>
      <c r="R1027" s="1056"/>
      <c r="S1027" s="1056"/>
      <c r="T1027" s="2059">
        <f t="shared" si="202"/>
        <v>0</v>
      </c>
    </row>
    <row r="1028" spans="1:20" ht="22.15" hidden="1" customHeight="1">
      <c r="A1028" s="59"/>
      <c r="B1028" s="1586" t="s">
        <v>1792</v>
      </c>
      <c r="C1028" s="1015" t="str">
        <f t="shared" si="200"/>
        <v xml:space="preserve"> </v>
      </c>
      <c r="D1028" s="1544">
        <v>2</v>
      </c>
      <c r="E1028" s="1047"/>
      <c r="F1028" s="1059" t="str">
        <f>VLOOKUP($B1028,DG!A:D,DG!$C$2,)</f>
        <v>Boulon 16x50+ 2 long đền vuông D18-50x50x3/Zn</v>
      </c>
      <c r="G1028" s="1047" t="str">
        <f>VLOOKUP($B1028,DG!A:D,DG!$D$2,)</f>
        <v>bộ</v>
      </c>
      <c r="H1028" s="1845">
        <f t="shared" si="205"/>
        <v>0</v>
      </c>
      <c r="I1028" s="1845">
        <f t="shared" si="205"/>
        <v>0</v>
      </c>
      <c r="J1028" s="1845">
        <f t="shared" si="205"/>
        <v>0</v>
      </c>
      <c r="K1028" s="1845">
        <f t="shared" si="205"/>
        <v>0</v>
      </c>
      <c r="L1028" s="1845">
        <f t="shared" si="205"/>
        <v>0</v>
      </c>
      <c r="M1028" s="1845"/>
      <c r="N1028" s="1845"/>
      <c r="O1028" s="1845"/>
      <c r="P1028" s="1845"/>
      <c r="Q1028" s="1056"/>
      <c r="R1028" s="1056"/>
      <c r="S1028" s="1056"/>
      <c r="T1028" s="2059">
        <f t="shared" si="202"/>
        <v>0</v>
      </c>
    </row>
    <row r="1029" spans="1:20" ht="22.15" hidden="1" customHeight="1">
      <c r="A1029" s="59"/>
      <c r="B1029" s="1586" t="s">
        <v>2001</v>
      </c>
      <c r="C1029" s="1015" t="str">
        <f t="shared" si="200"/>
        <v xml:space="preserve"> </v>
      </c>
      <c r="D1029" s="1544">
        <v>1</v>
      </c>
      <c r="E1029" s="1047" t="str">
        <f>VLOOKUP($B1029,DG!A:D,DG!$B$2,)</f>
        <v>05.6401</v>
      </c>
      <c r="F1029" s="1052" t="str">
        <f>VLOOKUP($B1029,DG!A:D,DG!$C$2,)</f>
        <v>Lắp xà đỡ ≤ 25kg</v>
      </c>
      <c r="G1029" s="1047" t="str">
        <f>VLOOKUP($B1029,DG!A:D,DG!$D$2,)</f>
        <v>bộ</v>
      </c>
      <c r="H1029" s="1845"/>
      <c r="I1029" s="1845"/>
      <c r="J1029" s="1845"/>
      <c r="K1029" s="1845"/>
      <c r="L1029" s="1845"/>
      <c r="M1029" s="1845"/>
      <c r="N1029" s="1845"/>
      <c r="O1029" s="1845"/>
      <c r="P1029" s="1845"/>
      <c r="Q1029" s="1061"/>
      <c r="R1029" s="1061"/>
      <c r="S1029" s="1061"/>
      <c r="T1029" s="2059">
        <f t="shared" si="202"/>
        <v>0</v>
      </c>
    </row>
    <row r="1030" spans="1:20" ht="22.15" hidden="1" customHeight="1">
      <c r="A1030" s="59"/>
      <c r="B1030" s="1586" t="s">
        <v>2002</v>
      </c>
      <c r="C1030" s="1015" t="str">
        <f t="shared" si="200"/>
        <v xml:space="preserve"> </v>
      </c>
      <c r="D1030" s="1542">
        <f>D1031</f>
        <v>0.06</v>
      </c>
      <c r="E1030" s="1047" t="str">
        <f>VLOOKUP($B1030,DG!A:D,DG!$B$2,)</f>
        <v>02.1115</v>
      </c>
      <c r="F1030" s="1052" t="str">
        <f>VLOOKUP($B1030,DG!A:D,DG!$C$2,)</f>
        <v>Bốc dỡ xà, thép thanh</v>
      </c>
      <c r="G1030" s="1047" t="str">
        <f>VLOOKUP($B1030,DG!A:D,DG!$D$2,)</f>
        <v>tấn</v>
      </c>
      <c r="H1030" s="1845"/>
      <c r="I1030" s="1845"/>
      <c r="J1030" s="1845"/>
      <c r="K1030" s="1845"/>
      <c r="L1030" s="1845"/>
      <c r="M1030" s="1845"/>
      <c r="N1030" s="1845"/>
      <c r="O1030" s="1845"/>
      <c r="P1030" s="1845"/>
      <c r="Q1030" s="1061"/>
      <c r="R1030" s="1061"/>
      <c r="S1030" s="1061"/>
      <c r="T1030" s="2059">
        <f t="shared" si="202"/>
        <v>0</v>
      </c>
    </row>
    <row r="1031" spans="1:20" ht="22.15" hidden="1" customHeight="1">
      <c r="A1031" s="59"/>
      <c r="B1031" s="1598" t="s">
        <v>2003</v>
      </c>
      <c r="C1031" s="1015" t="str">
        <f t="shared" si="200"/>
        <v xml:space="preserve"> </v>
      </c>
      <c r="D1031" s="1542">
        <f>ROUND(SUM(D1024:D1026)*1.05/1000,3)</f>
        <v>0.06</v>
      </c>
      <c r="E1031" s="1047" t="str">
        <f>VLOOKUP($B1031,DG!A:C,2,)</f>
        <v>02.1361</v>
      </c>
      <c r="F1031" s="1052" t="str">
        <f>VLOOKUP($B1031,DG!A:C,3,)</f>
        <v>V/c xà vào vị trí (cư ly &lt;=100m)</v>
      </c>
      <c r="G1031" s="1047" t="str">
        <f>VLOOKUP($B1031,DG!A:D,4,0)</f>
        <v>tấn</v>
      </c>
      <c r="H1031" s="1845"/>
      <c r="I1031" s="1845"/>
      <c r="J1031" s="1845"/>
      <c r="K1031" s="1845"/>
      <c r="L1031" s="1845"/>
      <c r="M1031" s="1845"/>
      <c r="N1031" s="1845"/>
      <c r="O1031" s="1845"/>
      <c r="P1031" s="1845"/>
      <c r="Q1031" s="1061"/>
      <c r="R1031" s="1061"/>
      <c r="S1031" s="1061"/>
      <c r="T1031" s="2059">
        <f t="shared" si="202"/>
        <v>0</v>
      </c>
    </row>
    <row r="1032" spans="1:20" ht="22.15" hidden="1" customHeight="1">
      <c r="A1032" s="59"/>
      <c r="B1032" s="1598" t="s">
        <v>635</v>
      </c>
      <c r="C1032" s="1015" t="str">
        <f t="shared" si="200"/>
        <v xml:space="preserve"> </v>
      </c>
      <c r="D1032" s="1543">
        <v>0.05</v>
      </c>
      <c r="E1032" s="1047" t="str">
        <f>VLOOKUP($B1032,DG!A:C,2,)</f>
        <v>02.1482</v>
      </c>
      <c r="F1032" s="1052" t="str">
        <f>VLOOKUP($B1032,DG!A:C,3,)</f>
        <v>V/c dụng cụ thi công vào vị trí (cự ly &lt;=100m)</v>
      </c>
      <c r="G1032" s="1047" t="str">
        <f>VLOOKUP($B1032,DG!A:D,4,0)</f>
        <v>tấn</v>
      </c>
      <c r="H1032" s="1845"/>
      <c r="I1032" s="1845"/>
      <c r="J1032" s="1845"/>
      <c r="K1032" s="1845"/>
      <c r="L1032" s="1845"/>
      <c r="M1032" s="1845"/>
      <c r="N1032" s="1845"/>
      <c r="O1032" s="1845"/>
      <c r="P1032" s="1845"/>
      <c r="Q1032" s="1061"/>
      <c r="R1032" s="1061"/>
      <c r="S1032" s="1061"/>
      <c r="T1032" s="2059">
        <f t="shared" si="202"/>
        <v>0</v>
      </c>
    </row>
    <row r="1033" spans="1:20" ht="22.15" hidden="1" customHeight="1">
      <c r="A1033" s="56" t="s">
        <v>809</v>
      </c>
      <c r="B1033" s="1583" t="s">
        <v>809</v>
      </c>
      <c r="C1033" s="1015" t="str">
        <f t="shared" si="200"/>
        <v xml:space="preserve"> </v>
      </c>
      <c r="D1033" s="1541"/>
      <c r="E1033" s="1048"/>
      <c r="F1033" s="1396" t="s">
        <v>2460</v>
      </c>
      <c r="G1033" s="1049" t="s">
        <v>2394</v>
      </c>
      <c r="H1033" s="1843">
        <f>SUM(I1033:O1033)</f>
        <v>0</v>
      </c>
      <c r="I1033" s="1844"/>
      <c r="J1033" s="1844"/>
      <c r="K1033" s="1844">
        <f>IFERROR(HLOOKUP(B1033,pp3p1m!$1:$3,3,0),0)</f>
        <v>0</v>
      </c>
      <c r="L1033" s="1844">
        <f>IFERROR(HLOOKUP(chitiet!B1033,pp1p!$1:$3,3,0),0)</f>
        <v>0</v>
      </c>
      <c r="M1033" s="1844"/>
      <c r="N1033" s="1844"/>
      <c r="O1033" s="1844"/>
      <c r="P1033" s="1844">
        <f>H1033+Q1033-R1033</f>
        <v>0</v>
      </c>
      <c r="Q1033" s="1050"/>
      <c r="R1033" s="1050"/>
      <c r="S1033" s="1050"/>
      <c r="T1033" s="2059">
        <f>IFERROR(HLOOKUP(B1033,pp1p!$1:$3,3,0),0)+IFERROR(HLOOKUP(B1033,pp3p1m!$1:$3,3,0),0)</f>
        <v>0</v>
      </c>
    </row>
    <row r="1034" spans="1:20" ht="22.15" hidden="1" customHeight="1">
      <c r="A1034" s="59"/>
      <c r="B1034" s="1586" t="s">
        <v>109</v>
      </c>
      <c r="C1034" s="1015" t="str">
        <f t="shared" si="200"/>
        <v xml:space="preserve"> </v>
      </c>
      <c r="D1034" s="1543">
        <f>9.02*(4.2+6*0.1)*2</f>
        <v>86.592000000000013</v>
      </c>
      <c r="E1034" s="1047"/>
      <c r="F1034" s="1059" t="str">
        <f>VLOOKUP($B1034,DG!A:D,DG!$C$2,)</f>
        <v>Sắt góc L75 x75 x8</v>
      </c>
      <c r="G1034" s="1047" t="str">
        <f>VLOOKUP($B1034,DG!A:D,DG!$D$2,)</f>
        <v>kg</v>
      </c>
      <c r="H1034" s="1845">
        <f t="shared" ref="H1034:L1037" si="206">H$1033*$D1034</f>
        <v>0</v>
      </c>
      <c r="I1034" s="1845">
        <f t="shared" si="206"/>
        <v>0</v>
      </c>
      <c r="J1034" s="1845">
        <f t="shared" si="206"/>
        <v>0</v>
      </c>
      <c r="K1034" s="1845">
        <f t="shared" si="206"/>
        <v>0</v>
      </c>
      <c r="L1034" s="1845">
        <f t="shared" si="206"/>
        <v>0</v>
      </c>
      <c r="M1034" s="1845"/>
      <c r="N1034" s="1845"/>
      <c r="O1034" s="1845"/>
      <c r="P1034" s="1845"/>
      <c r="Q1034" s="1056"/>
      <c r="R1034" s="1056"/>
      <c r="S1034" s="1056"/>
      <c r="T1034" s="2059">
        <f t="shared" si="202"/>
        <v>0</v>
      </c>
    </row>
    <row r="1035" spans="1:20" ht="22.15" hidden="1" customHeight="1">
      <c r="A1035" s="59"/>
      <c r="B1035" s="1586" t="s">
        <v>279</v>
      </c>
      <c r="C1035" s="1015" t="str">
        <f t="shared" si="200"/>
        <v xml:space="preserve"> </v>
      </c>
      <c r="D1035" s="1543">
        <f>2.826*0.92*8</f>
        <v>20.79936</v>
      </c>
      <c r="E1035" s="1047"/>
      <c r="F1035" s="1059" t="str">
        <f>VLOOKUP($B1035,DG!A:D,DG!$C$2,)</f>
        <v>Sắt dẹt 60 x 6</v>
      </c>
      <c r="G1035" s="1047" t="str">
        <f>VLOOKUP($B1035,DG!A:D,DG!$D$2,)</f>
        <v>kg</v>
      </c>
      <c r="H1035" s="1845">
        <f t="shared" si="206"/>
        <v>0</v>
      </c>
      <c r="I1035" s="1845">
        <f t="shared" si="206"/>
        <v>0</v>
      </c>
      <c r="J1035" s="1845">
        <f t="shared" si="206"/>
        <v>0</v>
      </c>
      <c r="K1035" s="1845">
        <f t="shared" si="206"/>
        <v>0</v>
      </c>
      <c r="L1035" s="1845">
        <f t="shared" si="206"/>
        <v>0</v>
      </c>
      <c r="M1035" s="1845"/>
      <c r="N1035" s="1845"/>
      <c r="O1035" s="1845"/>
      <c r="P1035" s="1845"/>
      <c r="Q1035" s="1056"/>
      <c r="R1035" s="1056"/>
      <c r="S1035" s="1056"/>
      <c r="T1035" s="2059">
        <f t="shared" si="202"/>
        <v>0</v>
      </c>
    </row>
    <row r="1036" spans="1:20" ht="22.15" hidden="1" customHeight="1">
      <c r="A1036" s="59"/>
      <c r="B1036" s="1586" t="s">
        <v>1614</v>
      </c>
      <c r="C1036" s="1015" t="str">
        <f t="shared" si="200"/>
        <v xml:space="preserve"> </v>
      </c>
      <c r="D1036" s="1544">
        <v>4</v>
      </c>
      <c r="E1036" s="1047"/>
      <c r="F1036" s="1059" t="str">
        <f>VLOOKUP($B1036,DG!A:D,DG!$C$2,)</f>
        <v>Boulon 16x250+ 2 long đền vuông D18-50x50x3/Zn</v>
      </c>
      <c r="G1036" s="1047" t="str">
        <f>VLOOKUP($B1036,DG!A:D,DG!$D$2,)</f>
        <v>bộ</v>
      </c>
      <c r="H1036" s="1845">
        <f t="shared" si="206"/>
        <v>0</v>
      </c>
      <c r="I1036" s="1845">
        <f t="shared" si="206"/>
        <v>0</v>
      </c>
      <c r="J1036" s="1845">
        <f t="shared" si="206"/>
        <v>0</v>
      </c>
      <c r="K1036" s="1845">
        <f t="shared" si="206"/>
        <v>0</v>
      </c>
      <c r="L1036" s="1845">
        <f t="shared" si="206"/>
        <v>0</v>
      </c>
      <c r="M1036" s="1845"/>
      <c r="N1036" s="1845"/>
      <c r="O1036" s="1845"/>
      <c r="P1036" s="1845"/>
      <c r="Q1036" s="1056"/>
      <c r="R1036" s="1056"/>
      <c r="S1036" s="1056"/>
      <c r="T1036" s="2059">
        <f t="shared" si="202"/>
        <v>0</v>
      </c>
    </row>
    <row r="1037" spans="1:20" ht="22.15" hidden="1" customHeight="1">
      <c r="A1037" s="59"/>
      <c r="B1037" s="1586" t="s">
        <v>1790</v>
      </c>
      <c r="C1037" s="1015" t="str">
        <f t="shared" si="200"/>
        <v xml:space="preserve"> </v>
      </c>
      <c r="D1037" s="1544">
        <v>6</v>
      </c>
      <c r="E1037" s="1047"/>
      <c r="F1037" s="1059" t="str">
        <f>VLOOKUP($B1037,DG!A:D,DG!$C$2,)</f>
        <v>Boulon 16x300VRS+ 4 long đền vuông D18-50x50x3/Zn</v>
      </c>
      <c r="G1037" s="1047" t="str">
        <f>VLOOKUP($B1037,DG!A:D,DG!$D$2,)</f>
        <v>bộ</v>
      </c>
      <c r="H1037" s="1845">
        <f t="shared" si="206"/>
        <v>0</v>
      </c>
      <c r="I1037" s="1845">
        <f t="shared" si="206"/>
        <v>0</v>
      </c>
      <c r="J1037" s="1845">
        <f t="shared" si="206"/>
        <v>0</v>
      </c>
      <c r="K1037" s="1845">
        <f t="shared" si="206"/>
        <v>0</v>
      </c>
      <c r="L1037" s="1845">
        <f t="shared" si="206"/>
        <v>0</v>
      </c>
      <c r="M1037" s="1845"/>
      <c r="N1037" s="1845"/>
      <c r="O1037" s="1845"/>
      <c r="P1037" s="1845"/>
      <c r="Q1037" s="1056"/>
      <c r="R1037" s="1056"/>
      <c r="S1037" s="1056"/>
      <c r="T1037" s="2059">
        <f t="shared" si="202"/>
        <v>0</v>
      </c>
    </row>
    <row r="1038" spans="1:20" ht="22.15" hidden="1" customHeight="1">
      <c r="A1038" s="59"/>
      <c r="B1038" s="1586" t="s">
        <v>2250</v>
      </c>
      <c r="C1038" s="1015" t="str">
        <f t="shared" si="200"/>
        <v xml:space="preserve"> </v>
      </c>
      <c r="D1038" s="1544">
        <v>1</v>
      </c>
      <c r="E1038" s="1047"/>
      <c r="F1038" s="1052" t="str">
        <f>VLOOKUP($B1038,DG!A:D,DG!$C$2,)</f>
        <v>Lắp xà cột Pi loại ≤140kg/xà</v>
      </c>
      <c r="G1038" s="1047" t="str">
        <f>VLOOKUP($B1038,DG!A:D,DG!$D$2,)</f>
        <v>bộ</v>
      </c>
      <c r="H1038" s="1845"/>
      <c r="I1038" s="1845"/>
      <c r="J1038" s="1845"/>
      <c r="K1038" s="1845"/>
      <c r="L1038" s="1845"/>
      <c r="M1038" s="1845"/>
      <c r="N1038" s="1845"/>
      <c r="O1038" s="1845"/>
      <c r="P1038" s="1845"/>
      <c r="Q1038" s="1056"/>
      <c r="R1038" s="1056"/>
      <c r="S1038" s="1056"/>
      <c r="T1038" s="2059">
        <f t="shared" si="202"/>
        <v>0</v>
      </c>
    </row>
    <row r="1039" spans="1:20" ht="22.15" hidden="1" customHeight="1">
      <c r="A1039" s="59"/>
      <c r="B1039" s="1586" t="s">
        <v>2002</v>
      </c>
      <c r="C1039" s="1015" t="str">
        <f t="shared" si="200"/>
        <v xml:space="preserve"> </v>
      </c>
      <c r="D1039" s="1542">
        <f>D1040</f>
        <v>0.113</v>
      </c>
      <c r="E1039" s="1047"/>
      <c r="F1039" s="1052" t="str">
        <f>VLOOKUP($B1039,DG!A:D,DG!$C$2,)</f>
        <v>Bốc dỡ xà, thép thanh</v>
      </c>
      <c r="G1039" s="1047" t="str">
        <f>VLOOKUP($B1039,DG!A:D,DG!$D$2,)</f>
        <v>tấn</v>
      </c>
      <c r="H1039" s="1845"/>
      <c r="I1039" s="1845"/>
      <c r="J1039" s="1845"/>
      <c r="K1039" s="1845"/>
      <c r="L1039" s="1845"/>
      <c r="M1039" s="1845"/>
      <c r="N1039" s="1845"/>
      <c r="O1039" s="1845"/>
      <c r="P1039" s="1845"/>
      <c r="Q1039" s="1056"/>
      <c r="R1039" s="1056"/>
      <c r="S1039" s="1056"/>
      <c r="T1039" s="2059">
        <f t="shared" si="202"/>
        <v>0</v>
      </c>
    </row>
    <row r="1040" spans="1:20" ht="22.15" hidden="1" customHeight="1">
      <c r="A1040" s="59"/>
      <c r="B1040" s="1598" t="s">
        <v>2003</v>
      </c>
      <c r="C1040" s="1015" t="str">
        <f t="shared" si="200"/>
        <v xml:space="preserve"> </v>
      </c>
      <c r="D1040" s="1542">
        <f>ROUND(SUM(D1034:D1035)*1.05/1000,3)</f>
        <v>0.113</v>
      </c>
      <c r="E1040" s="1047" t="str">
        <f>VLOOKUP($B1040,DG!A:C,2,)</f>
        <v>02.1361</v>
      </c>
      <c r="F1040" s="1052" t="str">
        <f>VLOOKUP($B1040,DG!A:C,3,)</f>
        <v>V/c xà vào vị trí (cư ly &lt;=100m)</v>
      </c>
      <c r="G1040" s="1047" t="str">
        <f>VLOOKUP($B1040,DG!A:D,4,0)</f>
        <v>tấn</v>
      </c>
      <c r="H1040" s="1845"/>
      <c r="I1040" s="1845"/>
      <c r="J1040" s="1845"/>
      <c r="K1040" s="1845"/>
      <c r="L1040" s="1845"/>
      <c r="M1040" s="1845"/>
      <c r="N1040" s="1845"/>
      <c r="O1040" s="1845"/>
      <c r="P1040" s="1845"/>
      <c r="Q1040" s="1061"/>
      <c r="R1040" s="1061"/>
      <c r="S1040" s="1061"/>
      <c r="T1040" s="2059">
        <f t="shared" si="202"/>
        <v>0</v>
      </c>
    </row>
    <row r="1041" spans="1:20" ht="22.15" hidden="1" customHeight="1">
      <c r="A1041" s="59"/>
      <c r="B1041" s="1598" t="s">
        <v>635</v>
      </c>
      <c r="C1041" s="1015" t="str">
        <f t="shared" si="200"/>
        <v xml:space="preserve"> </v>
      </c>
      <c r="D1041" s="1543">
        <v>0.05</v>
      </c>
      <c r="E1041" s="1047" t="str">
        <f>VLOOKUP($B1041,DG!A:C,2,)</f>
        <v>02.1482</v>
      </c>
      <c r="F1041" s="1052" t="str">
        <f>VLOOKUP($B1041,DG!A:C,3,)</f>
        <v>V/c dụng cụ thi công vào vị trí (cự ly &lt;=100m)</v>
      </c>
      <c r="G1041" s="1047" t="str">
        <f>VLOOKUP($B1041,DG!A:D,4,0)</f>
        <v>tấn</v>
      </c>
      <c r="H1041" s="1845"/>
      <c r="I1041" s="1845"/>
      <c r="J1041" s="1845"/>
      <c r="K1041" s="1845"/>
      <c r="L1041" s="1845"/>
      <c r="M1041" s="1845"/>
      <c r="N1041" s="1845"/>
      <c r="O1041" s="1845"/>
      <c r="P1041" s="1845"/>
      <c r="Q1041" s="1061"/>
      <c r="R1041" s="1061"/>
      <c r="S1041" s="1061"/>
      <c r="T1041" s="2059">
        <f t="shared" si="202"/>
        <v>0</v>
      </c>
    </row>
    <row r="1042" spans="1:20" ht="22.15" hidden="1" customHeight="1">
      <c r="A1042" s="56" t="s">
        <v>1874</v>
      </c>
      <c r="B1042" s="1583" t="s">
        <v>1874</v>
      </c>
      <c r="C1042" s="1015" t="str">
        <f t="shared" si="200"/>
        <v xml:space="preserve"> </v>
      </c>
      <c r="D1042" s="1541"/>
      <c r="E1042" s="1048"/>
      <c r="F1042" s="1396" t="s">
        <v>2461</v>
      </c>
      <c r="G1042" s="1049" t="s">
        <v>2394</v>
      </c>
      <c r="H1042" s="1843">
        <f>SUM(I1042:O1042)</f>
        <v>0</v>
      </c>
      <c r="I1042" s="1844"/>
      <c r="J1042" s="1844"/>
      <c r="K1042" s="1844">
        <f>IFERROR(HLOOKUP(B1042,pp3p1m!$1:$3,3,0),0)</f>
        <v>0</v>
      </c>
      <c r="L1042" s="1844">
        <f>IFERROR(HLOOKUP(chitiet!B1042,pp1p!$1:$3,3,0),0)</f>
        <v>0</v>
      </c>
      <c r="M1042" s="1844"/>
      <c r="N1042" s="1844"/>
      <c r="O1042" s="1844"/>
      <c r="P1042" s="1844">
        <f>H1042+Q1042-R1042</f>
        <v>0</v>
      </c>
      <c r="Q1042" s="1050"/>
      <c r="R1042" s="1050"/>
      <c r="S1042" s="1050"/>
      <c r="T1042" s="2059">
        <f>IFERROR(HLOOKUP(B1042,pp1p!$1:$3,3,0),0)+IFERROR(HLOOKUP(B1042,pp3p1m!$1:$3,3,0),0)</f>
        <v>0</v>
      </c>
    </row>
    <row r="1043" spans="1:20" ht="22.15" hidden="1" customHeight="1">
      <c r="A1043" s="59"/>
      <c r="B1043" s="1586" t="s">
        <v>109</v>
      </c>
      <c r="C1043" s="1015" t="str">
        <f t="shared" si="200"/>
        <v xml:space="preserve"> </v>
      </c>
      <c r="D1043" s="1543">
        <f>9.02*(2.4+4*0.1)*2</f>
        <v>50.511999999999993</v>
      </c>
      <c r="E1043" s="1047"/>
      <c r="F1043" s="1059" t="str">
        <f>VLOOKUP($B1043,DG!A:D,DG!$C$2,)</f>
        <v>Sắt góc L75 x75 x8</v>
      </c>
      <c r="G1043" s="1047" t="str">
        <f>VLOOKUP($B1043,DG!A:D,DG!$D$2,)</f>
        <v>kg</v>
      </c>
      <c r="H1043" s="1845">
        <f t="shared" ref="H1043:L1047" si="207">H$1042*$D1043</f>
        <v>0</v>
      </c>
      <c r="I1043" s="1845">
        <f t="shared" si="207"/>
        <v>0</v>
      </c>
      <c r="J1043" s="1845">
        <f t="shared" si="207"/>
        <v>0</v>
      </c>
      <c r="K1043" s="1845">
        <f t="shared" si="207"/>
        <v>0</v>
      </c>
      <c r="L1043" s="1845">
        <f t="shared" si="207"/>
        <v>0</v>
      </c>
      <c r="M1043" s="1845"/>
      <c r="N1043" s="1845"/>
      <c r="O1043" s="1845"/>
      <c r="P1043" s="1845"/>
      <c r="Q1043" s="1056"/>
      <c r="R1043" s="1056"/>
      <c r="S1043" s="1056"/>
      <c r="T1043" s="2059">
        <f t="shared" si="202"/>
        <v>0</v>
      </c>
    </row>
    <row r="1044" spans="1:20" ht="22.15" hidden="1" customHeight="1">
      <c r="A1044" s="59"/>
      <c r="B1044" s="1586" t="s">
        <v>1572</v>
      </c>
      <c r="C1044" s="1015" t="str">
        <f t="shared" si="200"/>
        <v xml:space="preserve"> </v>
      </c>
      <c r="D1044" s="1543">
        <f>3.77*0.81*4</f>
        <v>12.2148</v>
      </c>
      <c r="E1044" s="1047"/>
      <c r="F1044" s="1059" t="str">
        <f>VLOOKUP($B1044,DG!A:D,DG!$C$2,)</f>
        <v>Sắt góc L50 x50 x5</v>
      </c>
      <c r="G1044" s="1047" t="str">
        <f>VLOOKUP($B1044,DG!A:D,DG!$D$2,)</f>
        <v>kg</v>
      </c>
      <c r="H1044" s="1845">
        <f t="shared" si="207"/>
        <v>0</v>
      </c>
      <c r="I1044" s="1845">
        <f t="shared" si="207"/>
        <v>0</v>
      </c>
      <c r="J1044" s="1845">
        <f t="shared" si="207"/>
        <v>0</v>
      </c>
      <c r="K1044" s="1845">
        <f t="shared" si="207"/>
        <v>0</v>
      </c>
      <c r="L1044" s="1845">
        <f t="shared" si="207"/>
        <v>0</v>
      </c>
      <c r="M1044" s="1845"/>
      <c r="N1044" s="1845"/>
      <c r="O1044" s="1845"/>
      <c r="P1044" s="1845"/>
      <c r="Q1044" s="1056"/>
      <c r="R1044" s="1056"/>
      <c r="S1044" s="1056"/>
      <c r="T1044" s="2059">
        <f t="shared" si="202"/>
        <v>0</v>
      </c>
    </row>
    <row r="1045" spans="1:20" ht="22.15" hidden="1" customHeight="1">
      <c r="A1045" s="59"/>
      <c r="B1045" s="1586" t="s">
        <v>1614</v>
      </c>
      <c r="C1045" s="1015" t="str">
        <f t="shared" si="200"/>
        <v xml:space="preserve"> </v>
      </c>
      <c r="D1045" s="1544">
        <v>4</v>
      </c>
      <c r="E1045" s="1047"/>
      <c r="F1045" s="1059" t="str">
        <f>VLOOKUP($B1045,DG!A:D,DG!$C$2,)</f>
        <v>Boulon 16x250+ 2 long đền vuông D18-50x50x3/Zn</v>
      </c>
      <c r="G1045" s="1047" t="str">
        <f>VLOOKUP($B1045,DG!A:D,DG!$D$2,)</f>
        <v>bộ</v>
      </c>
      <c r="H1045" s="1845">
        <f t="shared" si="207"/>
        <v>0</v>
      </c>
      <c r="I1045" s="1845">
        <f t="shared" si="207"/>
        <v>0</v>
      </c>
      <c r="J1045" s="1845">
        <f t="shared" si="207"/>
        <v>0</v>
      </c>
      <c r="K1045" s="1845">
        <f t="shared" si="207"/>
        <v>0</v>
      </c>
      <c r="L1045" s="1845">
        <f t="shared" si="207"/>
        <v>0</v>
      </c>
      <c r="M1045" s="1845"/>
      <c r="N1045" s="1845"/>
      <c r="O1045" s="1845"/>
      <c r="P1045" s="1845"/>
      <c r="Q1045" s="1056"/>
      <c r="R1045" s="1056"/>
      <c r="S1045" s="1056"/>
      <c r="T1045" s="2059">
        <f t="shared" si="202"/>
        <v>0</v>
      </c>
    </row>
    <row r="1046" spans="1:20" ht="22.15" hidden="1" customHeight="1">
      <c r="A1046" s="59"/>
      <c r="B1046" s="1586" t="s">
        <v>1790</v>
      </c>
      <c r="C1046" s="1015" t="str">
        <f t="shared" si="200"/>
        <v xml:space="preserve"> </v>
      </c>
      <c r="D1046" s="1544">
        <v>2</v>
      </c>
      <c r="E1046" s="1047"/>
      <c r="F1046" s="1059" t="str">
        <f>VLOOKUP($B1046,DG!A:D,DG!$C$2,)</f>
        <v>Boulon 16x300VRS+ 4 long đền vuông D18-50x50x3/Zn</v>
      </c>
      <c r="G1046" s="1047" t="str">
        <f>VLOOKUP($B1046,DG!A:D,DG!$D$2,)</f>
        <v>bộ</v>
      </c>
      <c r="H1046" s="1845">
        <f t="shared" si="207"/>
        <v>0</v>
      </c>
      <c r="I1046" s="1845">
        <f t="shared" si="207"/>
        <v>0</v>
      </c>
      <c r="J1046" s="1845">
        <f t="shared" si="207"/>
        <v>0</v>
      </c>
      <c r="K1046" s="1845">
        <f t="shared" si="207"/>
        <v>0</v>
      </c>
      <c r="L1046" s="1845">
        <f t="shared" si="207"/>
        <v>0</v>
      </c>
      <c r="M1046" s="1845"/>
      <c r="N1046" s="1845"/>
      <c r="O1046" s="1845"/>
      <c r="P1046" s="1845"/>
      <c r="Q1046" s="1056"/>
      <c r="R1046" s="1056"/>
      <c r="S1046" s="1056"/>
      <c r="T1046" s="2059">
        <f t="shared" si="202"/>
        <v>0</v>
      </c>
    </row>
    <row r="1047" spans="1:20" ht="22.15" hidden="1" customHeight="1">
      <c r="A1047" s="59"/>
      <c r="B1047" s="1586" t="s">
        <v>1792</v>
      </c>
      <c r="C1047" s="1015" t="str">
        <f t="shared" si="200"/>
        <v xml:space="preserve"> </v>
      </c>
      <c r="D1047" s="1544">
        <v>4</v>
      </c>
      <c r="E1047" s="1047"/>
      <c r="F1047" s="1059" t="str">
        <f>VLOOKUP($B1047,DG!A:D,DG!$C$2,)</f>
        <v>Boulon 16x50+ 2 long đền vuông D18-50x50x3/Zn</v>
      </c>
      <c r="G1047" s="1047" t="str">
        <f>VLOOKUP($B1047,DG!A:D,DG!$D$2,)</f>
        <v>bộ</v>
      </c>
      <c r="H1047" s="1845">
        <f t="shared" si="207"/>
        <v>0</v>
      </c>
      <c r="I1047" s="1845">
        <f t="shared" si="207"/>
        <v>0</v>
      </c>
      <c r="J1047" s="1845">
        <f t="shared" si="207"/>
        <v>0</v>
      </c>
      <c r="K1047" s="1845">
        <f t="shared" si="207"/>
        <v>0</v>
      </c>
      <c r="L1047" s="1845">
        <f t="shared" si="207"/>
        <v>0</v>
      </c>
      <c r="M1047" s="1845"/>
      <c r="N1047" s="1845"/>
      <c r="O1047" s="1845"/>
      <c r="P1047" s="1845"/>
      <c r="Q1047" s="1056"/>
      <c r="R1047" s="1056"/>
      <c r="S1047" s="1056"/>
      <c r="T1047" s="2059">
        <f t="shared" si="202"/>
        <v>0</v>
      </c>
    </row>
    <row r="1048" spans="1:20" ht="22.15" hidden="1" customHeight="1">
      <c r="A1048" s="59"/>
      <c r="B1048" s="1586" t="s">
        <v>2250</v>
      </c>
      <c r="C1048" s="1015" t="str">
        <f t="shared" si="200"/>
        <v xml:space="preserve"> </v>
      </c>
      <c r="D1048" s="1544">
        <v>1</v>
      </c>
      <c r="E1048" s="1047"/>
      <c r="F1048" s="1052" t="str">
        <f>VLOOKUP($B1048,DG!A:D,DG!$C$2,)</f>
        <v>Lắp xà cột Pi loại ≤140kg/xà</v>
      </c>
      <c r="G1048" s="1047" t="str">
        <f>VLOOKUP($B1048,DG!A:D,DG!$D$2,)</f>
        <v>bộ</v>
      </c>
      <c r="H1048" s="1845"/>
      <c r="I1048" s="1845"/>
      <c r="J1048" s="1845"/>
      <c r="K1048" s="1845"/>
      <c r="L1048" s="1845"/>
      <c r="M1048" s="1845"/>
      <c r="N1048" s="1845"/>
      <c r="O1048" s="1845"/>
      <c r="P1048" s="1845"/>
      <c r="Q1048" s="1056"/>
      <c r="R1048" s="1056"/>
      <c r="S1048" s="1056"/>
      <c r="T1048" s="2059">
        <f t="shared" si="202"/>
        <v>0</v>
      </c>
    </row>
    <row r="1049" spans="1:20" ht="22.15" hidden="1" customHeight="1">
      <c r="A1049" s="59"/>
      <c r="B1049" s="1586" t="s">
        <v>2002</v>
      </c>
      <c r="C1049" s="1015" t="str">
        <f t="shared" si="200"/>
        <v xml:space="preserve"> </v>
      </c>
      <c r="D1049" s="1542"/>
      <c r="E1049" s="1047"/>
      <c r="F1049" s="1052" t="str">
        <f>VLOOKUP($B1049,DG!A:D,DG!$C$2,)</f>
        <v>Bốc dỡ xà, thép thanh</v>
      </c>
      <c r="G1049" s="1047" t="str">
        <f>VLOOKUP($B1049,DG!A:D,DG!$D$2,)</f>
        <v>tấn</v>
      </c>
      <c r="H1049" s="1845"/>
      <c r="I1049" s="1845"/>
      <c r="J1049" s="1845"/>
      <c r="K1049" s="1845"/>
      <c r="L1049" s="1845"/>
      <c r="M1049" s="1845"/>
      <c r="N1049" s="1845"/>
      <c r="O1049" s="1845"/>
      <c r="P1049" s="1845"/>
      <c r="Q1049" s="1056"/>
      <c r="R1049" s="1056"/>
      <c r="S1049" s="1056"/>
      <c r="T1049" s="2059">
        <f t="shared" si="202"/>
        <v>0</v>
      </c>
    </row>
    <row r="1050" spans="1:20" ht="22.15" hidden="1" customHeight="1">
      <c r="A1050" s="59"/>
      <c r="B1050" s="1598" t="s">
        <v>2003</v>
      </c>
      <c r="C1050" s="1015" t="str">
        <f t="shared" si="200"/>
        <v xml:space="preserve"> </v>
      </c>
      <c r="D1050" s="1542"/>
      <c r="E1050" s="1047" t="str">
        <f>VLOOKUP($B1050,DG!A:C,2,)</f>
        <v>02.1361</v>
      </c>
      <c r="F1050" s="1052" t="str">
        <f>VLOOKUP($B1050,DG!A:C,3,)</f>
        <v>V/c xà vào vị trí (cư ly &lt;=100m)</v>
      </c>
      <c r="G1050" s="1047" t="str">
        <f>VLOOKUP($B1050,DG!A:D,4,0)</f>
        <v>tấn</v>
      </c>
      <c r="H1050" s="1845"/>
      <c r="I1050" s="1845"/>
      <c r="J1050" s="1845"/>
      <c r="K1050" s="1845"/>
      <c r="L1050" s="1845"/>
      <c r="M1050" s="1845"/>
      <c r="N1050" s="1845"/>
      <c r="O1050" s="1845"/>
      <c r="P1050" s="1845"/>
      <c r="Q1050" s="1061"/>
      <c r="R1050" s="1061"/>
      <c r="S1050" s="1061"/>
      <c r="T1050" s="2059">
        <f t="shared" si="202"/>
        <v>0</v>
      </c>
    </row>
    <row r="1051" spans="1:20" ht="22.15" hidden="1" customHeight="1">
      <c r="A1051" s="59"/>
      <c r="B1051" s="1598" t="s">
        <v>635</v>
      </c>
      <c r="C1051" s="1015" t="str">
        <f t="shared" si="200"/>
        <v xml:space="preserve"> </v>
      </c>
      <c r="D1051" s="1543"/>
      <c r="E1051" s="1047" t="str">
        <f>VLOOKUP($B1051,DG!A:C,2,)</f>
        <v>02.1482</v>
      </c>
      <c r="F1051" s="1052" t="str">
        <f>VLOOKUP($B1051,DG!A:C,3,)</f>
        <v>V/c dụng cụ thi công vào vị trí (cự ly &lt;=100m)</v>
      </c>
      <c r="G1051" s="1047" t="str">
        <f>VLOOKUP($B1051,DG!A:D,4,0)</f>
        <v>tấn</v>
      </c>
      <c r="H1051" s="1845"/>
      <c r="I1051" s="1845"/>
      <c r="J1051" s="1845"/>
      <c r="K1051" s="1845"/>
      <c r="L1051" s="1845"/>
      <c r="M1051" s="1845"/>
      <c r="N1051" s="1845"/>
      <c r="O1051" s="1845"/>
      <c r="P1051" s="1845"/>
      <c r="Q1051" s="1061"/>
      <c r="R1051" s="1061"/>
      <c r="S1051" s="1061"/>
      <c r="T1051" s="2059">
        <f t="shared" si="202"/>
        <v>0</v>
      </c>
    </row>
    <row r="1052" spans="1:20" ht="22.15" hidden="1" customHeight="1">
      <c r="A1052" s="56" t="s">
        <v>808</v>
      </c>
      <c r="B1052" s="1583" t="s">
        <v>808</v>
      </c>
      <c r="C1052" s="1015" t="str">
        <f t="shared" si="200"/>
        <v xml:space="preserve"> </v>
      </c>
      <c r="D1052" s="1541"/>
      <c r="E1052" s="1048"/>
      <c r="F1052" s="1396" t="s">
        <v>2463</v>
      </c>
      <c r="G1052" s="1049" t="s">
        <v>2394</v>
      </c>
      <c r="H1052" s="1843">
        <f>SUM(I1052:O1052)</f>
        <v>0</v>
      </c>
      <c r="I1052" s="1844"/>
      <c r="J1052" s="1844"/>
      <c r="K1052" s="1844">
        <f>IFERROR(HLOOKUP(B1052,pp3p1m!$1:$3,3,0),0)</f>
        <v>0</v>
      </c>
      <c r="L1052" s="1844">
        <f>IFERROR(HLOOKUP(chitiet!B1052,pp1p!$1:$3,3,0),0)</f>
        <v>0</v>
      </c>
      <c r="M1052" s="1844"/>
      <c r="N1052" s="1844"/>
      <c r="O1052" s="1844"/>
      <c r="P1052" s="1844">
        <f>H1052+Q1052-R1052</f>
        <v>0</v>
      </c>
      <c r="Q1052" s="1050"/>
      <c r="R1052" s="1050"/>
      <c r="S1052" s="1050"/>
      <c r="T1052" s="2059">
        <f>IFERROR(HLOOKUP(B1052,pp1p!$1:$3,3,0),0)+IFERROR(HLOOKUP(B1052,pp3p1m!$1:$3,3,0),0)</f>
        <v>0</v>
      </c>
    </row>
    <row r="1053" spans="1:20" ht="22.15" hidden="1" customHeight="1">
      <c r="A1053" s="59"/>
      <c r="B1053" s="1586" t="s">
        <v>109</v>
      </c>
      <c r="C1053" s="1015" t="str">
        <f t="shared" si="200"/>
        <v xml:space="preserve"> </v>
      </c>
      <c r="D1053" s="1543">
        <f>9.02*2*2</f>
        <v>36.08</v>
      </c>
      <c r="E1053" s="1047"/>
      <c r="F1053" s="1059" t="str">
        <f>VLOOKUP($B1053,DG!A:D,DG!$C$2,)</f>
        <v>Sắt góc L75 x75 x8</v>
      </c>
      <c r="G1053" s="1047" t="str">
        <f>VLOOKUP($B1053,DG!A:D,DG!$D$2,)</f>
        <v>kg</v>
      </c>
      <c r="H1053" s="1845">
        <f t="shared" ref="H1053:L1057" si="208">H$1052*$D1053</f>
        <v>0</v>
      </c>
      <c r="I1053" s="1845">
        <f t="shared" si="208"/>
        <v>0</v>
      </c>
      <c r="J1053" s="1845">
        <f t="shared" si="208"/>
        <v>0</v>
      </c>
      <c r="K1053" s="1845">
        <f t="shared" si="208"/>
        <v>0</v>
      </c>
      <c r="L1053" s="1845">
        <f t="shared" si="208"/>
        <v>0</v>
      </c>
      <c r="M1053" s="1845"/>
      <c r="N1053" s="1845"/>
      <c r="O1053" s="1845"/>
      <c r="P1053" s="1845"/>
      <c r="Q1053" s="1056"/>
      <c r="R1053" s="1056"/>
      <c r="S1053" s="1056"/>
      <c r="T1053" s="2059">
        <f t="shared" si="202"/>
        <v>0</v>
      </c>
    </row>
    <row r="1054" spans="1:20" ht="22.15" hidden="1" customHeight="1">
      <c r="A1054" s="59"/>
      <c r="B1054" s="1586" t="s">
        <v>1744</v>
      </c>
      <c r="C1054" s="1015" t="str">
        <f t="shared" si="200"/>
        <v xml:space="preserve"> </v>
      </c>
      <c r="D1054" s="1543">
        <v>2</v>
      </c>
      <c r="E1054" s="1047"/>
      <c r="F1054" s="1059" t="str">
        <f>VLOOKUP($B1054,DG!A:D,DG!$C$2,)</f>
        <v>Cổ dê  Ø 240-Fe 8x100</v>
      </c>
      <c r="G1054" s="1047" t="str">
        <f>VLOOKUP($B1054,DG!A:D,DG!$D$2,)</f>
        <v>bộ</v>
      </c>
      <c r="H1054" s="1845">
        <f t="shared" si="208"/>
        <v>0</v>
      </c>
      <c r="I1054" s="1845">
        <f t="shared" si="208"/>
        <v>0</v>
      </c>
      <c r="J1054" s="1845">
        <f t="shared" si="208"/>
        <v>0</v>
      </c>
      <c r="K1054" s="1845">
        <f t="shared" si="208"/>
        <v>0</v>
      </c>
      <c r="L1054" s="1845">
        <f t="shared" si="208"/>
        <v>0</v>
      </c>
      <c r="M1054" s="1845"/>
      <c r="N1054" s="1845"/>
      <c r="O1054" s="1845"/>
      <c r="P1054" s="1845"/>
      <c r="Q1054" s="1056"/>
      <c r="R1054" s="1056"/>
      <c r="S1054" s="1056"/>
      <c r="T1054" s="2059">
        <f t="shared" si="202"/>
        <v>0</v>
      </c>
    </row>
    <row r="1055" spans="1:20" ht="22.15" hidden="1" customHeight="1">
      <c r="A1055" s="59"/>
      <c r="B1055" s="1586" t="s">
        <v>803</v>
      </c>
      <c r="C1055" s="1015" t="str">
        <f t="shared" si="200"/>
        <v xml:space="preserve"> </v>
      </c>
      <c r="D1055" s="1543">
        <v>2</v>
      </c>
      <c r="E1055" s="1047"/>
      <c r="F1055" s="1059" t="str">
        <f>VLOOKUP($B1055,DG!A:D,DG!$C$2,)</f>
        <v>Cổ dê Ø 250-Fe 8x100</v>
      </c>
      <c r="G1055" s="1047" t="str">
        <f>VLOOKUP($B1055,DG!A:D,DG!$D$2,)</f>
        <v>bộ</v>
      </c>
      <c r="H1055" s="1845">
        <f t="shared" si="208"/>
        <v>0</v>
      </c>
      <c r="I1055" s="1845">
        <f t="shared" si="208"/>
        <v>0</v>
      </c>
      <c r="J1055" s="1845">
        <f t="shared" si="208"/>
        <v>0</v>
      </c>
      <c r="K1055" s="1845">
        <f t="shared" si="208"/>
        <v>0</v>
      </c>
      <c r="L1055" s="1845">
        <f t="shared" si="208"/>
        <v>0</v>
      </c>
      <c r="M1055" s="1845"/>
      <c r="N1055" s="1845"/>
      <c r="O1055" s="1845"/>
      <c r="P1055" s="1845"/>
      <c r="Q1055" s="1056"/>
      <c r="R1055" s="1056"/>
      <c r="S1055" s="1056"/>
      <c r="T1055" s="2059">
        <f t="shared" si="202"/>
        <v>0</v>
      </c>
    </row>
    <row r="1056" spans="1:20" ht="22.15" hidden="1" customHeight="1">
      <c r="A1056" s="59"/>
      <c r="B1056" s="1586" t="s">
        <v>1792</v>
      </c>
      <c r="C1056" s="1015" t="str">
        <f t="shared" si="200"/>
        <v xml:space="preserve"> </v>
      </c>
      <c r="D1056" s="1544">
        <v>1</v>
      </c>
      <c r="E1056" s="1047"/>
      <c r="F1056" s="1059" t="str">
        <f>VLOOKUP($B1056,DG!A:D,DG!$C$2,)</f>
        <v>Boulon 16x50+ 2 long đền vuông D18-50x50x3/Zn</v>
      </c>
      <c r="G1056" s="1047" t="str">
        <f>VLOOKUP($B1056,DG!A:D,DG!$D$2,)</f>
        <v>bộ</v>
      </c>
      <c r="H1056" s="1845">
        <f t="shared" si="208"/>
        <v>0</v>
      </c>
      <c r="I1056" s="1845">
        <f t="shared" si="208"/>
        <v>0</v>
      </c>
      <c r="J1056" s="1845">
        <f t="shared" si="208"/>
        <v>0</v>
      </c>
      <c r="K1056" s="1845">
        <f t="shared" si="208"/>
        <v>0</v>
      </c>
      <c r="L1056" s="1845">
        <f t="shared" si="208"/>
        <v>0</v>
      </c>
      <c r="M1056" s="1845"/>
      <c r="N1056" s="1845"/>
      <c r="O1056" s="1845"/>
      <c r="P1056" s="1845"/>
      <c r="Q1056" s="1056"/>
      <c r="R1056" s="1056"/>
      <c r="S1056" s="1056"/>
      <c r="T1056" s="2059">
        <f t="shared" si="202"/>
        <v>0</v>
      </c>
    </row>
    <row r="1057" spans="1:20" ht="22.15" hidden="1" customHeight="1">
      <c r="A1057" s="59"/>
      <c r="B1057" s="1586" t="s">
        <v>804</v>
      </c>
      <c r="C1057" s="1015" t="str">
        <f t="shared" si="200"/>
        <v xml:space="preserve"> </v>
      </c>
      <c r="D1057" s="1544">
        <v>8</v>
      </c>
      <c r="E1057" s="1047"/>
      <c r="F1057" s="1059" t="str">
        <f>VLOOKUP($B1057,DG!A:D,DG!$C$2,)</f>
        <v>Boulon 16x100+ 2 long đền vuông D18-50x50x3/Zn</v>
      </c>
      <c r="G1057" s="1047" t="str">
        <f>VLOOKUP($B1057,DG!A:D,DG!$D$2,)</f>
        <v>bộ</v>
      </c>
      <c r="H1057" s="1845">
        <f t="shared" si="208"/>
        <v>0</v>
      </c>
      <c r="I1057" s="1845">
        <f t="shared" si="208"/>
        <v>0</v>
      </c>
      <c r="J1057" s="1845">
        <f t="shared" si="208"/>
        <v>0</v>
      </c>
      <c r="K1057" s="1845">
        <f t="shared" si="208"/>
        <v>0</v>
      </c>
      <c r="L1057" s="1845">
        <f t="shared" si="208"/>
        <v>0</v>
      </c>
      <c r="M1057" s="1845"/>
      <c r="N1057" s="1845"/>
      <c r="O1057" s="1845"/>
      <c r="P1057" s="1845"/>
      <c r="Q1057" s="1056"/>
      <c r="R1057" s="1056"/>
      <c r="S1057" s="1056"/>
      <c r="T1057" s="2059">
        <f t="shared" si="202"/>
        <v>0</v>
      </c>
    </row>
    <row r="1058" spans="1:20" ht="22.15" hidden="1" customHeight="1">
      <c r="A1058" s="59"/>
      <c r="B1058" s="1586" t="s">
        <v>2250</v>
      </c>
      <c r="C1058" s="1015" t="str">
        <f t="shared" ref="C1058:C1136" si="209">IF(OR(P1058&lt;&gt;0,H1058&lt;&gt;0),"x"," ")</f>
        <v xml:space="preserve"> </v>
      </c>
      <c r="D1058" s="1544">
        <v>1</v>
      </c>
      <c r="E1058" s="1047"/>
      <c r="F1058" s="1052" t="str">
        <f>VLOOKUP($B1058,DG!A:D,DG!$C$2,)</f>
        <v>Lắp xà cột Pi loại ≤140kg/xà</v>
      </c>
      <c r="G1058" s="1047" t="str">
        <f>VLOOKUP($B1058,DG!A:D,DG!$D$2,)</f>
        <v>bộ</v>
      </c>
      <c r="H1058" s="1845"/>
      <c r="I1058" s="1845"/>
      <c r="J1058" s="1845"/>
      <c r="K1058" s="1845"/>
      <c r="L1058" s="1845"/>
      <c r="M1058" s="1845"/>
      <c r="N1058" s="1845"/>
      <c r="O1058" s="1845"/>
      <c r="P1058" s="1845"/>
      <c r="Q1058" s="1056"/>
      <c r="R1058" s="1056"/>
      <c r="S1058" s="1056"/>
      <c r="T1058" s="2059">
        <f t="shared" si="202"/>
        <v>0</v>
      </c>
    </row>
    <row r="1059" spans="1:20" ht="22.15" hidden="1" customHeight="1">
      <c r="A1059" s="59"/>
      <c r="B1059" s="1586" t="s">
        <v>2002</v>
      </c>
      <c r="C1059" s="1015" t="str">
        <f t="shared" si="209"/>
        <v xml:space="preserve"> </v>
      </c>
      <c r="D1059" s="1542">
        <f>D1060</f>
        <v>6.8000000000000005E-2</v>
      </c>
      <c r="E1059" s="1047"/>
      <c r="F1059" s="1052" t="str">
        <f>VLOOKUP($B1059,DG!A:D,DG!$C$2,)</f>
        <v>Bốc dỡ xà, thép thanh</v>
      </c>
      <c r="G1059" s="1047" t="str">
        <f>VLOOKUP($B1059,DG!A:D,DG!$D$2,)</f>
        <v>tấn</v>
      </c>
      <c r="H1059" s="1845"/>
      <c r="I1059" s="1845"/>
      <c r="J1059" s="1845"/>
      <c r="K1059" s="1845"/>
      <c r="L1059" s="1845"/>
      <c r="M1059" s="1845"/>
      <c r="N1059" s="1845"/>
      <c r="O1059" s="1845"/>
      <c r="P1059" s="1845"/>
      <c r="Q1059" s="1056"/>
      <c r="R1059" s="1056"/>
      <c r="S1059" s="1056"/>
      <c r="T1059" s="2059">
        <f t="shared" si="202"/>
        <v>0</v>
      </c>
    </row>
    <row r="1060" spans="1:20" ht="22.15" hidden="1" customHeight="1">
      <c r="A1060" s="59"/>
      <c r="B1060" s="1598" t="s">
        <v>2003</v>
      </c>
      <c r="C1060" s="1015" t="str">
        <f t="shared" si="209"/>
        <v xml:space="preserve"> </v>
      </c>
      <c r="D1060" s="1542">
        <f>ROUND(SUM(D1053:D1053)*1.05/1000,3)+ROUND(2*15.14/1000,3)</f>
        <v>6.8000000000000005E-2</v>
      </c>
      <c r="E1060" s="1047" t="str">
        <f>VLOOKUP($B1060,DG!A:C,2,)</f>
        <v>02.1361</v>
      </c>
      <c r="F1060" s="1052" t="str">
        <f>VLOOKUP($B1060,DG!A:C,3,)</f>
        <v>V/c xà vào vị trí (cư ly &lt;=100m)</v>
      </c>
      <c r="G1060" s="1047" t="str">
        <f>VLOOKUP($B1060,DG!A:D,4,0)</f>
        <v>tấn</v>
      </c>
      <c r="H1060" s="1845"/>
      <c r="I1060" s="1845"/>
      <c r="J1060" s="1845"/>
      <c r="K1060" s="1845"/>
      <c r="L1060" s="1845"/>
      <c r="M1060" s="1845"/>
      <c r="N1060" s="1845"/>
      <c r="O1060" s="1845"/>
      <c r="P1060" s="1845"/>
      <c r="Q1060" s="1061"/>
      <c r="R1060" s="1061"/>
      <c r="S1060" s="1061"/>
      <c r="T1060" s="2059">
        <f t="shared" si="202"/>
        <v>0</v>
      </c>
    </row>
    <row r="1061" spans="1:20" ht="22.15" hidden="1" customHeight="1">
      <c r="A1061" s="59"/>
      <c r="B1061" s="1598" t="s">
        <v>635</v>
      </c>
      <c r="C1061" s="1015" t="str">
        <f t="shared" si="209"/>
        <v xml:space="preserve"> </v>
      </c>
      <c r="D1061" s="1543">
        <v>0.05</v>
      </c>
      <c r="E1061" s="1047" t="str">
        <f>VLOOKUP($B1061,DG!A:C,2,)</f>
        <v>02.1482</v>
      </c>
      <c r="F1061" s="1052" t="str">
        <f>VLOOKUP($B1061,DG!A:C,3,)</f>
        <v>V/c dụng cụ thi công vào vị trí (cự ly &lt;=100m)</v>
      </c>
      <c r="G1061" s="1047" t="str">
        <f>VLOOKUP($B1061,DG!A:D,4,0)</f>
        <v>tấn</v>
      </c>
      <c r="H1061" s="1845"/>
      <c r="I1061" s="1845"/>
      <c r="J1061" s="1845"/>
      <c r="K1061" s="1845"/>
      <c r="L1061" s="1845"/>
      <c r="M1061" s="1845"/>
      <c r="N1061" s="1845"/>
      <c r="O1061" s="1845"/>
      <c r="P1061" s="1845"/>
      <c r="Q1061" s="1061"/>
      <c r="R1061" s="1061"/>
      <c r="S1061" s="1061"/>
      <c r="T1061" s="2059">
        <f t="shared" si="202"/>
        <v>0</v>
      </c>
    </row>
    <row r="1062" spans="1:20" ht="22.15" hidden="1" customHeight="1">
      <c r="A1062" s="56" t="s">
        <v>807</v>
      </c>
      <c r="B1062" s="1583" t="s">
        <v>807</v>
      </c>
      <c r="C1062" s="1015" t="str">
        <f t="shared" si="209"/>
        <v xml:space="preserve"> </v>
      </c>
      <c r="D1062" s="1541"/>
      <c r="E1062" s="1048"/>
      <c r="F1062" s="1396" t="s">
        <v>2464</v>
      </c>
      <c r="G1062" s="1049" t="s">
        <v>2394</v>
      </c>
      <c r="H1062" s="1843">
        <f>SUM(I1062:O1062)</f>
        <v>0</v>
      </c>
      <c r="I1062" s="1844"/>
      <c r="J1062" s="1844"/>
      <c r="K1062" s="1844">
        <f>IFERROR(HLOOKUP(B1062,pp3p1m!$1:$3,3,0),0)</f>
        <v>0</v>
      </c>
      <c r="L1062" s="1844">
        <f>IFERROR(HLOOKUP(chitiet!B1062,pp1p!$1:$3,3,0),0)</f>
        <v>0</v>
      </c>
      <c r="M1062" s="1844"/>
      <c r="N1062" s="1844"/>
      <c r="O1062" s="1844"/>
      <c r="P1062" s="1844">
        <f>H1062+Q1062-R1062</f>
        <v>0</v>
      </c>
      <c r="Q1062" s="1050"/>
      <c r="R1062" s="1050"/>
      <c r="S1062" s="1050"/>
      <c r="T1062" s="2059">
        <f>IFERROR(HLOOKUP(B1062,pp1p!$1:$3,3,0),0)+IFERROR(HLOOKUP(B1062,pp3p1m!$1:$3,3,0),0)</f>
        <v>0</v>
      </c>
    </row>
    <row r="1063" spans="1:20" ht="22.15" hidden="1" customHeight="1">
      <c r="A1063" s="59"/>
      <c r="B1063" s="1586" t="s">
        <v>109</v>
      </c>
      <c r="C1063" s="1015" t="str">
        <f t="shared" si="209"/>
        <v xml:space="preserve"> </v>
      </c>
      <c r="D1063" s="1543">
        <f>9.02*2.3*2</f>
        <v>41.491999999999997</v>
      </c>
      <c r="E1063" s="1047"/>
      <c r="F1063" s="1059" t="str">
        <f>VLOOKUP($B1063,DG!A:D,DG!$C$2,)</f>
        <v>Sắt góc L75 x75 x8</v>
      </c>
      <c r="G1063" s="1047" t="str">
        <f>VLOOKUP($B1063,DG!A:D,DG!$D$2,)</f>
        <v>kg</v>
      </c>
      <c r="H1063" s="1845">
        <f t="shared" ref="H1063:L1067" si="210">H$1062*$D1063</f>
        <v>0</v>
      </c>
      <c r="I1063" s="1845">
        <f t="shared" si="210"/>
        <v>0</v>
      </c>
      <c r="J1063" s="1845">
        <f t="shared" si="210"/>
        <v>0</v>
      </c>
      <c r="K1063" s="1845">
        <f t="shared" si="210"/>
        <v>0</v>
      </c>
      <c r="L1063" s="1845">
        <f t="shared" si="210"/>
        <v>0</v>
      </c>
      <c r="M1063" s="1845"/>
      <c r="N1063" s="1845"/>
      <c r="O1063" s="1845"/>
      <c r="P1063" s="1845"/>
      <c r="Q1063" s="1056"/>
      <c r="R1063" s="1056"/>
      <c r="S1063" s="1056"/>
      <c r="T1063" s="2059">
        <f t="shared" si="202"/>
        <v>0</v>
      </c>
    </row>
    <row r="1064" spans="1:20" ht="22.15" hidden="1" customHeight="1">
      <c r="A1064" s="59"/>
      <c r="B1064" s="1586" t="s">
        <v>2234</v>
      </c>
      <c r="C1064" s="1015" t="str">
        <f t="shared" si="209"/>
        <v xml:space="preserve"> </v>
      </c>
      <c r="D1064" s="1543">
        <v>3.5</v>
      </c>
      <c r="E1064" s="1047"/>
      <c r="F1064" s="1059" t="str">
        <f>VLOOKUP($B1064,DG!A:D,DG!$C$2,)</f>
        <v>Ê KE 5x300x300\Zn</v>
      </c>
      <c r="G1064" s="1047" t="str">
        <f>VLOOKUP($B1064,DG!A:D,DG!$D$2,)</f>
        <v>kg</v>
      </c>
      <c r="H1064" s="1845">
        <f t="shared" si="210"/>
        <v>0</v>
      </c>
      <c r="I1064" s="1845">
        <f t="shared" si="210"/>
        <v>0</v>
      </c>
      <c r="J1064" s="1845">
        <f t="shared" si="210"/>
        <v>0</v>
      </c>
      <c r="K1064" s="1845">
        <f t="shared" si="210"/>
        <v>0</v>
      </c>
      <c r="L1064" s="1845">
        <f t="shared" si="210"/>
        <v>0</v>
      </c>
      <c r="M1064" s="1845"/>
      <c r="N1064" s="1845"/>
      <c r="O1064" s="1845"/>
      <c r="P1064" s="1845"/>
      <c r="Q1064" s="1056"/>
      <c r="R1064" s="1056"/>
      <c r="S1064" s="1056"/>
      <c r="T1064" s="2059">
        <f t="shared" ref="T1064:T1128" si="211">IFERROR(HLOOKUP(B1064,BangKeTru,3,0),0)</f>
        <v>0</v>
      </c>
    </row>
    <row r="1065" spans="1:20" ht="22.15" hidden="1" customHeight="1">
      <c r="A1065" s="59"/>
      <c r="B1065" s="1586" t="s">
        <v>803</v>
      </c>
      <c r="C1065" s="1015" t="str">
        <f t="shared" si="209"/>
        <v xml:space="preserve"> </v>
      </c>
      <c r="D1065" s="1544">
        <v>4</v>
      </c>
      <c r="E1065" s="1047"/>
      <c r="F1065" s="1059" t="str">
        <f>VLOOKUP($B1065,DG!A:D,DG!$C$2,)</f>
        <v>Cổ dê Ø 250-Fe 8x100</v>
      </c>
      <c r="G1065" s="1047" t="str">
        <f>VLOOKUP($B1065,DG!A:D,DG!$D$2,)</f>
        <v>bộ</v>
      </c>
      <c r="H1065" s="1845">
        <f t="shared" si="210"/>
        <v>0</v>
      </c>
      <c r="I1065" s="1845">
        <f t="shared" si="210"/>
        <v>0</v>
      </c>
      <c r="J1065" s="1845">
        <f t="shared" si="210"/>
        <v>0</v>
      </c>
      <c r="K1065" s="1845">
        <f t="shared" si="210"/>
        <v>0</v>
      </c>
      <c r="L1065" s="1845">
        <f t="shared" si="210"/>
        <v>0</v>
      </c>
      <c r="M1065" s="1845"/>
      <c r="N1065" s="1845"/>
      <c r="O1065" s="1845"/>
      <c r="P1065" s="1845"/>
      <c r="Q1065" s="1056"/>
      <c r="R1065" s="1056"/>
      <c r="S1065" s="1056"/>
      <c r="T1065" s="2059">
        <f t="shared" si="211"/>
        <v>0</v>
      </c>
    </row>
    <row r="1066" spans="1:20" ht="22.15" hidden="1" customHeight="1">
      <c r="A1066" s="59"/>
      <c r="B1066" s="1586" t="s">
        <v>1792</v>
      </c>
      <c r="C1066" s="1015" t="str">
        <f t="shared" si="209"/>
        <v xml:space="preserve"> </v>
      </c>
      <c r="D1066" s="1544">
        <v>5</v>
      </c>
      <c r="E1066" s="1047"/>
      <c r="F1066" s="1059" t="str">
        <f>VLOOKUP($B1066,DG!A:D,DG!$C$2,)</f>
        <v>Boulon 16x50+ 2 long đền vuông D18-50x50x3/Zn</v>
      </c>
      <c r="G1066" s="1047" t="str">
        <f>VLOOKUP($B1066,DG!A:D,DG!$D$2,)</f>
        <v>bộ</v>
      </c>
      <c r="H1066" s="1845">
        <f t="shared" si="210"/>
        <v>0</v>
      </c>
      <c r="I1066" s="1845">
        <f t="shared" si="210"/>
        <v>0</v>
      </c>
      <c r="J1066" s="1845">
        <f t="shared" si="210"/>
        <v>0</v>
      </c>
      <c r="K1066" s="1845">
        <f t="shared" si="210"/>
        <v>0</v>
      </c>
      <c r="L1066" s="1845">
        <f t="shared" si="210"/>
        <v>0</v>
      </c>
      <c r="M1066" s="1845"/>
      <c r="N1066" s="1845"/>
      <c r="O1066" s="1845"/>
      <c r="P1066" s="1845"/>
      <c r="Q1066" s="1056"/>
      <c r="R1066" s="1056"/>
      <c r="S1066" s="1056"/>
      <c r="T1066" s="2059">
        <f t="shared" si="211"/>
        <v>0</v>
      </c>
    </row>
    <row r="1067" spans="1:20" ht="22.15" hidden="1" customHeight="1">
      <c r="A1067" s="59"/>
      <c r="B1067" s="1586" t="s">
        <v>804</v>
      </c>
      <c r="C1067" s="1015" t="str">
        <f t="shared" si="209"/>
        <v xml:space="preserve"> </v>
      </c>
      <c r="D1067" s="1544">
        <v>8</v>
      </c>
      <c r="E1067" s="1047"/>
      <c r="F1067" s="1059" t="str">
        <f>VLOOKUP($B1067,DG!A:D,DG!$C$2,)</f>
        <v>Boulon 16x100+ 2 long đền vuông D18-50x50x3/Zn</v>
      </c>
      <c r="G1067" s="1047" t="str">
        <f>VLOOKUP($B1067,DG!A:D,DG!$D$2,)</f>
        <v>bộ</v>
      </c>
      <c r="H1067" s="1845">
        <f t="shared" si="210"/>
        <v>0</v>
      </c>
      <c r="I1067" s="1845">
        <f t="shared" si="210"/>
        <v>0</v>
      </c>
      <c r="J1067" s="1845">
        <f t="shared" si="210"/>
        <v>0</v>
      </c>
      <c r="K1067" s="1845">
        <f t="shared" si="210"/>
        <v>0</v>
      </c>
      <c r="L1067" s="1845">
        <f t="shared" si="210"/>
        <v>0</v>
      </c>
      <c r="M1067" s="1845"/>
      <c r="N1067" s="1845"/>
      <c r="O1067" s="1845"/>
      <c r="P1067" s="1845"/>
      <c r="Q1067" s="1056"/>
      <c r="R1067" s="1056"/>
      <c r="S1067" s="1056"/>
      <c r="T1067" s="2059">
        <f t="shared" si="211"/>
        <v>0</v>
      </c>
    </row>
    <row r="1068" spans="1:20" ht="22.15" hidden="1" customHeight="1">
      <c r="A1068" s="59"/>
      <c r="B1068" s="1586" t="s">
        <v>2250</v>
      </c>
      <c r="C1068" s="1015" t="str">
        <f t="shared" si="209"/>
        <v xml:space="preserve"> </v>
      </c>
      <c r="D1068" s="1544">
        <v>1</v>
      </c>
      <c r="E1068" s="1047"/>
      <c r="F1068" s="1052" t="str">
        <f>VLOOKUP($B1068,DG!A:D,DG!$C$2,)</f>
        <v>Lắp xà cột Pi loại ≤140kg/xà</v>
      </c>
      <c r="G1068" s="1047" t="str">
        <f>VLOOKUP($B1068,DG!A:D,DG!$D$2,)</f>
        <v>bộ</v>
      </c>
      <c r="H1068" s="1845"/>
      <c r="I1068" s="1845"/>
      <c r="J1068" s="1845"/>
      <c r="K1068" s="1845"/>
      <c r="L1068" s="1845"/>
      <c r="M1068" s="1845"/>
      <c r="N1068" s="1845"/>
      <c r="O1068" s="1845"/>
      <c r="P1068" s="1845"/>
      <c r="Q1068" s="1056"/>
      <c r="R1068" s="1056"/>
      <c r="S1068" s="1056"/>
      <c r="T1068" s="2059">
        <f t="shared" si="211"/>
        <v>0</v>
      </c>
    </row>
    <row r="1069" spans="1:20" ht="22.15" hidden="1" customHeight="1">
      <c r="A1069" s="59"/>
      <c r="B1069" s="1586" t="s">
        <v>2002</v>
      </c>
      <c r="C1069" s="1015" t="str">
        <f t="shared" si="209"/>
        <v xml:space="preserve"> </v>
      </c>
      <c r="D1069" s="1542">
        <f>D1070</f>
        <v>7.7499999999999999E-2</v>
      </c>
      <c r="E1069" s="1047"/>
      <c r="F1069" s="1052" t="str">
        <f>VLOOKUP($B1069,DG!A:D,DG!$C$2,)</f>
        <v>Bốc dỡ xà, thép thanh</v>
      </c>
      <c r="G1069" s="1047" t="str">
        <f>VLOOKUP($B1069,DG!A:D,DG!$D$2,)</f>
        <v>tấn</v>
      </c>
      <c r="H1069" s="1845"/>
      <c r="I1069" s="1845"/>
      <c r="J1069" s="1845"/>
      <c r="K1069" s="1845"/>
      <c r="L1069" s="1845"/>
      <c r="M1069" s="1845"/>
      <c r="N1069" s="1845"/>
      <c r="O1069" s="1845"/>
      <c r="P1069" s="1845"/>
      <c r="Q1069" s="1056"/>
      <c r="R1069" s="1056"/>
      <c r="S1069" s="1056"/>
      <c r="T1069" s="2059">
        <f t="shared" si="211"/>
        <v>0</v>
      </c>
    </row>
    <row r="1070" spans="1:20" ht="22.15" hidden="1" customHeight="1">
      <c r="A1070" s="59"/>
      <c r="B1070" s="1598" t="s">
        <v>2003</v>
      </c>
      <c r="C1070" s="1015" t="str">
        <f t="shared" si="209"/>
        <v xml:space="preserve"> </v>
      </c>
      <c r="D1070" s="1542">
        <f>ROUND(SUM(D1063:D1063)*1.05/1000,3)+ROUND(2*15.14/1000,3)+D1064/1000</f>
        <v>7.7499999999999999E-2</v>
      </c>
      <c r="E1070" s="1047" t="str">
        <f>VLOOKUP($B1070,DG!A:C,2,)</f>
        <v>02.1361</v>
      </c>
      <c r="F1070" s="1052" t="str">
        <f>VLOOKUP($B1070,DG!A:C,3,)</f>
        <v>V/c xà vào vị trí (cư ly &lt;=100m)</v>
      </c>
      <c r="G1070" s="1047" t="str">
        <f>VLOOKUP($B1070,DG!A:D,4,0)</f>
        <v>tấn</v>
      </c>
      <c r="H1070" s="1845"/>
      <c r="I1070" s="1845"/>
      <c r="J1070" s="1845"/>
      <c r="K1070" s="1845"/>
      <c r="L1070" s="1845"/>
      <c r="M1070" s="1845"/>
      <c r="N1070" s="1845"/>
      <c r="O1070" s="1845"/>
      <c r="P1070" s="1845"/>
      <c r="Q1070" s="1061"/>
      <c r="R1070" s="1061"/>
      <c r="S1070" s="1061"/>
      <c r="T1070" s="2059">
        <f t="shared" si="211"/>
        <v>0</v>
      </c>
    </row>
    <row r="1071" spans="1:20" ht="22.15" hidden="1" customHeight="1">
      <c r="A1071" s="59"/>
      <c r="B1071" s="1598" t="s">
        <v>635</v>
      </c>
      <c r="C1071" s="1015" t="str">
        <f t="shared" si="209"/>
        <v xml:space="preserve"> </v>
      </c>
      <c r="D1071" s="1543">
        <v>0.05</v>
      </c>
      <c r="E1071" s="1047" t="str">
        <f>VLOOKUP($B1071,DG!A:C,2,)</f>
        <v>02.1482</v>
      </c>
      <c r="F1071" s="1052" t="str">
        <f>VLOOKUP($B1071,DG!A:C,3,)</f>
        <v>V/c dụng cụ thi công vào vị trí (cự ly &lt;=100m)</v>
      </c>
      <c r="G1071" s="1047" t="str">
        <f>VLOOKUP($B1071,DG!A:D,4,0)</f>
        <v>tấn</v>
      </c>
      <c r="H1071" s="1845"/>
      <c r="I1071" s="1845"/>
      <c r="J1071" s="1845"/>
      <c r="K1071" s="1845"/>
      <c r="L1071" s="1845"/>
      <c r="M1071" s="1845"/>
      <c r="N1071" s="1845"/>
      <c r="O1071" s="1845"/>
      <c r="P1071" s="1845"/>
      <c r="Q1071" s="1061"/>
      <c r="R1071" s="1061"/>
      <c r="S1071" s="1061"/>
      <c r="T1071" s="2059">
        <f t="shared" si="211"/>
        <v>0</v>
      </c>
    </row>
    <row r="1072" spans="1:20" ht="22.15" hidden="1" customHeight="1">
      <c r="A1072" s="56" t="s">
        <v>1571</v>
      </c>
      <c r="B1072" s="1583" t="s">
        <v>1571</v>
      </c>
      <c r="C1072" s="1015" t="str">
        <f t="shared" si="209"/>
        <v xml:space="preserve"> </v>
      </c>
      <c r="D1072" s="1541"/>
      <c r="E1072" s="1048"/>
      <c r="F1072" s="1396" t="s">
        <v>2465</v>
      </c>
      <c r="G1072" s="1049" t="s">
        <v>2394</v>
      </c>
      <c r="H1072" s="1843">
        <f>SUM(I1072:O1072)</f>
        <v>0</v>
      </c>
      <c r="I1072" s="1844"/>
      <c r="J1072" s="1844"/>
      <c r="K1072" s="1844">
        <f>IFERROR(HLOOKUP(B1072,pp3p1m!$1:$3,3,0),0)</f>
        <v>0</v>
      </c>
      <c r="L1072" s="1844">
        <f>IFERROR(HLOOKUP(chitiet!B1072,pp1p!$1:$3,3,0),0)</f>
        <v>0</v>
      </c>
      <c r="M1072" s="1844"/>
      <c r="N1072" s="1844"/>
      <c r="O1072" s="1844"/>
      <c r="P1072" s="1844">
        <f>H1072+Q1072-R1072</f>
        <v>0</v>
      </c>
      <c r="Q1072" s="1050"/>
      <c r="R1072" s="1050"/>
      <c r="S1072" s="1050"/>
      <c r="T1072" s="2059">
        <f>IFERROR(HLOOKUP(B1072,pp1p!$1:$3,3,0),0)+IFERROR(HLOOKUP(B1072,pp3p1m!$1:$3,3,0),0)</f>
        <v>0</v>
      </c>
    </row>
    <row r="1073" spans="1:20" ht="22.15" hidden="1" customHeight="1">
      <c r="A1073" s="59"/>
      <c r="B1073" s="1586" t="s">
        <v>457</v>
      </c>
      <c r="C1073" s="1015" t="str">
        <f t="shared" si="209"/>
        <v xml:space="preserve"> </v>
      </c>
      <c r="D1073" s="1543">
        <f>3.77*(0.72)*4</f>
        <v>10.8576</v>
      </c>
      <c r="E1073" s="1047"/>
      <c r="F1073" s="1059" t="str">
        <f>VLOOKUP($B1073,DG!A:D,DG!$C$2,)</f>
        <v>Sắt góc L50 x50 x5</v>
      </c>
      <c r="G1073" s="1047" t="str">
        <f>VLOOKUP($B1073,DG!A:D,DG!$D$2,)</f>
        <v>kg</v>
      </c>
      <c r="H1073" s="1845">
        <f t="shared" ref="H1073:L1075" si="212">H$1072*$D1073</f>
        <v>0</v>
      </c>
      <c r="I1073" s="1845">
        <f t="shared" si="212"/>
        <v>0</v>
      </c>
      <c r="J1073" s="1845">
        <f t="shared" si="212"/>
        <v>0</v>
      </c>
      <c r="K1073" s="1845">
        <f t="shared" si="212"/>
        <v>0</v>
      </c>
      <c r="L1073" s="1845">
        <f t="shared" si="212"/>
        <v>0</v>
      </c>
      <c r="M1073" s="1845"/>
      <c r="N1073" s="1845"/>
      <c r="O1073" s="1845"/>
      <c r="P1073" s="1845"/>
      <c r="Q1073" s="1056"/>
      <c r="R1073" s="1056"/>
      <c r="S1073" s="1056"/>
      <c r="T1073" s="2059">
        <f t="shared" si="211"/>
        <v>0</v>
      </c>
    </row>
    <row r="1074" spans="1:20" ht="22.15" hidden="1" customHeight="1">
      <c r="A1074" s="59"/>
      <c r="B1074" s="1586" t="s">
        <v>1081</v>
      </c>
      <c r="C1074" s="1015" t="str">
        <f t="shared" si="209"/>
        <v xml:space="preserve"> </v>
      </c>
      <c r="D1074" s="1544">
        <v>4</v>
      </c>
      <c r="E1074" s="1047"/>
      <c r="F1074" s="1059" t="str">
        <f>VLOOKUP($B1074,DG!A:D,DG!$C$2,)</f>
        <v>Boulon 16x350+ 2 long đền vuông D18-50x50x3/Zn</v>
      </c>
      <c r="G1074" s="1047" t="str">
        <f>VLOOKUP($B1074,DG!A:D,DG!$D$2,)</f>
        <v>bộ</v>
      </c>
      <c r="H1074" s="1845">
        <f t="shared" si="212"/>
        <v>0</v>
      </c>
      <c r="I1074" s="1845">
        <f t="shared" si="212"/>
        <v>0</v>
      </c>
      <c r="J1074" s="1845">
        <f t="shared" si="212"/>
        <v>0</v>
      </c>
      <c r="K1074" s="1845">
        <f t="shared" si="212"/>
        <v>0</v>
      </c>
      <c r="L1074" s="1845">
        <f t="shared" si="212"/>
        <v>0</v>
      </c>
      <c r="M1074" s="1845"/>
      <c r="N1074" s="1845"/>
      <c r="O1074" s="1845"/>
      <c r="P1074" s="1845"/>
      <c r="Q1074" s="1056"/>
      <c r="R1074" s="1056"/>
      <c r="S1074" s="1056"/>
      <c r="T1074" s="2059">
        <f t="shared" si="211"/>
        <v>0</v>
      </c>
    </row>
    <row r="1075" spans="1:20" ht="22.15" hidden="1" customHeight="1">
      <c r="A1075" s="59"/>
      <c r="B1075" s="1586" t="s">
        <v>1792</v>
      </c>
      <c r="C1075" s="1015" t="str">
        <f t="shared" si="209"/>
        <v xml:space="preserve"> </v>
      </c>
      <c r="D1075" s="1544">
        <v>2</v>
      </c>
      <c r="E1075" s="1047"/>
      <c r="F1075" s="1059" t="str">
        <f>VLOOKUP($B1075,DG!A:D,DG!$C$2,)</f>
        <v>Boulon 16x50+ 2 long đền vuông D18-50x50x3/Zn</v>
      </c>
      <c r="G1075" s="1047" t="str">
        <f>VLOOKUP($B1075,DG!A:D,DG!$D$2,)</f>
        <v>bộ</v>
      </c>
      <c r="H1075" s="1845">
        <f t="shared" si="212"/>
        <v>0</v>
      </c>
      <c r="I1075" s="1845">
        <f t="shared" si="212"/>
        <v>0</v>
      </c>
      <c r="J1075" s="1845">
        <f t="shared" si="212"/>
        <v>0</v>
      </c>
      <c r="K1075" s="1845">
        <f t="shared" si="212"/>
        <v>0</v>
      </c>
      <c r="L1075" s="1845">
        <f t="shared" si="212"/>
        <v>0</v>
      </c>
      <c r="M1075" s="1845"/>
      <c r="N1075" s="1845"/>
      <c r="O1075" s="1845"/>
      <c r="P1075" s="1845"/>
      <c r="Q1075" s="1056"/>
      <c r="R1075" s="1056"/>
      <c r="S1075" s="1056"/>
      <c r="T1075" s="2059">
        <f t="shared" si="211"/>
        <v>0</v>
      </c>
    </row>
    <row r="1076" spans="1:20" ht="22.15" hidden="1" customHeight="1">
      <c r="A1076" s="59"/>
      <c r="B1076" s="1586" t="s">
        <v>2001</v>
      </c>
      <c r="C1076" s="1015" t="str">
        <f t="shared" si="209"/>
        <v xml:space="preserve"> </v>
      </c>
      <c r="D1076" s="1544">
        <v>1</v>
      </c>
      <c r="E1076" s="1047"/>
      <c r="F1076" s="1052" t="str">
        <f>VLOOKUP($B1076,DG!A:D,DG!$C$2,)</f>
        <v>Lắp xà đỡ ≤ 25kg</v>
      </c>
      <c r="G1076" s="1047" t="str">
        <f>VLOOKUP($B1076,DG!A:D,DG!$D$2,)</f>
        <v>bộ</v>
      </c>
      <c r="H1076" s="1845"/>
      <c r="I1076" s="1845"/>
      <c r="J1076" s="1845"/>
      <c r="K1076" s="1845"/>
      <c r="L1076" s="1845"/>
      <c r="M1076" s="1845"/>
      <c r="N1076" s="1845"/>
      <c r="O1076" s="1845"/>
      <c r="P1076" s="1845"/>
      <c r="Q1076" s="1056"/>
      <c r="R1076" s="1056"/>
      <c r="S1076" s="1056"/>
      <c r="T1076" s="2059">
        <f t="shared" si="211"/>
        <v>0</v>
      </c>
    </row>
    <row r="1077" spans="1:20" ht="22.15" hidden="1" customHeight="1">
      <c r="A1077" s="59"/>
      <c r="B1077" s="1586" t="s">
        <v>2002</v>
      </c>
      <c r="C1077" s="1015" t="str">
        <f t="shared" si="209"/>
        <v xml:space="preserve"> </v>
      </c>
      <c r="D1077" s="1542"/>
      <c r="E1077" s="1047"/>
      <c r="F1077" s="1052" t="str">
        <f>VLOOKUP($B1077,DG!A:D,DG!$C$2,)</f>
        <v>Bốc dỡ xà, thép thanh</v>
      </c>
      <c r="G1077" s="1047" t="str">
        <f>VLOOKUP($B1077,DG!A:D,DG!$D$2,)</f>
        <v>tấn</v>
      </c>
      <c r="H1077" s="1845"/>
      <c r="I1077" s="1845"/>
      <c r="J1077" s="1845"/>
      <c r="K1077" s="1845"/>
      <c r="L1077" s="1845"/>
      <c r="M1077" s="1845"/>
      <c r="N1077" s="1845"/>
      <c r="O1077" s="1845"/>
      <c r="P1077" s="1845"/>
      <c r="Q1077" s="1056"/>
      <c r="R1077" s="1056"/>
      <c r="S1077" s="1056"/>
      <c r="T1077" s="2059">
        <f t="shared" si="211"/>
        <v>0</v>
      </c>
    </row>
    <row r="1078" spans="1:20" ht="22.15" hidden="1" customHeight="1">
      <c r="A1078" s="59"/>
      <c r="B1078" s="1598" t="s">
        <v>2003</v>
      </c>
      <c r="C1078" s="1015" t="str">
        <f t="shared" si="209"/>
        <v xml:space="preserve"> </v>
      </c>
      <c r="D1078" s="1542"/>
      <c r="E1078" s="1047" t="str">
        <f>VLOOKUP($B1078,DG!A:C,2,)</f>
        <v>02.1361</v>
      </c>
      <c r="F1078" s="1052" t="str">
        <f>VLOOKUP($B1078,DG!A:C,3,)</f>
        <v>V/c xà vào vị trí (cư ly &lt;=100m)</v>
      </c>
      <c r="G1078" s="1047" t="str">
        <f>VLOOKUP($B1078,DG!A:D,4,0)</f>
        <v>tấn</v>
      </c>
      <c r="H1078" s="1845"/>
      <c r="I1078" s="1845"/>
      <c r="J1078" s="1845"/>
      <c r="K1078" s="1845"/>
      <c r="L1078" s="1845"/>
      <c r="M1078" s="1845"/>
      <c r="N1078" s="1845"/>
      <c r="O1078" s="1845"/>
      <c r="P1078" s="1845"/>
      <c r="Q1078" s="1061"/>
      <c r="R1078" s="1061"/>
      <c r="S1078" s="1061"/>
      <c r="T1078" s="2059">
        <f t="shared" si="211"/>
        <v>0</v>
      </c>
    </row>
    <row r="1079" spans="1:20" ht="22.15" hidden="1" customHeight="1">
      <c r="A1079" s="59"/>
      <c r="B1079" s="1598" t="s">
        <v>635</v>
      </c>
      <c r="C1079" s="1015" t="str">
        <f t="shared" si="209"/>
        <v xml:space="preserve"> </v>
      </c>
      <c r="D1079" s="1543"/>
      <c r="E1079" s="1047" t="str">
        <f>VLOOKUP($B1079,DG!A:C,2,)</f>
        <v>02.1482</v>
      </c>
      <c r="F1079" s="1052" t="str">
        <f>VLOOKUP($B1079,DG!A:C,3,)</f>
        <v>V/c dụng cụ thi công vào vị trí (cự ly &lt;=100m)</v>
      </c>
      <c r="G1079" s="1047" t="str">
        <f>VLOOKUP($B1079,DG!A:D,4,0)</f>
        <v>tấn</v>
      </c>
      <c r="H1079" s="1845"/>
      <c r="I1079" s="1845"/>
      <c r="J1079" s="1845"/>
      <c r="K1079" s="1845"/>
      <c r="L1079" s="1845"/>
      <c r="M1079" s="1845"/>
      <c r="N1079" s="1845"/>
      <c r="O1079" s="1845"/>
      <c r="P1079" s="1845"/>
      <c r="Q1079" s="1061"/>
      <c r="R1079" s="1061"/>
      <c r="S1079" s="1061"/>
      <c r="T1079" s="2059">
        <f t="shared" si="211"/>
        <v>0</v>
      </c>
    </row>
    <row r="1080" spans="1:20" ht="22.15" hidden="1" customHeight="1">
      <c r="A1080" s="56" t="s">
        <v>1197</v>
      </c>
      <c r="B1080" s="1583" t="s">
        <v>1197</v>
      </c>
      <c r="C1080" s="1015" t="str">
        <f t="shared" si="209"/>
        <v xml:space="preserve"> </v>
      </c>
      <c r="D1080" s="1541"/>
      <c r="E1080" s="1048"/>
      <c r="F1080" s="1396" t="s">
        <v>2466</v>
      </c>
      <c r="G1080" s="1049" t="s">
        <v>2394</v>
      </c>
      <c r="H1080" s="1843">
        <f>SUM(I1080:O1080)</f>
        <v>0</v>
      </c>
      <c r="I1080" s="1844"/>
      <c r="J1080" s="1844"/>
      <c r="K1080" s="1844">
        <f>IFERROR(HLOOKUP(B1080,pp3p1m!$1:$3,3,0),0)</f>
        <v>0</v>
      </c>
      <c r="L1080" s="1844">
        <f>IFERROR(HLOOKUP(chitiet!B1080,pp1p!$1:$3,3,0),0)</f>
        <v>0</v>
      </c>
      <c r="M1080" s="1844"/>
      <c r="N1080" s="1844"/>
      <c r="O1080" s="1844"/>
      <c r="P1080" s="1844">
        <f>H1080+Q1080-R1080</f>
        <v>0</v>
      </c>
      <c r="Q1080" s="1050"/>
      <c r="R1080" s="1050"/>
      <c r="S1080" s="1050"/>
      <c r="T1080" s="2059">
        <f>IFERROR(HLOOKUP(B1080,pp1p!$1:$3,3,0),0)+IFERROR(HLOOKUP(B1080,pp3p1m!$1:$3,3,0),0)</f>
        <v>0</v>
      </c>
    </row>
    <row r="1081" spans="1:20" ht="22.15" hidden="1" customHeight="1">
      <c r="A1081" s="59"/>
      <c r="B1081" s="1586" t="s">
        <v>1744</v>
      </c>
      <c r="C1081" s="1015" t="str">
        <f t="shared" si="209"/>
        <v xml:space="preserve"> </v>
      </c>
      <c r="D1081" s="1544">
        <v>2</v>
      </c>
      <c r="E1081" s="1047"/>
      <c r="F1081" s="1059" t="str">
        <f>VLOOKUP($B1081,DG!A:D,DG!$C$2,)</f>
        <v>Cổ dê  Ø 240-Fe 8x100</v>
      </c>
      <c r="G1081" s="1047" t="str">
        <f>VLOOKUP($B1081,DG!A:D,DG!$D$2,)</f>
        <v>bộ</v>
      </c>
      <c r="H1081" s="1845">
        <f t="shared" ref="H1081:L1082" si="213">H$1080*$D1081</f>
        <v>0</v>
      </c>
      <c r="I1081" s="1845">
        <f t="shared" si="213"/>
        <v>0</v>
      </c>
      <c r="J1081" s="1845">
        <f t="shared" si="213"/>
        <v>0</v>
      </c>
      <c r="K1081" s="1845">
        <f t="shared" si="213"/>
        <v>0</v>
      </c>
      <c r="L1081" s="1845">
        <f t="shared" si="213"/>
        <v>0</v>
      </c>
      <c r="M1081" s="1845"/>
      <c r="N1081" s="1845"/>
      <c r="O1081" s="1845"/>
      <c r="P1081" s="1845"/>
      <c r="Q1081" s="1056"/>
      <c r="R1081" s="1056"/>
      <c r="S1081" s="1056"/>
      <c r="T1081" s="2059">
        <f t="shared" si="211"/>
        <v>0</v>
      </c>
    </row>
    <row r="1082" spans="1:20" ht="22.15" hidden="1" customHeight="1">
      <c r="A1082" s="59"/>
      <c r="B1082" s="1586" t="s">
        <v>804</v>
      </c>
      <c r="C1082" s="1015" t="str">
        <f t="shared" si="209"/>
        <v xml:space="preserve"> </v>
      </c>
      <c r="D1082" s="1544">
        <v>2</v>
      </c>
      <c r="E1082" s="1047"/>
      <c r="F1082" s="1059" t="str">
        <f>VLOOKUP($B1082,DG!A:D,DG!$C$2,)</f>
        <v>Boulon 16x100+ 2 long đền vuông D18-50x50x3/Zn</v>
      </c>
      <c r="G1082" s="1047" t="str">
        <f>VLOOKUP($B1082,DG!A:D,DG!$D$2,)</f>
        <v>bộ</v>
      </c>
      <c r="H1082" s="1845">
        <f t="shared" si="213"/>
        <v>0</v>
      </c>
      <c r="I1082" s="1845">
        <f t="shared" si="213"/>
        <v>0</v>
      </c>
      <c r="J1082" s="1845">
        <f t="shared" si="213"/>
        <v>0</v>
      </c>
      <c r="K1082" s="1845">
        <f t="shared" si="213"/>
        <v>0</v>
      </c>
      <c r="L1082" s="1845">
        <f t="shared" si="213"/>
        <v>0</v>
      </c>
      <c r="M1082" s="1845"/>
      <c r="N1082" s="1845"/>
      <c r="O1082" s="1845"/>
      <c r="P1082" s="1845"/>
      <c r="Q1082" s="1056"/>
      <c r="R1082" s="1056"/>
      <c r="S1082" s="1056"/>
      <c r="T1082" s="2059">
        <f t="shared" si="211"/>
        <v>0</v>
      </c>
    </row>
    <row r="1083" spans="1:20" ht="22.15" hidden="1" customHeight="1">
      <c r="A1083" s="59"/>
      <c r="B1083" s="1586" t="s">
        <v>2001</v>
      </c>
      <c r="C1083" s="1015" t="str">
        <f t="shared" si="209"/>
        <v xml:space="preserve"> </v>
      </c>
      <c r="D1083" s="1544">
        <v>1</v>
      </c>
      <c r="E1083" s="1047"/>
      <c r="F1083" s="1052" t="str">
        <f>VLOOKUP($B1083,DG!A:D,DG!$C$2,)</f>
        <v>Lắp xà đỡ ≤ 25kg</v>
      </c>
      <c r="G1083" s="1047" t="str">
        <f>VLOOKUP($B1083,DG!A:D,DG!$D$2,)</f>
        <v>bộ</v>
      </c>
      <c r="H1083" s="1845"/>
      <c r="I1083" s="1845"/>
      <c r="J1083" s="1845"/>
      <c r="K1083" s="1845"/>
      <c r="L1083" s="1845"/>
      <c r="M1083" s="1845"/>
      <c r="N1083" s="1845"/>
      <c r="O1083" s="1845"/>
      <c r="P1083" s="1845"/>
      <c r="Q1083" s="1056"/>
      <c r="R1083" s="1056"/>
      <c r="S1083" s="1056"/>
      <c r="T1083" s="2059">
        <f t="shared" si="211"/>
        <v>0</v>
      </c>
    </row>
    <row r="1084" spans="1:20" ht="22.15" hidden="1" customHeight="1">
      <c r="A1084" s="59"/>
      <c r="B1084" s="1586" t="s">
        <v>2002</v>
      </c>
      <c r="C1084" s="1015" t="str">
        <f t="shared" si="209"/>
        <v xml:space="preserve"> </v>
      </c>
      <c r="D1084" s="1542">
        <f>D1085</f>
        <v>1.7000000000000001E-2</v>
      </c>
      <c r="E1084" s="1047"/>
      <c r="F1084" s="1052" t="str">
        <f>VLOOKUP($B1084,DG!A:D,DG!$C$2,)</f>
        <v>Bốc dỡ xà, thép thanh</v>
      </c>
      <c r="G1084" s="1047" t="str">
        <f>VLOOKUP($B1084,DG!A:D,DG!$D$2,)</f>
        <v>tấn</v>
      </c>
      <c r="H1084" s="1845"/>
      <c r="I1084" s="1845"/>
      <c r="J1084" s="1845"/>
      <c r="K1084" s="1845"/>
      <c r="L1084" s="1845"/>
      <c r="M1084" s="1845"/>
      <c r="N1084" s="1845"/>
      <c r="O1084" s="1845"/>
      <c r="P1084" s="1845"/>
      <c r="Q1084" s="1056"/>
      <c r="R1084" s="1056"/>
      <c r="S1084" s="1056"/>
      <c r="T1084" s="2059">
        <f t="shared" si="211"/>
        <v>0</v>
      </c>
    </row>
    <row r="1085" spans="1:20" ht="22.15" hidden="1" customHeight="1">
      <c r="A1085" s="59"/>
      <c r="B1085" s="1598" t="s">
        <v>2003</v>
      </c>
      <c r="C1085" s="1015" t="str">
        <f t="shared" si="209"/>
        <v xml:space="preserve"> </v>
      </c>
      <c r="D1085" s="1542">
        <f>ROUND((2*8+2*0.25)*1.05/1000,3)</f>
        <v>1.7000000000000001E-2</v>
      </c>
      <c r="E1085" s="1047" t="str">
        <f>VLOOKUP($B1085,DG!A:C,2,)</f>
        <v>02.1361</v>
      </c>
      <c r="F1085" s="1052" t="str">
        <f>VLOOKUP($B1085,DG!A:C,3,)</f>
        <v>V/c xà vào vị trí (cư ly &lt;=100m)</v>
      </c>
      <c r="G1085" s="1047" t="str">
        <f>VLOOKUP($B1085,DG!A:D,4,0)</f>
        <v>tấn</v>
      </c>
      <c r="H1085" s="1845"/>
      <c r="I1085" s="1845"/>
      <c r="J1085" s="1845"/>
      <c r="K1085" s="1845"/>
      <c r="L1085" s="1845"/>
      <c r="M1085" s="1845"/>
      <c r="N1085" s="1845"/>
      <c r="O1085" s="1845"/>
      <c r="P1085" s="1845"/>
      <c r="Q1085" s="1061"/>
      <c r="R1085" s="1061"/>
      <c r="S1085" s="1061"/>
      <c r="T1085" s="2059">
        <f t="shared" si="211"/>
        <v>0</v>
      </c>
    </row>
    <row r="1086" spans="1:20" ht="22.15" hidden="1" customHeight="1">
      <c r="A1086" s="59"/>
      <c r="B1086" s="1598" t="s">
        <v>635</v>
      </c>
      <c r="C1086" s="1015" t="str">
        <f t="shared" si="209"/>
        <v xml:space="preserve"> </v>
      </c>
      <c r="D1086" s="1543">
        <v>0.02</v>
      </c>
      <c r="E1086" s="1047" t="str">
        <f>VLOOKUP($B1086,DG!A:C,2,)</f>
        <v>02.1482</v>
      </c>
      <c r="F1086" s="1052" t="str">
        <f>VLOOKUP($B1086,DG!A:C,3,)</f>
        <v>V/c dụng cụ thi công vào vị trí (cự ly &lt;=100m)</v>
      </c>
      <c r="G1086" s="1047" t="str">
        <f>VLOOKUP($B1086,DG!A:D,4,0)</f>
        <v>tấn</v>
      </c>
      <c r="H1086" s="1845"/>
      <c r="I1086" s="1845"/>
      <c r="J1086" s="1845"/>
      <c r="K1086" s="1845"/>
      <c r="L1086" s="1845"/>
      <c r="M1086" s="1845"/>
      <c r="N1086" s="1845"/>
      <c r="O1086" s="1845"/>
      <c r="P1086" s="1845"/>
      <c r="Q1086" s="1061"/>
      <c r="R1086" s="1061"/>
      <c r="S1086" s="1061"/>
      <c r="T1086" s="2059">
        <f t="shared" si="211"/>
        <v>0</v>
      </c>
    </row>
    <row r="1087" spans="1:20" ht="22.15" hidden="1" customHeight="1">
      <c r="A1087" s="1581" t="s">
        <v>361</v>
      </c>
      <c r="B1087" s="1583" t="s">
        <v>4750</v>
      </c>
      <c r="C1087" s="1854" t="str">
        <f t="shared" si="209"/>
        <v xml:space="preserve"> </v>
      </c>
      <c r="D1087" s="1541"/>
      <c r="E1087" s="1048"/>
      <c r="F1087" s="1396" t="s">
        <v>4774</v>
      </c>
      <c r="G1087" s="1049" t="s">
        <v>2394</v>
      </c>
      <c r="H1087" s="1843">
        <f>SUM(I1087:O1087)</f>
        <v>0</v>
      </c>
      <c r="I1087" s="1844"/>
      <c r="J1087" s="1844"/>
      <c r="K1087" s="1844">
        <f>IFERROR(HLOOKUP(B1087,pp3p1m!$1:$3,3,0),0)</f>
        <v>0</v>
      </c>
      <c r="L1087" s="1844">
        <f>IFERROR(HLOOKUP(chitiet!B1087,pp1p!$1:$3,3,0),0)</f>
        <v>0</v>
      </c>
      <c r="M1087" s="1844"/>
      <c r="N1087" s="1844"/>
      <c r="O1087" s="1844"/>
      <c r="P1087" s="1843">
        <f>H1087+Q1087-R1087</f>
        <v>0</v>
      </c>
      <c r="Q1087" s="1050"/>
      <c r="R1087" s="1050"/>
      <c r="S1087" s="1050"/>
      <c r="T1087" s="2059">
        <f>IFERROR(HLOOKUP(B1087,pp1p!$1:$3,3,0),0)+IFERROR(HLOOKUP(B1087,pp3p1m!$1:$3,3,0),0)</f>
        <v>0</v>
      </c>
    </row>
    <row r="1088" spans="1:20" ht="22.15" hidden="1" customHeight="1">
      <c r="B1088" s="1580" t="s">
        <v>4736</v>
      </c>
      <c r="C1088" s="1015" t="str">
        <f t="shared" si="209"/>
        <v xml:space="preserve"> </v>
      </c>
      <c r="D1088" s="1544">
        <v>1</v>
      </c>
      <c r="E1088" s="1047"/>
      <c r="F1088" s="1059" t="str">
        <f>VLOOKUP($B1088,DG!A:D,DG!$C$2,)</f>
        <v>Đà composite 0,8m</v>
      </c>
      <c r="G1088" s="1047" t="str">
        <f>VLOOKUP($B1088,DG!A:D,DG!$D$2,)</f>
        <v>cây</v>
      </c>
      <c r="H1088" s="1845">
        <f>H$1087*$D1088</f>
        <v>0</v>
      </c>
      <c r="I1088" s="1845">
        <f t="shared" ref="I1088:R1088" si="214">I$1087*$D1088</f>
        <v>0</v>
      </c>
      <c r="J1088" s="1845">
        <f t="shared" si="214"/>
        <v>0</v>
      </c>
      <c r="K1088" s="1845">
        <f t="shared" si="214"/>
        <v>0</v>
      </c>
      <c r="L1088" s="1845">
        <f t="shared" si="214"/>
        <v>0</v>
      </c>
      <c r="M1088" s="1845">
        <f t="shared" si="214"/>
        <v>0</v>
      </c>
      <c r="N1088" s="1845">
        <f t="shared" si="214"/>
        <v>0</v>
      </c>
      <c r="O1088" s="1845">
        <f t="shared" si="214"/>
        <v>0</v>
      </c>
      <c r="P1088" s="1845">
        <f t="shared" si="214"/>
        <v>0</v>
      </c>
      <c r="Q1088" s="1845">
        <f t="shared" si="214"/>
        <v>0</v>
      </c>
      <c r="R1088" s="1845">
        <f t="shared" si="214"/>
        <v>0</v>
      </c>
      <c r="S1088" s="1056"/>
      <c r="T1088" s="2059">
        <f t="shared" si="211"/>
        <v>0</v>
      </c>
    </row>
    <row r="1089" spans="1:20" ht="22.15" hidden="1" customHeight="1">
      <c r="A1089" s="59"/>
      <c r="B1089" s="1580" t="s">
        <v>365</v>
      </c>
      <c r="C1089" s="1854" t="str">
        <f t="shared" si="209"/>
        <v xml:space="preserve"> </v>
      </c>
      <c r="D1089" s="1550">
        <v>2.4</v>
      </c>
      <c r="E1089" s="1047"/>
      <c r="F1089" s="1059" t="str">
        <f>VLOOKUP($B1089,DG!A:D,DG!$C$2,)</f>
        <v>Chống composite 40x10x920</v>
      </c>
      <c r="G1089" s="1047" t="str">
        <f>VLOOKUP($B1089,DG!A:D,DG!$D$2,)</f>
        <v>cái</v>
      </c>
      <c r="H1089" s="1845">
        <f t="shared" ref="H1089:R1093" si="215">H$1087*$D1089</f>
        <v>0</v>
      </c>
      <c r="I1089" s="1845">
        <f t="shared" si="215"/>
        <v>0</v>
      </c>
      <c r="J1089" s="1845">
        <f t="shared" si="215"/>
        <v>0</v>
      </c>
      <c r="K1089" s="1845">
        <f t="shared" si="215"/>
        <v>0</v>
      </c>
      <c r="L1089" s="1845">
        <f t="shared" si="215"/>
        <v>0</v>
      </c>
      <c r="M1089" s="1845">
        <f t="shared" si="215"/>
        <v>0</v>
      </c>
      <c r="N1089" s="1845">
        <f t="shared" si="215"/>
        <v>0</v>
      </c>
      <c r="O1089" s="1845">
        <f t="shared" si="215"/>
        <v>0</v>
      </c>
      <c r="P1089" s="1845">
        <f t="shared" si="215"/>
        <v>0</v>
      </c>
      <c r="Q1089" s="1845">
        <f t="shared" si="215"/>
        <v>0</v>
      </c>
      <c r="R1089" s="1845">
        <f t="shared" si="215"/>
        <v>0</v>
      </c>
      <c r="S1089" s="1056"/>
      <c r="T1089" s="2059">
        <f t="shared" si="211"/>
        <v>0</v>
      </c>
    </row>
    <row r="1090" spans="1:20" ht="22.15" hidden="1" customHeight="1">
      <c r="B1090" s="1580" t="s">
        <v>4775</v>
      </c>
      <c r="C1090" s="1854" t="str">
        <f t="shared" si="209"/>
        <v xml:space="preserve"> </v>
      </c>
      <c r="D1090" s="1544">
        <v>2</v>
      </c>
      <c r="E1090" s="1047"/>
      <c r="F1090" s="1059" t="str">
        <f>VLOOKUP($B1090,DG!A:D,DG!$C$2,)</f>
        <v>Thanh chống Composite 10x40x720</v>
      </c>
      <c r="G1090" s="1047" t="str">
        <f>VLOOKUP($B1090,DG!A:D,DG!$D$2,)</f>
        <v>cái</v>
      </c>
      <c r="H1090" s="1845">
        <f t="shared" si="215"/>
        <v>0</v>
      </c>
      <c r="I1090" s="1845">
        <f t="shared" si="215"/>
        <v>0</v>
      </c>
      <c r="J1090" s="1845">
        <f t="shared" si="215"/>
        <v>0</v>
      </c>
      <c r="K1090" s="1845">
        <f t="shared" si="215"/>
        <v>0</v>
      </c>
      <c r="L1090" s="1845">
        <f t="shared" si="215"/>
        <v>0</v>
      </c>
      <c r="M1090" s="1845">
        <f t="shared" si="215"/>
        <v>0</v>
      </c>
      <c r="N1090" s="1845">
        <f t="shared" si="215"/>
        <v>0</v>
      </c>
      <c r="O1090" s="1845">
        <f t="shared" si="215"/>
        <v>0</v>
      </c>
      <c r="P1090" s="1845">
        <f t="shared" si="215"/>
        <v>0</v>
      </c>
      <c r="Q1090" s="1845">
        <f t="shared" si="215"/>
        <v>0</v>
      </c>
      <c r="R1090" s="1845">
        <f t="shared" si="215"/>
        <v>0</v>
      </c>
      <c r="S1090" s="1056"/>
      <c r="T1090" s="2059">
        <f t="shared" si="211"/>
        <v>0</v>
      </c>
    </row>
    <row r="1091" spans="1:20" ht="22.15" hidden="1" customHeight="1">
      <c r="B1091" s="1580" t="s">
        <v>804</v>
      </c>
      <c r="C1091" s="1854" t="str">
        <f t="shared" si="209"/>
        <v xml:space="preserve"> </v>
      </c>
      <c r="D1091" s="1544">
        <v>2</v>
      </c>
      <c r="E1091" s="1047"/>
      <c r="F1091" s="1059" t="str">
        <f>VLOOKUP($B1091,DG!A:D,DG!$C$2,)</f>
        <v>Boulon 16x100+ 2 long đền vuông D18-50x50x3/Zn</v>
      </c>
      <c r="G1091" s="1047" t="str">
        <f>VLOOKUP($B1091,DG!A:D,DG!$D$2,)</f>
        <v>bộ</v>
      </c>
      <c r="H1091" s="1845">
        <f t="shared" si="215"/>
        <v>0</v>
      </c>
      <c r="I1091" s="1845">
        <f t="shared" si="215"/>
        <v>0</v>
      </c>
      <c r="J1091" s="1845">
        <f t="shared" si="215"/>
        <v>0</v>
      </c>
      <c r="K1091" s="1845">
        <f t="shared" si="215"/>
        <v>0</v>
      </c>
      <c r="L1091" s="1845">
        <f t="shared" si="215"/>
        <v>0</v>
      </c>
      <c r="M1091" s="1845">
        <f t="shared" si="215"/>
        <v>0</v>
      </c>
      <c r="N1091" s="1845">
        <f t="shared" si="215"/>
        <v>0</v>
      </c>
      <c r="O1091" s="1845">
        <f t="shared" si="215"/>
        <v>0</v>
      </c>
      <c r="P1091" s="1845">
        <f t="shared" si="215"/>
        <v>0</v>
      </c>
      <c r="Q1091" s="1845">
        <f t="shared" si="215"/>
        <v>0</v>
      </c>
      <c r="R1091" s="1845">
        <f t="shared" si="215"/>
        <v>0</v>
      </c>
      <c r="S1091" s="1056"/>
      <c r="T1091" s="2059">
        <f t="shared" si="211"/>
        <v>0</v>
      </c>
    </row>
    <row r="1092" spans="1:20" ht="22.15" hidden="1" customHeight="1">
      <c r="B1092" s="1580" t="s">
        <v>1085</v>
      </c>
      <c r="C1092" s="1854" t="str">
        <f t="shared" si="209"/>
        <v xml:space="preserve"> </v>
      </c>
      <c r="D1092" s="1544">
        <v>2</v>
      </c>
      <c r="E1092" s="1047"/>
      <c r="F1092" s="1059" t="str">
        <f>VLOOKUP($B1092,DG!A:D,DG!$C$2,)</f>
        <v>Boulon 16x400+ 2 long đền vuông D18-50x50x3/Zn</v>
      </c>
      <c r="G1092" s="1047" t="str">
        <f>VLOOKUP($B1092,DG!A:D,DG!$D$2,)</f>
        <v>bộ</v>
      </c>
      <c r="H1092" s="1845">
        <f t="shared" si="215"/>
        <v>0</v>
      </c>
      <c r="I1092" s="1845">
        <f t="shared" si="215"/>
        <v>0</v>
      </c>
      <c r="J1092" s="1845">
        <f t="shared" si="215"/>
        <v>0</v>
      </c>
      <c r="K1092" s="1845">
        <f t="shared" si="215"/>
        <v>0</v>
      </c>
      <c r="L1092" s="1845">
        <f t="shared" si="215"/>
        <v>0</v>
      </c>
      <c r="M1092" s="1845">
        <f t="shared" si="215"/>
        <v>0</v>
      </c>
      <c r="N1092" s="1845">
        <f t="shared" si="215"/>
        <v>0</v>
      </c>
      <c r="O1092" s="1845">
        <f t="shared" si="215"/>
        <v>0</v>
      </c>
      <c r="P1092" s="1845">
        <f t="shared" si="215"/>
        <v>0</v>
      </c>
      <c r="Q1092" s="1845">
        <f t="shared" si="215"/>
        <v>0</v>
      </c>
      <c r="R1092" s="1845">
        <f t="shared" si="215"/>
        <v>0</v>
      </c>
      <c r="S1092" s="1056"/>
      <c r="T1092" s="2059">
        <f t="shared" si="211"/>
        <v>0</v>
      </c>
    </row>
    <row r="1093" spans="1:20" ht="22.15" hidden="1" customHeight="1">
      <c r="B1093" s="1580" t="s">
        <v>2001</v>
      </c>
      <c r="C1093" s="1854" t="str">
        <f t="shared" si="209"/>
        <v xml:space="preserve"> </v>
      </c>
      <c r="D1093" s="1544">
        <v>1</v>
      </c>
      <c r="E1093" s="1047"/>
      <c r="F1093" s="1052" t="str">
        <f>VLOOKUP($B1093,DG!A:D,DG!$C$2,)</f>
        <v>Lắp xà đỡ ≤ 25kg</v>
      </c>
      <c r="G1093" s="1047" t="str">
        <f>VLOOKUP($B1093,DG!A:D,DG!$D$2,)</f>
        <v>bộ</v>
      </c>
      <c r="H1093" s="1845">
        <f t="shared" si="215"/>
        <v>0</v>
      </c>
      <c r="I1093" s="1845">
        <f t="shared" si="215"/>
        <v>0</v>
      </c>
      <c r="J1093" s="1845">
        <f t="shared" si="215"/>
        <v>0</v>
      </c>
      <c r="K1093" s="1845">
        <f t="shared" si="215"/>
        <v>0</v>
      </c>
      <c r="L1093" s="1845">
        <f t="shared" si="215"/>
        <v>0</v>
      </c>
      <c r="M1093" s="1845">
        <f t="shared" si="215"/>
        <v>0</v>
      </c>
      <c r="N1093" s="1845">
        <f t="shared" si="215"/>
        <v>0</v>
      </c>
      <c r="O1093" s="1845">
        <f t="shared" si="215"/>
        <v>0</v>
      </c>
      <c r="P1093" s="1845">
        <f t="shared" si="215"/>
        <v>0</v>
      </c>
      <c r="Q1093" s="1845">
        <f t="shared" si="215"/>
        <v>0</v>
      </c>
      <c r="R1093" s="1845">
        <f t="shared" si="215"/>
        <v>0</v>
      </c>
      <c r="S1093" s="1056"/>
      <c r="T1093" s="2059">
        <f t="shared" si="211"/>
        <v>0</v>
      </c>
    </row>
    <row r="1094" spans="1:20" ht="22.15" customHeight="1">
      <c r="A1094" s="1581" t="s">
        <v>361</v>
      </c>
      <c r="B1094" s="1583" t="s">
        <v>361</v>
      </c>
      <c r="C1094" s="1854" t="str">
        <f t="shared" ref="C1094:C1101" si="216">IF(OR(P1094&lt;&gt;0,H1094&lt;&gt;0),"x"," ")</f>
        <v>x</v>
      </c>
      <c r="D1094" s="1541"/>
      <c r="E1094" s="1048"/>
      <c r="F1094" s="1396" t="s">
        <v>2462</v>
      </c>
      <c r="G1094" s="1049" t="s">
        <v>2394</v>
      </c>
      <c r="H1094" s="1843">
        <f>SUM(I1094:O1094)</f>
        <v>1</v>
      </c>
      <c r="I1094" s="1844"/>
      <c r="J1094" s="1844"/>
      <c r="K1094" s="1844">
        <f>IFERROR(HLOOKUP(B1094,pp3p1m!$1:$3,3,0),0)</f>
        <v>1</v>
      </c>
      <c r="L1094" s="1844">
        <f>IFERROR(HLOOKUP(chitiet!B1094,pp1p!$1:$3,3,0),0)</f>
        <v>0</v>
      </c>
      <c r="M1094" s="1844"/>
      <c r="N1094" s="1844"/>
      <c r="O1094" s="1844"/>
      <c r="P1094" s="1843">
        <f>H1094+Q1094-R1094</f>
        <v>1</v>
      </c>
      <c r="Q1094" s="1050"/>
      <c r="R1094" s="1050"/>
      <c r="S1094" s="1050"/>
      <c r="T1094" s="2059">
        <f>IFERROR(HLOOKUP(B1094,pp1p!$1:$3,3,0),0)+IFERROR(HLOOKUP(B1094,pp3p1m!$1:$3,3,0),0)</f>
        <v>1</v>
      </c>
    </row>
    <row r="1095" spans="1:20" ht="22.15" customHeight="1">
      <c r="B1095" s="1580" t="s">
        <v>4357</v>
      </c>
      <c r="C1095" s="1015" t="str">
        <f t="shared" si="216"/>
        <v>x</v>
      </c>
      <c r="D1095" s="1544">
        <v>1</v>
      </c>
      <c r="E1095" s="1047"/>
      <c r="F1095" s="1059" t="str">
        <f>VLOOKUP($B1095,DG!A:D,DG!$C$2,)</f>
        <v>Xà composite 110x800x5 dài 2,4m</v>
      </c>
      <c r="G1095" s="1047" t="str">
        <f>VLOOKUP($B1095,DG!A:D,DG!$D$2,)</f>
        <v>cái</v>
      </c>
      <c r="H1095" s="1845">
        <f>$H$1094*$D1095</f>
        <v>1</v>
      </c>
      <c r="I1095" s="1845">
        <f t="shared" ref="I1095:J1100" si="217">I$1042*$D1095</f>
        <v>0</v>
      </c>
      <c r="J1095" s="1845">
        <f t="shared" si="217"/>
        <v>0</v>
      </c>
      <c r="K1095" s="1845">
        <f t="shared" ref="K1095:K1100" si="218">K$1094*$D1095</f>
        <v>1</v>
      </c>
      <c r="L1095" s="1845">
        <f t="shared" ref="L1095:L1100" si="219">L$1042*$D1095</f>
        <v>0</v>
      </c>
      <c r="M1095" s="1845"/>
      <c r="N1095" s="1845"/>
      <c r="O1095" s="1845"/>
      <c r="P1095" s="1845">
        <f t="shared" ref="P1095" si="220">$P$1094*D1095</f>
        <v>1</v>
      </c>
      <c r="Q1095" s="1056"/>
      <c r="R1095" s="1056"/>
      <c r="S1095" s="1056"/>
      <c r="T1095" s="2059">
        <f t="shared" si="211"/>
        <v>0</v>
      </c>
    </row>
    <row r="1096" spans="1:20" ht="22.15" hidden="1" customHeight="1">
      <c r="A1096" s="59"/>
      <c r="B1096" s="1586" t="s">
        <v>364</v>
      </c>
      <c r="C1096" s="1854" t="str">
        <f t="shared" si="216"/>
        <v xml:space="preserve"> </v>
      </c>
      <c r="D1096" s="1550">
        <v>2.4</v>
      </c>
      <c r="E1096" s="1047"/>
      <c r="F1096" s="1059" t="str">
        <f>VLOOKUP($B1096,DG!A:D,DG!$C$2,)</f>
        <v>Xà composite 110x800x5</v>
      </c>
      <c r="G1096" s="1047" t="str">
        <f>VLOOKUP($B1096,DG!A:D,DG!$D$2,)</f>
        <v>cái</v>
      </c>
      <c r="H1096" s="1845"/>
      <c r="I1096" s="1845">
        <f t="shared" si="217"/>
        <v>0</v>
      </c>
      <c r="J1096" s="1845">
        <f t="shared" si="217"/>
        <v>0</v>
      </c>
      <c r="K1096" s="1845">
        <f t="shared" si="218"/>
        <v>2.4</v>
      </c>
      <c r="L1096" s="1845">
        <f t="shared" si="219"/>
        <v>0</v>
      </c>
      <c r="M1096" s="1845"/>
      <c r="N1096" s="1845"/>
      <c r="O1096" s="1845"/>
      <c r="P1096" s="1845"/>
      <c r="Q1096" s="1056"/>
      <c r="R1096" s="1056"/>
      <c r="S1096" s="1056"/>
      <c r="T1096" s="2059">
        <f t="shared" si="211"/>
        <v>0</v>
      </c>
    </row>
    <row r="1097" spans="1:20" ht="22.15" customHeight="1">
      <c r="B1097" s="1580" t="s">
        <v>365</v>
      </c>
      <c r="C1097" s="1854" t="str">
        <f t="shared" si="216"/>
        <v>x</v>
      </c>
      <c r="D1097" s="1544">
        <v>2</v>
      </c>
      <c r="E1097" s="1047"/>
      <c r="F1097" s="1059" t="str">
        <f>VLOOKUP($B1097,DG!A:D,DG!$C$2,)</f>
        <v>Chống composite 40x10x920</v>
      </c>
      <c r="G1097" s="1047" t="str">
        <f>VLOOKUP($B1097,DG!A:D,DG!$D$2,)</f>
        <v>cái</v>
      </c>
      <c r="H1097" s="1845">
        <f>$H$1094*$D1097</f>
        <v>2</v>
      </c>
      <c r="I1097" s="1845">
        <f t="shared" si="217"/>
        <v>0</v>
      </c>
      <c r="J1097" s="1845">
        <f t="shared" si="217"/>
        <v>0</v>
      </c>
      <c r="K1097" s="1845">
        <f t="shared" si="218"/>
        <v>2</v>
      </c>
      <c r="L1097" s="1845">
        <f t="shared" si="219"/>
        <v>0</v>
      </c>
      <c r="M1097" s="1845"/>
      <c r="N1097" s="1845"/>
      <c r="O1097" s="1845"/>
      <c r="P1097" s="1845">
        <f t="shared" ref="P1097" si="221">$P$1094*D1097</f>
        <v>2</v>
      </c>
      <c r="Q1097" s="1056"/>
      <c r="R1097" s="1056"/>
      <c r="S1097" s="1056"/>
      <c r="T1097" s="2059">
        <f t="shared" si="211"/>
        <v>0</v>
      </c>
    </row>
    <row r="1098" spans="1:20" ht="22.15" customHeight="1">
      <c r="B1098" s="1580" t="s">
        <v>244</v>
      </c>
      <c r="C1098" s="1854" t="str">
        <f t="shared" ref="C1098" si="222">IF(OR(P1098&lt;&gt;0,H1098&lt;&gt;0),"x"," ")</f>
        <v>x</v>
      </c>
      <c r="D1098" s="1544">
        <v>2</v>
      </c>
      <c r="E1098" s="1047"/>
      <c r="F1098" s="1059" t="str">
        <f>VLOOKUP($B1098,DG!A:D,DG!$C$2,)</f>
        <v>Boulon 16x150+ 2 long đền vuông D18-50x50x3/Zn</v>
      </c>
      <c r="G1098" s="1047" t="str">
        <f>VLOOKUP($B1098,DG!A:D,DG!$D$2,)</f>
        <v>bộ</v>
      </c>
      <c r="H1098" s="1845">
        <f>$H$1094*$D1098</f>
        <v>2</v>
      </c>
      <c r="I1098" s="1845">
        <f t="shared" si="217"/>
        <v>0</v>
      </c>
      <c r="J1098" s="1845">
        <f t="shared" si="217"/>
        <v>0</v>
      </c>
      <c r="K1098" s="1845">
        <f t="shared" si="218"/>
        <v>2</v>
      </c>
      <c r="L1098" s="1845">
        <f t="shared" si="219"/>
        <v>0</v>
      </c>
      <c r="M1098" s="1845"/>
      <c r="N1098" s="1845"/>
      <c r="O1098" s="1845"/>
      <c r="P1098" s="1845">
        <f>$P$1094*D1098</f>
        <v>2</v>
      </c>
      <c r="Q1098" s="1056"/>
      <c r="R1098" s="1056"/>
      <c r="S1098" s="1056"/>
      <c r="T1098" s="2059">
        <f t="shared" ref="T1098" si="223">IFERROR(HLOOKUP(B1098,BangKeTru,3,0),0)</f>
        <v>0</v>
      </c>
    </row>
    <row r="1099" spans="1:20" ht="22.15" customHeight="1">
      <c r="B1099" s="1580" t="s">
        <v>1614</v>
      </c>
      <c r="C1099" s="1854" t="str">
        <f t="shared" si="216"/>
        <v>x</v>
      </c>
      <c r="D1099" s="1544">
        <v>2</v>
      </c>
      <c r="E1099" s="1047"/>
      <c r="F1099" s="1059" t="str">
        <f>VLOOKUP($B1099,DG!A:D,DG!$C$2,)</f>
        <v>Boulon 16x250+ 2 long đền vuông D18-50x50x3/Zn</v>
      </c>
      <c r="G1099" s="1047" t="str">
        <f>VLOOKUP($B1099,DG!A:D,DG!$D$2,)</f>
        <v>bộ</v>
      </c>
      <c r="H1099" s="1845">
        <f>$H$1094*$D1099</f>
        <v>2</v>
      </c>
      <c r="I1099" s="1845">
        <f t="shared" si="217"/>
        <v>0</v>
      </c>
      <c r="J1099" s="1845">
        <f t="shared" si="217"/>
        <v>0</v>
      </c>
      <c r="K1099" s="1845">
        <f t="shared" si="218"/>
        <v>2</v>
      </c>
      <c r="L1099" s="1845">
        <f t="shared" si="219"/>
        <v>0</v>
      </c>
      <c r="M1099" s="1845"/>
      <c r="N1099" s="1845"/>
      <c r="O1099" s="1845"/>
      <c r="P1099" s="1845">
        <f>$P$1094*D1099</f>
        <v>2</v>
      </c>
      <c r="Q1099" s="1056"/>
      <c r="R1099" s="1056"/>
      <c r="S1099" s="1056"/>
      <c r="T1099" s="2059">
        <f t="shared" si="211"/>
        <v>0</v>
      </c>
    </row>
    <row r="1100" spans="1:20" ht="22.15" customHeight="1">
      <c r="B1100" s="1580" t="s">
        <v>1085</v>
      </c>
      <c r="C1100" s="1854" t="str">
        <f t="shared" si="216"/>
        <v>x</v>
      </c>
      <c r="D1100" s="1544">
        <v>2</v>
      </c>
      <c r="E1100" s="1047"/>
      <c r="F1100" s="1059" t="str">
        <f>VLOOKUP($B1100,DG!A:D,DG!$C$2,)</f>
        <v>Boulon 16x400+ 2 long đền vuông D18-50x50x3/Zn</v>
      </c>
      <c r="G1100" s="1047" t="str">
        <f>VLOOKUP($B1100,DG!A:D,DG!$D$2,)</f>
        <v>bộ</v>
      </c>
      <c r="H1100" s="1845">
        <f>$H$1094*$D1100</f>
        <v>2</v>
      </c>
      <c r="I1100" s="1845">
        <f t="shared" si="217"/>
        <v>0</v>
      </c>
      <c r="J1100" s="1845">
        <f t="shared" si="217"/>
        <v>0</v>
      </c>
      <c r="K1100" s="1845">
        <f t="shared" si="218"/>
        <v>2</v>
      </c>
      <c r="L1100" s="1845">
        <f t="shared" si="219"/>
        <v>0</v>
      </c>
      <c r="M1100" s="1845"/>
      <c r="N1100" s="1845"/>
      <c r="O1100" s="1845"/>
      <c r="P1100" s="1845">
        <f>$P$1094*D1100</f>
        <v>2</v>
      </c>
      <c r="Q1100" s="1056"/>
      <c r="R1100" s="1056"/>
      <c r="S1100" s="1056"/>
      <c r="T1100" s="2059">
        <f t="shared" si="211"/>
        <v>0</v>
      </c>
    </row>
    <row r="1101" spans="1:20" ht="22.15" customHeight="1">
      <c r="B1101" s="1580" t="s">
        <v>2001</v>
      </c>
      <c r="C1101" s="1854" t="str">
        <f t="shared" si="216"/>
        <v>x</v>
      </c>
      <c r="D1101" s="1544">
        <v>1</v>
      </c>
      <c r="E1101" s="1047"/>
      <c r="F1101" s="1052" t="str">
        <f>VLOOKUP($B1101,DG!A:D,DG!$C$2,)</f>
        <v>Lắp xà đỡ ≤ 25kg</v>
      </c>
      <c r="G1101" s="1047" t="str">
        <f>VLOOKUP($B1101,DG!A:D,DG!$D$2,)</f>
        <v>bộ</v>
      </c>
      <c r="H1101" s="1845">
        <f>$H$1094*$D1101</f>
        <v>1</v>
      </c>
      <c r="I1101" s="1845"/>
      <c r="J1101" s="1845"/>
      <c r="K1101" s="1845"/>
      <c r="L1101" s="1845"/>
      <c r="M1101" s="1845"/>
      <c r="N1101" s="1845"/>
      <c r="O1101" s="1845"/>
      <c r="P1101" s="1845">
        <f>$P$1094*D1101</f>
        <v>1</v>
      </c>
      <c r="Q1101" s="1056"/>
      <c r="R1101" s="1056"/>
      <c r="S1101" s="1056"/>
      <c r="T1101" s="2059">
        <f t="shared" si="211"/>
        <v>0</v>
      </c>
    </row>
    <row r="1102" spans="1:20" ht="22.15" hidden="1" customHeight="1" collapsed="1">
      <c r="A1102" s="971" t="s">
        <v>633</v>
      </c>
      <c r="B1102" s="1583" t="s">
        <v>633</v>
      </c>
      <c r="C1102" s="1015" t="str">
        <f t="shared" si="209"/>
        <v xml:space="preserve"> </v>
      </c>
      <c r="D1102" s="1541"/>
      <c r="E1102" s="1048"/>
      <c r="F1102" s="1396" t="s">
        <v>2467</v>
      </c>
      <c r="G1102" s="1049" t="s">
        <v>2394</v>
      </c>
      <c r="H1102" s="1843">
        <f>SUM(I1102:O1102)</f>
        <v>0</v>
      </c>
      <c r="I1102" s="1844"/>
      <c r="J1102" s="1844"/>
      <c r="K1102" s="1844">
        <f>IFERROR(HLOOKUP(B1102,pp3p1m!$1:$3,3,0),0)</f>
        <v>0</v>
      </c>
      <c r="L1102" s="1844">
        <f>IFERROR(HLOOKUP(chitiet!B1102,pp1p!$1:$3,3,0),0)</f>
        <v>0</v>
      </c>
      <c r="M1102" s="1844"/>
      <c r="N1102" s="1844"/>
      <c r="O1102" s="1844"/>
      <c r="P1102" s="1844">
        <f>H1102+Q1102-R1102</f>
        <v>0</v>
      </c>
      <c r="Q1102" s="1050"/>
      <c r="R1102" s="1050"/>
      <c r="S1102" s="1050"/>
      <c r="T1102" s="2059">
        <f>IFERROR(HLOOKUP(B1102,pp1p!$1:$3,3,0),0)+IFERROR(HLOOKUP(B1102,pp3p1m!$1:$3,3,0),0)</f>
        <v>0</v>
      </c>
    </row>
    <row r="1103" spans="1:20" ht="22.15" hidden="1" customHeight="1">
      <c r="A1103" s="59"/>
      <c r="B1103" s="1586" t="s">
        <v>1063</v>
      </c>
      <c r="C1103" s="1015" t="str">
        <f t="shared" si="209"/>
        <v xml:space="preserve"> </v>
      </c>
      <c r="D1103" s="1544">
        <v>1</v>
      </c>
      <c r="E1103" s="1047"/>
      <c r="F1103" s="1059" t="str">
        <f>VLOOKUP($B1103,DG!A:D,DG!$C$2,)</f>
        <v>Boulon mắt 16x250+ 2 long đền vuông D18-50x50x3/Zn</v>
      </c>
      <c r="G1103" s="1047" t="str">
        <f>VLOOKUP($B1103,DG!A:D,DG!$D$2,)</f>
        <v>bộ</v>
      </c>
      <c r="H1103" s="1845">
        <f t="shared" ref="H1103:N1108" si="224">H$1102*$D1103</f>
        <v>0</v>
      </c>
      <c r="I1103" s="1845">
        <f t="shared" si="224"/>
        <v>0</v>
      </c>
      <c r="J1103" s="1845">
        <f t="shared" si="224"/>
        <v>0</v>
      </c>
      <c r="K1103" s="1845">
        <f t="shared" si="224"/>
        <v>0</v>
      </c>
      <c r="L1103" s="1845">
        <f t="shared" si="224"/>
        <v>0</v>
      </c>
      <c r="M1103" s="1845">
        <f t="shared" si="224"/>
        <v>0</v>
      </c>
      <c r="N1103" s="1845">
        <f t="shared" si="224"/>
        <v>0</v>
      </c>
      <c r="O1103" s="1845"/>
      <c r="P1103" s="1845">
        <f t="shared" ref="P1103:P1109" si="225">$P$1102*D1103</f>
        <v>0</v>
      </c>
      <c r="Q1103" s="1056"/>
      <c r="R1103" s="1056"/>
      <c r="S1103" s="1056"/>
      <c r="T1103" s="2059">
        <f t="shared" si="211"/>
        <v>0</v>
      </c>
    </row>
    <row r="1104" spans="1:20" ht="22.15" hidden="1" customHeight="1">
      <c r="A1104" s="59"/>
      <c r="B1104" s="1586" t="s">
        <v>111</v>
      </c>
      <c r="C1104" s="1015" t="str">
        <f t="shared" si="209"/>
        <v xml:space="preserve"> </v>
      </c>
      <c r="D1104" s="1544">
        <v>1</v>
      </c>
      <c r="E1104" s="1047"/>
      <c r="F1104" s="1059" t="str">
        <f>VLOOKUP($B1104,DG!A:D,DG!$C$2,)</f>
        <v>Sứ chằng</v>
      </c>
      <c r="G1104" s="1047" t="str">
        <f>VLOOKUP($B1104,DG!A:D,DG!$D$2,)</f>
        <v>cái</v>
      </c>
      <c r="H1104" s="1845">
        <f t="shared" si="224"/>
        <v>0</v>
      </c>
      <c r="I1104" s="1845">
        <f t="shared" si="224"/>
        <v>0</v>
      </c>
      <c r="J1104" s="1845">
        <f t="shared" si="224"/>
        <v>0</v>
      </c>
      <c r="K1104" s="1845">
        <f t="shared" si="224"/>
        <v>0</v>
      </c>
      <c r="L1104" s="1845">
        <f t="shared" si="224"/>
        <v>0</v>
      </c>
      <c r="M1104" s="1845">
        <f t="shared" si="224"/>
        <v>0</v>
      </c>
      <c r="N1104" s="1845">
        <f t="shared" si="224"/>
        <v>0</v>
      </c>
      <c r="O1104" s="1845"/>
      <c r="P1104" s="1845">
        <f t="shared" si="225"/>
        <v>0</v>
      </c>
      <c r="Q1104" s="1056"/>
      <c r="R1104" s="1056"/>
      <c r="S1104" s="1056"/>
      <c r="T1104" s="2059">
        <f t="shared" si="211"/>
        <v>0</v>
      </c>
    </row>
    <row r="1105" spans="1:20" ht="22.15" hidden="1" customHeight="1">
      <c r="A1105" s="59"/>
      <c r="B1105" s="1586" t="s">
        <v>1583</v>
      </c>
      <c r="C1105" s="1015" t="str">
        <f t="shared" si="209"/>
        <v xml:space="preserve"> </v>
      </c>
      <c r="D1105" s="1544">
        <v>4</v>
      </c>
      <c r="E1105" s="1047"/>
      <c r="F1105" s="1059" t="str">
        <f>VLOOKUP($B1105,DG!A:D,DG!$C$2,)</f>
        <v>Kẹp cáp 3 boulon</v>
      </c>
      <c r="G1105" s="1047" t="str">
        <f>VLOOKUP($B1105,DG!A:D,DG!$D$2,)</f>
        <v>cái</v>
      </c>
      <c r="H1105" s="1845">
        <f t="shared" si="224"/>
        <v>0</v>
      </c>
      <c r="I1105" s="1845">
        <f t="shared" si="224"/>
        <v>0</v>
      </c>
      <c r="J1105" s="1845">
        <f t="shared" si="224"/>
        <v>0</v>
      </c>
      <c r="K1105" s="1845">
        <f t="shared" si="224"/>
        <v>0</v>
      </c>
      <c r="L1105" s="1845">
        <f t="shared" si="224"/>
        <v>0</v>
      </c>
      <c r="M1105" s="1845">
        <f t="shared" si="224"/>
        <v>0</v>
      </c>
      <c r="N1105" s="1845">
        <f t="shared" si="224"/>
        <v>0</v>
      </c>
      <c r="O1105" s="1845"/>
      <c r="P1105" s="1845">
        <f t="shared" si="225"/>
        <v>0</v>
      </c>
      <c r="Q1105" s="1056"/>
      <c r="R1105" s="1056"/>
      <c r="S1105" s="1056"/>
      <c r="T1105" s="2059">
        <f t="shared" si="211"/>
        <v>0</v>
      </c>
    </row>
    <row r="1106" spans="1:20" ht="22.15" hidden="1" customHeight="1">
      <c r="A1106" s="59"/>
      <c r="B1106" s="1586" t="s">
        <v>275</v>
      </c>
      <c r="C1106" s="1015" t="str">
        <f t="shared" si="209"/>
        <v xml:space="preserve"> </v>
      </c>
      <c r="D1106" s="1554">
        <v>5.53</v>
      </c>
      <c r="E1106" s="1047"/>
      <c r="F1106" s="1059" t="str">
        <f>VLOOKUP($B1106,DG!A:D,DG!$C$2,)</f>
        <v>Cáp thép 3/8"</v>
      </c>
      <c r="G1106" s="1047" t="str">
        <f>VLOOKUP($B1106,DG!A:D,DG!$D$2,)</f>
        <v>kg</v>
      </c>
      <c r="H1106" s="1845">
        <f t="shared" si="224"/>
        <v>0</v>
      </c>
      <c r="I1106" s="1845">
        <f t="shared" si="224"/>
        <v>0</v>
      </c>
      <c r="J1106" s="1845">
        <f t="shared" si="224"/>
        <v>0</v>
      </c>
      <c r="K1106" s="1845">
        <f t="shared" si="224"/>
        <v>0</v>
      </c>
      <c r="L1106" s="1845">
        <f t="shared" si="224"/>
        <v>0</v>
      </c>
      <c r="M1106" s="1845">
        <f t="shared" si="224"/>
        <v>0</v>
      </c>
      <c r="N1106" s="1845">
        <f t="shared" si="224"/>
        <v>0</v>
      </c>
      <c r="O1106" s="1845"/>
      <c r="P1106" s="1845">
        <f t="shared" si="225"/>
        <v>0</v>
      </c>
      <c r="Q1106" s="1056"/>
      <c r="R1106" s="1056"/>
      <c r="S1106" s="1056"/>
      <c r="T1106" s="2059">
        <f t="shared" si="211"/>
        <v>0</v>
      </c>
    </row>
    <row r="1107" spans="1:20" ht="22.15" hidden="1" customHeight="1">
      <c r="A1107" s="59"/>
      <c r="B1107" s="1586" t="s">
        <v>2006</v>
      </c>
      <c r="C1107" s="1015" t="str">
        <f t="shared" si="209"/>
        <v xml:space="preserve"> </v>
      </c>
      <c r="D1107" s="1544">
        <v>2</v>
      </c>
      <c r="E1107" s="1047"/>
      <c r="F1107" s="1059" t="str">
        <f>VLOOKUP($B1107,DG!A:D,DG!$C$2,)</f>
        <v>Yếm cáp dày 2mm</v>
      </c>
      <c r="G1107" s="1047" t="str">
        <f>VLOOKUP($B1107,DG!A:D,DG!$D$2,)</f>
        <v>cái</v>
      </c>
      <c r="H1107" s="1845">
        <f t="shared" si="224"/>
        <v>0</v>
      </c>
      <c r="I1107" s="1845">
        <f t="shared" si="224"/>
        <v>0</v>
      </c>
      <c r="J1107" s="1845">
        <f t="shared" si="224"/>
        <v>0</v>
      </c>
      <c r="K1107" s="1845">
        <f t="shared" si="224"/>
        <v>0</v>
      </c>
      <c r="L1107" s="1845">
        <f t="shared" si="224"/>
        <v>0</v>
      </c>
      <c r="M1107" s="1845">
        <f t="shared" si="224"/>
        <v>0</v>
      </c>
      <c r="N1107" s="1845">
        <f t="shared" si="224"/>
        <v>0</v>
      </c>
      <c r="O1107" s="1845"/>
      <c r="P1107" s="1845">
        <f t="shared" si="225"/>
        <v>0</v>
      </c>
      <c r="Q1107" s="1056"/>
      <c r="R1107" s="1056"/>
      <c r="S1107" s="1056"/>
      <c r="T1107" s="2059">
        <f t="shared" si="211"/>
        <v>0</v>
      </c>
    </row>
    <row r="1108" spans="1:20" ht="22.15" hidden="1" customHeight="1">
      <c r="A1108" s="59"/>
      <c r="B1108" s="1586" t="s">
        <v>2007</v>
      </c>
      <c r="C1108" s="1015" t="str">
        <f t="shared" si="209"/>
        <v xml:space="preserve"> </v>
      </c>
      <c r="D1108" s="1544">
        <v>1</v>
      </c>
      <c r="E1108" s="1047"/>
      <c r="F1108" s="1059" t="str">
        <f>VLOOKUP($B1108,DG!A:D,DG!$C$2,)</f>
        <v>Máng che dây chằng dày 1,6mm</v>
      </c>
      <c r="G1108" s="1047" t="str">
        <f>VLOOKUP($B1108,DG!A:D,DG!$D$2,)</f>
        <v>cái</v>
      </c>
      <c r="H1108" s="1845">
        <f t="shared" si="224"/>
        <v>0</v>
      </c>
      <c r="I1108" s="1845">
        <f t="shared" si="224"/>
        <v>0</v>
      </c>
      <c r="J1108" s="1845">
        <f t="shared" si="224"/>
        <v>0</v>
      </c>
      <c r="K1108" s="1845">
        <f t="shared" si="224"/>
        <v>0</v>
      </c>
      <c r="L1108" s="1845">
        <f t="shared" si="224"/>
        <v>0</v>
      </c>
      <c r="M1108" s="1845">
        <f t="shared" si="224"/>
        <v>0</v>
      </c>
      <c r="N1108" s="1845">
        <f t="shared" si="224"/>
        <v>0</v>
      </c>
      <c r="O1108" s="1845"/>
      <c r="P1108" s="1845">
        <f t="shared" si="225"/>
        <v>0</v>
      </c>
      <c r="Q1108" s="1056"/>
      <c r="R1108" s="1056"/>
      <c r="S1108" s="1056"/>
      <c r="T1108" s="2059">
        <f t="shared" si="211"/>
        <v>0</v>
      </c>
    </row>
    <row r="1109" spans="1:20" ht="22.15" hidden="1" customHeight="1">
      <c r="A1109" s="59"/>
      <c r="B1109" s="1586" t="s">
        <v>1924</v>
      </c>
      <c r="C1109" s="1015" t="str">
        <f t="shared" si="209"/>
        <v xml:space="preserve"> </v>
      </c>
      <c r="D1109" s="1544">
        <f>D1103</f>
        <v>1</v>
      </c>
      <c r="E1109" s="1047" t="str">
        <f>VLOOKUP($B1109,DG!A:D,DG!$B$2,)</f>
        <v>06.3241</v>
      </c>
      <c r="F1109" s="1052" t="str">
        <f>VLOOKUP($B1109,DG!A:D,DG!$C$2,)</f>
        <v>Lắp bộ dây néo</v>
      </c>
      <c r="G1109" s="1047" t="str">
        <f>VLOOKUP($B1109,DG!A:D,DG!$D$2,)</f>
        <v>bộ</v>
      </c>
      <c r="H1109" s="1845">
        <f>H$1102*$D1109</f>
        <v>0</v>
      </c>
      <c r="I1109" s="1845"/>
      <c r="J1109" s="1845"/>
      <c r="K1109" s="1845"/>
      <c r="L1109" s="1845"/>
      <c r="M1109" s="1845"/>
      <c r="N1109" s="1845"/>
      <c r="O1109" s="1845"/>
      <c r="P1109" s="1845">
        <f t="shared" si="225"/>
        <v>0</v>
      </c>
      <c r="Q1109" s="1061"/>
      <c r="R1109" s="1061"/>
      <c r="S1109" s="1061"/>
      <c r="T1109" s="2059">
        <f t="shared" si="211"/>
        <v>0</v>
      </c>
    </row>
    <row r="1110" spans="1:20" ht="22.15" hidden="1" customHeight="1">
      <c r="A1110" s="59"/>
      <c r="B1110" s="1598" t="s">
        <v>356</v>
      </c>
      <c r="C1110" s="1015" t="str">
        <f t="shared" si="209"/>
        <v xml:space="preserve"> </v>
      </c>
      <c r="D1110" s="1543"/>
      <c r="E1110" s="1047" t="str">
        <f>VLOOKUP($B1110,DG!A:C,2,)</f>
        <v>02.1421</v>
      </c>
      <c r="F1110" s="1052" t="str">
        <f>VLOOKUP($B1110,DG!A:C,3,)</f>
        <v>V/c phụ kiện vào vị trí (cự ly &lt;=100m)</v>
      </c>
      <c r="G1110" s="1047" t="str">
        <f>VLOOKUP($B1110,DG!A:D,4,0)</f>
        <v>tấn</v>
      </c>
      <c r="H1110" s="1845"/>
      <c r="I1110" s="1845"/>
      <c r="J1110" s="1845"/>
      <c r="K1110" s="1845"/>
      <c r="L1110" s="1845"/>
      <c r="M1110" s="1845"/>
      <c r="N1110" s="1845"/>
      <c r="O1110" s="1845"/>
      <c r="P1110" s="1845"/>
      <c r="Q1110" s="1061"/>
      <c r="R1110" s="1061"/>
      <c r="S1110" s="1061"/>
      <c r="T1110" s="2059">
        <f t="shared" si="211"/>
        <v>0</v>
      </c>
    </row>
    <row r="1111" spans="1:20" ht="22.15" hidden="1" customHeight="1">
      <c r="A1111" s="971" t="s">
        <v>205</v>
      </c>
      <c r="B1111" s="1583" t="s">
        <v>205</v>
      </c>
      <c r="C1111" s="1015" t="str">
        <f t="shared" si="209"/>
        <v xml:space="preserve"> </v>
      </c>
      <c r="D1111" s="1541"/>
      <c r="E1111" s="1048"/>
      <c r="F1111" s="1396" t="s">
        <v>2468</v>
      </c>
      <c r="G1111" s="1049" t="s">
        <v>2394</v>
      </c>
      <c r="H1111" s="1843">
        <f>SUM(I1111:O1111)</f>
        <v>0</v>
      </c>
      <c r="I1111" s="1844"/>
      <c r="J1111" s="1844"/>
      <c r="K1111" s="1844">
        <f>IFERROR(HLOOKUP(B1111,pp3p1m!$1:$3,3,0),0)</f>
        <v>0</v>
      </c>
      <c r="L1111" s="1844">
        <f>IFERROR(HLOOKUP(chitiet!B1111,pp1p!$1:$3,3,0),0)</f>
        <v>0</v>
      </c>
      <c r="M1111" s="1844"/>
      <c r="N1111" s="1844"/>
      <c r="O1111" s="1844"/>
      <c r="P1111" s="1844">
        <f>H1111+Q1111-R1111</f>
        <v>0</v>
      </c>
      <c r="Q1111" s="1050"/>
      <c r="R1111" s="1050"/>
      <c r="S1111" s="1050"/>
      <c r="T1111" s="2059">
        <f>IFERROR(HLOOKUP(B1111,pp1p!$1:$3,3,0),0)+IFERROR(HLOOKUP(B1111,pp3p1m!$1:$3,3,0),0)</f>
        <v>0</v>
      </c>
    </row>
    <row r="1112" spans="1:20" ht="22.15" hidden="1" customHeight="1">
      <c r="A1112" s="59"/>
      <c r="B1112" s="1586" t="s">
        <v>1924</v>
      </c>
      <c r="C1112" s="1015" t="str">
        <f t="shared" si="209"/>
        <v xml:space="preserve"> </v>
      </c>
      <c r="D1112" s="1544">
        <v>1</v>
      </c>
      <c r="E1112" s="1047"/>
      <c r="F1112" s="1052" t="s">
        <v>2469</v>
      </c>
      <c r="G1112" s="1047" t="str">
        <f>VLOOKUP($B1112,DG!A:D,DG!$D$2,)</f>
        <v>bộ</v>
      </c>
      <c r="H1112" s="1845">
        <f t="shared" ref="H1112:N1114" si="226">H$1111*$D1112</f>
        <v>0</v>
      </c>
      <c r="I1112" s="1845">
        <f t="shared" si="226"/>
        <v>0</v>
      </c>
      <c r="J1112" s="1845">
        <f t="shared" si="226"/>
        <v>0</v>
      </c>
      <c r="K1112" s="1845">
        <f t="shared" si="226"/>
        <v>0</v>
      </c>
      <c r="L1112" s="1845">
        <f t="shared" si="226"/>
        <v>0</v>
      </c>
      <c r="M1112" s="1845">
        <f t="shared" si="226"/>
        <v>0</v>
      </c>
      <c r="N1112" s="1845">
        <f t="shared" si="226"/>
        <v>0</v>
      </c>
      <c r="O1112" s="1845"/>
      <c r="P1112" s="1845"/>
      <c r="Q1112" s="1056"/>
      <c r="R1112" s="1056"/>
      <c r="S1112" s="1056"/>
      <c r="T1112" s="2059">
        <f t="shared" si="211"/>
        <v>0</v>
      </c>
    </row>
    <row r="1113" spans="1:20" ht="22.15" hidden="1" customHeight="1">
      <c r="A1113" s="59"/>
      <c r="B1113" s="1586" t="s">
        <v>1912</v>
      </c>
      <c r="C1113" s="1015" t="str">
        <f t="shared" si="209"/>
        <v xml:space="preserve"> </v>
      </c>
      <c r="D1113" s="1544">
        <v>1</v>
      </c>
      <c r="E1113" s="1047"/>
      <c r="F1113" s="1052" t="s">
        <v>2470</v>
      </c>
      <c r="G1113" s="1047" t="str">
        <f>VLOOKUP($B1113,DG!A:D,DG!$D$2,)</f>
        <v>bộ</v>
      </c>
      <c r="H1113" s="1845">
        <f t="shared" si="226"/>
        <v>0</v>
      </c>
      <c r="I1113" s="1845">
        <f t="shared" si="226"/>
        <v>0</v>
      </c>
      <c r="J1113" s="1845">
        <f t="shared" si="226"/>
        <v>0</v>
      </c>
      <c r="K1113" s="1845">
        <f t="shared" si="226"/>
        <v>0</v>
      </c>
      <c r="L1113" s="1845">
        <f t="shared" si="226"/>
        <v>0</v>
      </c>
      <c r="M1113" s="1845">
        <f t="shared" si="226"/>
        <v>0</v>
      </c>
      <c r="N1113" s="1845">
        <f t="shared" si="226"/>
        <v>0</v>
      </c>
      <c r="O1113" s="1845"/>
      <c r="P1113" s="1845"/>
      <c r="Q1113" s="1056"/>
      <c r="R1113" s="1056"/>
      <c r="S1113" s="1056"/>
      <c r="T1113" s="2059">
        <f t="shared" si="211"/>
        <v>0</v>
      </c>
    </row>
    <row r="1114" spans="1:20" ht="22.15" hidden="1" customHeight="1">
      <c r="A1114" s="59"/>
      <c r="B1114" s="1598" t="s">
        <v>356</v>
      </c>
      <c r="C1114" s="1015" t="str">
        <f t="shared" si="209"/>
        <v xml:space="preserve"> </v>
      </c>
      <c r="D1114" s="1543">
        <v>0.01</v>
      </c>
      <c r="E1114" s="1047" t="str">
        <f>VLOOKUP($B1114,DG!A:C,2,)</f>
        <v>02.1421</v>
      </c>
      <c r="F1114" s="1052" t="str">
        <f>VLOOKUP($B1114,DG!A:C,3,)</f>
        <v>V/c phụ kiện vào vị trí (cự ly &lt;=100m)</v>
      </c>
      <c r="G1114" s="1047" t="str">
        <f>VLOOKUP($B1114,DG!A:D,4,0)</f>
        <v>tấn</v>
      </c>
      <c r="H1114" s="1845">
        <f t="shared" si="226"/>
        <v>0</v>
      </c>
      <c r="I1114" s="1845">
        <f t="shared" si="226"/>
        <v>0</v>
      </c>
      <c r="J1114" s="1845">
        <f t="shared" si="226"/>
        <v>0</v>
      </c>
      <c r="K1114" s="1845">
        <f t="shared" si="226"/>
        <v>0</v>
      </c>
      <c r="L1114" s="1845">
        <f t="shared" si="226"/>
        <v>0</v>
      </c>
      <c r="M1114" s="1845">
        <f t="shared" si="226"/>
        <v>0</v>
      </c>
      <c r="N1114" s="1845">
        <f t="shared" si="226"/>
        <v>0</v>
      </c>
      <c r="O1114" s="1845"/>
      <c r="P1114" s="1845"/>
      <c r="Q1114" s="1056"/>
      <c r="R1114" s="1056"/>
      <c r="S1114" s="1056"/>
      <c r="T1114" s="2059">
        <f t="shared" si="211"/>
        <v>0</v>
      </c>
    </row>
    <row r="1115" spans="1:20" ht="22.15" hidden="1" customHeight="1">
      <c r="A1115" s="971" t="s">
        <v>632</v>
      </c>
      <c r="B1115" s="1583" t="s">
        <v>632</v>
      </c>
      <c r="C1115" s="1015" t="str">
        <f t="shared" si="209"/>
        <v xml:space="preserve"> </v>
      </c>
      <c r="D1115" s="1541"/>
      <c r="E1115" s="1048"/>
      <c r="F1115" s="1396" t="s">
        <v>2471</v>
      </c>
      <c r="G1115" s="1049" t="s">
        <v>2394</v>
      </c>
      <c r="H1115" s="1843">
        <f>SUM(I1115:O1115)</f>
        <v>0</v>
      </c>
      <c r="I1115" s="1844"/>
      <c r="J1115" s="1844"/>
      <c r="K1115" s="1844">
        <f>IFERROR(HLOOKUP(B1115,pp3p1m!$1:$3,3,0),0)</f>
        <v>0</v>
      </c>
      <c r="L1115" s="1844">
        <f>IFERROR(HLOOKUP(chitiet!B1115,pp1p!$1:$3,3,0),0)</f>
        <v>0</v>
      </c>
      <c r="M1115" s="1844"/>
      <c r="N1115" s="1844"/>
      <c r="O1115" s="1844"/>
      <c r="P1115" s="1844">
        <f>H1115+Q1115-R1115</f>
        <v>0</v>
      </c>
      <c r="Q1115" s="1050"/>
      <c r="R1115" s="1050"/>
      <c r="S1115" s="1050"/>
      <c r="T1115" s="2059">
        <f>IFERROR(HLOOKUP(B1115,pp1p!$1:$3,3,0),0)+IFERROR(HLOOKUP(B1115,pp3p1m!$1:$3,3,0),0)</f>
        <v>0</v>
      </c>
    </row>
    <row r="1116" spans="1:20" ht="22.15" hidden="1" customHeight="1">
      <c r="A1116" s="59"/>
      <c r="B1116" s="1586" t="s">
        <v>1063</v>
      </c>
      <c r="C1116" s="1015" t="str">
        <f t="shared" si="209"/>
        <v xml:space="preserve"> </v>
      </c>
      <c r="D1116" s="1544">
        <v>1</v>
      </c>
      <c r="E1116" s="1047"/>
      <c r="F1116" s="1059" t="str">
        <f>VLOOKUP($B1116,DG!A:D,DG!$C$2,)</f>
        <v>Boulon mắt 16x250+ 2 long đền vuông D18-50x50x3/Zn</v>
      </c>
      <c r="G1116" s="1047" t="str">
        <f>VLOOKUP($B1116,DG!A:D,DG!$D$2,)</f>
        <v>bộ</v>
      </c>
      <c r="H1116" s="1845">
        <f t="shared" ref="H1116:N1122" si="227">H$1115*$D1116</f>
        <v>0</v>
      </c>
      <c r="I1116" s="1845">
        <f t="shared" si="227"/>
        <v>0</v>
      </c>
      <c r="J1116" s="1845">
        <f t="shared" si="227"/>
        <v>0</v>
      </c>
      <c r="K1116" s="1845">
        <f t="shared" si="227"/>
        <v>0</v>
      </c>
      <c r="L1116" s="1845">
        <f t="shared" si="227"/>
        <v>0</v>
      </c>
      <c r="M1116" s="1845">
        <f t="shared" si="227"/>
        <v>0</v>
      </c>
      <c r="N1116" s="1845">
        <f t="shared" si="227"/>
        <v>0</v>
      </c>
      <c r="O1116" s="1845"/>
      <c r="P1116" s="1845"/>
      <c r="Q1116" s="1056"/>
      <c r="R1116" s="1056"/>
      <c r="S1116" s="1056"/>
      <c r="T1116" s="2059">
        <f t="shared" si="211"/>
        <v>0</v>
      </c>
    </row>
    <row r="1117" spans="1:20" ht="22.15" hidden="1" customHeight="1">
      <c r="A1117" s="59"/>
      <c r="B1117" s="1586" t="s">
        <v>111</v>
      </c>
      <c r="C1117" s="1015" t="str">
        <f t="shared" si="209"/>
        <v xml:space="preserve"> </v>
      </c>
      <c r="D1117" s="1544">
        <v>1</v>
      </c>
      <c r="E1117" s="1047"/>
      <c r="F1117" s="1059" t="str">
        <f>VLOOKUP($B1117,DG!A:D,DG!$C$2,)</f>
        <v>Sứ chằng</v>
      </c>
      <c r="G1117" s="1047" t="str">
        <f>VLOOKUP($B1117,DG!A:D,DG!$D$2,)</f>
        <v>cái</v>
      </c>
      <c r="H1117" s="1845">
        <f t="shared" si="227"/>
        <v>0</v>
      </c>
      <c r="I1117" s="1845">
        <f t="shared" si="227"/>
        <v>0</v>
      </c>
      <c r="J1117" s="1845">
        <f t="shared" si="227"/>
        <v>0</v>
      </c>
      <c r="K1117" s="1845">
        <f t="shared" si="227"/>
        <v>0</v>
      </c>
      <c r="L1117" s="1845">
        <f t="shared" si="227"/>
        <v>0</v>
      </c>
      <c r="M1117" s="1845">
        <f t="shared" si="227"/>
        <v>0</v>
      </c>
      <c r="N1117" s="1845">
        <f t="shared" si="227"/>
        <v>0</v>
      </c>
      <c r="O1117" s="1845"/>
      <c r="P1117" s="1845"/>
      <c r="Q1117" s="1056"/>
      <c r="R1117" s="1056"/>
      <c r="S1117" s="1056"/>
      <c r="T1117" s="2059">
        <f t="shared" si="211"/>
        <v>0</v>
      </c>
    </row>
    <row r="1118" spans="1:20" ht="22.15" hidden="1" customHeight="1">
      <c r="A1118" s="59"/>
      <c r="B1118" s="1586" t="s">
        <v>1583</v>
      </c>
      <c r="C1118" s="1015" t="str">
        <f t="shared" si="209"/>
        <v xml:space="preserve"> </v>
      </c>
      <c r="D1118" s="1544">
        <v>4</v>
      </c>
      <c r="E1118" s="1047"/>
      <c r="F1118" s="1059" t="str">
        <f>VLOOKUP($B1118,DG!A:D,DG!$C$2,)</f>
        <v>Kẹp cáp 3 boulon</v>
      </c>
      <c r="G1118" s="1047" t="str">
        <f>VLOOKUP($B1118,DG!A:D,DG!$D$2,)</f>
        <v>cái</v>
      </c>
      <c r="H1118" s="1845">
        <f t="shared" si="227"/>
        <v>0</v>
      </c>
      <c r="I1118" s="1845">
        <f t="shared" si="227"/>
        <v>0</v>
      </c>
      <c r="J1118" s="1845">
        <f t="shared" si="227"/>
        <v>0</v>
      </c>
      <c r="K1118" s="1845">
        <f t="shared" si="227"/>
        <v>0</v>
      </c>
      <c r="L1118" s="1845">
        <f t="shared" si="227"/>
        <v>0</v>
      </c>
      <c r="M1118" s="1845">
        <f t="shared" si="227"/>
        <v>0</v>
      </c>
      <c r="N1118" s="1845">
        <f t="shared" si="227"/>
        <v>0</v>
      </c>
      <c r="O1118" s="1845"/>
      <c r="P1118" s="1845"/>
      <c r="Q1118" s="1056"/>
      <c r="R1118" s="1056"/>
      <c r="S1118" s="1056"/>
      <c r="T1118" s="2059">
        <f t="shared" si="211"/>
        <v>0</v>
      </c>
    </row>
    <row r="1119" spans="1:20" ht="22.15" hidden="1" customHeight="1">
      <c r="A1119" s="59"/>
      <c r="B1119" s="1586" t="s">
        <v>275</v>
      </c>
      <c r="C1119" s="1015" t="str">
        <f t="shared" si="209"/>
        <v xml:space="preserve"> </v>
      </c>
      <c r="D1119" s="1544">
        <f>15*0.38</f>
        <v>5.7</v>
      </c>
      <c r="E1119" s="1047"/>
      <c r="F1119" s="1059" t="str">
        <f>VLOOKUP($B1119,DG!A:D,DG!$C$2,)</f>
        <v>Cáp thép 3/8"</v>
      </c>
      <c r="G1119" s="1047" t="str">
        <f>VLOOKUP($B1119,DG!A:D,DG!$D$2,)</f>
        <v>kg</v>
      </c>
      <c r="H1119" s="1845">
        <f t="shared" si="227"/>
        <v>0</v>
      </c>
      <c r="I1119" s="1845">
        <f t="shared" si="227"/>
        <v>0</v>
      </c>
      <c r="J1119" s="1845">
        <f t="shared" si="227"/>
        <v>0</v>
      </c>
      <c r="K1119" s="1845">
        <f t="shared" si="227"/>
        <v>0</v>
      </c>
      <c r="L1119" s="1845">
        <f t="shared" si="227"/>
        <v>0</v>
      </c>
      <c r="M1119" s="1845">
        <f t="shared" si="227"/>
        <v>0</v>
      </c>
      <c r="N1119" s="1845">
        <f t="shared" si="227"/>
        <v>0</v>
      </c>
      <c r="O1119" s="1845"/>
      <c r="P1119" s="1845"/>
      <c r="Q1119" s="1056"/>
      <c r="R1119" s="1056"/>
      <c r="S1119" s="1056"/>
      <c r="T1119" s="2059">
        <f t="shared" si="211"/>
        <v>0</v>
      </c>
    </row>
    <row r="1120" spans="1:20" ht="22.15" hidden="1" customHeight="1">
      <c r="A1120" s="59"/>
      <c r="B1120" s="1586" t="s">
        <v>188</v>
      </c>
      <c r="C1120" s="1015" t="str">
        <f t="shared" si="209"/>
        <v xml:space="preserve"> </v>
      </c>
      <c r="D1120" s="1544">
        <v>1</v>
      </c>
      <c r="E1120" s="1047"/>
      <c r="F1120" s="1059" t="str">
        <f>VLOOKUP($B1120,DG!A:D,DG!$C$2,)</f>
        <v>Bộ chống chằng hẹp Ø60/50x1200+2BL12x40+BL16x200/50</v>
      </c>
      <c r="G1120" s="1047" t="str">
        <f>VLOOKUP($B1120,DG!A:D,DG!$D$2,)</f>
        <v>bộ</v>
      </c>
      <c r="H1120" s="1845">
        <f t="shared" si="227"/>
        <v>0</v>
      </c>
      <c r="I1120" s="1845">
        <f t="shared" si="227"/>
        <v>0</v>
      </c>
      <c r="J1120" s="1845">
        <f t="shared" si="227"/>
        <v>0</v>
      </c>
      <c r="K1120" s="1845">
        <f t="shared" si="227"/>
        <v>0</v>
      </c>
      <c r="L1120" s="1845">
        <f t="shared" si="227"/>
        <v>0</v>
      </c>
      <c r="M1120" s="1845">
        <f t="shared" si="227"/>
        <v>0</v>
      </c>
      <c r="N1120" s="1845">
        <f t="shared" si="227"/>
        <v>0</v>
      </c>
      <c r="O1120" s="1845"/>
      <c r="P1120" s="1845"/>
      <c r="Q1120" s="1056"/>
      <c r="R1120" s="1056"/>
      <c r="S1120" s="1056"/>
      <c r="T1120" s="2059">
        <f t="shared" si="211"/>
        <v>0</v>
      </c>
    </row>
    <row r="1121" spans="1:20" ht="22.15" hidden="1" customHeight="1">
      <c r="A1121" s="59"/>
      <c r="B1121" s="1586" t="s">
        <v>2006</v>
      </c>
      <c r="C1121" s="1015" t="str">
        <f t="shared" si="209"/>
        <v xml:space="preserve"> </v>
      </c>
      <c r="D1121" s="1544">
        <v>2</v>
      </c>
      <c r="E1121" s="1047"/>
      <c r="F1121" s="1059" t="str">
        <f>VLOOKUP($B1121,DG!A:D,DG!$C$2,)</f>
        <v>Yếm cáp dày 2mm</v>
      </c>
      <c r="G1121" s="1047" t="str">
        <f>VLOOKUP($B1121,DG!A:D,DG!$D$2,)</f>
        <v>cái</v>
      </c>
      <c r="H1121" s="1845">
        <f t="shared" si="227"/>
        <v>0</v>
      </c>
      <c r="I1121" s="1845">
        <f t="shared" si="227"/>
        <v>0</v>
      </c>
      <c r="J1121" s="1845">
        <f t="shared" si="227"/>
        <v>0</v>
      </c>
      <c r="K1121" s="1845">
        <f t="shared" si="227"/>
        <v>0</v>
      </c>
      <c r="L1121" s="1845">
        <f t="shared" si="227"/>
        <v>0</v>
      </c>
      <c r="M1121" s="1845">
        <f t="shared" si="227"/>
        <v>0</v>
      </c>
      <c r="N1121" s="1845">
        <f t="shared" si="227"/>
        <v>0</v>
      </c>
      <c r="O1121" s="1845"/>
      <c r="P1121" s="1845"/>
      <c r="Q1121" s="1056"/>
      <c r="R1121" s="1056"/>
      <c r="S1121" s="1056"/>
      <c r="T1121" s="2059">
        <f t="shared" si="211"/>
        <v>0</v>
      </c>
    </row>
    <row r="1122" spans="1:20" ht="22.15" hidden="1" customHeight="1">
      <c r="A1122" s="59"/>
      <c r="B1122" s="1586" t="s">
        <v>2007</v>
      </c>
      <c r="C1122" s="1015" t="str">
        <f t="shared" si="209"/>
        <v xml:space="preserve"> </v>
      </c>
      <c r="D1122" s="1544">
        <v>1</v>
      </c>
      <c r="E1122" s="1047"/>
      <c r="F1122" s="1059" t="str">
        <f>VLOOKUP($B1122,DG!A:D,DG!$C$2,)</f>
        <v>Máng che dây chằng dày 1,6mm</v>
      </c>
      <c r="G1122" s="1047" t="str">
        <f>VLOOKUP($B1122,DG!A:D,DG!$D$2,)</f>
        <v>cái</v>
      </c>
      <c r="H1122" s="1845">
        <f t="shared" si="227"/>
        <v>0</v>
      </c>
      <c r="I1122" s="1845">
        <f t="shared" si="227"/>
        <v>0</v>
      </c>
      <c r="J1122" s="1845">
        <f t="shared" si="227"/>
        <v>0</v>
      </c>
      <c r="K1122" s="1845">
        <f t="shared" si="227"/>
        <v>0</v>
      </c>
      <c r="L1122" s="1845">
        <f t="shared" si="227"/>
        <v>0</v>
      </c>
      <c r="M1122" s="1845">
        <f t="shared" si="227"/>
        <v>0</v>
      </c>
      <c r="N1122" s="1845">
        <f t="shared" si="227"/>
        <v>0</v>
      </c>
      <c r="O1122" s="1845"/>
      <c r="P1122" s="1845"/>
      <c r="Q1122" s="1056"/>
      <c r="R1122" s="1056"/>
      <c r="S1122" s="1056"/>
      <c r="T1122" s="2059">
        <f t="shared" si="211"/>
        <v>0</v>
      </c>
    </row>
    <row r="1123" spans="1:20" ht="22.15" hidden="1" customHeight="1">
      <c r="A1123" s="59"/>
      <c r="B1123" s="1586" t="s">
        <v>1924</v>
      </c>
      <c r="C1123" s="1015" t="str">
        <f t="shared" si="209"/>
        <v xml:space="preserve"> </v>
      </c>
      <c r="D1123" s="1544">
        <f>D1116</f>
        <v>1</v>
      </c>
      <c r="E1123" s="1047" t="str">
        <f>VLOOKUP($B1123,DG!A:D,DG!$B$2,)</f>
        <v>06.3241</v>
      </c>
      <c r="F1123" s="1052" t="str">
        <f>VLOOKUP($B1123,DG!A:D,DG!$C$2,)</f>
        <v>Lắp bộ dây néo</v>
      </c>
      <c r="G1123" s="1047" t="str">
        <f>VLOOKUP($B1123,DG!A:D,DG!$D$2,)</f>
        <v>bộ</v>
      </c>
      <c r="H1123" s="1845"/>
      <c r="I1123" s="1845"/>
      <c r="J1123" s="1845"/>
      <c r="K1123" s="1845"/>
      <c r="L1123" s="1845"/>
      <c r="M1123" s="1845"/>
      <c r="N1123" s="1845"/>
      <c r="O1123" s="1845"/>
      <c r="P1123" s="1845"/>
      <c r="Q1123" s="1061"/>
      <c r="R1123" s="1061"/>
      <c r="S1123" s="1061"/>
      <c r="T1123" s="2059">
        <f t="shared" si="211"/>
        <v>0</v>
      </c>
    </row>
    <row r="1124" spans="1:20" ht="22.15" hidden="1" customHeight="1">
      <c r="A1124" s="59"/>
      <c r="B1124" s="1586" t="s">
        <v>1912</v>
      </c>
      <c r="C1124" s="1015" t="str">
        <f t="shared" si="209"/>
        <v xml:space="preserve"> </v>
      </c>
      <c r="D1124" s="1544"/>
      <c r="E1124" s="1047" t="str">
        <f>VLOOKUP($B1124,DG!A:D,DG!$B$2,)</f>
        <v>05.6011</v>
      </c>
      <c r="F1124" s="1052" t="str">
        <f>VLOOKUP($B1124,DG!A:D,DG!$C$2,)</f>
        <v>Lắp bộ chống lệch</v>
      </c>
      <c r="G1124" s="1047" t="str">
        <f>VLOOKUP($B1124,DG!A:D,DG!$D$2,)</f>
        <v>bộ</v>
      </c>
      <c r="H1124" s="1845"/>
      <c r="I1124" s="1845"/>
      <c r="J1124" s="1845"/>
      <c r="K1124" s="1845"/>
      <c r="L1124" s="1845"/>
      <c r="M1124" s="1845"/>
      <c r="N1124" s="1845"/>
      <c r="O1124" s="1845"/>
      <c r="P1124" s="1845"/>
      <c r="Q1124" s="1061"/>
      <c r="R1124" s="1061"/>
      <c r="S1124" s="1061"/>
      <c r="T1124" s="2059">
        <f t="shared" si="211"/>
        <v>0</v>
      </c>
    </row>
    <row r="1125" spans="1:20" ht="22.15" hidden="1" customHeight="1">
      <c r="A1125" s="59"/>
      <c r="B1125" s="1598" t="s">
        <v>356</v>
      </c>
      <c r="C1125" s="1015" t="str">
        <f t="shared" si="209"/>
        <v xml:space="preserve"> </v>
      </c>
      <c r="D1125" s="1543"/>
      <c r="E1125" s="1047" t="str">
        <f>VLOOKUP($B1125,DG!A:C,2,)</f>
        <v>02.1421</v>
      </c>
      <c r="F1125" s="1052" t="str">
        <f>VLOOKUP($B1125,DG!A:C,3,)</f>
        <v>V/c phụ kiện vào vị trí (cự ly &lt;=100m)</v>
      </c>
      <c r="G1125" s="1047" t="str">
        <f>VLOOKUP($B1125,DG!A:D,4,0)</f>
        <v>tấn</v>
      </c>
      <c r="H1125" s="1845"/>
      <c r="I1125" s="1845"/>
      <c r="J1125" s="1845"/>
      <c r="K1125" s="1845"/>
      <c r="L1125" s="1845"/>
      <c r="M1125" s="1845"/>
      <c r="N1125" s="1845"/>
      <c r="O1125" s="1845"/>
      <c r="P1125" s="1845"/>
      <c r="Q1125" s="1061"/>
      <c r="R1125" s="1061"/>
      <c r="S1125" s="1061"/>
      <c r="T1125" s="2059">
        <f t="shared" si="211"/>
        <v>0</v>
      </c>
    </row>
    <row r="1126" spans="1:20" ht="22.15" hidden="1" customHeight="1">
      <c r="A1126" s="56" t="s">
        <v>837</v>
      </c>
      <c r="B1126" s="1583" t="s">
        <v>837</v>
      </c>
      <c r="C1126" s="1015" t="str">
        <f t="shared" si="209"/>
        <v xml:space="preserve"> </v>
      </c>
      <c r="D1126" s="1541"/>
      <c r="E1126" s="1048"/>
      <c r="F1126" s="1396" t="s">
        <v>2472</v>
      </c>
      <c r="G1126" s="1049" t="s">
        <v>2394</v>
      </c>
      <c r="H1126" s="1843">
        <f>SUM(I1126:O1126)</f>
        <v>0</v>
      </c>
      <c r="I1126" s="1844"/>
      <c r="J1126" s="1844"/>
      <c r="K1126" s="1844">
        <f>IFERROR(HLOOKUP(B1126,pp3p1m!$1:$3,3,0),0)</f>
        <v>0</v>
      </c>
      <c r="L1126" s="1844">
        <f>IFERROR(HLOOKUP(chitiet!B1126,pp1p!$1:$3,3,0),0)</f>
        <v>0</v>
      </c>
      <c r="M1126" s="1844"/>
      <c r="N1126" s="1844"/>
      <c r="O1126" s="1844"/>
      <c r="P1126" s="1844">
        <f>H1126+Q1126-R1126</f>
        <v>0</v>
      </c>
      <c r="Q1126" s="1050"/>
      <c r="R1126" s="1050"/>
      <c r="S1126" s="1050"/>
      <c r="T1126" s="2059">
        <f>IFERROR(HLOOKUP(B1126,pp1p!$1:$3,3,0),0)+IFERROR(HLOOKUP(B1126,pp3p1m!$1:$3,3,0),0)</f>
        <v>0</v>
      </c>
    </row>
    <row r="1127" spans="1:20" ht="22.15" hidden="1" customHeight="1">
      <c r="A1127" s="59"/>
      <c r="B1127" s="1586" t="s">
        <v>1063</v>
      </c>
      <c r="C1127" s="1015" t="str">
        <f t="shared" si="209"/>
        <v xml:space="preserve"> </v>
      </c>
      <c r="D1127" s="1544">
        <v>1</v>
      </c>
      <c r="E1127" s="1047"/>
      <c r="F1127" s="1059" t="str">
        <f>VLOOKUP($B1127,DG!A:D,DG!$C$2,)</f>
        <v>Boulon mắt 16x250+ 2 long đền vuông D18-50x50x3/Zn</v>
      </c>
      <c r="G1127" s="1047" t="str">
        <f>VLOOKUP($B1127,DG!A:D,DG!$D$2,)</f>
        <v>bộ</v>
      </c>
      <c r="H1127" s="1845">
        <f t="shared" ref="H1127:N1132" si="228">H$1126*$D1127</f>
        <v>0</v>
      </c>
      <c r="I1127" s="1845">
        <f t="shared" si="228"/>
        <v>0</v>
      </c>
      <c r="J1127" s="1845">
        <f t="shared" si="228"/>
        <v>0</v>
      </c>
      <c r="K1127" s="1845">
        <f t="shared" si="228"/>
        <v>0</v>
      </c>
      <c r="L1127" s="1845">
        <f t="shared" si="228"/>
        <v>0</v>
      </c>
      <c r="M1127" s="1845">
        <f t="shared" si="228"/>
        <v>0</v>
      </c>
      <c r="N1127" s="1845">
        <f t="shared" si="228"/>
        <v>0</v>
      </c>
      <c r="O1127" s="1845"/>
      <c r="P1127" s="1845"/>
      <c r="Q1127" s="1056"/>
      <c r="R1127" s="1056"/>
      <c r="S1127" s="1056"/>
      <c r="T1127" s="2059">
        <f t="shared" si="211"/>
        <v>0</v>
      </c>
    </row>
    <row r="1128" spans="1:20" ht="22.15" hidden="1" customHeight="1">
      <c r="A1128" s="59"/>
      <c r="B1128" s="1586" t="s">
        <v>111</v>
      </c>
      <c r="C1128" s="1015" t="str">
        <f t="shared" si="209"/>
        <v xml:space="preserve"> </v>
      </c>
      <c r="D1128" s="1544">
        <v>1</v>
      </c>
      <c r="E1128" s="1047"/>
      <c r="F1128" s="1059" t="str">
        <f>VLOOKUP($B1128,DG!A:D,DG!$C$2,)</f>
        <v>Sứ chằng</v>
      </c>
      <c r="G1128" s="1047" t="str">
        <f>VLOOKUP($B1128,DG!A:D,DG!$D$2,)</f>
        <v>cái</v>
      </c>
      <c r="H1128" s="1845">
        <f t="shared" si="228"/>
        <v>0</v>
      </c>
      <c r="I1128" s="1845">
        <f t="shared" si="228"/>
        <v>0</v>
      </c>
      <c r="J1128" s="1845">
        <f t="shared" si="228"/>
        <v>0</v>
      </c>
      <c r="K1128" s="1845">
        <f t="shared" si="228"/>
        <v>0</v>
      </c>
      <c r="L1128" s="1845">
        <f t="shared" si="228"/>
        <v>0</v>
      </c>
      <c r="M1128" s="1845">
        <f t="shared" si="228"/>
        <v>0</v>
      </c>
      <c r="N1128" s="1845">
        <f t="shared" si="228"/>
        <v>0</v>
      </c>
      <c r="O1128" s="1845"/>
      <c r="P1128" s="1845"/>
      <c r="Q1128" s="1056"/>
      <c r="R1128" s="1056"/>
      <c r="S1128" s="1056"/>
      <c r="T1128" s="2059">
        <f t="shared" si="211"/>
        <v>0</v>
      </c>
    </row>
    <row r="1129" spans="1:20" ht="22.15" hidden="1" customHeight="1">
      <c r="A1129" s="59"/>
      <c r="B1129" s="1586" t="s">
        <v>1583</v>
      </c>
      <c r="C1129" s="1015" t="str">
        <f t="shared" si="209"/>
        <v xml:space="preserve"> </v>
      </c>
      <c r="D1129" s="1544">
        <v>8</v>
      </c>
      <c r="E1129" s="1047"/>
      <c r="F1129" s="1059" t="str">
        <f>VLOOKUP($B1129,DG!A:D,DG!$C$2,)</f>
        <v>Kẹp cáp 3 boulon</v>
      </c>
      <c r="G1129" s="1047" t="str">
        <f>VLOOKUP($B1129,DG!A:D,DG!$D$2,)</f>
        <v>cái</v>
      </c>
      <c r="H1129" s="1845">
        <f t="shared" si="228"/>
        <v>0</v>
      </c>
      <c r="I1129" s="1845">
        <f t="shared" si="228"/>
        <v>0</v>
      </c>
      <c r="J1129" s="1845">
        <f t="shared" si="228"/>
        <v>0</v>
      </c>
      <c r="K1129" s="1845">
        <f t="shared" si="228"/>
        <v>0</v>
      </c>
      <c r="L1129" s="1845">
        <f t="shared" si="228"/>
        <v>0</v>
      </c>
      <c r="M1129" s="1845">
        <f t="shared" si="228"/>
        <v>0</v>
      </c>
      <c r="N1129" s="1845">
        <f t="shared" si="228"/>
        <v>0</v>
      </c>
      <c r="O1129" s="1845"/>
      <c r="P1129" s="1845"/>
      <c r="Q1129" s="1056"/>
      <c r="R1129" s="1056"/>
      <c r="S1129" s="1056"/>
      <c r="T1129" s="2059">
        <f t="shared" ref="T1129:T1194" si="229">IFERROR(HLOOKUP(B1129,BangKeTru,3,0),0)</f>
        <v>0</v>
      </c>
    </row>
    <row r="1130" spans="1:20" ht="22.15" hidden="1" customHeight="1">
      <c r="A1130" s="59"/>
      <c r="B1130" s="1586" t="s">
        <v>275</v>
      </c>
      <c r="C1130" s="1015" t="str">
        <f t="shared" si="209"/>
        <v xml:space="preserve"> </v>
      </c>
      <c r="D1130" s="1544">
        <v>16</v>
      </c>
      <c r="E1130" s="1047"/>
      <c r="F1130" s="1059" t="str">
        <f>VLOOKUP($B1130,DG!A:D,DG!$C$2,)</f>
        <v>Cáp thép 3/8"</v>
      </c>
      <c r="G1130" s="1047" t="str">
        <f>VLOOKUP($B1130,DG!A:D,DG!$D$2,)</f>
        <v>kg</v>
      </c>
      <c r="H1130" s="1845">
        <f t="shared" si="228"/>
        <v>0</v>
      </c>
      <c r="I1130" s="1845">
        <f t="shared" si="228"/>
        <v>0</v>
      </c>
      <c r="J1130" s="1845">
        <f t="shared" si="228"/>
        <v>0</v>
      </c>
      <c r="K1130" s="1845">
        <f t="shared" si="228"/>
        <v>0</v>
      </c>
      <c r="L1130" s="1845">
        <f t="shared" si="228"/>
        <v>0</v>
      </c>
      <c r="M1130" s="1845">
        <f t="shared" si="228"/>
        <v>0</v>
      </c>
      <c r="N1130" s="1845">
        <f t="shared" si="228"/>
        <v>0</v>
      </c>
      <c r="O1130" s="1845"/>
      <c r="P1130" s="1845"/>
      <c r="Q1130" s="1056"/>
      <c r="R1130" s="1056"/>
      <c r="S1130" s="1056"/>
      <c r="T1130" s="2059">
        <f t="shared" si="229"/>
        <v>0</v>
      </c>
    </row>
    <row r="1131" spans="1:20" ht="22.15" hidden="1" customHeight="1">
      <c r="A1131" s="59"/>
      <c r="B1131" s="1586" t="s">
        <v>2006</v>
      </c>
      <c r="C1131" s="1015" t="str">
        <f t="shared" si="209"/>
        <v xml:space="preserve"> </v>
      </c>
      <c r="D1131" s="1544">
        <v>2</v>
      </c>
      <c r="E1131" s="1047"/>
      <c r="F1131" s="1059" t="str">
        <f>VLOOKUP($B1131,DG!A:D,DG!$C$2,)</f>
        <v>Yếm cáp dày 2mm</v>
      </c>
      <c r="G1131" s="1047" t="str">
        <f>VLOOKUP($B1131,DG!A:D,DG!$D$2,)</f>
        <v>cái</v>
      </c>
      <c r="H1131" s="1845">
        <f t="shared" si="228"/>
        <v>0</v>
      </c>
      <c r="I1131" s="1845">
        <f t="shared" si="228"/>
        <v>0</v>
      </c>
      <c r="J1131" s="1845">
        <f t="shared" si="228"/>
        <v>0</v>
      </c>
      <c r="K1131" s="1845">
        <f t="shared" si="228"/>
        <v>0</v>
      </c>
      <c r="L1131" s="1845">
        <f t="shared" si="228"/>
        <v>0</v>
      </c>
      <c r="M1131" s="1845">
        <f t="shared" si="228"/>
        <v>0</v>
      </c>
      <c r="N1131" s="1845">
        <f t="shared" si="228"/>
        <v>0</v>
      </c>
      <c r="O1131" s="1845"/>
      <c r="P1131" s="1845"/>
      <c r="Q1131" s="1056"/>
      <c r="R1131" s="1056"/>
      <c r="S1131" s="1056"/>
      <c r="T1131" s="2059">
        <f t="shared" si="229"/>
        <v>0</v>
      </c>
    </row>
    <row r="1132" spans="1:20" ht="22.15" hidden="1" customHeight="1">
      <c r="A1132" s="59"/>
      <c r="B1132" s="1586" t="s">
        <v>2007</v>
      </c>
      <c r="C1132" s="1015" t="str">
        <f t="shared" si="209"/>
        <v xml:space="preserve"> </v>
      </c>
      <c r="D1132" s="1544">
        <v>1</v>
      </c>
      <c r="E1132" s="1047"/>
      <c r="F1132" s="1059" t="str">
        <f>VLOOKUP($B1132,DG!A:D,DG!$C$2,)</f>
        <v>Máng che dây chằng dày 1,6mm</v>
      </c>
      <c r="G1132" s="1047" t="str">
        <f>VLOOKUP($B1132,DG!A:D,DG!$D$2,)</f>
        <v>cái</v>
      </c>
      <c r="H1132" s="1845">
        <f t="shared" si="228"/>
        <v>0</v>
      </c>
      <c r="I1132" s="1845">
        <f t="shared" si="228"/>
        <v>0</v>
      </c>
      <c r="J1132" s="1845">
        <f t="shared" si="228"/>
        <v>0</v>
      </c>
      <c r="K1132" s="1845">
        <f t="shared" si="228"/>
        <v>0</v>
      </c>
      <c r="L1132" s="1845">
        <f t="shared" si="228"/>
        <v>0</v>
      </c>
      <c r="M1132" s="1845">
        <f t="shared" si="228"/>
        <v>0</v>
      </c>
      <c r="N1132" s="1845">
        <f t="shared" si="228"/>
        <v>0</v>
      </c>
      <c r="O1132" s="1845"/>
      <c r="P1132" s="1845"/>
      <c r="Q1132" s="1056"/>
      <c r="R1132" s="1056"/>
      <c r="S1132" s="1056"/>
      <c r="T1132" s="2059">
        <f t="shared" si="229"/>
        <v>0</v>
      </c>
    </row>
    <row r="1133" spans="1:20" ht="22.15" hidden="1" customHeight="1">
      <c r="A1133" s="59"/>
      <c r="B1133" s="1586" t="s">
        <v>1924</v>
      </c>
      <c r="C1133" s="1015" t="str">
        <f t="shared" si="209"/>
        <v xml:space="preserve"> </v>
      </c>
      <c r="D1133" s="1544">
        <f>D1127</f>
        <v>1</v>
      </c>
      <c r="E1133" s="1047" t="str">
        <f>VLOOKUP($B1133,DG!A:D,DG!$B$2,)</f>
        <v>06.3241</v>
      </c>
      <c r="F1133" s="1052" t="str">
        <f>VLOOKUP($B1133,DG!A:D,DG!$C$2,)</f>
        <v>Lắp bộ dây néo</v>
      </c>
      <c r="G1133" s="1047" t="str">
        <f>VLOOKUP($B1133,DG!A:D,DG!$D$2,)</f>
        <v>bộ</v>
      </c>
      <c r="H1133" s="1845"/>
      <c r="I1133" s="1845"/>
      <c r="J1133" s="1845"/>
      <c r="K1133" s="1845"/>
      <c r="L1133" s="1845"/>
      <c r="M1133" s="1845"/>
      <c r="N1133" s="1845"/>
      <c r="O1133" s="1845"/>
      <c r="P1133" s="1845"/>
      <c r="Q1133" s="1061"/>
      <c r="R1133" s="1061"/>
      <c r="S1133" s="1061"/>
      <c r="T1133" s="2059">
        <f t="shared" si="229"/>
        <v>0</v>
      </c>
    </row>
    <row r="1134" spans="1:20" ht="22.15" hidden="1" customHeight="1">
      <c r="A1134" s="59"/>
      <c r="B1134" s="1598" t="s">
        <v>356</v>
      </c>
      <c r="C1134" s="1015" t="str">
        <f t="shared" si="209"/>
        <v xml:space="preserve"> </v>
      </c>
      <c r="D1134" s="1543">
        <v>0.02</v>
      </c>
      <c r="E1134" s="1047" t="str">
        <f>VLOOKUP($B1134,DG!A:C,2,)</f>
        <v>02.1421</v>
      </c>
      <c r="F1134" s="1052" t="str">
        <f>VLOOKUP($B1134,DG!A:C,3,)</f>
        <v>V/c phụ kiện vào vị trí (cự ly &lt;=100m)</v>
      </c>
      <c r="G1134" s="1047" t="str">
        <f>VLOOKUP($B1134,DG!A:D,4,0)</f>
        <v>tấn</v>
      </c>
      <c r="H1134" s="1845"/>
      <c r="I1134" s="1845"/>
      <c r="J1134" s="1845"/>
      <c r="K1134" s="1845"/>
      <c r="L1134" s="1845"/>
      <c r="M1134" s="1845"/>
      <c r="N1134" s="1845"/>
      <c r="O1134" s="1845"/>
      <c r="P1134" s="1845"/>
      <c r="Q1134" s="1061"/>
      <c r="R1134" s="1061"/>
      <c r="S1134" s="1061"/>
      <c r="T1134" s="2059">
        <f t="shared" si="229"/>
        <v>0</v>
      </c>
    </row>
    <row r="1135" spans="1:20" ht="22.15" hidden="1" customHeight="1">
      <c r="A1135" s="56" t="s">
        <v>838</v>
      </c>
      <c r="B1135" s="1583" t="s">
        <v>838</v>
      </c>
      <c r="C1135" s="1015" t="str">
        <f t="shared" si="209"/>
        <v xml:space="preserve"> </v>
      </c>
      <c r="D1135" s="1541"/>
      <c r="E1135" s="1048"/>
      <c r="F1135" s="1396" t="s">
        <v>2473</v>
      </c>
      <c r="G1135" s="1049" t="s">
        <v>2394</v>
      </c>
      <c r="H1135" s="1843">
        <f>SUM(I1135:O1135)</f>
        <v>0</v>
      </c>
      <c r="I1135" s="1844"/>
      <c r="J1135" s="1844"/>
      <c r="K1135" s="1844">
        <f>IFERROR(HLOOKUP(B1135,pp3p1m!$1:$3,3,0),0)</f>
        <v>0</v>
      </c>
      <c r="L1135" s="1844">
        <f>IFERROR(HLOOKUP(chitiet!B1135,pp1p!$1:$3,3,0),0)</f>
        <v>0</v>
      </c>
      <c r="M1135" s="1844"/>
      <c r="N1135" s="1844"/>
      <c r="O1135" s="1844"/>
      <c r="P1135" s="1844">
        <f>H1135+Q1135-R1135</f>
        <v>0</v>
      </c>
      <c r="Q1135" s="1050"/>
      <c r="R1135" s="1050"/>
      <c r="S1135" s="1050"/>
      <c r="T1135" s="2059">
        <f>IFERROR(HLOOKUP(B1135,pp1p!$1:$3,3,0),0)+IFERROR(HLOOKUP(B1135,pp3p1m!$1:$3,3,0),0)</f>
        <v>0</v>
      </c>
    </row>
    <row r="1136" spans="1:20" ht="22.15" hidden="1" customHeight="1">
      <c r="A1136" s="59"/>
      <c r="B1136" s="1586" t="s">
        <v>417</v>
      </c>
      <c r="C1136" s="1015" t="str">
        <f t="shared" si="209"/>
        <v xml:space="preserve"> </v>
      </c>
      <c r="D1136" s="1544">
        <v>1</v>
      </c>
      <c r="E1136" s="1047"/>
      <c r="F1136" s="1059" t="str">
        <f>VLOOKUP($B1136,DG!A:D,DG!$C$2,)</f>
        <v>Boulon mắt 16x300+ 2 long đền vuông D18-50x50x3/Zn</v>
      </c>
      <c r="G1136" s="1047" t="str">
        <f>VLOOKUP($B1136,DG!A:D,DG!$D$2,)</f>
        <v>bộ</v>
      </c>
      <c r="H1136" s="1845">
        <f t="shared" ref="H1136:N1142" si="230">H$1135*$D1136</f>
        <v>0</v>
      </c>
      <c r="I1136" s="1845">
        <f t="shared" si="230"/>
        <v>0</v>
      </c>
      <c r="J1136" s="1845">
        <f t="shared" si="230"/>
        <v>0</v>
      </c>
      <c r="K1136" s="1845">
        <f t="shared" si="230"/>
        <v>0</v>
      </c>
      <c r="L1136" s="1845">
        <f t="shared" si="230"/>
        <v>0</v>
      </c>
      <c r="M1136" s="1845">
        <f t="shared" si="230"/>
        <v>0</v>
      </c>
      <c r="N1136" s="1845">
        <f t="shared" si="230"/>
        <v>0</v>
      </c>
      <c r="O1136" s="1845"/>
      <c r="P1136" s="1845"/>
      <c r="Q1136" s="1056"/>
      <c r="R1136" s="1056"/>
      <c r="S1136" s="1056"/>
      <c r="T1136" s="2059">
        <f t="shared" si="229"/>
        <v>0</v>
      </c>
    </row>
    <row r="1137" spans="1:20" ht="22.15" hidden="1" customHeight="1">
      <c r="A1137" s="59"/>
      <c r="B1137" s="1586" t="s">
        <v>111</v>
      </c>
      <c r="C1137" s="1015" t="str">
        <f t="shared" ref="C1137:C1202" si="231">IF(OR(P1137&lt;&gt;0,H1137&lt;&gt;0),"x"," ")</f>
        <v xml:space="preserve"> </v>
      </c>
      <c r="D1137" s="1544">
        <v>1</v>
      </c>
      <c r="E1137" s="1047"/>
      <c r="F1137" s="1059" t="str">
        <f>VLOOKUP($B1137,DG!A:D,DG!$C$2,)</f>
        <v>Sứ chằng</v>
      </c>
      <c r="G1137" s="1047" t="str">
        <f>VLOOKUP($B1137,DG!A:D,DG!$D$2,)</f>
        <v>cái</v>
      </c>
      <c r="H1137" s="1845">
        <f t="shared" si="230"/>
        <v>0</v>
      </c>
      <c r="I1137" s="1845">
        <f t="shared" si="230"/>
        <v>0</v>
      </c>
      <c r="J1137" s="1845">
        <f t="shared" si="230"/>
        <v>0</v>
      </c>
      <c r="K1137" s="1845">
        <f t="shared" si="230"/>
        <v>0</v>
      </c>
      <c r="L1137" s="1845">
        <f t="shared" si="230"/>
        <v>0</v>
      </c>
      <c r="M1137" s="1845">
        <f t="shared" si="230"/>
        <v>0</v>
      </c>
      <c r="N1137" s="1845">
        <f t="shared" si="230"/>
        <v>0</v>
      </c>
      <c r="O1137" s="1845"/>
      <c r="P1137" s="1845"/>
      <c r="Q1137" s="1056"/>
      <c r="R1137" s="1056"/>
      <c r="S1137" s="1056"/>
      <c r="T1137" s="2059">
        <f t="shared" si="229"/>
        <v>0</v>
      </c>
    </row>
    <row r="1138" spans="1:20" ht="22.15" hidden="1" customHeight="1">
      <c r="A1138" s="59"/>
      <c r="B1138" s="1586" t="s">
        <v>1583</v>
      </c>
      <c r="C1138" s="1015" t="str">
        <f t="shared" si="231"/>
        <v xml:space="preserve"> </v>
      </c>
      <c r="D1138" s="1544">
        <v>8</v>
      </c>
      <c r="E1138" s="1047"/>
      <c r="F1138" s="1059" t="str">
        <f>VLOOKUP($B1138,DG!A:D,DG!$C$2,)</f>
        <v>Kẹp cáp 3 boulon</v>
      </c>
      <c r="G1138" s="1047" t="str">
        <f>VLOOKUP($B1138,DG!A:D,DG!$D$2,)</f>
        <v>cái</v>
      </c>
      <c r="H1138" s="1845">
        <f t="shared" si="230"/>
        <v>0</v>
      </c>
      <c r="I1138" s="1845">
        <f t="shared" si="230"/>
        <v>0</v>
      </c>
      <c r="J1138" s="1845">
        <f t="shared" si="230"/>
        <v>0</v>
      </c>
      <c r="K1138" s="1845">
        <f t="shared" si="230"/>
        <v>0</v>
      </c>
      <c r="L1138" s="1845">
        <f t="shared" si="230"/>
        <v>0</v>
      </c>
      <c r="M1138" s="1845">
        <f t="shared" si="230"/>
        <v>0</v>
      </c>
      <c r="N1138" s="1845">
        <f t="shared" si="230"/>
        <v>0</v>
      </c>
      <c r="O1138" s="1845"/>
      <c r="P1138" s="1845"/>
      <c r="Q1138" s="1056"/>
      <c r="R1138" s="1056"/>
      <c r="S1138" s="1056"/>
      <c r="T1138" s="2059">
        <f t="shared" si="229"/>
        <v>0</v>
      </c>
    </row>
    <row r="1139" spans="1:20" ht="22.15" hidden="1" customHeight="1">
      <c r="A1139" s="59"/>
      <c r="B1139" s="1586" t="s">
        <v>275</v>
      </c>
      <c r="C1139" s="1015" t="str">
        <f t="shared" si="231"/>
        <v xml:space="preserve"> </v>
      </c>
      <c r="D1139" s="1544">
        <v>11</v>
      </c>
      <c r="E1139" s="1047"/>
      <c r="F1139" s="1059" t="str">
        <f>VLOOKUP($B1139,DG!A:D,DG!$C$2,)</f>
        <v>Cáp thép 3/8"</v>
      </c>
      <c r="G1139" s="1047" t="str">
        <f>VLOOKUP($B1139,DG!A:D,DG!$D$2,)</f>
        <v>kg</v>
      </c>
      <c r="H1139" s="1845">
        <f t="shared" si="230"/>
        <v>0</v>
      </c>
      <c r="I1139" s="1845">
        <f t="shared" si="230"/>
        <v>0</v>
      </c>
      <c r="J1139" s="1845">
        <f t="shared" si="230"/>
        <v>0</v>
      </c>
      <c r="K1139" s="1845">
        <f t="shared" si="230"/>
        <v>0</v>
      </c>
      <c r="L1139" s="1845">
        <f t="shared" si="230"/>
        <v>0</v>
      </c>
      <c r="M1139" s="1845">
        <f t="shared" si="230"/>
        <v>0</v>
      </c>
      <c r="N1139" s="1845">
        <f t="shared" si="230"/>
        <v>0</v>
      </c>
      <c r="O1139" s="1845"/>
      <c r="P1139" s="1845"/>
      <c r="Q1139" s="1056"/>
      <c r="R1139" s="1056"/>
      <c r="S1139" s="1056"/>
      <c r="T1139" s="2059">
        <f t="shared" si="229"/>
        <v>0</v>
      </c>
    </row>
    <row r="1140" spans="1:20" ht="22.15" hidden="1" customHeight="1">
      <c r="A1140" s="59"/>
      <c r="B1140" s="1586" t="s">
        <v>607</v>
      </c>
      <c r="C1140" s="1015" t="str">
        <f t="shared" si="231"/>
        <v xml:space="preserve"> </v>
      </c>
      <c r="D1140" s="1544">
        <v>1</v>
      </c>
      <c r="E1140" s="1047"/>
      <c r="F1140" s="1059" t="str">
        <f>VLOOKUP($B1140,DG!A:D,DG!$C$2,)</f>
        <v>Bộ chống chằng hẹp Ø60/50x1500+2BL12x40+BL16x250/80</v>
      </c>
      <c r="G1140" s="1047" t="str">
        <f>VLOOKUP($B1140,DG!A:D,DG!$D$2,)</f>
        <v>bộ</v>
      </c>
      <c r="H1140" s="1845">
        <f t="shared" si="230"/>
        <v>0</v>
      </c>
      <c r="I1140" s="1845">
        <f t="shared" si="230"/>
        <v>0</v>
      </c>
      <c r="J1140" s="1845">
        <f t="shared" si="230"/>
        <v>0</v>
      </c>
      <c r="K1140" s="1845">
        <f t="shared" si="230"/>
        <v>0</v>
      </c>
      <c r="L1140" s="1845">
        <f t="shared" si="230"/>
        <v>0</v>
      </c>
      <c r="M1140" s="1845">
        <f t="shared" si="230"/>
        <v>0</v>
      </c>
      <c r="N1140" s="1845">
        <f t="shared" si="230"/>
        <v>0</v>
      </c>
      <c r="O1140" s="1845"/>
      <c r="P1140" s="1845"/>
      <c r="Q1140" s="1056"/>
      <c r="R1140" s="1056"/>
      <c r="S1140" s="1056"/>
      <c r="T1140" s="2059">
        <f t="shared" si="229"/>
        <v>0</v>
      </c>
    </row>
    <row r="1141" spans="1:20" ht="22.15" hidden="1" customHeight="1">
      <c r="A1141" s="59"/>
      <c r="B1141" s="1586" t="s">
        <v>2006</v>
      </c>
      <c r="C1141" s="1015" t="str">
        <f t="shared" si="231"/>
        <v xml:space="preserve"> </v>
      </c>
      <c r="D1141" s="1544">
        <v>2</v>
      </c>
      <c r="E1141" s="1047"/>
      <c r="F1141" s="1059" t="str">
        <f>VLOOKUP($B1141,DG!A:D,DG!$C$2,)</f>
        <v>Yếm cáp dày 2mm</v>
      </c>
      <c r="G1141" s="1047" t="str">
        <f>VLOOKUP($B1141,DG!A:D,DG!$D$2,)</f>
        <v>cái</v>
      </c>
      <c r="H1141" s="1845">
        <f t="shared" si="230"/>
        <v>0</v>
      </c>
      <c r="I1141" s="1845">
        <f t="shared" si="230"/>
        <v>0</v>
      </c>
      <c r="J1141" s="1845">
        <f t="shared" si="230"/>
        <v>0</v>
      </c>
      <c r="K1141" s="1845">
        <f t="shared" si="230"/>
        <v>0</v>
      </c>
      <c r="L1141" s="1845">
        <f t="shared" si="230"/>
        <v>0</v>
      </c>
      <c r="M1141" s="1845">
        <f t="shared" si="230"/>
        <v>0</v>
      </c>
      <c r="N1141" s="1845">
        <f t="shared" si="230"/>
        <v>0</v>
      </c>
      <c r="O1141" s="1845"/>
      <c r="P1141" s="1845"/>
      <c r="Q1141" s="1056"/>
      <c r="R1141" s="1056"/>
      <c r="S1141" s="1056"/>
      <c r="T1141" s="2059">
        <f t="shared" si="229"/>
        <v>0</v>
      </c>
    </row>
    <row r="1142" spans="1:20" ht="22.15" hidden="1" customHeight="1">
      <c r="A1142" s="59"/>
      <c r="B1142" s="1586" t="s">
        <v>2007</v>
      </c>
      <c r="C1142" s="1015" t="str">
        <f t="shared" si="231"/>
        <v xml:space="preserve"> </v>
      </c>
      <c r="D1142" s="1544">
        <v>1</v>
      </c>
      <c r="E1142" s="1047"/>
      <c r="F1142" s="1059" t="str">
        <f>VLOOKUP($B1142,DG!A:D,DG!$C$2,)</f>
        <v>Máng che dây chằng dày 1,6mm</v>
      </c>
      <c r="G1142" s="1047" t="str">
        <f>VLOOKUP($B1142,DG!A:D,DG!$D$2,)</f>
        <v>cái</v>
      </c>
      <c r="H1142" s="1845">
        <f t="shared" si="230"/>
        <v>0</v>
      </c>
      <c r="I1142" s="1845">
        <f t="shared" si="230"/>
        <v>0</v>
      </c>
      <c r="J1142" s="1845">
        <f t="shared" si="230"/>
        <v>0</v>
      </c>
      <c r="K1142" s="1845">
        <f t="shared" si="230"/>
        <v>0</v>
      </c>
      <c r="L1142" s="1845">
        <f t="shared" si="230"/>
        <v>0</v>
      </c>
      <c r="M1142" s="1845">
        <f t="shared" si="230"/>
        <v>0</v>
      </c>
      <c r="N1142" s="1845">
        <f t="shared" si="230"/>
        <v>0</v>
      </c>
      <c r="O1142" s="1845"/>
      <c r="P1142" s="1845"/>
      <c r="Q1142" s="1056"/>
      <c r="R1142" s="1056"/>
      <c r="S1142" s="1056"/>
      <c r="T1142" s="2059">
        <f t="shared" si="229"/>
        <v>0</v>
      </c>
    </row>
    <row r="1143" spans="1:20" ht="22.15" hidden="1" customHeight="1">
      <c r="A1143" s="59"/>
      <c r="B1143" s="1586" t="s">
        <v>1924</v>
      </c>
      <c r="C1143" s="1015" t="str">
        <f t="shared" si="231"/>
        <v xml:space="preserve"> </v>
      </c>
      <c r="D1143" s="1544">
        <f>D1136</f>
        <v>1</v>
      </c>
      <c r="E1143" s="1047" t="str">
        <f>VLOOKUP($B1143,DG!A:D,DG!$B$2,)</f>
        <v>06.3241</v>
      </c>
      <c r="F1143" s="1052" t="str">
        <f>VLOOKUP($B1143,DG!A:D,DG!$C$2,)</f>
        <v>Lắp bộ dây néo</v>
      </c>
      <c r="G1143" s="1047" t="str">
        <f>VLOOKUP($B1143,DG!A:D,DG!$D$2,)</f>
        <v>bộ</v>
      </c>
      <c r="H1143" s="1845"/>
      <c r="I1143" s="1845"/>
      <c r="J1143" s="1845"/>
      <c r="K1143" s="1845"/>
      <c r="L1143" s="1845"/>
      <c r="M1143" s="1845"/>
      <c r="N1143" s="1845"/>
      <c r="O1143" s="1845"/>
      <c r="P1143" s="1845"/>
      <c r="Q1143" s="1061"/>
      <c r="R1143" s="1061"/>
      <c r="S1143" s="1061"/>
      <c r="T1143" s="2059">
        <f t="shared" si="229"/>
        <v>0</v>
      </c>
    </row>
    <row r="1144" spans="1:20" ht="22.15" hidden="1" customHeight="1">
      <c r="A1144" s="59"/>
      <c r="B1144" s="1586" t="s">
        <v>1912</v>
      </c>
      <c r="C1144" s="1015" t="str">
        <f t="shared" si="231"/>
        <v xml:space="preserve"> </v>
      </c>
      <c r="D1144" s="1544">
        <f>D1133</f>
        <v>1</v>
      </c>
      <c r="E1144" s="1047" t="str">
        <f>VLOOKUP($B1144,DG!A:D,DG!$B$2,)</f>
        <v>05.6011</v>
      </c>
      <c r="F1144" s="1052" t="str">
        <f>VLOOKUP($B1144,DG!A:D,DG!$C$2,)</f>
        <v>Lắp bộ chống lệch</v>
      </c>
      <c r="G1144" s="1047" t="str">
        <f>VLOOKUP($B1144,DG!A:D,DG!$D$2,)</f>
        <v>bộ</v>
      </c>
      <c r="H1144" s="1845"/>
      <c r="I1144" s="1845"/>
      <c r="J1144" s="1845"/>
      <c r="K1144" s="1845"/>
      <c r="L1144" s="1845"/>
      <c r="M1144" s="1845"/>
      <c r="N1144" s="1845"/>
      <c r="O1144" s="1845"/>
      <c r="P1144" s="1845"/>
      <c r="Q1144" s="1061"/>
      <c r="R1144" s="1061"/>
      <c r="S1144" s="1061"/>
      <c r="T1144" s="2059">
        <f t="shared" si="229"/>
        <v>0</v>
      </c>
    </row>
    <row r="1145" spans="1:20" ht="22.15" hidden="1" customHeight="1">
      <c r="A1145" s="59"/>
      <c r="B1145" s="1598" t="s">
        <v>356</v>
      </c>
      <c r="C1145" s="1015" t="str">
        <f t="shared" si="231"/>
        <v xml:space="preserve"> </v>
      </c>
      <c r="D1145" s="1543">
        <v>0.02</v>
      </c>
      <c r="E1145" s="1047" t="str">
        <f>VLOOKUP($B1145,DG!A:C,2,)</f>
        <v>02.1421</v>
      </c>
      <c r="F1145" s="1052" t="str">
        <f>VLOOKUP($B1145,DG!A:C,3,)</f>
        <v>V/c phụ kiện vào vị trí (cự ly &lt;=100m)</v>
      </c>
      <c r="G1145" s="1047" t="str">
        <f>VLOOKUP($B1145,DG!A:D,4,0)</f>
        <v>tấn</v>
      </c>
      <c r="H1145" s="1845"/>
      <c r="I1145" s="1845"/>
      <c r="J1145" s="1845"/>
      <c r="K1145" s="1845"/>
      <c r="L1145" s="1845"/>
      <c r="M1145" s="1845"/>
      <c r="N1145" s="1845"/>
      <c r="O1145" s="1845"/>
      <c r="P1145" s="1845"/>
      <c r="Q1145" s="1061"/>
      <c r="R1145" s="1061"/>
      <c r="S1145" s="1061"/>
      <c r="T1145" s="2059">
        <f t="shared" si="229"/>
        <v>0</v>
      </c>
    </row>
    <row r="1146" spans="1:20" ht="22.15" hidden="1" customHeight="1">
      <c r="A1146" s="56" t="s">
        <v>839</v>
      </c>
      <c r="B1146" s="1583" t="s">
        <v>839</v>
      </c>
      <c r="C1146" s="1015" t="str">
        <f t="shared" si="231"/>
        <v xml:space="preserve"> </v>
      </c>
      <c r="D1146" s="1541"/>
      <c r="E1146" s="1048"/>
      <c r="F1146" s="1396" t="s">
        <v>2474</v>
      </c>
      <c r="G1146" s="1049" t="s">
        <v>2394</v>
      </c>
      <c r="H1146" s="1843">
        <f>SUM(I1146:O1146)</f>
        <v>0</v>
      </c>
      <c r="I1146" s="1844"/>
      <c r="J1146" s="1844"/>
      <c r="K1146" s="1844">
        <f>IFERROR(HLOOKUP(B1146,pp3p1m!$1:$3,3,0),0)</f>
        <v>0</v>
      </c>
      <c r="L1146" s="1844">
        <f>IFERROR(HLOOKUP(chitiet!B1146,pp1p!$1:$3,3,0),0)</f>
        <v>0</v>
      </c>
      <c r="M1146" s="1844"/>
      <c r="N1146" s="1844"/>
      <c r="O1146" s="1844"/>
      <c r="P1146" s="1844">
        <f>H1146+Q1146-R1146</f>
        <v>0</v>
      </c>
      <c r="Q1146" s="1050"/>
      <c r="R1146" s="1050"/>
      <c r="S1146" s="1050"/>
      <c r="T1146" s="2059">
        <f>IFERROR(HLOOKUP(B1146,pp1p!$1:$3,3,0),0)+IFERROR(HLOOKUP(B1146,pp3p1m!$1:$3,3,0),0)</f>
        <v>0</v>
      </c>
    </row>
    <row r="1147" spans="1:20" ht="22.15" hidden="1" customHeight="1">
      <c r="A1147" s="59"/>
      <c r="B1147" s="1586" t="s">
        <v>1063</v>
      </c>
      <c r="C1147" s="1015" t="str">
        <f t="shared" si="231"/>
        <v xml:space="preserve"> </v>
      </c>
      <c r="D1147" s="1544">
        <v>2</v>
      </c>
      <c r="E1147" s="1047"/>
      <c r="F1147" s="1059" t="str">
        <f>VLOOKUP($B1147,DG!A:D,DG!$C$2,)</f>
        <v>Boulon mắt 16x250+ 2 long đền vuông D18-50x50x3/Zn</v>
      </c>
      <c r="G1147" s="1047" t="str">
        <f>VLOOKUP($B1147,DG!A:D,DG!$D$2,)</f>
        <v>bộ</v>
      </c>
      <c r="H1147" s="1845">
        <f t="shared" ref="H1147:N1152" si="232">H$1146*$D1147</f>
        <v>0</v>
      </c>
      <c r="I1147" s="1845">
        <f t="shared" si="232"/>
        <v>0</v>
      </c>
      <c r="J1147" s="1845">
        <f t="shared" si="232"/>
        <v>0</v>
      </c>
      <c r="K1147" s="1845">
        <f t="shared" si="232"/>
        <v>0</v>
      </c>
      <c r="L1147" s="1845">
        <f t="shared" si="232"/>
        <v>0</v>
      </c>
      <c r="M1147" s="1845">
        <f t="shared" si="232"/>
        <v>0</v>
      </c>
      <c r="N1147" s="1845">
        <f t="shared" si="232"/>
        <v>0</v>
      </c>
      <c r="O1147" s="1845"/>
      <c r="P1147" s="1845"/>
      <c r="Q1147" s="1056"/>
      <c r="R1147" s="1056"/>
      <c r="S1147" s="1056"/>
      <c r="T1147" s="2059">
        <f t="shared" si="229"/>
        <v>0</v>
      </c>
    </row>
    <row r="1148" spans="1:20" ht="22.15" hidden="1" customHeight="1">
      <c r="A1148" s="59"/>
      <c r="B1148" s="1586" t="s">
        <v>111</v>
      </c>
      <c r="C1148" s="1015" t="str">
        <f t="shared" si="231"/>
        <v xml:space="preserve"> </v>
      </c>
      <c r="D1148" s="1544">
        <v>2</v>
      </c>
      <c r="E1148" s="1047"/>
      <c r="F1148" s="1059" t="str">
        <f>VLOOKUP($B1148,DG!A:D,DG!$C$2,)</f>
        <v>Sứ chằng</v>
      </c>
      <c r="G1148" s="1047" t="str">
        <f>VLOOKUP($B1148,DG!A:D,DG!$D$2,)</f>
        <v>cái</v>
      </c>
      <c r="H1148" s="1845">
        <f t="shared" si="232"/>
        <v>0</v>
      </c>
      <c r="I1148" s="1845">
        <f t="shared" si="232"/>
        <v>0</v>
      </c>
      <c r="J1148" s="1845">
        <f t="shared" si="232"/>
        <v>0</v>
      </c>
      <c r="K1148" s="1845">
        <f t="shared" si="232"/>
        <v>0</v>
      </c>
      <c r="L1148" s="1845">
        <f t="shared" si="232"/>
        <v>0</v>
      </c>
      <c r="M1148" s="1845">
        <f t="shared" si="232"/>
        <v>0</v>
      </c>
      <c r="N1148" s="1845">
        <f t="shared" si="232"/>
        <v>0</v>
      </c>
      <c r="O1148" s="1845"/>
      <c r="P1148" s="1845"/>
      <c r="Q1148" s="1056"/>
      <c r="R1148" s="1056"/>
      <c r="S1148" s="1056"/>
      <c r="T1148" s="2059">
        <f t="shared" si="229"/>
        <v>0</v>
      </c>
    </row>
    <row r="1149" spans="1:20" ht="22.15" hidden="1" customHeight="1">
      <c r="A1149" s="59"/>
      <c r="B1149" s="1586" t="s">
        <v>1583</v>
      </c>
      <c r="C1149" s="1015" t="str">
        <f t="shared" si="231"/>
        <v xml:space="preserve"> </v>
      </c>
      <c r="D1149" s="1544">
        <v>16</v>
      </c>
      <c r="E1149" s="1047"/>
      <c r="F1149" s="1059" t="str">
        <f>VLOOKUP($B1149,DG!A:D,DG!$C$2,)</f>
        <v>Kẹp cáp 3 boulon</v>
      </c>
      <c r="G1149" s="1047" t="str">
        <f>VLOOKUP($B1149,DG!A:D,DG!$D$2,)</f>
        <v>cái</v>
      </c>
      <c r="H1149" s="1845">
        <f t="shared" si="232"/>
        <v>0</v>
      </c>
      <c r="I1149" s="1845">
        <f t="shared" si="232"/>
        <v>0</v>
      </c>
      <c r="J1149" s="1845">
        <f t="shared" si="232"/>
        <v>0</v>
      </c>
      <c r="K1149" s="1845">
        <f t="shared" si="232"/>
        <v>0</v>
      </c>
      <c r="L1149" s="1845">
        <f t="shared" si="232"/>
        <v>0</v>
      </c>
      <c r="M1149" s="1845">
        <f t="shared" si="232"/>
        <v>0</v>
      </c>
      <c r="N1149" s="1845">
        <f t="shared" si="232"/>
        <v>0</v>
      </c>
      <c r="O1149" s="1845"/>
      <c r="P1149" s="1845"/>
      <c r="Q1149" s="1056"/>
      <c r="R1149" s="1056"/>
      <c r="S1149" s="1056"/>
      <c r="T1149" s="2059">
        <f t="shared" si="229"/>
        <v>0</v>
      </c>
    </row>
    <row r="1150" spans="1:20" ht="22.15" hidden="1" customHeight="1">
      <c r="A1150" s="59"/>
      <c r="B1150" s="1586" t="s">
        <v>275</v>
      </c>
      <c r="C1150" s="1015" t="str">
        <f t="shared" si="231"/>
        <v xml:space="preserve"> </v>
      </c>
      <c r="D1150" s="1544">
        <v>31</v>
      </c>
      <c r="E1150" s="1047"/>
      <c r="F1150" s="1059" t="str">
        <f>VLOOKUP($B1150,DG!A:D,DG!$C$2,)</f>
        <v>Cáp thép 3/8"</v>
      </c>
      <c r="G1150" s="1047" t="str">
        <f>VLOOKUP($B1150,DG!A:D,DG!$D$2,)</f>
        <v>kg</v>
      </c>
      <c r="H1150" s="1845">
        <f t="shared" si="232"/>
        <v>0</v>
      </c>
      <c r="I1150" s="1845">
        <f t="shared" si="232"/>
        <v>0</v>
      </c>
      <c r="J1150" s="1845">
        <f t="shared" si="232"/>
        <v>0</v>
      </c>
      <c r="K1150" s="1845">
        <f t="shared" si="232"/>
        <v>0</v>
      </c>
      <c r="L1150" s="1845">
        <f t="shared" si="232"/>
        <v>0</v>
      </c>
      <c r="M1150" s="1845">
        <f t="shared" si="232"/>
        <v>0</v>
      </c>
      <c r="N1150" s="1845">
        <f t="shared" si="232"/>
        <v>0</v>
      </c>
      <c r="O1150" s="1845"/>
      <c r="P1150" s="1845"/>
      <c r="Q1150" s="1056"/>
      <c r="R1150" s="1056"/>
      <c r="S1150" s="1056"/>
      <c r="T1150" s="2059">
        <f t="shared" si="229"/>
        <v>0</v>
      </c>
    </row>
    <row r="1151" spans="1:20" ht="22.15" hidden="1" customHeight="1">
      <c r="A1151" s="59"/>
      <c r="B1151" s="1586" t="s">
        <v>2006</v>
      </c>
      <c r="C1151" s="1015" t="str">
        <f t="shared" si="231"/>
        <v xml:space="preserve"> </v>
      </c>
      <c r="D1151" s="1544">
        <v>4</v>
      </c>
      <c r="E1151" s="1047"/>
      <c r="F1151" s="1059" t="str">
        <f>VLOOKUP($B1151,DG!A:D,DG!$C$2,)</f>
        <v>Yếm cáp dày 2mm</v>
      </c>
      <c r="G1151" s="1047" t="str">
        <f>VLOOKUP($B1151,DG!A:D,DG!$D$2,)</f>
        <v>cái</v>
      </c>
      <c r="H1151" s="1845">
        <f t="shared" si="232"/>
        <v>0</v>
      </c>
      <c r="I1151" s="1845">
        <f t="shared" si="232"/>
        <v>0</v>
      </c>
      <c r="J1151" s="1845">
        <f t="shared" si="232"/>
        <v>0</v>
      </c>
      <c r="K1151" s="1845">
        <f t="shared" si="232"/>
        <v>0</v>
      </c>
      <c r="L1151" s="1845">
        <f t="shared" si="232"/>
        <v>0</v>
      </c>
      <c r="M1151" s="1845">
        <f t="shared" si="232"/>
        <v>0</v>
      </c>
      <c r="N1151" s="1845">
        <f t="shared" si="232"/>
        <v>0</v>
      </c>
      <c r="O1151" s="1845"/>
      <c r="P1151" s="1845"/>
      <c r="Q1151" s="1056"/>
      <c r="R1151" s="1056"/>
      <c r="S1151" s="1056"/>
      <c r="T1151" s="2059">
        <f t="shared" si="229"/>
        <v>0</v>
      </c>
    </row>
    <row r="1152" spans="1:20" ht="22.15" hidden="1" customHeight="1">
      <c r="A1152" s="59"/>
      <c r="B1152" s="1586" t="s">
        <v>2007</v>
      </c>
      <c r="C1152" s="1015" t="str">
        <f t="shared" si="231"/>
        <v xml:space="preserve"> </v>
      </c>
      <c r="D1152" s="1544">
        <v>2</v>
      </c>
      <c r="E1152" s="1047"/>
      <c r="F1152" s="1059" t="str">
        <f>VLOOKUP($B1152,DG!A:D,DG!$C$2,)</f>
        <v>Máng che dây chằng dày 1,6mm</v>
      </c>
      <c r="G1152" s="1047" t="str">
        <f>VLOOKUP($B1152,DG!A:D,DG!$D$2,)</f>
        <v>cái</v>
      </c>
      <c r="H1152" s="1845">
        <f t="shared" si="232"/>
        <v>0</v>
      </c>
      <c r="I1152" s="1845">
        <f t="shared" si="232"/>
        <v>0</v>
      </c>
      <c r="J1152" s="1845">
        <f t="shared" si="232"/>
        <v>0</v>
      </c>
      <c r="K1152" s="1845">
        <f t="shared" si="232"/>
        <v>0</v>
      </c>
      <c r="L1152" s="1845">
        <f t="shared" si="232"/>
        <v>0</v>
      </c>
      <c r="M1152" s="1845">
        <f t="shared" si="232"/>
        <v>0</v>
      </c>
      <c r="N1152" s="1845">
        <f t="shared" si="232"/>
        <v>0</v>
      </c>
      <c r="O1152" s="1845"/>
      <c r="P1152" s="1845"/>
      <c r="Q1152" s="1056"/>
      <c r="R1152" s="1056"/>
      <c r="S1152" s="1056"/>
      <c r="T1152" s="2059">
        <f t="shared" si="229"/>
        <v>0</v>
      </c>
    </row>
    <row r="1153" spans="1:20" ht="22.15" hidden="1" customHeight="1">
      <c r="A1153" s="59"/>
      <c r="B1153" s="1586" t="s">
        <v>1924</v>
      </c>
      <c r="C1153" s="1015" t="str">
        <f t="shared" si="231"/>
        <v xml:space="preserve"> </v>
      </c>
      <c r="D1153" s="1544">
        <f>D1147</f>
        <v>2</v>
      </c>
      <c r="E1153" s="1047" t="str">
        <f>VLOOKUP($B1153,DG!A:D,DG!$B$2,)</f>
        <v>06.3241</v>
      </c>
      <c r="F1153" s="1052" t="str">
        <f>VLOOKUP($B1153,DG!A:D,DG!$C$2,)</f>
        <v>Lắp bộ dây néo</v>
      </c>
      <c r="G1153" s="1047" t="str">
        <f>VLOOKUP($B1153,DG!A:D,DG!$D$2,)</f>
        <v>bộ</v>
      </c>
      <c r="H1153" s="1845"/>
      <c r="I1153" s="1845"/>
      <c r="J1153" s="1845"/>
      <c r="K1153" s="1845"/>
      <c r="L1153" s="1845"/>
      <c r="M1153" s="1845"/>
      <c r="N1153" s="1845"/>
      <c r="O1153" s="1845"/>
      <c r="P1153" s="1845"/>
      <c r="Q1153" s="1061"/>
      <c r="R1153" s="1061"/>
      <c r="S1153" s="1061"/>
      <c r="T1153" s="2059">
        <f t="shared" si="229"/>
        <v>0</v>
      </c>
    </row>
    <row r="1154" spans="1:20" ht="22.15" hidden="1" customHeight="1">
      <c r="A1154" s="59"/>
      <c r="B1154" s="1598" t="s">
        <v>356</v>
      </c>
      <c r="C1154" s="1015" t="str">
        <f t="shared" si="231"/>
        <v xml:space="preserve"> </v>
      </c>
      <c r="D1154" s="1543">
        <v>0.02</v>
      </c>
      <c r="E1154" s="1047" t="str">
        <f>VLOOKUP($B1154,DG!A:C,2,)</f>
        <v>02.1421</v>
      </c>
      <c r="F1154" s="1052" t="str">
        <f>VLOOKUP($B1154,DG!A:C,3,)</f>
        <v>V/c phụ kiện vào vị trí (cự ly &lt;=100m)</v>
      </c>
      <c r="G1154" s="1047" t="str">
        <f>VLOOKUP($B1154,DG!A:D,4,0)</f>
        <v>tấn</v>
      </c>
      <c r="H1154" s="1845"/>
      <c r="I1154" s="1845"/>
      <c r="J1154" s="1845"/>
      <c r="K1154" s="1845"/>
      <c r="L1154" s="1845"/>
      <c r="M1154" s="1845"/>
      <c r="N1154" s="1845"/>
      <c r="O1154" s="1845"/>
      <c r="P1154" s="1845"/>
      <c r="Q1154" s="1061"/>
      <c r="R1154" s="1061"/>
      <c r="S1154" s="1061"/>
      <c r="T1154" s="2059">
        <f t="shared" si="229"/>
        <v>0</v>
      </c>
    </row>
    <row r="1155" spans="1:20" ht="22.15" hidden="1" customHeight="1">
      <c r="A1155" s="56" t="s">
        <v>1275</v>
      </c>
      <c r="B1155" s="1583" t="s">
        <v>1275</v>
      </c>
      <c r="C1155" s="1015" t="str">
        <f t="shared" si="231"/>
        <v xml:space="preserve"> </v>
      </c>
      <c r="D1155" s="1541"/>
      <c r="E1155" s="1048"/>
      <c r="F1155" s="1396" t="s">
        <v>2475</v>
      </c>
      <c r="G1155" s="1049" t="s">
        <v>2394</v>
      </c>
      <c r="H1155" s="1843">
        <f>SUM(I1155:O1155)</f>
        <v>0</v>
      </c>
      <c r="I1155" s="1844"/>
      <c r="J1155" s="1844"/>
      <c r="K1155" s="1844">
        <f>IFERROR(HLOOKUP(B1155,pp3p1m!$1:$3,3,0),0)</f>
        <v>0</v>
      </c>
      <c r="L1155" s="1844">
        <f>IFERROR(HLOOKUP(chitiet!B1155,pp1p!$1:$3,3,0),0)</f>
        <v>0</v>
      </c>
      <c r="M1155" s="1844"/>
      <c r="N1155" s="1844"/>
      <c r="O1155" s="1844"/>
      <c r="P1155" s="1844">
        <f>H1155+Q1155-R1155</f>
        <v>0</v>
      </c>
      <c r="Q1155" s="1050"/>
      <c r="R1155" s="1050"/>
      <c r="S1155" s="1050"/>
      <c r="T1155" s="2059">
        <f>IFERROR(HLOOKUP(B1155,pp1p!$1:$3,3,0),0)+IFERROR(HLOOKUP(B1155,pp3p1m!$1:$3,3,0),0)</f>
        <v>0</v>
      </c>
    </row>
    <row r="1156" spans="1:20" ht="22.15" hidden="1" customHeight="1">
      <c r="A1156" s="59"/>
      <c r="B1156" s="1586" t="s">
        <v>1924</v>
      </c>
      <c r="C1156" s="1015" t="str">
        <f t="shared" si="231"/>
        <v xml:space="preserve"> </v>
      </c>
      <c r="D1156" s="1544">
        <v>1</v>
      </c>
      <c r="E1156" s="1047"/>
      <c r="F1156" s="1052" t="s">
        <v>2469</v>
      </c>
      <c r="G1156" s="1047" t="str">
        <f>VLOOKUP($B1156,DG!A:D,DG!$D$2,)</f>
        <v>bộ</v>
      </c>
      <c r="H1156" s="1845">
        <f t="shared" ref="H1156:N1157" si="233">H$1155*$D1156</f>
        <v>0</v>
      </c>
      <c r="I1156" s="1845">
        <f t="shared" si="233"/>
        <v>0</v>
      </c>
      <c r="J1156" s="1845">
        <f t="shared" si="233"/>
        <v>0</v>
      </c>
      <c r="K1156" s="1845">
        <f t="shared" si="233"/>
        <v>0</v>
      </c>
      <c r="L1156" s="1845">
        <f t="shared" si="233"/>
        <v>0</v>
      </c>
      <c r="M1156" s="1845">
        <f t="shared" si="233"/>
        <v>0</v>
      </c>
      <c r="N1156" s="1845">
        <f t="shared" si="233"/>
        <v>0</v>
      </c>
      <c r="O1156" s="1845"/>
      <c r="P1156" s="1845"/>
      <c r="Q1156" s="1056"/>
      <c r="R1156" s="1056"/>
      <c r="S1156" s="1056"/>
      <c r="T1156" s="2059">
        <f t="shared" si="229"/>
        <v>0</v>
      </c>
    </row>
    <row r="1157" spans="1:20" ht="22.15" hidden="1" customHeight="1">
      <c r="A1157" s="59"/>
      <c r="B1157" s="1598" t="s">
        <v>356</v>
      </c>
      <c r="C1157" s="1015" t="str">
        <f t="shared" si="231"/>
        <v xml:space="preserve"> </v>
      </c>
      <c r="D1157" s="1543">
        <v>0.02</v>
      </c>
      <c r="E1157" s="1047" t="str">
        <f>VLOOKUP($B1157,DG!A:C,2,)</f>
        <v>02.1421</v>
      </c>
      <c r="F1157" s="1052" t="str">
        <f>VLOOKUP($B1157,DG!A:C,3,)</f>
        <v>V/c phụ kiện vào vị trí (cự ly &lt;=100m)</v>
      </c>
      <c r="G1157" s="1047" t="str">
        <f>VLOOKUP($B1157,DG!A:D,4,0)</f>
        <v>tấn</v>
      </c>
      <c r="H1157" s="1845">
        <f t="shared" si="233"/>
        <v>0</v>
      </c>
      <c r="I1157" s="1845">
        <f t="shared" si="233"/>
        <v>0</v>
      </c>
      <c r="J1157" s="1845">
        <f t="shared" si="233"/>
        <v>0</v>
      </c>
      <c r="K1157" s="1845">
        <f t="shared" si="233"/>
        <v>0</v>
      </c>
      <c r="L1157" s="1845">
        <f t="shared" si="233"/>
        <v>0</v>
      </c>
      <c r="M1157" s="1845">
        <f t="shared" si="233"/>
        <v>0</v>
      </c>
      <c r="N1157" s="1845">
        <f t="shared" si="233"/>
        <v>0</v>
      </c>
      <c r="O1157" s="1845"/>
      <c r="P1157" s="1845"/>
      <c r="Q1157" s="1056"/>
      <c r="R1157" s="1056"/>
      <c r="S1157" s="1056"/>
      <c r="T1157" s="2059">
        <f t="shared" si="229"/>
        <v>0</v>
      </c>
    </row>
    <row r="1158" spans="1:20" ht="22.15" hidden="1" customHeight="1" collapsed="1">
      <c r="A1158" s="1581" t="s">
        <v>663</v>
      </c>
      <c r="B1158" s="1583" t="s">
        <v>663</v>
      </c>
      <c r="C1158" s="1854" t="str">
        <f t="shared" si="231"/>
        <v xml:space="preserve"> </v>
      </c>
      <c r="D1158" s="1541"/>
      <c r="E1158" s="1048"/>
      <c r="F1158" s="1396" t="s">
        <v>2476</v>
      </c>
      <c r="G1158" s="1049" t="s">
        <v>2394</v>
      </c>
      <c r="H1158" s="1843">
        <f>SUM(I1158:O1158)</f>
        <v>0</v>
      </c>
      <c r="I1158" s="1844"/>
      <c r="J1158" s="1844"/>
      <c r="K1158" s="1844">
        <f>IFERROR(HLOOKUP(B1158,pp3p1m!$1:$3,3,0),0)</f>
        <v>0</v>
      </c>
      <c r="L1158" s="1844">
        <f>IFERROR(HLOOKUP(chitiet!B1158,pp1p!$1:$3,3,0),0)</f>
        <v>0</v>
      </c>
      <c r="M1158" s="1844"/>
      <c r="N1158" s="1844"/>
      <c r="O1158" s="1844"/>
      <c r="P1158" s="1843">
        <f>H1158+Q1158-R1158</f>
        <v>0</v>
      </c>
      <c r="Q1158" s="1050"/>
      <c r="R1158" s="1050"/>
      <c r="S1158" s="1050"/>
      <c r="T1158" s="2059">
        <f>IFERROR(HLOOKUP(B1158,pp1p!$1:$3,3,0),0)+IFERROR(HLOOKUP(B1158,pp3p1m!$1:$3,3,0),0)</f>
        <v>0</v>
      </c>
    </row>
    <row r="1159" spans="1:20" ht="22.15" hidden="1" customHeight="1">
      <c r="B1159" s="1580" t="s">
        <v>417</v>
      </c>
      <c r="C1159" s="1854" t="str">
        <f t="shared" si="231"/>
        <v xml:space="preserve"> </v>
      </c>
      <c r="D1159" s="1544">
        <v>1</v>
      </c>
      <c r="E1159" s="1047"/>
      <c r="F1159" s="1059" t="str">
        <f>VLOOKUP($B1159,DG!A:D,DG!$C$2,)</f>
        <v>Boulon mắt 16x300+ 2 long đền vuông D18-50x50x3/Zn</v>
      </c>
      <c r="G1159" s="1047" t="str">
        <f>VLOOKUP($B1159,DG!A:D,DG!$D$2,)</f>
        <v>bộ</v>
      </c>
      <c r="H1159" s="1845">
        <f t="shared" ref="H1159:N1165" si="234">H$1158*$D1159</f>
        <v>0</v>
      </c>
      <c r="I1159" s="1845">
        <f t="shared" si="234"/>
        <v>0</v>
      </c>
      <c r="J1159" s="1845">
        <f t="shared" si="234"/>
        <v>0</v>
      </c>
      <c r="K1159" s="1845">
        <f t="shared" si="234"/>
        <v>0</v>
      </c>
      <c r="L1159" s="1845">
        <f t="shared" si="234"/>
        <v>0</v>
      </c>
      <c r="M1159" s="1845">
        <f t="shared" si="234"/>
        <v>0</v>
      </c>
      <c r="N1159" s="1845">
        <f t="shared" si="234"/>
        <v>0</v>
      </c>
      <c r="O1159" s="1845"/>
      <c r="P1159" s="1845">
        <f t="shared" ref="P1159:P1166" si="235">$P$1158*D1159</f>
        <v>0</v>
      </c>
      <c r="Q1159" s="1056"/>
      <c r="R1159" s="1056">
        <f t="shared" ref="R1159:R1167" si="236">$R$1158*D1159</f>
        <v>0</v>
      </c>
      <c r="S1159" s="1056"/>
      <c r="T1159" s="2059">
        <f t="shared" si="229"/>
        <v>0</v>
      </c>
    </row>
    <row r="1160" spans="1:20" ht="22.15" hidden="1" customHeight="1">
      <c r="B1160" s="1580" t="s">
        <v>111</v>
      </c>
      <c r="C1160" s="1854" t="str">
        <f t="shared" si="231"/>
        <v xml:space="preserve"> </v>
      </c>
      <c r="D1160" s="1544">
        <v>1</v>
      </c>
      <c r="E1160" s="1047"/>
      <c r="F1160" s="1059" t="str">
        <f>VLOOKUP($B1160,DG!A:D,DG!$C$2,)</f>
        <v>Sứ chằng</v>
      </c>
      <c r="G1160" s="1047" t="str">
        <f>VLOOKUP($B1160,DG!A:D,DG!$D$2,)</f>
        <v>cái</v>
      </c>
      <c r="H1160" s="1845">
        <f t="shared" si="234"/>
        <v>0</v>
      </c>
      <c r="I1160" s="1845">
        <f t="shared" si="234"/>
        <v>0</v>
      </c>
      <c r="J1160" s="1845">
        <f t="shared" si="234"/>
        <v>0</v>
      </c>
      <c r="K1160" s="1845">
        <f t="shared" si="234"/>
        <v>0</v>
      </c>
      <c r="L1160" s="1845">
        <f t="shared" si="234"/>
        <v>0</v>
      </c>
      <c r="M1160" s="1845">
        <f t="shared" si="234"/>
        <v>0</v>
      </c>
      <c r="N1160" s="1845">
        <f t="shared" si="234"/>
        <v>0</v>
      </c>
      <c r="O1160" s="1845"/>
      <c r="P1160" s="1845">
        <f t="shared" si="235"/>
        <v>0</v>
      </c>
      <c r="Q1160" s="1056"/>
      <c r="R1160" s="1056">
        <f t="shared" si="236"/>
        <v>0</v>
      </c>
      <c r="S1160" s="1056"/>
      <c r="T1160" s="2059">
        <f t="shared" si="229"/>
        <v>0</v>
      </c>
    </row>
    <row r="1161" spans="1:20" ht="22.15" hidden="1" customHeight="1">
      <c r="B1161" s="1580" t="s">
        <v>1583</v>
      </c>
      <c r="C1161" s="1854" t="str">
        <f t="shared" si="231"/>
        <v xml:space="preserve"> </v>
      </c>
      <c r="D1161" s="1544">
        <v>8</v>
      </c>
      <c r="E1161" s="1047"/>
      <c r="F1161" s="1059" t="str">
        <f>VLOOKUP($B1161,DG!A:D,DG!$C$2,)</f>
        <v>Kẹp cáp 3 boulon</v>
      </c>
      <c r="G1161" s="1047" t="str">
        <f>VLOOKUP($B1161,DG!A:D,DG!$D$2,)</f>
        <v>cái</v>
      </c>
      <c r="H1161" s="1845">
        <f t="shared" si="234"/>
        <v>0</v>
      </c>
      <c r="I1161" s="1845">
        <f t="shared" si="234"/>
        <v>0</v>
      </c>
      <c r="J1161" s="1845">
        <f t="shared" si="234"/>
        <v>0</v>
      </c>
      <c r="K1161" s="1845">
        <f t="shared" si="234"/>
        <v>0</v>
      </c>
      <c r="L1161" s="1845">
        <f t="shared" si="234"/>
        <v>0</v>
      </c>
      <c r="M1161" s="1845">
        <f t="shared" si="234"/>
        <v>0</v>
      </c>
      <c r="N1161" s="1845">
        <f t="shared" si="234"/>
        <v>0</v>
      </c>
      <c r="O1161" s="1845"/>
      <c r="P1161" s="1845">
        <f t="shared" si="235"/>
        <v>0</v>
      </c>
      <c r="Q1161" s="1056"/>
      <c r="R1161" s="1056">
        <f t="shared" si="236"/>
        <v>0</v>
      </c>
      <c r="S1161" s="1056"/>
      <c r="T1161" s="2059">
        <f t="shared" si="229"/>
        <v>0</v>
      </c>
    </row>
    <row r="1162" spans="1:20" ht="22.15" hidden="1" customHeight="1">
      <c r="B1162" s="1580" t="s">
        <v>1364</v>
      </c>
      <c r="C1162" s="1015" t="str">
        <f t="shared" ref="C1162" si="237">IF(OR(P1162&lt;&gt;0,H1162&lt;&gt;0),"x"," ")</f>
        <v xml:space="preserve"> </v>
      </c>
      <c r="D1162" s="1554"/>
      <c r="E1162" s="1047"/>
      <c r="F1162" s="1059" t="str">
        <f>VLOOKUP($B1162,DG!A:D,DG!$C$2,)</f>
        <v>Cáp thép 5/8"</v>
      </c>
      <c r="G1162" s="1047" t="str">
        <f>VLOOKUP($B1162,DG!A:D,DG!$D$2,)</f>
        <v>kg</v>
      </c>
      <c r="H1162" s="1845">
        <f t="shared" ref="H1162:N1162" si="238">H$1172*$D1162</f>
        <v>0</v>
      </c>
      <c r="I1162" s="1845">
        <f t="shared" si="238"/>
        <v>0</v>
      </c>
      <c r="J1162" s="1845">
        <f t="shared" si="238"/>
        <v>0</v>
      </c>
      <c r="K1162" s="1845">
        <f t="shared" si="238"/>
        <v>0</v>
      </c>
      <c r="L1162" s="1845">
        <f t="shared" si="238"/>
        <v>0</v>
      </c>
      <c r="M1162" s="1845">
        <f t="shared" si="238"/>
        <v>0</v>
      </c>
      <c r="N1162" s="1845">
        <f t="shared" si="238"/>
        <v>0</v>
      </c>
      <c r="O1162" s="1845"/>
      <c r="P1162" s="1845">
        <f t="shared" ref="P1162" si="239">$P$1172*D1162</f>
        <v>0</v>
      </c>
      <c r="Q1162" s="1060">
        <f t="shared" ref="Q1162" si="240">$Q$1172*D1162</f>
        <v>0</v>
      </c>
      <c r="R1162" s="1056"/>
      <c r="S1162" s="1056"/>
      <c r="T1162" s="2059">
        <f t="shared" ref="T1162" si="241">IFERROR(HLOOKUP(B1162,BangKeTru,3,0),0)</f>
        <v>0</v>
      </c>
    </row>
    <row r="1163" spans="1:20" ht="22.15" hidden="1" customHeight="1">
      <c r="B1163" s="1580" t="s">
        <v>5193</v>
      </c>
      <c r="C1163" s="1854" t="str">
        <f t="shared" si="231"/>
        <v xml:space="preserve"> </v>
      </c>
      <c r="D1163" s="1554">
        <v>14</v>
      </c>
      <c r="E1163" s="1047"/>
      <c r="F1163" s="1059" t="str">
        <f>VLOOKUP($B1163,DG!A:D,DG!$C$2,)</f>
        <v>Cáp thép 5/8"</v>
      </c>
      <c r="G1163" s="1047" t="str">
        <f>VLOOKUP($B1163,DG!A:D,DG!$D$2,)</f>
        <v>mét</v>
      </c>
      <c r="H1163" s="1845">
        <f t="shared" si="234"/>
        <v>0</v>
      </c>
      <c r="I1163" s="1845">
        <f t="shared" si="234"/>
        <v>0</v>
      </c>
      <c r="J1163" s="1845">
        <f t="shared" si="234"/>
        <v>0</v>
      </c>
      <c r="K1163" s="1845">
        <f t="shared" si="234"/>
        <v>0</v>
      </c>
      <c r="L1163" s="1845">
        <f t="shared" si="234"/>
        <v>0</v>
      </c>
      <c r="M1163" s="1845">
        <f t="shared" si="234"/>
        <v>0</v>
      </c>
      <c r="N1163" s="1845">
        <f t="shared" si="234"/>
        <v>0</v>
      </c>
      <c r="O1163" s="1845"/>
      <c r="P1163" s="1845">
        <f t="shared" si="235"/>
        <v>0</v>
      </c>
      <c r="Q1163" s="1060"/>
      <c r="R1163" s="1056">
        <f t="shared" si="236"/>
        <v>0</v>
      </c>
      <c r="S1163" s="1056"/>
      <c r="T1163" s="2059">
        <f t="shared" si="229"/>
        <v>0</v>
      </c>
    </row>
    <row r="1164" spans="1:20" ht="22.15" hidden="1" customHeight="1">
      <c r="B1164" s="1580" t="s">
        <v>2006</v>
      </c>
      <c r="C1164" s="1854" t="str">
        <f t="shared" si="231"/>
        <v xml:space="preserve"> </v>
      </c>
      <c r="D1164" s="1544">
        <v>2</v>
      </c>
      <c r="E1164" s="1047"/>
      <c r="F1164" s="1059" t="str">
        <f>VLOOKUP($B1164,DG!A:D,DG!$C$2,)</f>
        <v>Yếm cáp dày 2mm</v>
      </c>
      <c r="G1164" s="1047" t="str">
        <f>VLOOKUP($B1164,DG!A:D,DG!$D$2,)</f>
        <v>cái</v>
      </c>
      <c r="H1164" s="1845">
        <f t="shared" si="234"/>
        <v>0</v>
      </c>
      <c r="I1164" s="1845">
        <f t="shared" si="234"/>
        <v>0</v>
      </c>
      <c r="J1164" s="1845">
        <f t="shared" si="234"/>
        <v>0</v>
      </c>
      <c r="K1164" s="1845">
        <f t="shared" si="234"/>
        <v>0</v>
      </c>
      <c r="L1164" s="1845">
        <f t="shared" si="234"/>
        <v>0</v>
      </c>
      <c r="M1164" s="1845">
        <f t="shared" si="234"/>
        <v>0</v>
      </c>
      <c r="N1164" s="1845">
        <f t="shared" si="234"/>
        <v>0</v>
      </c>
      <c r="O1164" s="1845"/>
      <c r="P1164" s="1845">
        <f t="shared" si="235"/>
        <v>0</v>
      </c>
      <c r="Q1164" s="1056"/>
      <c r="R1164" s="1056">
        <f t="shared" si="236"/>
        <v>0</v>
      </c>
      <c r="S1164" s="1056"/>
      <c r="T1164" s="2059">
        <f t="shared" si="229"/>
        <v>0</v>
      </c>
    </row>
    <row r="1165" spans="1:20" ht="22.15" hidden="1" customHeight="1">
      <c r="B1165" s="1580" t="s">
        <v>2007</v>
      </c>
      <c r="C1165" s="1854" t="str">
        <f t="shared" si="231"/>
        <v xml:space="preserve"> </v>
      </c>
      <c r="D1165" s="1544">
        <v>1</v>
      </c>
      <c r="E1165" s="1047"/>
      <c r="F1165" s="1059" t="str">
        <f>VLOOKUP($B1165,DG!A:D,DG!$C$2,)</f>
        <v>Máng che dây chằng dày 1,6mm</v>
      </c>
      <c r="G1165" s="1047" t="str">
        <f>VLOOKUP($B1165,DG!A:D,DG!$D$2,)</f>
        <v>cái</v>
      </c>
      <c r="H1165" s="1845">
        <f t="shared" si="234"/>
        <v>0</v>
      </c>
      <c r="I1165" s="1845">
        <f t="shared" si="234"/>
        <v>0</v>
      </c>
      <c r="J1165" s="1845">
        <f t="shared" si="234"/>
        <v>0</v>
      </c>
      <c r="K1165" s="1845">
        <f t="shared" si="234"/>
        <v>0</v>
      </c>
      <c r="L1165" s="1845">
        <f t="shared" si="234"/>
        <v>0</v>
      </c>
      <c r="M1165" s="1845">
        <f t="shared" si="234"/>
        <v>0</v>
      </c>
      <c r="N1165" s="1845">
        <f t="shared" si="234"/>
        <v>0</v>
      </c>
      <c r="O1165" s="1845"/>
      <c r="P1165" s="1845">
        <f t="shared" si="235"/>
        <v>0</v>
      </c>
      <c r="Q1165" s="1056"/>
      <c r="R1165" s="1056">
        <f t="shared" si="236"/>
        <v>0</v>
      </c>
      <c r="S1165" s="1056"/>
      <c r="T1165" s="2059">
        <f t="shared" si="229"/>
        <v>0</v>
      </c>
    </row>
    <row r="1166" spans="1:20" ht="22.15" hidden="1" customHeight="1">
      <c r="B1166" s="1580" t="s">
        <v>1924</v>
      </c>
      <c r="C1166" s="1854" t="str">
        <f t="shared" si="231"/>
        <v xml:space="preserve"> </v>
      </c>
      <c r="D1166" s="1544">
        <f>D1159</f>
        <v>1</v>
      </c>
      <c r="E1166" s="1047" t="str">
        <f>VLOOKUP($B1166,DG!A:D,DG!$B$2,)</f>
        <v>06.3241</v>
      </c>
      <c r="F1166" s="1052" t="str">
        <f>VLOOKUP($B1166,DG!A:D,DG!$C$2,)</f>
        <v>Lắp bộ dây néo</v>
      </c>
      <c r="G1166" s="1047" t="str">
        <f>VLOOKUP($B1166,DG!A:D,DG!$D$2,)</f>
        <v>bộ</v>
      </c>
      <c r="H1166" s="1845">
        <f>H$1158*$D1166</f>
        <v>0</v>
      </c>
      <c r="I1166" s="1845"/>
      <c r="J1166" s="1845"/>
      <c r="K1166" s="1845"/>
      <c r="L1166" s="1845"/>
      <c r="M1166" s="1845"/>
      <c r="N1166" s="1845"/>
      <c r="O1166" s="1845"/>
      <c r="P1166" s="1845">
        <f t="shared" si="235"/>
        <v>0</v>
      </c>
      <c r="Q1166" s="1061"/>
      <c r="R1166" s="1056">
        <f t="shared" si="236"/>
        <v>0</v>
      </c>
      <c r="S1166" s="1061"/>
      <c r="T1166" s="2059">
        <f t="shared" si="229"/>
        <v>0</v>
      </c>
    </row>
    <row r="1167" spans="1:20" ht="22.15" hidden="1" customHeight="1">
      <c r="B1167" s="1586" t="s">
        <v>1924</v>
      </c>
      <c r="C1167" s="1015" t="str">
        <f t="shared" si="231"/>
        <v xml:space="preserve"> </v>
      </c>
      <c r="D1167" s="1544"/>
      <c r="E1167" s="1047" t="str">
        <f>VLOOKUP($B1167,DG!A:D,DG!$B$2,)</f>
        <v>06.3241</v>
      </c>
      <c r="F1167" s="1052" t="s">
        <v>2477</v>
      </c>
      <c r="G1167" s="1047" t="str">
        <f>VLOOKUP($B1167,DG!A:D,DG!$D$2,)</f>
        <v>bộ</v>
      </c>
      <c r="H1167" s="1845"/>
      <c r="I1167" s="1845"/>
      <c r="J1167" s="1845"/>
      <c r="K1167" s="1845"/>
      <c r="L1167" s="1845"/>
      <c r="M1167" s="1845"/>
      <c r="N1167" s="1845"/>
      <c r="O1167" s="1845"/>
      <c r="P1167" s="1845"/>
      <c r="Q1167" s="1061"/>
      <c r="R1167" s="1056">
        <f t="shared" si="236"/>
        <v>0</v>
      </c>
      <c r="S1167" s="1061"/>
      <c r="T1167" s="2059">
        <f t="shared" si="229"/>
        <v>0</v>
      </c>
    </row>
    <row r="1168" spans="1:20" ht="22.15" hidden="1" customHeight="1">
      <c r="A1168" s="56" t="s">
        <v>195</v>
      </c>
      <c r="B1168" s="1583" t="s">
        <v>195</v>
      </c>
      <c r="C1168" s="1015" t="str">
        <f t="shared" si="231"/>
        <v xml:space="preserve"> </v>
      </c>
      <c r="D1168" s="1541"/>
      <c r="E1168" s="1048"/>
      <c r="F1168" s="1396" t="s">
        <v>2478</v>
      </c>
      <c r="G1168" s="1049" t="s">
        <v>2394</v>
      </c>
      <c r="H1168" s="1843">
        <f>SUM(I1168:O1168)</f>
        <v>0</v>
      </c>
      <c r="I1168" s="1844"/>
      <c r="J1168" s="1844"/>
      <c r="K1168" s="1844">
        <f>IFERROR(HLOOKUP(B1168,pp3p1m!$1:$3,3,0),0)</f>
        <v>0</v>
      </c>
      <c r="L1168" s="1844">
        <f>IFERROR(HLOOKUP(chitiet!B1168,pp1p!$1:$3,3,0),0)</f>
        <v>0</v>
      </c>
      <c r="M1168" s="1844"/>
      <c r="N1168" s="1844"/>
      <c r="O1168" s="1844"/>
      <c r="P1168" s="1844">
        <f>H1168+Q1168-R1168</f>
        <v>0</v>
      </c>
      <c r="Q1168" s="1050"/>
      <c r="R1168" s="1050"/>
      <c r="S1168" s="1050"/>
      <c r="T1168" s="2059">
        <f>IFERROR(HLOOKUP(B1168,pp1p!$1:$3,3,0),0)+IFERROR(HLOOKUP(B1168,pp3p1m!$1:$3,3,0),0)</f>
        <v>0</v>
      </c>
    </row>
    <row r="1169" spans="1:20" ht="22.15" hidden="1" customHeight="1">
      <c r="A1169" s="59"/>
      <c r="B1169" s="1586" t="s">
        <v>1924</v>
      </c>
      <c r="C1169" s="1015" t="str">
        <f t="shared" si="231"/>
        <v xml:space="preserve"> </v>
      </c>
      <c r="D1169" s="1544">
        <v>1</v>
      </c>
      <c r="E1169" s="1047"/>
      <c r="F1169" s="1052" t="s">
        <v>2469</v>
      </c>
      <c r="G1169" s="1047" t="str">
        <f>VLOOKUP($B1169,DG!A:D,DG!$D$2,)</f>
        <v>bộ</v>
      </c>
      <c r="H1169" s="1845">
        <f t="shared" ref="H1169:N1171" si="242">H$1168*$D1169</f>
        <v>0</v>
      </c>
      <c r="I1169" s="1845">
        <f t="shared" si="242"/>
        <v>0</v>
      </c>
      <c r="J1169" s="1845">
        <f t="shared" si="242"/>
        <v>0</v>
      </c>
      <c r="K1169" s="1845">
        <f t="shared" si="242"/>
        <v>0</v>
      </c>
      <c r="L1169" s="1845">
        <f t="shared" si="242"/>
        <v>0</v>
      </c>
      <c r="M1169" s="1845">
        <f t="shared" si="242"/>
        <v>0</v>
      </c>
      <c r="N1169" s="1845">
        <f t="shared" si="242"/>
        <v>0</v>
      </c>
      <c r="O1169" s="1845"/>
      <c r="P1169" s="1845"/>
      <c r="Q1169" s="1056"/>
      <c r="R1169" s="1056"/>
      <c r="S1169" s="1056"/>
      <c r="T1169" s="2059">
        <f t="shared" si="229"/>
        <v>0</v>
      </c>
    </row>
    <row r="1170" spans="1:20" ht="22.15" hidden="1" customHeight="1">
      <c r="A1170" s="59"/>
      <c r="B1170" s="1586" t="s">
        <v>1912</v>
      </c>
      <c r="C1170" s="1015" t="str">
        <f t="shared" si="231"/>
        <v xml:space="preserve"> </v>
      </c>
      <c r="D1170" s="1544">
        <v>1</v>
      </c>
      <c r="E1170" s="1047"/>
      <c r="F1170" s="1052" t="s">
        <v>2470</v>
      </c>
      <c r="G1170" s="1047" t="str">
        <f>VLOOKUP($B1170,DG!A:D,DG!$D$2,)</f>
        <v>bộ</v>
      </c>
      <c r="H1170" s="1845">
        <f t="shared" si="242"/>
        <v>0</v>
      </c>
      <c r="I1170" s="1845">
        <f t="shared" si="242"/>
        <v>0</v>
      </c>
      <c r="J1170" s="1845">
        <f t="shared" si="242"/>
        <v>0</v>
      </c>
      <c r="K1170" s="1845">
        <f t="shared" si="242"/>
        <v>0</v>
      </c>
      <c r="L1170" s="1845">
        <f t="shared" si="242"/>
        <v>0</v>
      </c>
      <c r="M1170" s="1845">
        <f t="shared" si="242"/>
        <v>0</v>
      </c>
      <c r="N1170" s="1845">
        <f t="shared" si="242"/>
        <v>0</v>
      </c>
      <c r="O1170" s="1845"/>
      <c r="P1170" s="1845"/>
      <c r="Q1170" s="1056"/>
      <c r="R1170" s="1056"/>
      <c r="S1170" s="1056"/>
      <c r="T1170" s="2059">
        <f t="shared" si="229"/>
        <v>0</v>
      </c>
    </row>
    <row r="1171" spans="1:20" ht="22.15" hidden="1" customHeight="1">
      <c r="A1171" s="59"/>
      <c r="B1171" s="1598" t="s">
        <v>356</v>
      </c>
      <c r="C1171" s="1015" t="str">
        <f t="shared" si="231"/>
        <v xml:space="preserve"> </v>
      </c>
      <c r="D1171" s="1543">
        <v>0.02</v>
      </c>
      <c r="E1171" s="1047" t="str">
        <f>VLOOKUP($B1171,DG!A:C,2,)</f>
        <v>02.1421</v>
      </c>
      <c r="F1171" s="1052" t="str">
        <f>VLOOKUP($B1171,DG!A:C,3,)</f>
        <v>V/c phụ kiện vào vị trí (cự ly &lt;=100m)</v>
      </c>
      <c r="G1171" s="1047" t="str">
        <f>VLOOKUP($B1171,DG!A:D,4,0)</f>
        <v>tấn</v>
      </c>
      <c r="H1171" s="1845">
        <f t="shared" si="242"/>
        <v>0</v>
      </c>
      <c r="I1171" s="1845">
        <f t="shared" si="242"/>
        <v>0</v>
      </c>
      <c r="J1171" s="1845">
        <f t="shared" si="242"/>
        <v>0</v>
      </c>
      <c r="K1171" s="1845">
        <f t="shared" si="242"/>
        <v>0</v>
      </c>
      <c r="L1171" s="1845">
        <f t="shared" si="242"/>
        <v>0</v>
      </c>
      <c r="M1171" s="1845">
        <f t="shared" si="242"/>
        <v>0</v>
      </c>
      <c r="N1171" s="1845">
        <f t="shared" si="242"/>
        <v>0</v>
      </c>
      <c r="O1171" s="1845"/>
      <c r="P1171" s="1845"/>
      <c r="Q1171" s="1056"/>
      <c r="R1171" s="1056"/>
      <c r="S1171" s="1056"/>
      <c r="T1171" s="2059">
        <f t="shared" si="229"/>
        <v>0</v>
      </c>
    </row>
    <row r="1172" spans="1:20" ht="22.15" customHeight="1">
      <c r="A1172" s="1581" t="s">
        <v>664</v>
      </c>
      <c r="B1172" s="1583" t="s">
        <v>664</v>
      </c>
      <c r="C1172" s="1015" t="str">
        <f t="shared" si="231"/>
        <v>x</v>
      </c>
      <c r="D1172" s="1541"/>
      <c r="E1172" s="1048"/>
      <c r="F1172" s="1396" t="s">
        <v>2479</v>
      </c>
      <c r="G1172" s="1049" t="s">
        <v>2394</v>
      </c>
      <c r="H1172" s="1843">
        <f>SUM(I1172:O1172)</f>
        <v>1</v>
      </c>
      <c r="I1172" s="1844"/>
      <c r="J1172" s="1844"/>
      <c r="K1172" s="1844">
        <f>IFERROR(HLOOKUP(B1172,pp3p1m!$1:$3,3,0),0)</f>
        <v>1</v>
      </c>
      <c r="L1172" s="1844">
        <f>IFERROR(HLOOKUP(chitiet!B1172,pp1p!$1:$3,3,0),0)</f>
        <v>0</v>
      </c>
      <c r="M1172" s="1844"/>
      <c r="N1172" s="1844"/>
      <c r="O1172" s="1844"/>
      <c r="P1172" s="1844">
        <f>H1172+Q1172-R1172</f>
        <v>1</v>
      </c>
      <c r="Q1172" s="1050"/>
      <c r="R1172" s="1050"/>
      <c r="S1172" s="1050"/>
      <c r="T1172" s="2059">
        <f>IFERROR(HLOOKUP(B1172,pp1p!$1:$3,3,0),0)+IFERROR(HLOOKUP(B1172,pp3p1m!$1:$3,3,0),0)</f>
        <v>1</v>
      </c>
    </row>
    <row r="1173" spans="1:20" ht="22.15" customHeight="1">
      <c r="B1173" s="1580" t="s">
        <v>417</v>
      </c>
      <c r="C1173" s="1015" t="str">
        <f t="shared" si="231"/>
        <v>x</v>
      </c>
      <c r="D1173" s="1544">
        <v>1</v>
      </c>
      <c r="E1173" s="1047"/>
      <c r="F1173" s="1059" t="str">
        <f>VLOOKUP($B1173,DG!A:D,DG!$C$2,)</f>
        <v>Boulon mắt 16x300+ 2 long đền vuông D18-50x50x3/Zn</v>
      </c>
      <c r="G1173" s="1047" t="str">
        <f>VLOOKUP($B1173,DG!A:D,DG!$D$2,)</f>
        <v>bộ</v>
      </c>
      <c r="H1173" s="1845">
        <f t="shared" ref="H1173:N1180" si="243">H$1172*$D1173</f>
        <v>1</v>
      </c>
      <c r="I1173" s="1845">
        <f t="shared" si="243"/>
        <v>0</v>
      </c>
      <c r="J1173" s="1845">
        <f t="shared" si="243"/>
        <v>0</v>
      </c>
      <c r="K1173" s="1845">
        <f t="shared" si="243"/>
        <v>1</v>
      </c>
      <c r="L1173" s="1845">
        <f t="shared" si="243"/>
        <v>0</v>
      </c>
      <c r="M1173" s="1845">
        <f t="shared" si="243"/>
        <v>0</v>
      </c>
      <c r="N1173" s="1845">
        <f t="shared" si="243"/>
        <v>0</v>
      </c>
      <c r="O1173" s="1845"/>
      <c r="P1173" s="1845">
        <f t="shared" ref="P1173:P1181" si="244">$P$1172*D1173</f>
        <v>1</v>
      </c>
      <c r="Q1173" s="1056">
        <f t="shared" ref="Q1173:Q1182" si="245">$Q$1172*D1173</f>
        <v>0</v>
      </c>
      <c r="R1173" s="1056"/>
      <c r="S1173" s="1056"/>
      <c r="T1173" s="2059">
        <f t="shared" si="229"/>
        <v>0</v>
      </c>
    </row>
    <row r="1174" spans="1:20" ht="22.15" customHeight="1">
      <c r="B1174" s="1580" t="s">
        <v>111</v>
      </c>
      <c r="C1174" s="1015" t="str">
        <f t="shared" si="231"/>
        <v>x</v>
      </c>
      <c r="D1174" s="1544">
        <v>1</v>
      </c>
      <c r="E1174" s="1047"/>
      <c r="F1174" s="1059" t="str">
        <f>VLOOKUP($B1174,DG!A:D,DG!$C$2,)</f>
        <v>Sứ chằng</v>
      </c>
      <c r="G1174" s="1047" t="str">
        <f>VLOOKUP($B1174,DG!A:D,DG!$D$2,)</f>
        <v>cái</v>
      </c>
      <c r="H1174" s="1845">
        <f t="shared" si="243"/>
        <v>1</v>
      </c>
      <c r="I1174" s="1845">
        <f t="shared" si="243"/>
        <v>0</v>
      </c>
      <c r="J1174" s="1845">
        <f t="shared" si="243"/>
        <v>0</v>
      </c>
      <c r="K1174" s="1845">
        <f t="shared" si="243"/>
        <v>1</v>
      </c>
      <c r="L1174" s="1845">
        <f t="shared" si="243"/>
        <v>0</v>
      </c>
      <c r="M1174" s="1845">
        <f t="shared" si="243"/>
        <v>0</v>
      </c>
      <c r="N1174" s="1845">
        <f t="shared" si="243"/>
        <v>0</v>
      </c>
      <c r="O1174" s="1845"/>
      <c r="P1174" s="1845">
        <f t="shared" si="244"/>
        <v>1</v>
      </c>
      <c r="Q1174" s="1056">
        <f t="shared" si="245"/>
        <v>0</v>
      </c>
      <c r="R1174" s="1056"/>
      <c r="S1174" s="1056"/>
      <c r="T1174" s="2059">
        <f t="shared" si="229"/>
        <v>0</v>
      </c>
    </row>
    <row r="1175" spans="1:20" ht="22.15" customHeight="1">
      <c r="B1175" s="1580" t="s">
        <v>1583</v>
      </c>
      <c r="C1175" s="1015" t="str">
        <f t="shared" si="231"/>
        <v>x</v>
      </c>
      <c r="D1175" s="1544">
        <v>8</v>
      </c>
      <c r="E1175" s="1047"/>
      <c r="F1175" s="1059" t="str">
        <f>VLOOKUP($B1175,DG!A:D,DG!$C$2,)</f>
        <v>Kẹp cáp 3 boulon</v>
      </c>
      <c r="G1175" s="1047" t="str">
        <f>VLOOKUP($B1175,DG!A:D,DG!$D$2,)</f>
        <v>cái</v>
      </c>
      <c r="H1175" s="1845">
        <f t="shared" si="243"/>
        <v>8</v>
      </c>
      <c r="I1175" s="1845">
        <f t="shared" si="243"/>
        <v>0</v>
      </c>
      <c r="J1175" s="1845">
        <f t="shared" si="243"/>
        <v>0</v>
      </c>
      <c r="K1175" s="1845">
        <f t="shared" si="243"/>
        <v>8</v>
      </c>
      <c r="L1175" s="1845">
        <f t="shared" si="243"/>
        <v>0</v>
      </c>
      <c r="M1175" s="1845">
        <f t="shared" si="243"/>
        <v>0</v>
      </c>
      <c r="N1175" s="1845">
        <f t="shared" si="243"/>
        <v>0</v>
      </c>
      <c r="O1175" s="1845"/>
      <c r="P1175" s="1845">
        <f t="shared" si="244"/>
        <v>8</v>
      </c>
      <c r="Q1175" s="1056">
        <f t="shared" si="245"/>
        <v>0</v>
      </c>
      <c r="R1175" s="1056"/>
      <c r="S1175" s="1056"/>
      <c r="T1175" s="2059">
        <f t="shared" si="229"/>
        <v>0</v>
      </c>
    </row>
    <row r="1176" spans="1:20" ht="22.15" hidden="1" customHeight="1">
      <c r="B1176" s="1580" t="s">
        <v>1364</v>
      </c>
      <c r="C1176" s="1015" t="str">
        <f t="shared" ref="C1176" si="246">IF(OR(P1176&lt;&gt;0,H1176&lt;&gt;0),"x"," ")</f>
        <v xml:space="preserve"> </v>
      </c>
      <c r="D1176" s="1554"/>
      <c r="E1176" s="1047"/>
      <c r="F1176" s="1059" t="str">
        <f>VLOOKUP($B1176,DG!A:D,DG!$C$2,)</f>
        <v>Cáp thép 5/8"</v>
      </c>
      <c r="G1176" s="1047" t="str">
        <f>VLOOKUP($B1176,DG!A:D,DG!$D$2,)</f>
        <v>kg</v>
      </c>
      <c r="H1176" s="1845">
        <f t="shared" si="243"/>
        <v>0</v>
      </c>
      <c r="I1176" s="1845">
        <f t="shared" si="243"/>
        <v>0</v>
      </c>
      <c r="J1176" s="1845">
        <f t="shared" si="243"/>
        <v>0</v>
      </c>
      <c r="K1176" s="1845">
        <f t="shared" si="243"/>
        <v>0</v>
      </c>
      <c r="L1176" s="1845">
        <f t="shared" si="243"/>
        <v>0</v>
      </c>
      <c r="M1176" s="1845">
        <f t="shared" si="243"/>
        <v>0</v>
      </c>
      <c r="N1176" s="1845">
        <f t="shared" si="243"/>
        <v>0</v>
      </c>
      <c r="O1176" s="1845"/>
      <c r="P1176" s="1845">
        <f t="shared" ref="P1176" si="247">$P$1172*D1176</f>
        <v>0</v>
      </c>
      <c r="Q1176" s="1060">
        <f t="shared" ref="Q1176" si="248">$Q$1172*D1176</f>
        <v>0</v>
      </c>
      <c r="R1176" s="1056"/>
      <c r="S1176" s="1056"/>
      <c r="T1176" s="2059">
        <f t="shared" ref="T1176" si="249">IFERROR(HLOOKUP(B1176,BangKeTru,3,0),0)</f>
        <v>0</v>
      </c>
    </row>
    <row r="1177" spans="1:20" ht="22.15" customHeight="1">
      <c r="B1177" s="1580" t="s">
        <v>5193</v>
      </c>
      <c r="C1177" s="1015" t="str">
        <f t="shared" si="231"/>
        <v>x</v>
      </c>
      <c r="D1177" s="1554">
        <v>14</v>
      </c>
      <c r="E1177" s="1047"/>
      <c r="F1177" s="1059" t="str">
        <f>VLOOKUP($B1177,DG!A:D,DG!$C$2,)</f>
        <v>Cáp thép 5/8"</v>
      </c>
      <c r="G1177" s="1047" t="str">
        <f>VLOOKUP($B1177,DG!A:D,DG!$D$2,)</f>
        <v>mét</v>
      </c>
      <c r="H1177" s="1845">
        <f t="shared" si="243"/>
        <v>14</v>
      </c>
      <c r="I1177" s="1845">
        <f t="shared" si="243"/>
        <v>0</v>
      </c>
      <c r="J1177" s="1845">
        <f t="shared" si="243"/>
        <v>0</v>
      </c>
      <c r="K1177" s="1845">
        <f t="shared" si="243"/>
        <v>14</v>
      </c>
      <c r="L1177" s="1845">
        <f t="shared" si="243"/>
        <v>0</v>
      </c>
      <c r="M1177" s="1845">
        <f t="shared" si="243"/>
        <v>0</v>
      </c>
      <c r="N1177" s="1845">
        <f t="shared" si="243"/>
        <v>0</v>
      </c>
      <c r="O1177" s="1845"/>
      <c r="P1177" s="1845">
        <f t="shared" si="244"/>
        <v>14</v>
      </c>
      <c r="Q1177" s="1060">
        <f t="shared" si="245"/>
        <v>0</v>
      </c>
      <c r="R1177" s="1056"/>
      <c r="S1177" s="1056"/>
      <c r="T1177" s="2059">
        <f t="shared" si="229"/>
        <v>0</v>
      </c>
    </row>
    <row r="1178" spans="1:20" ht="22.15" customHeight="1">
      <c r="B1178" s="1580" t="s">
        <v>607</v>
      </c>
      <c r="C1178" s="1015" t="str">
        <f t="shared" si="231"/>
        <v>x</v>
      </c>
      <c r="D1178" s="1544">
        <v>1</v>
      </c>
      <c r="E1178" s="1047"/>
      <c r="F1178" s="1059" t="str">
        <f>VLOOKUP($B1178,DG!A:D,DG!$C$2,)</f>
        <v>Bộ chống chằng hẹp Ø60/50x1500+2BL12x40+BL16x250/80</v>
      </c>
      <c r="G1178" s="1047" t="str">
        <f>VLOOKUP($B1178,DG!A:D,DG!$D$2,)</f>
        <v>bộ</v>
      </c>
      <c r="H1178" s="1845">
        <f t="shared" si="243"/>
        <v>1</v>
      </c>
      <c r="I1178" s="1845">
        <f t="shared" si="243"/>
        <v>0</v>
      </c>
      <c r="J1178" s="1845">
        <f t="shared" si="243"/>
        <v>0</v>
      </c>
      <c r="K1178" s="1845">
        <f t="shared" si="243"/>
        <v>1</v>
      </c>
      <c r="L1178" s="1845">
        <f t="shared" si="243"/>
        <v>0</v>
      </c>
      <c r="M1178" s="1845">
        <f t="shared" si="243"/>
        <v>0</v>
      </c>
      <c r="N1178" s="1845">
        <f t="shared" si="243"/>
        <v>0</v>
      </c>
      <c r="O1178" s="1845"/>
      <c r="P1178" s="1845">
        <f t="shared" si="244"/>
        <v>1</v>
      </c>
      <c r="Q1178" s="1056">
        <f t="shared" si="245"/>
        <v>0</v>
      </c>
      <c r="R1178" s="1056"/>
      <c r="S1178" s="1056"/>
      <c r="T1178" s="2059">
        <f t="shared" si="229"/>
        <v>0</v>
      </c>
    </row>
    <row r="1179" spans="1:20" ht="22.15" customHeight="1">
      <c r="B1179" s="1580" t="s">
        <v>2006</v>
      </c>
      <c r="C1179" s="1015" t="str">
        <f t="shared" si="231"/>
        <v>x</v>
      </c>
      <c r="D1179" s="1544">
        <v>2</v>
      </c>
      <c r="E1179" s="1047"/>
      <c r="F1179" s="1059" t="str">
        <f>VLOOKUP($B1179,DG!A:D,DG!$C$2,)</f>
        <v>Yếm cáp dày 2mm</v>
      </c>
      <c r="G1179" s="1047" t="str">
        <f>VLOOKUP($B1179,DG!A:D,DG!$D$2,)</f>
        <v>cái</v>
      </c>
      <c r="H1179" s="1845">
        <f t="shared" si="243"/>
        <v>2</v>
      </c>
      <c r="I1179" s="1845">
        <f t="shared" si="243"/>
        <v>0</v>
      </c>
      <c r="J1179" s="1845">
        <f t="shared" si="243"/>
        <v>0</v>
      </c>
      <c r="K1179" s="1845">
        <f t="shared" si="243"/>
        <v>2</v>
      </c>
      <c r="L1179" s="1845">
        <f t="shared" si="243"/>
        <v>0</v>
      </c>
      <c r="M1179" s="1845">
        <f t="shared" si="243"/>
        <v>0</v>
      </c>
      <c r="N1179" s="1845">
        <f t="shared" si="243"/>
        <v>0</v>
      </c>
      <c r="O1179" s="1845"/>
      <c r="P1179" s="1845">
        <f t="shared" si="244"/>
        <v>2</v>
      </c>
      <c r="Q1179" s="1056">
        <f t="shared" si="245"/>
        <v>0</v>
      </c>
      <c r="R1179" s="1056"/>
      <c r="S1179" s="1056"/>
      <c r="T1179" s="2059">
        <f t="shared" si="229"/>
        <v>0</v>
      </c>
    </row>
    <row r="1180" spans="1:20" ht="22.15" customHeight="1">
      <c r="B1180" s="1580" t="s">
        <v>2007</v>
      </c>
      <c r="C1180" s="1015" t="str">
        <f t="shared" si="231"/>
        <v>x</v>
      </c>
      <c r="D1180" s="1544">
        <v>1</v>
      </c>
      <c r="E1180" s="1047"/>
      <c r="F1180" s="1059" t="str">
        <f>VLOOKUP($B1180,DG!A:D,DG!$C$2,)</f>
        <v>Máng che dây chằng dày 1,6mm</v>
      </c>
      <c r="G1180" s="1047" t="str">
        <f>VLOOKUP($B1180,DG!A:D,DG!$D$2,)</f>
        <v>cái</v>
      </c>
      <c r="H1180" s="1845">
        <f t="shared" si="243"/>
        <v>1</v>
      </c>
      <c r="I1180" s="1845">
        <f t="shared" si="243"/>
        <v>0</v>
      </c>
      <c r="J1180" s="1845">
        <f t="shared" si="243"/>
        <v>0</v>
      </c>
      <c r="K1180" s="1845">
        <f t="shared" si="243"/>
        <v>1</v>
      </c>
      <c r="L1180" s="1845">
        <f t="shared" si="243"/>
        <v>0</v>
      </c>
      <c r="M1180" s="1845">
        <f t="shared" si="243"/>
        <v>0</v>
      </c>
      <c r="N1180" s="1845">
        <f t="shared" si="243"/>
        <v>0</v>
      </c>
      <c r="O1180" s="1845"/>
      <c r="P1180" s="1845">
        <f t="shared" si="244"/>
        <v>1</v>
      </c>
      <c r="Q1180" s="1056">
        <f t="shared" si="245"/>
        <v>0</v>
      </c>
      <c r="R1180" s="1056"/>
      <c r="S1180" s="1056"/>
      <c r="T1180" s="2059">
        <f t="shared" si="229"/>
        <v>0</v>
      </c>
    </row>
    <row r="1181" spans="1:20" ht="22.15" customHeight="1">
      <c r="B1181" s="1580" t="s">
        <v>1924</v>
      </c>
      <c r="C1181" s="1015" t="str">
        <f t="shared" si="231"/>
        <v>x</v>
      </c>
      <c r="D1181" s="1544">
        <v>1</v>
      </c>
      <c r="E1181" s="1047" t="str">
        <f>VLOOKUP($B1181,DG!A:D,DG!$B$2,)</f>
        <v>06.3241</v>
      </c>
      <c r="F1181" s="1052" t="str">
        <f>VLOOKUP($B1181,DG!A:D,DG!$C$2,)</f>
        <v>Lắp bộ dây néo</v>
      </c>
      <c r="G1181" s="1047" t="str">
        <f>VLOOKUP($B1181,DG!A:D,DG!$D$2,)</f>
        <v>bộ</v>
      </c>
      <c r="H1181" s="1845">
        <f>H$1172*$D1181</f>
        <v>1</v>
      </c>
      <c r="I1181" s="1845"/>
      <c r="J1181" s="1845"/>
      <c r="K1181" s="1845"/>
      <c r="L1181" s="1845"/>
      <c r="M1181" s="1845"/>
      <c r="N1181" s="1845"/>
      <c r="O1181" s="1845"/>
      <c r="P1181" s="1845">
        <f t="shared" si="244"/>
        <v>1</v>
      </c>
      <c r="Q1181" s="1056">
        <f t="shared" si="245"/>
        <v>0</v>
      </c>
      <c r="R1181" s="1061"/>
      <c r="S1181" s="1061"/>
      <c r="T1181" s="2059">
        <f t="shared" si="229"/>
        <v>0</v>
      </c>
    </row>
    <row r="1182" spans="1:20" ht="22.15" hidden="1" customHeight="1">
      <c r="A1182" s="1017"/>
      <c r="B1182" s="1580" t="s">
        <v>1912</v>
      </c>
      <c r="C1182" s="1015" t="str">
        <f t="shared" si="231"/>
        <v xml:space="preserve"> </v>
      </c>
      <c r="D1182" s="1544">
        <v>1</v>
      </c>
      <c r="E1182" s="1047" t="str">
        <f>VLOOKUP($B1182,DG!A:D,DG!$B$2,)</f>
        <v>05.6011</v>
      </c>
      <c r="F1182" s="1052" t="str">
        <f>VLOOKUP($B1182,DG!A:D,DG!$C$2,)</f>
        <v>Lắp bộ chống lệch</v>
      </c>
      <c r="G1182" s="1047" t="str">
        <f>VLOOKUP($B1182,DG!A:D,DG!$D$2,)</f>
        <v>bộ</v>
      </c>
      <c r="H1182" s="1845"/>
      <c r="I1182" s="1845"/>
      <c r="J1182" s="1845"/>
      <c r="K1182" s="1845"/>
      <c r="L1182" s="1845"/>
      <c r="M1182" s="1845"/>
      <c r="N1182" s="1845"/>
      <c r="O1182" s="1845"/>
      <c r="P1182" s="1845"/>
      <c r="Q1182" s="1056">
        <f t="shared" si="245"/>
        <v>0</v>
      </c>
      <c r="R1182" s="1061"/>
      <c r="S1182" s="1061"/>
      <c r="T1182" s="2059">
        <f t="shared" si="229"/>
        <v>0</v>
      </c>
    </row>
    <row r="1183" spans="1:20" ht="22.15" hidden="1" customHeight="1">
      <c r="A1183" s="59"/>
      <c r="B1183" s="1598" t="s">
        <v>356</v>
      </c>
      <c r="C1183" s="1015" t="str">
        <f t="shared" si="231"/>
        <v xml:space="preserve"> </v>
      </c>
      <c r="D1183" s="1543"/>
      <c r="E1183" s="1047" t="str">
        <f>VLOOKUP($B1183,DG!A:C,2,)</f>
        <v>02.1421</v>
      </c>
      <c r="F1183" s="1052" t="str">
        <f>VLOOKUP($B1183,DG!A:C,3,)</f>
        <v>V/c phụ kiện vào vị trí (cự ly &lt;=100m)</v>
      </c>
      <c r="G1183" s="1047" t="str">
        <f>VLOOKUP($B1183,DG!A:D,4,0)</f>
        <v>tấn</v>
      </c>
      <c r="H1183" s="1845"/>
      <c r="I1183" s="1845"/>
      <c r="J1183" s="1845"/>
      <c r="K1183" s="1845"/>
      <c r="L1183" s="1845"/>
      <c r="M1183" s="1845"/>
      <c r="N1183" s="1845"/>
      <c r="O1183" s="1845"/>
      <c r="P1183" s="1845"/>
      <c r="Q1183" s="1061"/>
      <c r="R1183" s="1061"/>
      <c r="S1183" s="1061"/>
      <c r="T1183" s="2059">
        <f t="shared" si="229"/>
        <v>0</v>
      </c>
    </row>
    <row r="1184" spans="1:20" ht="22.15" hidden="1" customHeight="1">
      <c r="A1184" s="56" t="s">
        <v>665</v>
      </c>
      <c r="B1184" s="1583" t="s">
        <v>665</v>
      </c>
      <c r="C1184" s="1015" t="str">
        <f t="shared" si="231"/>
        <v xml:space="preserve"> </v>
      </c>
      <c r="D1184" s="1541"/>
      <c r="E1184" s="1048"/>
      <c r="F1184" s="1396" t="s">
        <v>2480</v>
      </c>
      <c r="G1184" s="1049" t="s">
        <v>2394</v>
      </c>
      <c r="H1184" s="1843">
        <f>SUM(I1184:O1184)</f>
        <v>0</v>
      </c>
      <c r="I1184" s="1844"/>
      <c r="J1184" s="1844"/>
      <c r="K1184" s="1844">
        <f>IFERROR(HLOOKUP(B1184,pp3p1m!$1:$3,3,0),0)</f>
        <v>0</v>
      </c>
      <c r="L1184" s="1844">
        <f>IFERROR(HLOOKUP(chitiet!B1184,pp1p!$1:$3,3,0),0)</f>
        <v>0</v>
      </c>
      <c r="M1184" s="1844"/>
      <c r="N1184" s="1844"/>
      <c r="O1184" s="1844"/>
      <c r="P1184" s="1844">
        <f>H1184+Q1184-R1184</f>
        <v>0</v>
      </c>
      <c r="Q1184" s="1050"/>
      <c r="R1184" s="1050"/>
      <c r="S1184" s="1050"/>
      <c r="T1184" s="2059">
        <f>IFERROR(HLOOKUP(B1184,pp1p!$1:$3,3,0),0)+IFERROR(HLOOKUP(B1184,pp3p1m!$1:$3,3,0),0)</f>
        <v>0</v>
      </c>
    </row>
    <row r="1185" spans="1:20" ht="22.15" hidden="1" customHeight="1">
      <c r="A1185" s="59"/>
      <c r="B1185" s="1586" t="s">
        <v>1063</v>
      </c>
      <c r="C1185" s="1015" t="str">
        <f t="shared" si="231"/>
        <v xml:space="preserve"> </v>
      </c>
      <c r="D1185" s="1544">
        <v>2</v>
      </c>
      <c r="E1185" s="1047"/>
      <c r="F1185" s="1059" t="str">
        <f>VLOOKUP($B1185,DG!A:D,DG!$C$2,)</f>
        <v>Boulon mắt 16x250+ 2 long đền vuông D18-50x50x3/Zn</v>
      </c>
      <c r="G1185" s="1047" t="str">
        <f>VLOOKUP($B1185,DG!A:D,DG!$D$2,)</f>
        <v>bộ</v>
      </c>
      <c r="H1185" s="1845">
        <f t="shared" ref="H1185:N1190" si="250">H$1184*$D1185</f>
        <v>0</v>
      </c>
      <c r="I1185" s="1845">
        <f t="shared" si="250"/>
        <v>0</v>
      </c>
      <c r="J1185" s="1845">
        <f t="shared" si="250"/>
        <v>0</v>
      </c>
      <c r="K1185" s="1845">
        <f t="shared" si="250"/>
        <v>0</v>
      </c>
      <c r="L1185" s="1845">
        <f t="shared" si="250"/>
        <v>0</v>
      </c>
      <c r="M1185" s="1845">
        <f t="shared" si="250"/>
        <v>0</v>
      </c>
      <c r="N1185" s="1845">
        <f t="shared" si="250"/>
        <v>0</v>
      </c>
      <c r="O1185" s="1845"/>
      <c r="P1185" s="1845"/>
      <c r="Q1185" s="1056"/>
      <c r="R1185" s="1056"/>
      <c r="S1185" s="1056"/>
      <c r="T1185" s="2059">
        <f t="shared" si="229"/>
        <v>0</v>
      </c>
    </row>
    <row r="1186" spans="1:20" ht="22.15" hidden="1" customHeight="1">
      <c r="A1186" s="59"/>
      <c r="B1186" s="1586" t="s">
        <v>111</v>
      </c>
      <c r="C1186" s="1015" t="str">
        <f t="shared" si="231"/>
        <v xml:space="preserve"> </v>
      </c>
      <c r="D1186" s="1544">
        <v>2</v>
      </c>
      <c r="E1186" s="1047"/>
      <c r="F1186" s="1059" t="str">
        <f>VLOOKUP($B1186,DG!A:D,DG!$C$2,)</f>
        <v>Sứ chằng</v>
      </c>
      <c r="G1186" s="1047" t="str">
        <f>VLOOKUP($B1186,DG!A:D,DG!$D$2,)</f>
        <v>cái</v>
      </c>
      <c r="H1186" s="1845">
        <f t="shared" si="250"/>
        <v>0</v>
      </c>
      <c r="I1186" s="1845">
        <f t="shared" si="250"/>
        <v>0</v>
      </c>
      <c r="J1186" s="1845">
        <f t="shared" si="250"/>
        <v>0</v>
      </c>
      <c r="K1186" s="1845">
        <f t="shared" si="250"/>
        <v>0</v>
      </c>
      <c r="L1186" s="1845">
        <f t="shared" si="250"/>
        <v>0</v>
      </c>
      <c r="M1186" s="1845">
        <f t="shared" si="250"/>
        <v>0</v>
      </c>
      <c r="N1186" s="1845">
        <f t="shared" si="250"/>
        <v>0</v>
      </c>
      <c r="O1186" s="1845"/>
      <c r="P1186" s="1845"/>
      <c r="Q1186" s="1056"/>
      <c r="R1186" s="1056"/>
      <c r="S1186" s="1056"/>
      <c r="T1186" s="2059">
        <f t="shared" si="229"/>
        <v>0</v>
      </c>
    </row>
    <row r="1187" spans="1:20" ht="22.15" hidden="1" customHeight="1">
      <c r="A1187" s="59"/>
      <c r="B1187" s="1586" t="s">
        <v>1583</v>
      </c>
      <c r="C1187" s="1015" t="str">
        <f t="shared" si="231"/>
        <v xml:space="preserve"> </v>
      </c>
      <c r="D1187" s="1544">
        <v>16</v>
      </c>
      <c r="E1187" s="1047"/>
      <c r="F1187" s="1059" t="str">
        <f>VLOOKUP($B1187,DG!A:D,DG!$C$2,)</f>
        <v>Kẹp cáp 3 boulon</v>
      </c>
      <c r="G1187" s="1047" t="str">
        <f>VLOOKUP($B1187,DG!A:D,DG!$D$2,)</f>
        <v>cái</v>
      </c>
      <c r="H1187" s="1845">
        <f t="shared" si="250"/>
        <v>0</v>
      </c>
      <c r="I1187" s="1845">
        <f t="shared" si="250"/>
        <v>0</v>
      </c>
      <c r="J1187" s="1845">
        <f t="shared" si="250"/>
        <v>0</v>
      </c>
      <c r="K1187" s="1845">
        <f t="shared" si="250"/>
        <v>0</v>
      </c>
      <c r="L1187" s="1845">
        <f t="shared" si="250"/>
        <v>0</v>
      </c>
      <c r="M1187" s="1845">
        <f t="shared" si="250"/>
        <v>0</v>
      </c>
      <c r="N1187" s="1845">
        <f t="shared" si="250"/>
        <v>0</v>
      </c>
      <c r="O1187" s="1845"/>
      <c r="P1187" s="1845"/>
      <c r="Q1187" s="1056"/>
      <c r="R1187" s="1056"/>
      <c r="S1187" s="1056"/>
      <c r="T1187" s="2059">
        <f t="shared" si="229"/>
        <v>0</v>
      </c>
    </row>
    <row r="1188" spans="1:20" ht="22.15" hidden="1" customHeight="1">
      <c r="A1188" s="59"/>
      <c r="B1188" s="1586" t="s">
        <v>1364</v>
      </c>
      <c r="C1188" s="1015" t="str">
        <f t="shared" si="231"/>
        <v xml:space="preserve"> </v>
      </c>
      <c r="D1188" s="1544">
        <v>35</v>
      </c>
      <c r="E1188" s="1047"/>
      <c r="F1188" s="1059" t="str">
        <f>VLOOKUP($B1188,DG!A:D,DG!$C$2,)</f>
        <v>Cáp thép 5/8"</v>
      </c>
      <c r="G1188" s="1047" t="str">
        <f>VLOOKUP($B1188,DG!A:D,DG!$D$2,)</f>
        <v>kg</v>
      </c>
      <c r="H1188" s="1845">
        <f t="shared" si="250"/>
        <v>0</v>
      </c>
      <c r="I1188" s="1845">
        <f t="shared" si="250"/>
        <v>0</v>
      </c>
      <c r="J1188" s="1845">
        <f t="shared" si="250"/>
        <v>0</v>
      </c>
      <c r="K1188" s="1845">
        <f t="shared" si="250"/>
        <v>0</v>
      </c>
      <c r="L1188" s="1845">
        <f t="shared" si="250"/>
        <v>0</v>
      </c>
      <c r="M1188" s="1845">
        <f t="shared" si="250"/>
        <v>0</v>
      </c>
      <c r="N1188" s="1845">
        <f t="shared" si="250"/>
        <v>0</v>
      </c>
      <c r="O1188" s="1845"/>
      <c r="P1188" s="1845"/>
      <c r="Q1188" s="1056"/>
      <c r="R1188" s="1056"/>
      <c r="S1188" s="1056"/>
      <c r="T1188" s="2059">
        <f t="shared" si="229"/>
        <v>0</v>
      </c>
    </row>
    <row r="1189" spans="1:20" ht="22.15" hidden="1" customHeight="1">
      <c r="A1189" s="59"/>
      <c r="B1189" s="1586" t="s">
        <v>2006</v>
      </c>
      <c r="C1189" s="1015" t="str">
        <f t="shared" si="231"/>
        <v xml:space="preserve"> </v>
      </c>
      <c r="D1189" s="1544">
        <v>4</v>
      </c>
      <c r="E1189" s="1047"/>
      <c r="F1189" s="1059" t="str">
        <f>VLOOKUP($B1189,DG!A:D,DG!$C$2,)</f>
        <v>Yếm cáp dày 2mm</v>
      </c>
      <c r="G1189" s="1047" t="str">
        <f>VLOOKUP($B1189,DG!A:D,DG!$D$2,)</f>
        <v>cái</v>
      </c>
      <c r="H1189" s="1845">
        <f t="shared" si="250"/>
        <v>0</v>
      </c>
      <c r="I1189" s="1845">
        <f t="shared" si="250"/>
        <v>0</v>
      </c>
      <c r="J1189" s="1845">
        <f t="shared" si="250"/>
        <v>0</v>
      </c>
      <c r="K1189" s="1845">
        <f t="shared" si="250"/>
        <v>0</v>
      </c>
      <c r="L1189" s="1845">
        <f t="shared" si="250"/>
        <v>0</v>
      </c>
      <c r="M1189" s="1845">
        <f t="shared" si="250"/>
        <v>0</v>
      </c>
      <c r="N1189" s="1845">
        <f t="shared" si="250"/>
        <v>0</v>
      </c>
      <c r="O1189" s="1845"/>
      <c r="P1189" s="1845"/>
      <c r="Q1189" s="1056"/>
      <c r="R1189" s="1056"/>
      <c r="S1189" s="1056"/>
      <c r="T1189" s="2059">
        <f t="shared" si="229"/>
        <v>0</v>
      </c>
    </row>
    <row r="1190" spans="1:20" ht="22.15" hidden="1" customHeight="1">
      <c r="A1190" s="59"/>
      <c r="B1190" s="1586" t="s">
        <v>2007</v>
      </c>
      <c r="C1190" s="1015" t="str">
        <f t="shared" si="231"/>
        <v xml:space="preserve"> </v>
      </c>
      <c r="D1190" s="1544">
        <v>2</v>
      </c>
      <c r="E1190" s="1047"/>
      <c r="F1190" s="1059" t="str">
        <f>VLOOKUP($B1190,DG!A:D,DG!$C$2,)</f>
        <v>Máng che dây chằng dày 1,6mm</v>
      </c>
      <c r="G1190" s="1047" t="str">
        <f>VLOOKUP($B1190,DG!A:D,DG!$D$2,)</f>
        <v>cái</v>
      </c>
      <c r="H1190" s="1845">
        <f t="shared" si="250"/>
        <v>0</v>
      </c>
      <c r="I1190" s="1845">
        <f t="shared" si="250"/>
        <v>0</v>
      </c>
      <c r="J1190" s="1845">
        <f t="shared" si="250"/>
        <v>0</v>
      </c>
      <c r="K1190" s="1845">
        <f t="shared" si="250"/>
        <v>0</v>
      </c>
      <c r="L1190" s="1845">
        <f t="shared" si="250"/>
        <v>0</v>
      </c>
      <c r="M1190" s="1845">
        <f t="shared" si="250"/>
        <v>0</v>
      </c>
      <c r="N1190" s="1845">
        <f t="shared" si="250"/>
        <v>0</v>
      </c>
      <c r="O1190" s="1845"/>
      <c r="P1190" s="1845"/>
      <c r="Q1190" s="1056"/>
      <c r="R1190" s="1056"/>
      <c r="S1190" s="1056"/>
      <c r="T1190" s="2059">
        <f t="shared" si="229"/>
        <v>0</v>
      </c>
    </row>
    <row r="1191" spans="1:20" ht="22.15" hidden="1" customHeight="1">
      <c r="A1191" s="59"/>
      <c r="B1191" s="1586" t="s">
        <v>1924</v>
      </c>
      <c r="C1191" s="1015" t="str">
        <f t="shared" si="231"/>
        <v xml:space="preserve"> </v>
      </c>
      <c r="D1191" s="1544">
        <v>2</v>
      </c>
      <c r="E1191" s="1047" t="str">
        <f>VLOOKUP($B1191,DG!A:D,DG!$B$2,)</f>
        <v>06.3241</v>
      </c>
      <c r="F1191" s="1052" t="str">
        <f>VLOOKUP($B1191,DG!A:D,DG!$C$2,)</f>
        <v>Lắp bộ dây néo</v>
      </c>
      <c r="G1191" s="1047" t="str">
        <f>VLOOKUP($B1191,DG!A:D,DG!$D$2,)</f>
        <v>bộ</v>
      </c>
      <c r="H1191" s="1845"/>
      <c r="I1191" s="1845"/>
      <c r="J1191" s="1845"/>
      <c r="K1191" s="1845"/>
      <c r="L1191" s="1845"/>
      <c r="M1191" s="1845"/>
      <c r="N1191" s="1845"/>
      <c r="O1191" s="1845"/>
      <c r="P1191" s="1845"/>
      <c r="Q1191" s="1061"/>
      <c r="R1191" s="1061"/>
      <c r="S1191" s="1061"/>
      <c r="T1191" s="2059">
        <f t="shared" si="229"/>
        <v>0</v>
      </c>
    </row>
    <row r="1192" spans="1:20" ht="22.15" hidden="1" customHeight="1">
      <c r="A1192" s="59"/>
      <c r="B1192" s="1598" t="s">
        <v>356</v>
      </c>
      <c r="C1192" s="1015" t="str">
        <f t="shared" si="231"/>
        <v xml:space="preserve"> </v>
      </c>
      <c r="D1192" s="1543">
        <v>0.02</v>
      </c>
      <c r="E1192" s="1047" t="str">
        <f>VLOOKUP($B1192,DG!A:C,2,)</f>
        <v>02.1421</v>
      </c>
      <c r="F1192" s="1052" t="str">
        <f>VLOOKUP($B1192,DG!A:C,3,)</f>
        <v>V/c phụ kiện vào vị trí (cự ly &lt;=100m)</v>
      </c>
      <c r="G1192" s="1047" t="str">
        <f>VLOOKUP($B1192,DG!A:D,4,0)</f>
        <v>tấn</v>
      </c>
      <c r="H1192" s="1845"/>
      <c r="I1192" s="1845"/>
      <c r="J1192" s="1845"/>
      <c r="K1192" s="1845"/>
      <c r="L1192" s="1845"/>
      <c r="M1192" s="1845"/>
      <c r="N1192" s="1845"/>
      <c r="O1192" s="1845"/>
      <c r="P1192" s="1845"/>
      <c r="Q1192" s="1061"/>
      <c r="R1192" s="1061"/>
      <c r="S1192" s="1061"/>
      <c r="T1192" s="2059">
        <f t="shared" si="229"/>
        <v>0</v>
      </c>
    </row>
    <row r="1193" spans="1:20" ht="22.15" hidden="1" customHeight="1">
      <c r="A1193" s="56" t="s">
        <v>666</v>
      </c>
      <c r="B1193" s="1583" t="s">
        <v>666</v>
      </c>
      <c r="C1193" s="1015" t="str">
        <f t="shared" si="231"/>
        <v xml:space="preserve"> </v>
      </c>
      <c r="D1193" s="1541"/>
      <c r="E1193" s="1048"/>
      <c r="F1193" s="1396" t="s">
        <v>2481</v>
      </c>
      <c r="G1193" s="1049" t="s">
        <v>2394</v>
      </c>
      <c r="H1193" s="1843">
        <f>SUM(I1193:O1193)</f>
        <v>0</v>
      </c>
      <c r="I1193" s="1844"/>
      <c r="J1193" s="1844"/>
      <c r="K1193" s="1844">
        <f>IFERROR(HLOOKUP(B1193,pp3p1m!$1:$3,3,0),0)</f>
        <v>0</v>
      </c>
      <c r="L1193" s="1844">
        <f>IFERROR(HLOOKUP(chitiet!B1193,pp1p!$1:$3,3,0),0)</f>
        <v>0</v>
      </c>
      <c r="M1193" s="1844"/>
      <c r="N1193" s="1844"/>
      <c r="O1193" s="1844"/>
      <c r="P1193" s="1844">
        <f>H1193+Q1193-R1193</f>
        <v>0</v>
      </c>
      <c r="Q1193" s="1050"/>
      <c r="R1193" s="1050"/>
      <c r="S1193" s="1050"/>
      <c r="T1193" s="2059">
        <f>IFERROR(HLOOKUP(B1193,pp1p!$1:$3,3,0),0)+IFERROR(HLOOKUP(B1193,pp3p1m!$1:$3,3,0),0)</f>
        <v>0</v>
      </c>
    </row>
    <row r="1194" spans="1:20" ht="22.15" hidden="1" customHeight="1">
      <c r="A1194" s="59"/>
      <c r="B1194" s="1586" t="s">
        <v>1063</v>
      </c>
      <c r="C1194" s="1015" t="str">
        <f t="shared" si="231"/>
        <v xml:space="preserve"> </v>
      </c>
      <c r="D1194" s="1544">
        <v>1</v>
      </c>
      <c r="E1194" s="1047"/>
      <c r="F1194" s="1059" t="str">
        <f>VLOOKUP($B1194,DG!A:D,DG!$C$2,)</f>
        <v>Boulon mắt 16x250+ 2 long đền vuông D18-50x50x3/Zn</v>
      </c>
      <c r="G1194" s="1047" t="str">
        <f>VLOOKUP($B1194,DG!A:D,DG!$D$2,)</f>
        <v>bộ</v>
      </c>
      <c r="H1194" s="1845">
        <f t="shared" ref="H1194:N1199" si="251">H$1193*$D1194</f>
        <v>0</v>
      </c>
      <c r="I1194" s="1845">
        <f t="shared" si="251"/>
        <v>0</v>
      </c>
      <c r="J1194" s="1845">
        <f t="shared" si="251"/>
        <v>0</v>
      </c>
      <c r="K1194" s="1845">
        <f t="shared" si="251"/>
        <v>0</v>
      </c>
      <c r="L1194" s="1845">
        <f t="shared" si="251"/>
        <v>0</v>
      </c>
      <c r="M1194" s="1845">
        <f t="shared" si="251"/>
        <v>0</v>
      </c>
      <c r="N1194" s="1845">
        <f t="shared" si="251"/>
        <v>0</v>
      </c>
      <c r="O1194" s="1845"/>
      <c r="P1194" s="1845"/>
      <c r="Q1194" s="1056"/>
      <c r="R1194" s="1056"/>
      <c r="S1194" s="1056"/>
      <c r="T1194" s="2059">
        <f t="shared" si="229"/>
        <v>0</v>
      </c>
    </row>
    <row r="1195" spans="1:20" ht="22.15" hidden="1" customHeight="1">
      <c r="A1195" s="59"/>
      <c r="B1195" s="1586" t="s">
        <v>111</v>
      </c>
      <c r="C1195" s="1015" t="str">
        <f t="shared" si="231"/>
        <v xml:space="preserve"> </v>
      </c>
      <c r="D1195" s="1544">
        <v>1</v>
      </c>
      <c r="E1195" s="1047"/>
      <c r="F1195" s="1059" t="str">
        <f>VLOOKUP($B1195,DG!A:D,DG!$C$2,)</f>
        <v>Sứ chằng</v>
      </c>
      <c r="G1195" s="1047" t="str">
        <f>VLOOKUP($B1195,DG!A:D,DG!$D$2,)</f>
        <v>cái</v>
      </c>
      <c r="H1195" s="1845">
        <f t="shared" si="251"/>
        <v>0</v>
      </c>
      <c r="I1195" s="1845">
        <f t="shared" si="251"/>
        <v>0</v>
      </c>
      <c r="J1195" s="1845">
        <f t="shared" si="251"/>
        <v>0</v>
      </c>
      <c r="K1195" s="1845">
        <f t="shared" si="251"/>
        <v>0</v>
      </c>
      <c r="L1195" s="1845">
        <f t="shared" si="251"/>
        <v>0</v>
      </c>
      <c r="M1195" s="1845">
        <f t="shared" si="251"/>
        <v>0</v>
      </c>
      <c r="N1195" s="1845">
        <f t="shared" si="251"/>
        <v>0</v>
      </c>
      <c r="O1195" s="1845"/>
      <c r="P1195" s="1845"/>
      <c r="Q1195" s="1056"/>
      <c r="R1195" s="1056"/>
      <c r="S1195" s="1056"/>
      <c r="T1195" s="2059">
        <f t="shared" ref="T1195:T1258" si="252">IFERROR(HLOOKUP(B1195,BangKeTru,3,0),0)</f>
        <v>0</v>
      </c>
    </row>
    <row r="1196" spans="1:20" ht="22.15" hidden="1" customHeight="1">
      <c r="A1196" s="59"/>
      <c r="B1196" s="1586" t="s">
        <v>1583</v>
      </c>
      <c r="C1196" s="1015" t="str">
        <f t="shared" si="231"/>
        <v xml:space="preserve"> </v>
      </c>
      <c r="D1196" s="1544">
        <v>8</v>
      </c>
      <c r="E1196" s="1047"/>
      <c r="F1196" s="1059" t="str">
        <f>VLOOKUP($B1196,DG!A:D,DG!$C$2,)</f>
        <v>Kẹp cáp 3 boulon</v>
      </c>
      <c r="G1196" s="1047" t="str">
        <f>VLOOKUP($B1196,DG!A:D,DG!$D$2,)</f>
        <v>cái</v>
      </c>
      <c r="H1196" s="1845">
        <f t="shared" si="251"/>
        <v>0</v>
      </c>
      <c r="I1196" s="1845">
        <f t="shared" si="251"/>
        <v>0</v>
      </c>
      <c r="J1196" s="1845">
        <f t="shared" si="251"/>
        <v>0</v>
      </c>
      <c r="K1196" s="1845">
        <f t="shared" si="251"/>
        <v>0</v>
      </c>
      <c r="L1196" s="1845">
        <f t="shared" si="251"/>
        <v>0</v>
      </c>
      <c r="M1196" s="1845">
        <f t="shared" si="251"/>
        <v>0</v>
      </c>
      <c r="N1196" s="1845">
        <f t="shared" si="251"/>
        <v>0</v>
      </c>
      <c r="O1196" s="1845"/>
      <c r="P1196" s="1845"/>
      <c r="Q1196" s="1056"/>
      <c r="R1196" s="1056"/>
      <c r="S1196" s="1056"/>
      <c r="T1196" s="2059">
        <f t="shared" si="252"/>
        <v>0</v>
      </c>
    </row>
    <row r="1197" spans="1:20" ht="22.15" hidden="1" customHeight="1">
      <c r="A1197" s="59"/>
      <c r="B1197" s="1586" t="s">
        <v>275</v>
      </c>
      <c r="C1197" s="1015" t="str">
        <f t="shared" si="231"/>
        <v xml:space="preserve"> </v>
      </c>
      <c r="D1197" s="1544">
        <v>20</v>
      </c>
      <c r="E1197" s="1047"/>
      <c r="F1197" s="1059" t="str">
        <f>VLOOKUP($B1197,DG!A:D,DG!$C$2,)</f>
        <v>Cáp thép 3/8"</v>
      </c>
      <c r="G1197" s="1047" t="str">
        <f>VLOOKUP($B1197,DG!A:D,DG!$D$2,)</f>
        <v>kg</v>
      </c>
      <c r="H1197" s="1845">
        <f t="shared" si="251"/>
        <v>0</v>
      </c>
      <c r="I1197" s="1845">
        <f t="shared" si="251"/>
        <v>0</v>
      </c>
      <c r="J1197" s="1845">
        <f t="shared" si="251"/>
        <v>0</v>
      </c>
      <c r="K1197" s="1845">
        <f t="shared" si="251"/>
        <v>0</v>
      </c>
      <c r="L1197" s="1845">
        <f t="shared" si="251"/>
        <v>0</v>
      </c>
      <c r="M1197" s="1845">
        <f t="shared" si="251"/>
        <v>0</v>
      </c>
      <c r="N1197" s="1845">
        <f t="shared" si="251"/>
        <v>0</v>
      </c>
      <c r="O1197" s="1845"/>
      <c r="P1197" s="1845"/>
      <c r="Q1197" s="1056"/>
      <c r="R1197" s="1056"/>
      <c r="S1197" s="1056"/>
      <c r="T1197" s="2059">
        <f t="shared" si="252"/>
        <v>0</v>
      </c>
    </row>
    <row r="1198" spans="1:20" ht="22.15" hidden="1" customHeight="1">
      <c r="A1198" s="59"/>
      <c r="B1198" s="1586" t="s">
        <v>2006</v>
      </c>
      <c r="C1198" s="1015" t="str">
        <f t="shared" si="231"/>
        <v xml:space="preserve"> </v>
      </c>
      <c r="D1198" s="1544">
        <v>2</v>
      </c>
      <c r="E1198" s="1047"/>
      <c r="F1198" s="1059" t="str">
        <f>VLOOKUP($B1198,DG!A:D,DG!$C$2,)</f>
        <v>Yếm cáp dày 2mm</v>
      </c>
      <c r="G1198" s="1047" t="str">
        <f>VLOOKUP($B1198,DG!A:D,DG!$D$2,)</f>
        <v>cái</v>
      </c>
      <c r="H1198" s="1845">
        <f t="shared" si="251"/>
        <v>0</v>
      </c>
      <c r="I1198" s="1845">
        <f t="shared" si="251"/>
        <v>0</v>
      </c>
      <c r="J1198" s="1845">
        <f t="shared" si="251"/>
        <v>0</v>
      </c>
      <c r="K1198" s="1845">
        <f t="shared" si="251"/>
        <v>0</v>
      </c>
      <c r="L1198" s="1845">
        <f t="shared" si="251"/>
        <v>0</v>
      </c>
      <c r="M1198" s="1845">
        <f t="shared" si="251"/>
        <v>0</v>
      </c>
      <c r="N1198" s="1845">
        <f t="shared" si="251"/>
        <v>0</v>
      </c>
      <c r="O1198" s="1845"/>
      <c r="P1198" s="1845"/>
      <c r="Q1198" s="1056"/>
      <c r="R1198" s="1056"/>
      <c r="S1198" s="1056"/>
      <c r="T1198" s="2059">
        <f t="shared" si="252"/>
        <v>0</v>
      </c>
    </row>
    <row r="1199" spans="1:20" ht="22.15" hidden="1" customHeight="1">
      <c r="A1199" s="59"/>
      <c r="B1199" s="1586" t="s">
        <v>2007</v>
      </c>
      <c r="C1199" s="1015" t="str">
        <f t="shared" si="231"/>
        <v xml:space="preserve"> </v>
      </c>
      <c r="D1199" s="1544">
        <v>1</v>
      </c>
      <c r="E1199" s="1047"/>
      <c r="F1199" s="1059" t="str">
        <f>VLOOKUP($B1199,DG!A:D,DG!$C$2,)</f>
        <v>Máng che dây chằng dày 1,6mm</v>
      </c>
      <c r="G1199" s="1047" t="str">
        <f>VLOOKUP($B1199,DG!A:D,DG!$D$2,)</f>
        <v>cái</v>
      </c>
      <c r="H1199" s="1845">
        <f t="shared" si="251"/>
        <v>0</v>
      </c>
      <c r="I1199" s="1845">
        <f t="shared" si="251"/>
        <v>0</v>
      </c>
      <c r="J1199" s="1845">
        <f t="shared" si="251"/>
        <v>0</v>
      </c>
      <c r="K1199" s="1845">
        <f t="shared" si="251"/>
        <v>0</v>
      </c>
      <c r="L1199" s="1845">
        <f t="shared" si="251"/>
        <v>0</v>
      </c>
      <c r="M1199" s="1845">
        <f t="shared" si="251"/>
        <v>0</v>
      </c>
      <c r="N1199" s="1845">
        <f t="shared" si="251"/>
        <v>0</v>
      </c>
      <c r="O1199" s="1845"/>
      <c r="P1199" s="1845"/>
      <c r="Q1199" s="1056"/>
      <c r="R1199" s="1056"/>
      <c r="S1199" s="1056"/>
      <c r="T1199" s="2059">
        <f t="shared" si="252"/>
        <v>0</v>
      </c>
    </row>
    <row r="1200" spans="1:20" ht="22.15" hidden="1" customHeight="1">
      <c r="A1200" s="59"/>
      <c r="B1200" s="1586" t="s">
        <v>1924</v>
      </c>
      <c r="C1200" s="1015" t="str">
        <f t="shared" si="231"/>
        <v xml:space="preserve"> </v>
      </c>
      <c r="D1200" s="1544">
        <f>D1194</f>
        <v>1</v>
      </c>
      <c r="E1200" s="1047" t="str">
        <f>VLOOKUP($B1200,DG!A:D,DG!$B$2,)</f>
        <v>06.3241</v>
      </c>
      <c r="F1200" s="1052" t="str">
        <f>VLOOKUP($B1200,DG!A:D,DG!$C$2,)</f>
        <v>Lắp bộ dây néo</v>
      </c>
      <c r="G1200" s="1047" t="str">
        <f>VLOOKUP($B1200,DG!A:D,DG!$D$2,)</f>
        <v>bộ</v>
      </c>
      <c r="H1200" s="1845"/>
      <c r="I1200" s="1845"/>
      <c r="J1200" s="1845"/>
      <c r="K1200" s="1845"/>
      <c r="L1200" s="1845"/>
      <c r="M1200" s="1845"/>
      <c r="N1200" s="1845"/>
      <c r="O1200" s="1845"/>
      <c r="P1200" s="1845"/>
      <c r="Q1200" s="1061"/>
      <c r="R1200" s="1061"/>
      <c r="S1200" s="1061"/>
      <c r="T1200" s="2059">
        <f t="shared" si="252"/>
        <v>0</v>
      </c>
    </row>
    <row r="1201" spans="1:20" ht="22.15" hidden="1" customHeight="1">
      <c r="A1201" s="59"/>
      <c r="B1201" s="1598" t="s">
        <v>356</v>
      </c>
      <c r="C1201" s="1015" t="str">
        <f t="shared" si="231"/>
        <v xml:space="preserve"> </v>
      </c>
      <c r="D1201" s="1543"/>
      <c r="E1201" s="1047" t="str">
        <f>VLOOKUP($B1201,DG!A:C,2,)</f>
        <v>02.1421</v>
      </c>
      <c r="F1201" s="1052" t="str">
        <f>VLOOKUP($B1201,DG!A:C,3,)</f>
        <v>V/c phụ kiện vào vị trí (cự ly &lt;=100m)</v>
      </c>
      <c r="G1201" s="1047" t="str">
        <f>VLOOKUP($B1201,DG!A:D,4,0)</f>
        <v>tấn</v>
      </c>
      <c r="H1201" s="1845"/>
      <c r="I1201" s="1845"/>
      <c r="J1201" s="1845"/>
      <c r="K1201" s="1845"/>
      <c r="L1201" s="1845"/>
      <c r="M1201" s="1845"/>
      <c r="N1201" s="1845"/>
      <c r="O1201" s="1845"/>
      <c r="P1201" s="1845"/>
      <c r="Q1201" s="1061"/>
      <c r="R1201" s="1061"/>
      <c r="S1201" s="1061"/>
      <c r="T1201" s="2059">
        <f t="shared" si="252"/>
        <v>0</v>
      </c>
    </row>
    <row r="1202" spans="1:20" ht="22.15" hidden="1" customHeight="1">
      <c r="A1202" s="56" t="s">
        <v>914</v>
      </c>
      <c r="B1202" s="1583" t="s">
        <v>914</v>
      </c>
      <c r="C1202" s="1015" t="str">
        <f t="shared" si="231"/>
        <v xml:space="preserve"> </v>
      </c>
      <c r="D1202" s="1541"/>
      <c r="E1202" s="1048"/>
      <c r="F1202" s="1396" t="s">
        <v>2482</v>
      </c>
      <c r="G1202" s="1049" t="s">
        <v>2394</v>
      </c>
      <c r="H1202" s="1843">
        <f>SUM(I1202:O1202)</f>
        <v>0</v>
      </c>
      <c r="I1202" s="1844"/>
      <c r="J1202" s="1844"/>
      <c r="K1202" s="1844">
        <f>IFERROR(HLOOKUP(B1202,pp3p1m!$1:$3,3,0),0)</f>
        <v>0</v>
      </c>
      <c r="L1202" s="1844">
        <f>IFERROR(HLOOKUP(chitiet!B1202,pp1p!$1:$3,3,0),0)</f>
        <v>0</v>
      </c>
      <c r="M1202" s="1844"/>
      <c r="N1202" s="1844"/>
      <c r="O1202" s="1844"/>
      <c r="P1202" s="1844">
        <f>H1202+Q1202-R1202</f>
        <v>0</v>
      </c>
      <c r="Q1202" s="1050"/>
      <c r="R1202" s="1050"/>
      <c r="S1202" s="1050"/>
      <c r="T1202" s="2059">
        <f>IFERROR(HLOOKUP(B1202,pp1p!$1:$3,3,0),0)+IFERROR(HLOOKUP(B1202,pp3p1m!$1:$3,3,0),0)</f>
        <v>0</v>
      </c>
    </row>
    <row r="1203" spans="1:20" ht="22.15" hidden="1" customHeight="1">
      <c r="A1203" s="59"/>
      <c r="B1203" s="1586" t="s">
        <v>1063</v>
      </c>
      <c r="C1203" s="1015" t="str">
        <f t="shared" ref="C1203:C1266" si="253">IF(OR(P1203&lt;&gt;0,H1203&lt;&gt;0),"x"," ")</f>
        <v xml:space="preserve"> </v>
      </c>
      <c r="D1203" s="1544">
        <v>1</v>
      </c>
      <c r="E1203" s="1047"/>
      <c r="F1203" s="1059" t="str">
        <f>VLOOKUP($B1203,DG!A:D,DG!$C$2,)</f>
        <v>Boulon mắt 16x250+ 2 long đền vuông D18-50x50x3/Zn</v>
      </c>
      <c r="G1203" s="1047" t="str">
        <f>VLOOKUP($B1203,DG!A:D,DG!$D$2,)</f>
        <v>bộ</v>
      </c>
      <c r="H1203" s="1845">
        <f t="shared" ref="H1203:N1209" si="254">H$1202*$D1203</f>
        <v>0</v>
      </c>
      <c r="I1203" s="1845">
        <f t="shared" si="254"/>
        <v>0</v>
      </c>
      <c r="J1203" s="1845">
        <f t="shared" si="254"/>
        <v>0</v>
      </c>
      <c r="K1203" s="1845">
        <f t="shared" si="254"/>
        <v>0</v>
      </c>
      <c r="L1203" s="1845">
        <f t="shared" si="254"/>
        <v>0</v>
      </c>
      <c r="M1203" s="1845">
        <f t="shared" si="254"/>
        <v>0</v>
      </c>
      <c r="N1203" s="1845">
        <f t="shared" si="254"/>
        <v>0</v>
      </c>
      <c r="O1203" s="1845"/>
      <c r="P1203" s="1845"/>
      <c r="Q1203" s="1056"/>
      <c r="R1203" s="1056"/>
      <c r="S1203" s="1056"/>
      <c r="T1203" s="2059">
        <f t="shared" si="252"/>
        <v>0</v>
      </c>
    </row>
    <row r="1204" spans="1:20" ht="22.15" hidden="1" customHeight="1">
      <c r="A1204" s="59"/>
      <c r="B1204" s="1586" t="s">
        <v>111</v>
      </c>
      <c r="C1204" s="1015" t="str">
        <f t="shared" si="253"/>
        <v xml:space="preserve"> </v>
      </c>
      <c r="D1204" s="1544">
        <v>1</v>
      </c>
      <c r="E1204" s="1047"/>
      <c r="F1204" s="1059" t="str">
        <f>VLOOKUP($B1204,DG!A:D,DG!$C$2,)</f>
        <v>Sứ chằng</v>
      </c>
      <c r="G1204" s="1047" t="str">
        <f>VLOOKUP($B1204,DG!A:D,DG!$D$2,)</f>
        <v>cái</v>
      </c>
      <c r="H1204" s="1845">
        <f t="shared" si="254"/>
        <v>0</v>
      </c>
      <c r="I1204" s="1845">
        <f t="shared" si="254"/>
        <v>0</v>
      </c>
      <c r="J1204" s="1845">
        <f t="shared" si="254"/>
        <v>0</v>
      </c>
      <c r="K1204" s="1845">
        <f t="shared" si="254"/>
        <v>0</v>
      </c>
      <c r="L1204" s="1845">
        <f t="shared" si="254"/>
        <v>0</v>
      </c>
      <c r="M1204" s="1845">
        <f t="shared" si="254"/>
        <v>0</v>
      </c>
      <c r="N1204" s="1845">
        <f t="shared" si="254"/>
        <v>0</v>
      </c>
      <c r="O1204" s="1845"/>
      <c r="P1204" s="1845"/>
      <c r="Q1204" s="1056"/>
      <c r="R1204" s="1056"/>
      <c r="S1204" s="1056"/>
      <c r="T1204" s="2059">
        <f t="shared" si="252"/>
        <v>0</v>
      </c>
    </row>
    <row r="1205" spans="1:20" ht="22.15" hidden="1" customHeight="1">
      <c r="A1205" s="59"/>
      <c r="B1205" s="1586" t="s">
        <v>1583</v>
      </c>
      <c r="C1205" s="1015" t="str">
        <f t="shared" si="253"/>
        <v xml:space="preserve"> </v>
      </c>
      <c r="D1205" s="1544">
        <v>8</v>
      </c>
      <c r="E1205" s="1047"/>
      <c r="F1205" s="1059" t="str">
        <f>VLOOKUP($B1205,DG!A:D,DG!$C$2,)</f>
        <v>Kẹp cáp 3 boulon</v>
      </c>
      <c r="G1205" s="1047" t="str">
        <f>VLOOKUP($B1205,DG!A:D,DG!$D$2,)</f>
        <v>cái</v>
      </c>
      <c r="H1205" s="1845">
        <f t="shared" si="254"/>
        <v>0</v>
      </c>
      <c r="I1205" s="1845">
        <f t="shared" si="254"/>
        <v>0</v>
      </c>
      <c r="J1205" s="1845">
        <f t="shared" si="254"/>
        <v>0</v>
      </c>
      <c r="K1205" s="1845">
        <f t="shared" si="254"/>
        <v>0</v>
      </c>
      <c r="L1205" s="1845">
        <f t="shared" si="254"/>
        <v>0</v>
      </c>
      <c r="M1205" s="1845">
        <f t="shared" si="254"/>
        <v>0</v>
      </c>
      <c r="N1205" s="1845">
        <f t="shared" si="254"/>
        <v>0</v>
      </c>
      <c r="O1205" s="1845"/>
      <c r="P1205" s="1845"/>
      <c r="Q1205" s="1056"/>
      <c r="R1205" s="1056"/>
      <c r="S1205" s="1056"/>
      <c r="T1205" s="2059">
        <f t="shared" si="252"/>
        <v>0</v>
      </c>
    </row>
    <row r="1206" spans="1:20" ht="22.15" hidden="1" customHeight="1">
      <c r="A1206" s="59"/>
      <c r="B1206" s="1586" t="s">
        <v>275</v>
      </c>
      <c r="C1206" s="1015" t="str">
        <f t="shared" si="253"/>
        <v xml:space="preserve"> </v>
      </c>
      <c r="D1206" s="1544">
        <v>15</v>
      </c>
      <c r="E1206" s="1047"/>
      <c r="F1206" s="1059" t="str">
        <f>VLOOKUP($B1206,DG!A:D,DG!$C$2,)</f>
        <v>Cáp thép 3/8"</v>
      </c>
      <c r="G1206" s="1047" t="str">
        <f>VLOOKUP($B1206,DG!A:D,DG!$D$2,)</f>
        <v>kg</v>
      </c>
      <c r="H1206" s="1845">
        <f t="shared" si="254"/>
        <v>0</v>
      </c>
      <c r="I1206" s="1845">
        <f t="shared" si="254"/>
        <v>0</v>
      </c>
      <c r="J1206" s="1845">
        <f t="shared" si="254"/>
        <v>0</v>
      </c>
      <c r="K1206" s="1845">
        <f t="shared" si="254"/>
        <v>0</v>
      </c>
      <c r="L1206" s="1845">
        <f t="shared" si="254"/>
        <v>0</v>
      </c>
      <c r="M1206" s="1845">
        <f t="shared" si="254"/>
        <v>0</v>
      </c>
      <c r="N1206" s="1845">
        <f t="shared" si="254"/>
        <v>0</v>
      </c>
      <c r="O1206" s="1845"/>
      <c r="P1206" s="1845"/>
      <c r="Q1206" s="1056"/>
      <c r="R1206" s="1056"/>
      <c r="S1206" s="1056"/>
      <c r="T1206" s="2059">
        <f t="shared" si="252"/>
        <v>0</v>
      </c>
    </row>
    <row r="1207" spans="1:20" ht="22.15" hidden="1" customHeight="1">
      <c r="A1207" s="59"/>
      <c r="B1207" s="1586" t="s">
        <v>607</v>
      </c>
      <c r="C1207" s="1015" t="str">
        <f t="shared" si="253"/>
        <v xml:space="preserve"> </v>
      </c>
      <c r="D1207" s="1544">
        <v>1</v>
      </c>
      <c r="E1207" s="1047"/>
      <c r="F1207" s="1059" t="str">
        <f>VLOOKUP($B1207,DG!A:D,DG!$C$2,)</f>
        <v>Bộ chống chằng hẹp Ø60/50x1500+2BL12x40+BL16x250/80</v>
      </c>
      <c r="G1207" s="1047" t="str">
        <f>VLOOKUP($B1207,DG!A:D,DG!$D$2,)</f>
        <v>bộ</v>
      </c>
      <c r="H1207" s="1845">
        <f t="shared" si="254"/>
        <v>0</v>
      </c>
      <c r="I1207" s="1845">
        <f t="shared" si="254"/>
        <v>0</v>
      </c>
      <c r="J1207" s="1845">
        <f t="shared" si="254"/>
        <v>0</v>
      </c>
      <c r="K1207" s="1845">
        <f t="shared" si="254"/>
        <v>0</v>
      </c>
      <c r="L1207" s="1845">
        <f t="shared" si="254"/>
        <v>0</v>
      </c>
      <c r="M1207" s="1845">
        <f t="shared" si="254"/>
        <v>0</v>
      </c>
      <c r="N1207" s="1845">
        <f t="shared" si="254"/>
        <v>0</v>
      </c>
      <c r="O1207" s="1845"/>
      <c r="P1207" s="1845"/>
      <c r="Q1207" s="1056"/>
      <c r="R1207" s="1056"/>
      <c r="S1207" s="1056"/>
      <c r="T1207" s="2059">
        <f t="shared" si="252"/>
        <v>0</v>
      </c>
    </row>
    <row r="1208" spans="1:20" ht="22.15" hidden="1" customHeight="1">
      <c r="A1208" s="59"/>
      <c r="B1208" s="1586" t="s">
        <v>2006</v>
      </c>
      <c r="C1208" s="1015" t="str">
        <f t="shared" si="253"/>
        <v xml:space="preserve"> </v>
      </c>
      <c r="D1208" s="1544">
        <v>2</v>
      </c>
      <c r="E1208" s="1047"/>
      <c r="F1208" s="1059" t="str">
        <f>VLOOKUP($B1208,DG!A:D,DG!$C$2,)</f>
        <v>Yếm cáp dày 2mm</v>
      </c>
      <c r="G1208" s="1047" t="str">
        <f>VLOOKUP($B1208,DG!A:D,DG!$D$2,)</f>
        <v>cái</v>
      </c>
      <c r="H1208" s="1845">
        <f t="shared" si="254"/>
        <v>0</v>
      </c>
      <c r="I1208" s="1845">
        <f t="shared" si="254"/>
        <v>0</v>
      </c>
      <c r="J1208" s="1845">
        <f t="shared" si="254"/>
        <v>0</v>
      </c>
      <c r="K1208" s="1845">
        <f t="shared" si="254"/>
        <v>0</v>
      </c>
      <c r="L1208" s="1845">
        <f t="shared" si="254"/>
        <v>0</v>
      </c>
      <c r="M1208" s="1845">
        <f t="shared" si="254"/>
        <v>0</v>
      </c>
      <c r="N1208" s="1845">
        <f t="shared" si="254"/>
        <v>0</v>
      </c>
      <c r="O1208" s="1845"/>
      <c r="P1208" s="1845"/>
      <c r="Q1208" s="1056"/>
      <c r="R1208" s="1056"/>
      <c r="S1208" s="1056"/>
      <c r="T1208" s="2059">
        <f t="shared" si="252"/>
        <v>0</v>
      </c>
    </row>
    <row r="1209" spans="1:20" ht="22.15" hidden="1" customHeight="1">
      <c r="A1209" s="59"/>
      <c r="B1209" s="1586" t="s">
        <v>2007</v>
      </c>
      <c r="C1209" s="1015" t="str">
        <f t="shared" si="253"/>
        <v xml:space="preserve"> </v>
      </c>
      <c r="D1209" s="1544">
        <v>1</v>
      </c>
      <c r="E1209" s="1047"/>
      <c r="F1209" s="1059" t="str">
        <f>VLOOKUP($B1209,DG!A:D,DG!$C$2,)</f>
        <v>Máng che dây chằng dày 1,6mm</v>
      </c>
      <c r="G1209" s="1047" t="str">
        <f>VLOOKUP($B1209,DG!A:D,DG!$D$2,)</f>
        <v>cái</v>
      </c>
      <c r="H1209" s="1845">
        <f t="shared" si="254"/>
        <v>0</v>
      </c>
      <c r="I1209" s="1845">
        <f t="shared" si="254"/>
        <v>0</v>
      </c>
      <c r="J1209" s="1845">
        <f t="shared" si="254"/>
        <v>0</v>
      </c>
      <c r="K1209" s="1845">
        <f t="shared" si="254"/>
        <v>0</v>
      </c>
      <c r="L1209" s="1845">
        <f t="shared" si="254"/>
        <v>0</v>
      </c>
      <c r="M1209" s="1845">
        <f t="shared" si="254"/>
        <v>0</v>
      </c>
      <c r="N1209" s="1845">
        <f t="shared" si="254"/>
        <v>0</v>
      </c>
      <c r="O1209" s="1845"/>
      <c r="P1209" s="1845"/>
      <c r="Q1209" s="1056"/>
      <c r="R1209" s="1056"/>
      <c r="S1209" s="1056"/>
      <c r="T1209" s="2059">
        <f t="shared" si="252"/>
        <v>0</v>
      </c>
    </row>
    <row r="1210" spans="1:20" ht="22.15" hidden="1" customHeight="1">
      <c r="A1210" s="59"/>
      <c r="B1210" s="1586" t="s">
        <v>1924</v>
      </c>
      <c r="C1210" s="1015" t="str">
        <f t="shared" si="253"/>
        <v xml:space="preserve"> </v>
      </c>
      <c r="D1210" s="1544">
        <v>1</v>
      </c>
      <c r="E1210" s="1047" t="str">
        <f>VLOOKUP($B1210,DG!A:D,DG!$B$2,)</f>
        <v>06.3241</v>
      </c>
      <c r="F1210" s="1052" t="str">
        <f>VLOOKUP($B1210,DG!A:D,DG!$C$2,)</f>
        <v>Lắp bộ dây néo</v>
      </c>
      <c r="G1210" s="1047" t="str">
        <f>VLOOKUP($B1210,DG!A:D,DG!$D$2,)</f>
        <v>bộ</v>
      </c>
      <c r="H1210" s="1845"/>
      <c r="I1210" s="1845"/>
      <c r="J1210" s="1845"/>
      <c r="K1210" s="1845"/>
      <c r="L1210" s="1845"/>
      <c r="M1210" s="1845"/>
      <c r="N1210" s="1845"/>
      <c r="O1210" s="1845"/>
      <c r="P1210" s="1845"/>
      <c r="Q1210" s="1061"/>
      <c r="R1210" s="1061"/>
      <c r="S1210" s="1061"/>
      <c r="T1210" s="2059">
        <f t="shared" si="252"/>
        <v>0</v>
      </c>
    </row>
    <row r="1211" spans="1:20" ht="22.15" hidden="1" customHeight="1">
      <c r="A1211" s="59"/>
      <c r="B1211" s="1586" t="s">
        <v>1912</v>
      </c>
      <c r="C1211" s="1015" t="str">
        <f t="shared" si="253"/>
        <v xml:space="preserve"> </v>
      </c>
      <c r="D1211" s="1544">
        <v>1</v>
      </c>
      <c r="E1211" s="1047" t="str">
        <f>VLOOKUP($B1211,DG!A:D,DG!$B$2,)</f>
        <v>05.6011</v>
      </c>
      <c r="F1211" s="1052" t="str">
        <f>VLOOKUP($B1211,DG!A:D,DG!$C$2,)</f>
        <v>Lắp bộ chống lệch</v>
      </c>
      <c r="G1211" s="1047" t="str">
        <f>VLOOKUP($B1211,DG!A:D,DG!$D$2,)</f>
        <v>bộ</v>
      </c>
      <c r="H1211" s="1845"/>
      <c r="I1211" s="1845"/>
      <c r="J1211" s="1845"/>
      <c r="K1211" s="1845"/>
      <c r="L1211" s="1845"/>
      <c r="M1211" s="1845"/>
      <c r="N1211" s="1845"/>
      <c r="O1211" s="1845"/>
      <c r="P1211" s="1845"/>
      <c r="Q1211" s="1061"/>
      <c r="R1211" s="1061"/>
      <c r="S1211" s="1061"/>
      <c r="T1211" s="2059">
        <f t="shared" si="252"/>
        <v>0</v>
      </c>
    </row>
    <row r="1212" spans="1:20" ht="22.15" hidden="1" customHeight="1">
      <c r="A1212" s="59"/>
      <c r="B1212" s="1598" t="s">
        <v>356</v>
      </c>
      <c r="C1212" s="1015" t="str">
        <f t="shared" si="253"/>
        <v xml:space="preserve"> </v>
      </c>
      <c r="D1212" s="1543">
        <v>0.02</v>
      </c>
      <c r="E1212" s="1047" t="str">
        <f>VLOOKUP($B1212,DG!A:C,2,)</f>
        <v>02.1421</v>
      </c>
      <c r="F1212" s="1052" t="str">
        <f>VLOOKUP($B1212,DG!A:C,3,)</f>
        <v>V/c phụ kiện vào vị trí (cự ly &lt;=100m)</v>
      </c>
      <c r="G1212" s="1047" t="str">
        <f>VLOOKUP($B1212,DG!A:D,4,0)</f>
        <v>tấn</v>
      </c>
      <c r="H1212" s="1845"/>
      <c r="I1212" s="1845"/>
      <c r="J1212" s="1845"/>
      <c r="K1212" s="1845"/>
      <c r="L1212" s="1845"/>
      <c r="M1212" s="1845"/>
      <c r="N1212" s="1845"/>
      <c r="O1212" s="1845"/>
      <c r="P1212" s="1845"/>
      <c r="Q1212" s="1061"/>
      <c r="R1212" s="1061"/>
      <c r="S1212" s="1061"/>
      <c r="T1212" s="2059">
        <f t="shared" si="252"/>
        <v>0</v>
      </c>
    </row>
    <row r="1213" spans="1:20" ht="22.15" hidden="1" customHeight="1">
      <c r="A1213" s="56" t="s">
        <v>915</v>
      </c>
      <c r="B1213" s="1583" t="s">
        <v>915</v>
      </c>
      <c r="C1213" s="1015" t="str">
        <f t="shared" si="253"/>
        <v xml:space="preserve"> </v>
      </c>
      <c r="D1213" s="1541"/>
      <c r="E1213" s="1048"/>
      <c r="F1213" s="1396" t="s">
        <v>2483</v>
      </c>
      <c r="G1213" s="1049" t="s">
        <v>2394</v>
      </c>
      <c r="H1213" s="1843">
        <f>SUM(I1213:O1213)</f>
        <v>0</v>
      </c>
      <c r="I1213" s="1844"/>
      <c r="J1213" s="1844"/>
      <c r="K1213" s="1844">
        <f>IFERROR(HLOOKUP(B1213,pp3p1m!$1:$3,3,0),0)</f>
        <v>0</v>
      </c>
      <c r="L1213" s="1844">
        <f>IFERROR(HLOOKUP(chitiet!B1213,pp1p!$1:$3,3,0),0)</f>
        <v>0</v>
      </c>
      <c r="M1213" s="1844"/>
      <c r="N1213" s="1844"/>
      <c r="O1213" s="1844"/>
      <c r="P1213" s="1844">
        <f>H1213+Q1213-R1213</f>
        <v>0</v>
      </c>
      <c r="Q1213" s="1050"/>
      <c r="R1213" s="1050"/>
      <c r="S1213" s="1050"/>
      <c r="T1213" s="2059">
        <f>IFERROR(HLOOKUP(B1213,pp1p!$1:$3,3,0),0)+IFERROR(HLOOKUP(B1213,pp3p1m!$1:$3,3,0),0)</f>
        <v>0</v>
      </c>
    </row>
    <row r="1214" spans="1:20" ht="22.15" hidden="1" customHeight="1">
      <c r="A1214" s="59"/>
      <c r="B1214" s="1586" t="s">
        <v>1063</v>
      </c>
      <c r="C1214" s="1015" t="str">
        <f t="shared" si="253"/>
        <v xml:space="preserve"> </v>
      </c>
      <c r="D1214" s="1544">
        <v>2</v>
      </c>
      <c r="E1214" s="1047"/>
      <c r="F1214" s="1059" t="str">
        <f>VLOOKUP($B1214,DG!A:D,DG!$C$2,)</f>
        <v>Boulon mắt 16x250+ 2 long đền vuông D18-50x50x3/Zn</v>
      </c>
      <c r="G1214" s="1047" t="str">
        <f>VLOOKUP($B1214,DG!A:D,DG!$D$2,)</f>
        <v>bộ</v>
      </c>
      <c r="H1214" s="1845">
        <f t="shared" ref="H1214:N1219" si="255">H$1213*$D1214</f>
        <v>0</v>
      </c>
      <c r="I1214" s="1845">
        <f t="shared" si="255"/>
        <v>0</v>
      </c>
      <c r="J1214" s="1845">
        <f t="shared" si="255"/>
        <v>0</v>
      </c>
      <c r="K1214" s="1845">
        <f t="shared" si="255"/>
        <v>0</v>
      </c>
      <c r="L1214" s="1845">
        <f t="shared" si="255"/>
        <v>0</v>
      </c>
      <c r="M1214" s="1845">
        <f t="shared" si="255"/>
        <v>0</v>
      </c>
      <c r="N1214" s="1845">
        <f t="shared" si="255"/>
        <v>0</v>
      </c>
      <c r="O1214" s="1845"/>
      <c r="P1214" s="1845"/>
      <c r="Q1214" s="1056"/>
      <c r="R1214" s="1056"/>
      <c r="S1214" s="1056"/>
      <c r="T1214" s="2059">
        <f t="shared" si="252"/>
        <v>0</v>
      </c>
    </row>
    <row r="1215" spans="1:20" ht="22.15" hidden="1" customHeight="1">
      <c r="A1215" s="59"/>
      <c r="B1215" s="1586" t="s">
        <v>111</v>
      </c>
      <c r="C1215" s="1015" t="str">
        <f t="shared" si="253"/>
        <v xml:space="preserve"> </v>
      </c>
      <c r="D1215" s="1544">
        <v>2</v>
      </c>
      <c r="E1215" s="1047"/>
      <c r="F1215" s="1059" t="str">
        <f>VLOOKUP($B1215,DG!A:D,DG!$C$2,)</f>
        <v>Sứ chằng</v>
      </c>
      <c r="G1215" s="1047" t="str">
        <f>VLOOKUP($B1215,DG!A:D,DG!$D$2,)</f>
        <v>cái</v>
      </c>
      <c r="H1215" s="1845">
        <f t="shared" si="255"/>
        <v>0</v>
      </c>
      <c r="I1215" s="1845">
        <f t="shared" si="255"/>
        <v>0</v>
      </c>
      <c r="J1215" s="1845">
        <f t="shared" si="255"/>
        <v>0</v>
      </c>
      <c r="K1215" s="1845">
        <f t="shared" si="255"/>
        <v>0</v>
      </c>
      <c r="L1215" s="1845">
        <f t="shared" si="255"/>
        <v>0</v>
      </c>
      <c r="M1215" s="1845">
        <f t="shared" si="255"/>
        <v>0</v>
      </c>
      <c r="N1215" s="1845">
        <f t="shared" si="255"/>
        <v>0</v>
      </c>
      <c r="O1215" s="1845"/>
      <c r="P1215" s="1845"/>
      <c r="Q1215" s="1056"/>
      <c r="R1215" s="1056"/>
      <c r="S1215" s="1056"/>
      <c r="T1215" s="2059">
        <f t="shared" si="252"/>
        <v>0</v>
      </c>
    </row>
    <row r="1216" spans="1:20" ht="22.15" hidden="1" customHeight="1">
      <c r="A1216" s="59"/>
      <c r="B1216" s="1586" t="s">
        <v>1583</v>
      </c>
      <c r="C1216" s="1015" t="str">
        <f t="shared" si="253"/>
        <v xml:space="preserve"> </v>
      </c>
      <c r="D1216" s="1544">
        <v>16</v>
      </c>
      <c r="E1216" s="1047"/>
      <c r="F1216" s="1059" t="str">
        <f>VLOOKUP($B1216,DG!A:D,DG!$C$2,)</f>
        <v>Kẹp cáp 3 boulon</v>
      </c>
      <c r="G1216" s="1047" t="str">
        <f>VLOOKUP($B1216,DG!A:D,DG!$D$2,)</f>
        <v>cái</v>
      </c>
      <c r="H1216" s="1845">
        <f t="shared" si="255"/>
        <v>0</v>
      </c>
      <c r="I1216" s="1845">
        <f t="shared" si="255"/>
        <v>0</v>
      </c>
      <c r="J1216" s="1845">
        <f t="shared" si="255"/>
        <v>0</v>
      </c>
      <c r="K1216" s="1845">
        <f t="shared" si="255"/>
        <v>0</v>
      </c>
      <c r="L1216" s="1845">
        <f t="shared" si="255"/>
        <v>0</v>
      </c>
      <c r="M1216" s="1845">
        <f t="shared" si="255"/>
        <v>0</v>
      </c>
      <c r="N1216" s="1845">
        <f t="shared" si="255"/>
        <v>0</v>
      </c>
      <c r="O1216" s="1845"/>
      <c r="P1216" s="1845"/>
      <c r="Q1216" s="1056"/>
      <c r="R1216" s="1056"/>
      <c r="S1216" s="1056"/>
      <c r="T1216" s="2059">
        <f t="shared" si="252"/>
        <v>0</v>
      </c>
    </row>
    <row r="1217" spans="1:20" ht="22.15" hidden="1" customHeight="1">
      <c r="A1217" s="59"/>
      <c r="B1217" s="1586" t="s">
        <v>1364</v>
      </c>
      <c r="C1217" s="1015" t="str">
        <f t="shared" si="253"/>
        <v xml:space="preserve"> </v>
      </c>
      <c r="D1217" s="1544">
        <v>39</v>
      </c>
      <c r="E1217" s="1047"/>
      <c r="F1217" s="1059" t="str">
        <f>VLOOKUP($B1217,DG!A:D,DG!$C$2,)</f>
        <v>Cáp thép 5/8"</v>
      </c>
      <c r="G1217" s="1047" t="str">
        <f>VLOOKUP($B1217,DG!A:D,DG!$D$2,)</f>
        <v>kg</v>
      </c>
      <c r="H1217" s="1845">
        <f t="shared" si="255"/>
        <v>0</v>
      </c>
      <c r="I1217" s="1845">
        <f t="shared" si="255"/>
        <v>0</v>
      </c>
      <c r="J1217" s="1845">
        <f t="shared" si="255"/>
        <v>0</v>
      </c>
      <c r="K1217" s="1845">
        <f t="shared" si="255"/>
        <v>0</v>
      </c>
      <c r="L1217" s="1845">
        <f t="shared" si="255"/>
        <v>0</v>
      </c>
      <c r="M1217" s="1845">
        <f t="shared" si="255"/>
        <v>0</v>
      </c>
      <c r="N1217" s="1845">
        <f t="shared" si="255"/>
        <v>0</v>
      </c>
      <c r="O1217" s="1845"/>
      <c r="P1217" s="1845"/>
      <c r="Q1217" s="1056"/>
      <c r="R1217" s="1056"/>
      <c r="S1217" s="1056"/>
      <c r="T1217" s="2059">
        <f t="shared" si="252"/>
        <v>0</v>
      </c>
    </row>
    <row r="1218" spans="1:20" ht="22.15" hidden="1" customHeight="1">
      <c r="A1218" s="59"/>
      <c r="B1218" s="1586" t="s">
        <v>2006</v>
      </c>
      <c r="C1218" s="1015" t="str">
        <f t="shared" si="253"/>
        <v xml:space="preserve"> </v>
      </c>
      <c r="D1218" s="1544">
        <v>4</v>
      </c>
      <c r="E1218" s="1047"/>
      <c r="F1218" s="1059" t="str">
        <f>VLOOKUP($B1218,DG!A:D,DG!$C$2,)</f>
        <v>Yếm cáp dày 2mm</v>
      </c>
      <c r="G1218" s="1047" t="str">
        <f>VLOOKUP($B1218,DG!A:D,DG!$D$2,)</f>
        <v>cái</v>
      </c>
      <c r="H1218" s="1845">
        <f t="shared" si="255"/>
        <v>0</v>
      </c>
      <c r="I1218" s="1845">
        <f t="shared" si="255"/>
        <v>0</v>
      </c>
      <c r="J1218" s="1845">
        <f t="shared" si="255"/>
        <v>0</v>
      </c>
      <c r="K1218" s="1845">
        <f t="shared" si="255"/>
        <v>0</v>
      </c>
      <c r="L1218" s="1845">
        <f t="shared" si="255"/>
        <v>0</v>
      </c>
      <c r="M1218" s="1845">
        <f t="shared" si="255"/>
        <v>0</v>
      </c>
      <c r="N1218" s="1845">
        <f t="shared" si="255"/>
        <v>0</v>
      </c>
      <c r="O1218" s="1845"/>
      <c r="P1218" s="1845"/>
      <c r="Q1218" s="1056"/>
      <c r="R1218" s="1056"/>
      <c r="S1218" s="1056"/>
      <c r="T1218" s="2059">
        <f t="shared" si="252"/>
        <v>0</v>
      </c>
    </row>
    <row r="1219" spans="1:20" ht="22.15" hidden="1" customHeight="1">
      <c r="A1219" s="59"/>
      <c r="B1219" s="1586" t="s">
        <v>2007</v>
      </c>
      <c r="C1219" s="1015" t="str">
        <f t="shared" si="253"/>
        <v xml:space="preserve"> </v>
      </c>
      <c r="D1219" s="1544">
        <v>2</v>
      </c>
      <c r="E1219" s="1047"/>
      <c r="F1219" s="1059" t="str">
        <f>VLOOKUP($B1219,DG!A:D,DG!$C$2,)</f>
        <v>Máng che dây chằng dày 1,6mm</v>
      </c>
      <c r="G1219" s="1047" t="str">
        <f>VLOOKUP($B1219,DG!A:D,DG!$D$2,)</f>
        <v>cái</v>
      </c>
      <c r="H1219" s="1845">
        <f t="shared" si="255"/>
        <v>0</v>
      </c>
      <c r="I1219" s="1845">
        <f t="shared" si="255"/>
        <v>0</v>
      </c>
      <c r="J1219" s="1845">
        <f t="shared" si="255"/>
        <v>0</v>
      </c>
      <c r="K1219" s="1845">
        <f t="shared" si="255"/>
        <v>0</v>
      </c>
      <c r="L1219" s="1845">
        <f t="shared" si="255"/>
        <v>0</v>
      </c>
      <c r="M1219" s="1845">
        <f t="shared" si="255"/>
        <v>0</v>
      </c>
      <c r="N1219" s="1845">
        <f t="shared" si="255"/>
        <v>0</v>
      </c>
      <c r="O1219" s="1845"/>
      <c r="P1219" s="1845"/>
      <c r="Q1219" s="1056"/>
      <c r="R1219" s="1056"/>
      <c r="S1219" s="1056"/>
      <c r="T1219" s="2059">
        <f t="shared" si="252"/>
        <v>0</v>
      </c>
    </row>
    <row r="1220" spans="1:20" ht="22.15" hidden="1" customHeight="1">
      <c r="A1220" s="59"/>
      <c r="B1220" s="1586" t="s">
        <v>1924</v>
      </c>
      <c r="C1220" s="1015" t="str">
        <f t="shared" si="253"/>
        <v xml:space="preserve"> </v>
      </c>
      <c r="D1220" s="1544">
        <v>2</v>
      </c>
      <c r="E1220" s="1047" t="str">
        <f>VLOOKUP($B1220,DG!A:D,DG!$B$2,)</f>
        <v>06.3241</v>
      </c>
      <c r="F1220" s="1052" t="str">
        <f>VLOOKUP($B1220,DG!A:D,DG!$C$2,)</f>
        <v>Lắp bộ dây néo</v>
      </c>
      <c r="G1220" s="1047" t="str">
        <f>VLOOKUP($B1220,DG!A:D,DG!$D$2,)</f>
        <v>bộ</v>
      </c>
      <c r="H1220" s="1845"/>
      <c r="I1220" s="1845"/>
      <c r="J1220" s="1845"/>
      <c r="K1220" s="1845"/>
      <c r="L1220" s="1845"/>
      <c r="M1220" s="1845"/>
      <c r="N1220" s="1845"/>
      <c r="O1220" s="1845"/>
      <c r="P1220" s="1845"/>
      <c r="Q1220" s="1061"/>
      <c r="R1220" s="1061"/>
      <c r="S1220" s="1061"/>
      <c r="T1220" s="2059">
        <f t="shared" si="252"/>
        <v>0</v>
      </c>
    </row>
    <row r="1221" spans="1:20" ht="22.15" hidden="1" customHeight="1">
      <c r="A1221" s="59"/>
      <c r="B1221" s="1598" t="s">
        <v>356</v>
      </c>
      <c r="C1221" s="1015" t="str">
        <f t="shared" si="253"/>
        <v xml:space="preserve"> </v>
      </c>
      <c r="D1221" s="1543">
        <v>0.02</v>
      </c>
      <c r="E1221" s="1047" t="str">
        <f>VLOOKUP($B1221,DG!A:C,2,)</f>
        <v>02.1421</v>
      </c>
      <c r="F1221" s="1052" t="str">
        <f>VLOOKUP($B1221,DG!A:C,3,)</f>
        <v>V/c phụ kiện vào vị trí (cự ly &lt;=100m)</v>
      </c>
      <c r="G1221" s="1047" t="str">
        <f>VLOOKUP($B1221,DG!A:D,4,0)</f>
        <v>tấn</v>
      </c>
      <c r="H1221" s="1845"/>
      <c r="I1221" s="1845"/>
      <c r="J1221" s="1845"/>
      <c r="K1221" s="1845"/>
      <c r="L1221" s="1845"/>
      <c r="M1221" s="1845"/>
      <c r="N1221" s="1845"/>
      <c r="O1221" s="1845"/>
      <c r="P1221" s="1845"/>
      <c r="Q1221" s="1061"/>
      <c r="R1221" s="1061"/>
      <c r="S1221" s="1061"/>
      <c r="T1221" s="2059">
        <f t="shared" si="252"/>
        <v>0</v>
      </c>
    </row>
    <row r="1222" spans="1:20" ht="22.15" hidden="1" customHeight="1">
      <c r="A1222" s="56" t="s">
        <v>751</v>
      </c>
      <c r="B1222" s="1583" t="s">
        <v>751</v>
      </c>
      <c r="C1222" s="1015" t="str">
        <f t="shared" si="253"/>
        <v xml:space="preserve"> </v>
      </c>
      <c r="D1222" s="1541"/>
      <c r="E1222" s="1048"/>
      <c r="F1222" s="1396" t="s">
        <v>2484</v>
      </c>
      <c r="G1222" s="1049" t="s">
        <v>2394</v>
      </c>
      <c r="H1222" s="1843">
        <f>SUM(I1222:O1222)</f>
        <v>0</v>
      </c>
      <c r="I1222" s="1844"/>
      <c r="J1222" s="1844"/>
      <c r="K1222" s="1844">
        <f>IFERROR(HLOOKUP(B1222,pp3p1m!$1:$3,3,0),0)</f>
        <v>0</v>
      </c>
      <c r="L1222" s="1844">
        <f>IFERROR(HLOOKUP(chitiet!B1222,pp1p!$1:$3,3,0),0)</f>
        <v>0</v>
      </c>
      <c r="M1222" s="1844"/>
      <c r="N1222" s="1844"/>
      <c r="O1222" s="1844"/>
      <c r="P1222" s="1844">
        <f>H1222+Q1222-R1222</f>
        <v>0</v>
      </c>
      <c r="Q1222" s="1050"/>
      <c r="R1222" s="1050"/>
      <c r="S1222" s="1050"/>
      <c r="T1222" s="2059">
        <f>IFERROR(HLOOKUP(B1222,pp1p!$1:$3,3,0),0)+IFERROR(HLOOKUP(B1222,pp3p1m!$1:$3,3,0),0)</f>
        <v>0</v>
      </c>
    </row>
    <row r="1223" spans="1:20" ht="22.15" hidden="1" customHeight="1">
      <c r="A1223" s="59"/>
      <c r="B1223" s="1586" t="s">
        <v>1063</v>
      </c>
      <c r="C1223" s="1015" t="str">
        <f t="shared" si="253"/>
        <v xml:space="preserve"> </v>
      </c>
      <c r="D1223" s="1544">
        <v>2</v>
      </c>
      <c r="E1223" s="1047"/>
      <c r="F1223" s="1059" t="str">
        <f>VLOOKUP($B1223,DG!A:D,DG!$C$2,)</f>
        <v>Boulon mắt 16x250+ 2 long đền vuông D18-50x50x3/Zn</v>
      </c>
      <c r="G1223" s="1047" t="str">
        <f>VLOOKUP($B1223,DG!A:D,DG!$D$2,)</f>
        <v>bộ</v>
      </c>
      <c r="H1223" s="1845">
        <f t="shared" ref="H1223:N1227" si="256">H$1222*$D1223</f>
        <v>0</v>
      </c>
      <c r="I1223" s="1845">
        <f t="shared" si="256"/>
        <v>0</v>
      </c>
      <c r="J1223" s="1845">
        <f t="shared" si="256"/>
        <v>0</v>
      </c>
      <c r="K1223" s="1845">
        <f t="shared" si="256"/>
        <v>0</v>
      </c>
      <c r="L1223" s="1845">
        <f t="shared" si="256"/>
        <v>0</v>
      </c>
      <c r="M1223" s="1845">
        <f t="shared" si="256"/>
        <v>0</v>
      </c>
      <c r="N1223" s="1845">
        <f t="shared" si="256"/>
        <v>0</v>
      </c>
      <c r="O1223" s="1845"/>
      <c r="P1223" s="1845"/>
      <c r="Q1223" s="1056"/>
      <c r="R1223" s="1056"/>
      <c r="S1223" s="1056"/>
      <c r="T1223" s="2059">
        <f t="shared" si="252"/>
        <v>0</v>
      </c>
    </row>
    <row r="1224" spans="1:20" ht="22.15" hidden="1" customHeight="1">
      <c r="A1224" s="59"/>
      <c r="B1224" s="1586" t="s">
        <v>111</v>
      </c>
      <c r="C1224" s="1015" t="str">
        <f t="shared" si="253"/>
        <v xml:space="preserve"> </v>
      </c>
      <c r="D1224" s="1544">
        <v>2</v>
      </c>
      <c r="E1224" s="1047"/>
      <c r="F1224" s="1059" t="str">
        <f>VLOOKUP($B1224,DG!A:D,DG!$C$2,)</f>
        <v>Sứ chằng</v>
      </c>
      <c r="G1224" s="1047" t="str">
        <f>VLOOKUP($B1224,DG!A:D,DG!$D$2,)</f>
        <v>cái</v>
      </c>
      <c r="H1224" s="1845">
        <f t="shared" si="256"/>
        <v>0</v>
      </c>
      <c r="I1224" s="1845">
        <f t="shared" si="256"/>
        <v>0</v>
      </c>
      <c r="J1224" s="1845">
        <f t="shared" si="256"/>
        <v>0</v>
      </c>
      <c r="K1224" s="1845">
        <f t="shared" si="256"/>
        <v>0</v>
      </c>
      <c r="L1224" s="1845">
        <f t="shared" si="256"/>
        <v>0</v>
      </c>
      <c r="M1224" s="1845">
        <f t="shared" si="256"/>
        <v>0</v>
      </c>
      <c r="N1224" s="1845">
        <f t="shared" si="256"/>
        <v>0</v>
      </c>
      <c r="O1224" s="1845"/>
      <c r="P1224" s="1845"/>
      <c r="Q1224" s="1056"/>
      <c r="R1224" s="1056"/>
      <c r="S1224" s="1056"/>
      <c r="T1224" s="2059">
        <f t="shared" si="252"/>
        <v>0</v>
      </c>
    </row>
    <row r="1225" spans="1:20" ht="22.15" hidden="1" customHeight="1">
      <c r="A1225" s="59"/>
      <c r="B1225" s="1586" t="s">
        <v>1583</v>
      </c>
      <c r="C1225" s="1015" t="str">
        <f t="shared" si="253"/>
        <v xml:space="preserve"> </v>
      </c>
      <c r="D1225" s="1544">
        <v>12</v>
      </c>
      <c r="E1225" s="1047"/>
      <c r="F1225" s="1059" t="str">
        <f>VLOOKUP($B1225,DG!A:D,DG!$C$2,)</f>
        <v>Kẹp cáp 3 boulon</v>
      </c>
      <c r="G1225" s="1047" t="str">
        <f>VLOOKUP($B1225,DG!A:D,DG!$D$2,)</f>
        <v>cái</v>
      </c>
      <c r="H1225" s="1845">
        <f t="shared" si="256"/>
        <v>0</v>
      </c>
      <c r="I1225" s="1845">
        <f t="shared" si="256"/>
        <v>0</v>
      </c>
      <c r="J1225" s="1845">
        <f t="shared" si="256"/>
        <v>0</v>
      </c>
      <c r="K1225" s="1845">
        <f t="shared" si="256"/>
        <v>0</v>
      </c>
      <c r="L1225" s="1845">
        <f t="shared" si="256"/>
        <v>0</v>
      </c>
      <c r="M1225" s="1845">
        <f t="shared" si="256"/>
        <v>0</v>
      </c>
      <c r="N1225" s="1845">
        <f t="shared" si="256"/>
        <v>0</v>
      </c>
      <c r="O1225" s="1845"/>
      <c r="P1225" s="1845"/>
      <c r="Q1225" s="1056"/>
      <c r="R1225" s="1056"/>
      <c r="S1225" s="1056"/>
      <c r="T1225" s="2059">
        <f t="shared" si="252"/>
        <v>0</v>
      </c>
    </row>
    <row r="1226" spans="1:20" ht="22.15" hidden="1" customHeight="1">
      <c r="A1226" s="59"/>
      <c r="B1226" s="1586" t="s">
        <v>1364</v>
      </c>
      <c r="C1226" s="1015" t="str">
        <f t="shared" si="253"/>
        <v xml:space="preserve"> </v>
      </c>
      <c r="D1226" s="1544">
        <v>12</v>
      </c>
      <c r="E1226" s="1047"/>
      <c r="F1226" s="1059" t="str">
        <f>VLOOKUP($B1226,DG!A:D,DG!$C$2,)</f>
        <v>Cáp thép 5/8"</v>
      </c>
      <c r="G1226" s="1047" t="str">
        <f>VLOOKUP($B1226,DG!A:D,DG!$D$2,)</f>
        <v>kg</v>
      </c>
      <c r="H1226" s="1845">
        <f t="shared" si="256"/>
        <v>0</v>
      </c>
      <c r="I1226" s="1845">
        <f t="shared" si="256"/>
        <v>0</v>
      </c>
      <c r="J1226" s="1845">
        <f t="shared" si="256"/>
        <v>0</v>
      </c>
      <c r="K1226" s="1845">
        <f t="shared" si="256"/>
        <v>0</v>
      </c>
      <c r="L1226" s="1845">
        <f t="shared" si="256"/>
        <v>0</v>
      </c>
      <c r="M1226" s="1845">
        <f t="shared" si="256"/>
        <v>0</v>
      </c>
      <c r="N1226" s="1845">
        <f t="shared" si="256"/>
        <v>0</v>
      </c>
      <c r="O1226" s="1845"/>
      <c r="P1226" s="1845"/>
      <c r="Q1226" s="1056"/>
      <c r="R1226" s="1056"/>
      <c r="S1226" s="1056"/>
      <c r="T1226" s="2059">
        <f t="shared" si="252"/>
        <v>0</v>
      </c>
    </row>
    <row r="1227" spans="1:20" ht="22.15" hidden="1" customHeight="1">
      <c r="A1227" s="59"/>
      <c r="B1227" s="1586" t="s">
        <v>2006</v>
      </c>
      <c r="C1227" s="1015" t="str">
        <f t="shared" si="253"/>
        <v xml:space="preserve"> </v>
      </c>
      <c r="D1227" s="1544">
        <v>2</v>
      </c>
      <c r="E1227" s="1047"/>
      <c r="F1227" s="1059" t="str">
        <f>VLOOKUP($B1227,DG!A:D,DG!$C$2,)</f>
        <v>Yếm cáp dày 2mm</v>
      </c>
      <c r="G1227" s="1047" t="str">
        <f>VLOOKUP($B1227,DG!A:D,DG!$D$2,)</f>
        <v>cái</v>
      </c>
      <c r="H1227" s="1845">
        <f t="shared" si="256"/>
        <v>0</v>
      </c>
      <c r="I1227" s="1845">
        <f t="shared" si="256"/>
        <v>0</v>
      </c>
      <c r="J1227" s="1845">
        <f t="shared" si="256"/>
        <v>0</v>
      </c>
      <c r="K1227" s="1845">
        <f t="shared" si="256"/>
        <v>0</v>
      </c>
      <c r="L1227" s="1845">
        <f t="shared" si="256"/>
        <v>0</v>
      </c>
      <c r="M1227" s="1845">
        <f t="shared" si="256"/>
        <v>0</v>
      </c>
      <c r="N1227" s="1845">
        <f t="shared" si="256"/>
        <v>0</v>
      </c>
      <c r="O1227" s="1845"/>
      <c r="P1227" s="1845"/>
      <c r="Q1227" s="1056"/>
      <c r="R1227" s="1056"/>
      <c r="S1227" s="1056"/>
      <c r="T1227" s="2059">
        <f t="shared" si="252"/>
        <v>0</v>
      </c>
    </row>
    <row r="1228" spans="1:20" ht="22.15" hidden="1" customHeight="1">
      <c r="A1228" s="59"/>
      <c r="B1228" s="1586" t="s">
        <v>1924</v>
      </c>
      <c r="C1228" s="1015" t="str">
        <f t="shared" si="253"/>
        <v xml:space="preserve"> </v>
      </c>
      <c r="D1228" s="1544">
        <v>2</v>
      </c>
      <c r="E1228" s="1047" t="str">
        <f>VLOOKUP($B1228,DG!A:D,DG!$B$2,)</f>
        <v>06.3241</v>
      </c>
      <c r="F1228" s="1052" t="str">
        <f>VLOOKUP($B1228,DG!A:D,DG!$C$2,)</f>
        <v>Lắp bộ dây néo</v>
      </c>
      <c r="G1228" s="1047" t="str">
        <f>VLOOKUP($B1228,DG!A:D,DG!$D$2,)</f>
        <v>bộ</v>
      </c>
      <c r="H1228" s="1845"/>
      <c r="I1228" s="1845"/>
      <c r="J1228" s="1845"/>
      <c r="K1228" s="1845"/>
      <c r="L1228" s="1845"/>
      <c r="M1228" s="1845"/>
      <c r="N1228" s="1845"/>
      <c r="O1228" s="1845"/>
      <c r="P1228" s="1845"/>
      <c r="Q1228" s="1061"/>
      <c r="R1228" s="1061"/>
      <c r="S1228" s="1061"/>
      <c r="T1228" s="2059">
        <f t="shared" si="252"/>
        <v>0</v>
      </c>
    </row>
    <row r="1229" spans="1:20" ht="22.15" hidden="1" customHeight="1">
      <c r="A1229" s="59"/>
      <c r="B1229" s="1598" t="s">
        <v>356</v>
      </c>
      <c r="C1229" s="1015" t="str">
        <f t="shared" si="253"/>
        <v xml:space="preserve"> </v>
      </c>
      <c r="D1229" s="1543">
        <v>0.02</v>
      </c>
      <c r="E1229" s="1047" t="str">
        <f>VLOOKUP($B1229,DG!A:C,2,)</f>
        <v>02.1421</v>
      </c>
      <c r="F1229" s="1052" t="str">
        <f>VLOOKUP($B1229,DG!A:C,3,)</f>
        <v>V/c phụ kiện vào vị trí (cự ly &lt;=100m)</v>
      </c>
      <c r="G1229" s="1047" t="str">
        <f>VLOOKUP($B1229,DG!A:D,4,0)</f>
        <v>tấn</v>
      </c>
      <c r="H1229" s="1845"/>
      <c r="I1229" s="1845"/>
      <c r="J1229" s="1845"/>
      <c r="K1229" s="1845"/>
      <c r="L1229" s="1845"/>
      <c r="M1229" s="1845"/>
      <c r="N1229" s="1845"/>
      <c r="O1229" s="1845"/>
      <c r="P1229" s="1845"/>
      <c r="Q1229" s="1061"/>
      <c r="R1229" s="1061"/>
      <c r="S1229" s="1061"/>
      <c r="T1229" s="2059">
        <f t="shared" si="252"/>
        <v>0</v>
      </c>
    </row>
    <row r="1230" spans="1:20" ht="22.15" hidden="1" customHeight="1">
      <c r="A1230" s="56" t="s">
        <v>750</v>
      </c>
      <c r="B1230" s="1583" t="s">
        <v>750</v>
      </c>
      <c r="C1230" s="1015" t="str">
        <f t="shared" si="253"/>
        <v xml:space="preserve"> </v>
      </c>
      <c r="D1230" s="1541"/>
      <c r="E1230" s="1048"/>
      <c r="F1230" s="1396" t="s">
        <v>2485</v>
      </c>
      <c r="G1230" s="1049" t="s">
        <v>2394</v>
      </c>
      <c r="H1230" s="1843">
        <f>SUM(I1230:O1230)</f>
        <v>0</v>
      </c>
      <c r="I1230" s="1844"/>
      <c r="J1230" s="1844"/>
      <c r="K1230" s="1844">
        <f>IFERROR(HLOOKUP(B1230,pp3p1m!$1:$3,3,0),0)</f>
        <v>0</v>
      </c>
      <c r="L1230" s="1844">
        <f>IFERROR(HLOOKUP(chitiet!B1230,pp1p!$1:$3,3,0),0)</f>
        <v>0</v>
      </c>
      <c r="M1230" s="1844"/>
      <c r="N1230" s="1844"/>
      <c r="O1230" s="1844"/>
      <c r="P1230" s="1844">
        <f>H1230+Q1230-R1230</f>
        <v>0</v>
      </c>
      <c r="Q1230" s="1050"/>
      <c r="R1230" s="1050"/>
      <c r="S1230" s="1050"/>
      <c r="T1230" s="2059">
        <f>IFERROR(HLOOKUP(B1230,pp1p!$1:$3,3,0),0)+IFERROR(HLOOKUP(B1230,pp3p1m!$1:$3,3,0),0)</f>
        <v>0</v>
      </c>
    </row>
    <row r="1231" spans="1:20" ht="22.15" hidden="1" customHeight="1">
      <c r="A1231" s="59"/>
      <c r="B1231" s="1586" t="s">
        <v>1063</v>
      </c>
      <c r="C1231" s="1015" t="str">
        <f t="shared" si="253"/>
        <v xml:space="preserve"> </v>
      </c>
      <c r="D1231" s="1544">
        <v>4</v>
      </c>
      <c r="E1231" s="1047"/>
      <c r="F1231" s="1059" t="str">
        <f>VLOOKUP($B1231,DG!A:D,DG!$C$2,)</f>
        <v>Boulon mắt 16x250+ 2 long đền vuông D18-50x50x3/Zn</v>
      </c>
      <c r="G1231" s="1047" t="str">
        <f>VLOOKUP($B1231,DG!A:D,DG!$D$2,)</f>
        <v>bộ</v>
      </c>
      <c r="H1231" s="1845">
        <f t="shared" ref="H1231:N1235" si="257">H$1230*$D1231</f>
        <v>0</v>
      </c>
      <c r="I1231" s="1845">
        <f t="shared" si="257"/>
        <v>0</v>
      </c>
      <c r="J1231" s="1845">
        <f t="shared" si="257"/>
        <v>0</v>
      </c>
      <c r="K1231" s="1845">
        <f t="shared" si="257"/>
        <v>0</v>
      </c>
      <c r="L1231" s="1845">
        <f t="shared" si="257"/>
        <v>0</v>
      </c>
      <c r="M1231" s="1845">
        <f t="shared" si="257"/>
        <v>0</v>
      </c>
      <c r="N1231" s="1845">
        <f t="shared" si="257"/>
        <v>0</v>
      </c>
      <c r="O1231" s="1845"/>
      <c r="P1231" s="1845"/>
      <c r="Q1231" s="1056"/>
      <c r="R1231" s="1056"/>
      <c r="S1231" s="1056"/>
      <c r="T1231" s="2059">
        <f t="shared" si="252"/>
        <v>0</v>
      </c>
    </row>
    <row r="1232" spans="1:20" ht="22.15" hidden="1" customHeight="1">
      <c r="A1232" s="59"/>
      <c r="B1232" s="1586" t="s">
        <v>111</v>
      </c>
      <c r="C1232" s="1015" t="str">
        <f t="shared" si="253"/>
        <v xml:space="preserve"> </v>
      </c>
      <c r="D1232" s="1544">
        <v>4</v>
      </c>
      <c r="E1232" s="1047"/>
      <c r="F1232" s="1059" t="str">
        <f>VLOOKUP($B1232,DG!A:D,DG!$C$2,)</f>
        <v>Sứ chằng</v>
      </c>
      <c r="G1232" s="1047" t="str">
        <f>VLOOKUP($B1232,DG!A:D,DG!$D$2,)</f>
        <v>cái</v>
      </c>
      <c r="H1232" s="1845">
        <f t="shared" si="257"/>
        <v>0</v>
      </c>
      <c r="I1232" s="1845">
        <f t="shared" si="257"/>
        <v>0</v>
      </c>
      <c r="J1232" s="1845">
        <f t="shared" si="257"/>
        <v>0</v>
      </c>
      <c r="K1232" s="1845">
        <f t="shared" si="257"/>
        <v>0</v>
      </c>
      <c r="L1232" s="1845">
        <f t="shared" si="257"/>
        <v>0</v>
      </c>
      <c r="M1232" s="1845">
        <f t="shared" si="257"/>
        <v>0</v>
      </c>
      <c r="N1232" s="1845">
        <f t="shared" si="257"/>
        <v>0</v>
      </c>
      <c r="O1232" s="1845"/>
      <c r="P1232" s="1845"/>
      <c r="Q1232" s="1056"/>
      <c r="R1232" s="1056"/>
      <c r="S1232" s="1056"/>
      <c r="T1232" s="2059">
        <f t="shared" si="252"/>
        <v>0</v>
      </c>
    </row>
    <row r="1233" spans="1:20" ht="22.15" hidden="1" customHeight="1">
      <c r="A1233" s="59"/>
      <c r="B1233" s="1586" t="s">
        <v>1583</v>
      </c>
      <c r="C1233" s="1015" t="str">
        <f t="shared" si="253"/>
        <v xml:space="preserve"> </v>
      </c>
      <c r="D1233" s="1544">
        <v>24</v>
      </c>
      <c r="E1233" s="1047"/>
      <c r="F1233" s="1059" t="str">
        <f>VLOOKUP($B1233,DG!A:D,DG!$C$2,)</f>
        <v>Kẹp cáp 3 boulon</v>
      </c>
      <c r="G1233" s="1047" t="str">
        <f>VLOOKUP($B1233,DG!A:D,DG!$D$2,)</f>
        <v>cái</v>
      </c>
      <c r="H1233" s="1845">
        <f t="shared" si="257"/>
        <v>0</v>
      </c>
      <c r="I1233" s="1845">
        <f t="shared" si="257"/>
        <v>0</v>
      </c>
      <c r="J1233" s="1845">
        <f t="shared" si="257"/>
        <v>0</v>
      </c>
      <c r="K1233" s="1845">
        <f t="shared" si="257"/>
        <v>0</v>
      </c>
      <c r="L1233" s="1845">
        <f t="shared" si="257"/>
        <v>0</v>
      </c>
      <c r="M1233" s="1845">
        <f t="shared" si="257"/>
        <v>0</v>
      </c>
      <c r="N1233" s="1845">
        <f t="shared" si="257"/>
        <v>0</v>
      </c>
      <c r="O1233" s="1845"/>
      <c r="P1233" s="1845"/>
      <c r="Q1233" s="1056"/>
      <c r="R1233" s="1056"/>
      <c r="S1233" s="1056"/>
      <c r="T1233" s="2059">
        <f t="shared" si="252"/>
        <v>0</v>
      </c>
    </row>
    <row r="1234" spans="1:20" ht="22.15" hidden="1" customHeight="1">
      <c r="A1234" s="59"/>
      <c r="B1234" s="1586" t="s">
        <v>1364</v>
      </c>
      <c r="C1234" s="1015" t="str">
        <f t="shared" si="253"/>
        <v xml:space="preserve"> </v>
      </c>
      <c r="D1234" s="1544">
        <v>12</v>
      </c>
      <c r="E1234" s="1047"/>
      <c r="F1234" s="1059" t="str">
        <f>VLOOKUP($B1234,DG!A:D,DG!$C$2,)</f>
        <v>Cáp thép 5/8"</v>
      </c>
      <c r="G1234" s="1047" t="str">
        <f>VLOOKUP($B1234,DG!A:D,DG!$D$2,)</f>
        <v>kg</v>
      </c>
      <c r="H1234" s="1845">
        <f t="shared" si="257"/>
        <v>0</v>
      </c>
      <c r="I1234" s="1845">
        <f t="shared" si="257"/>
        <v>0</v>
      </c>
      <c r="J1234" s="1845">
        <f t="shared" si="257"/>
        <v>0</v>
      </c>
      <c r="K1234" s="1845">
        <f t="shared" si="257"/>
        <v>0</v>
      </c>
      <c r="L1234" s="1845">
        <f t="shared" si="257"/>
        <v>0</v>
      </c>
      <c r="M1234" s="1845">
        <f t="shared" si="257"/>
        <v>0</v>
      </c>
      <c r="N1234" s="1845">
        <f t="shared" si="257"/>
        <v>0</v>
      </c>
      <c r="O1234" s="1845"/>
      <c r="P1234" s="1845"/>
      <c r="Q1234" s="1056"/>
      <c r="R1234" s="1056"/>
      <c r="S1234" s="1056"/>
      <c r="T1234" s="2059">
        <f t="shared" si="252"/>
        <v>0</v>
      </c>
    </row>
    <row r="1235" spans="1:20" ht="22.15" hidden="1" customHeight="1">
      <c r="A1235" s="59"/>
      <c r="B1235" s="1586" t="s">
        <v>2006</v>
      </c>
      <c r="C1235" s="1015" t="str">
        <f t="shared" si="253"/>
        <v xml:space="preserve"> </v>
      </c>
      <c r="D1235" s="1544">
        <v>4</v>
      </c>
      <c r="E1235" s="1047"/>
      <c r="F1235" s="1059" t="str">
        <f>VLOOKUP($B1235,DG!A:D,DG!$C$2,)</f>
        <v>Yếm cáp dày 2mm</v>
      </c>
      <c r="G1235" s="1047" t="str">
        <f>VLOOKUP($B1235,DG!A:D,DG!$D$2,)</f>
        <v>cái</v>
      </c>
      <c r="H1235" s="1845">
        <f t="shared" si="257"/>
        <v>0</v>
      </c>
      <c r="I1235" s="1845">
        <f t="shared" si="257"/>
        <v>0</v>
      </c>
      <c r="J1235" s="1845">
        <f t="shared" si="257"/>
        <v>0</v>
      </c>
      <c r="K1235" s="1845">
        <f t="shared" si="257"/>
        <v>0</v>
      </c>
      <c r="L1235" s="1845">
        <f t="shared" si="257"/>
        <v>0</v>
      </c>
      <c r="M1235" s="1845">
        <f t="shared" si="257"/>
        <v>0</v>
      </c>
      <c r="N1235" s="1845">
        <f t="shared" si="257"/>
        <v>0</v>
      </c>
      <c r="O1235" s="1845"/>
      <c r="P1235" s="1845"/>
      <c r="Q1235" s="1056"/>
      <c r="R1235" s="1056"/>
      <c r="S1235" s="1056"/>
      <c r="T1235" s="2059">
        <f t="shared" si="252"/>
        <v>0</v>
      </c>
    </row>
    <row r="1236" spans="1:20" ht="22.15" hidden="1" customHeight="1">
      <c r="A1236" s="59"/>
      <c r="B1236" s="1586" t="s">
        <v>1924</v>
      </c>
      <c r="C1236" s="1015" t="str">
        <f t="shared" si="253"/>
        <v xml:space="preserve"> </v>
      </c>
      <c r="D1236" s="1544">
        <v>2</v>
      </c>
      <c r="E1236" s="1047" t="str">
        <f>VLOOKUP($B1236,DG!A:D,DG!$B$2,)</f>
        <v>06.3241</v>
      </c>
      <c r="F1236" s="1052" t="str">
        <f>VLOOKUP($B1236,DG!A:D,DG!$C$2,)</f>
        <v>Lắp bộ dây néo</v>
      </c>
      <c r="G1236" s="1047" t="str">
        <f>VLOOKUP($B1236,DG!A:D,DG!$D$2,)</f>
        <v>bộ</v>
      </c>
      <c r="H1236" s="1845"/>
      <c r="I1236" s="1845"/>
      <c r="J1236" s="1845"/>
      <c r="K1236" s="1845"/>
      <c r="L1236" s="1845"/>
      <c r="M1236" s="1845"/>
      <c r="N1236" s="1845"/>
      <c r="O1236" s="1845"/>
      <c r="P1236" s="1845"/>
      <c r="Q1236" s="1061"/>
      <c r="R1236" s="1061"/>
      <c r="S1236" s="1061"/>
      <c r="T1236" s="2059">
        <f t="shared" si="252"/>
        <v>0</v>
      </c>
    </row>
    <row r="1237" spans="1:20" ht="22.15" hidden="1" customHeight="1">
      <c r="A1237" s="59"/>
      <c r="B1237" s="1598" t="s">
        <v>356</v>
      </c>
      <c r="C1237" s="1015" t="str">
        <f t="shared" si="253"/>
        <v xml:space="preserve"> </v>
      </c>
      <c r="D1237" s="1543">
        <v>0.02</v>
      </c>
      <c r="E1237" s="1047" t="str">
        <f>VLOOKUP($B1237,DG!A:C,2,)</f>
        <v>02.1421</v>
      </c>
      <c r="F1237" s="1052" t="str">
        <f>VLOOKUP($B1237,DG!A:C,3,)</f>
        <v>V/c phụ kiện vào vị trí (cự ly &lt;=100m)</v>
      </c>
      <c r="G1237" s="1047" t="str">
        <f>VLOOKUP($B1237,DG!A:D,4,0)</f>
        <v>tấn</v>
      </c>
      <c r="H1237" s="1845"/>
      <c r="I1237" s="1845"/>
      <c r="J1237" s="1845"/>
      <c r="K1237" s="1845"/>
      <c r="L1237" s="1845"/>
      <c r="M1237" s="1845"/>
      <c r="N1237" s="1845"/>
      <c r="O1237" s="1845"/>
      <c r="P1237" s="1845"/>
      <c r="Q1237" s="1061"/>
      <c r="R1237" s="1061"/>
      <c r="S1237" s="1061"/>
      <c r="T1237" s="2059">
        <f t="shared" si="252"/>
        <v>0</v>
      </c>
    </row>
    <row r="1238" spans="1:20" ht="22.15" hidden="1" customHeight="1">
      <c r="A1238" s="56" t="s">
        <v>345</v>
      </c>
      <c r="B1238" s="1583" t="s">
        <v>345</v>
      </c>
      <c r="C1238" s="1015" t="str">
        <f t="shared" si="253"/>
        <v xml:space="preserve"> </v>
      </c>
      <c r="D1238" s="1541"/>
      <c r="E1238" s="1048"/>
      <c r="F1238" s="1396" t="s">
        <v>2486</v>
      </c>
      <c r="G1238" s="1049" t="s">
        <v>2394</v>
      </c>
      <c r="H1238" s="1843">
        <f>SUM(I1238:O1238)</f>
        <v>0</v>
      </c>
      <c r="I1238" s="1844"/>
      <c r="J1238" s="1844"/>
      <c r="K1238" s="1844">
        <f>IFERROR(HLOOKUP(B1238,pp3p1m!$1:$3,3,0),0)</f>
        <v>0</v>
      </c>
      <c r="L1238" s="1844">
        <f>IFERROR(HLOOKUP(chitiet!B1238,pp1p!$1:$3,3,0),0)</f>
        <v>0</v>
      </c>
      <c r="M1238" s="1844"/>
      <c r="N1238" s="1844"/>
      <c r="O1238" s="1844"/>
      <c r="P1238" s="1844">
        <f>H1238+Q1238-R1238</f>
        <v>0</v>
      </c>
      <c r="Q1238" s="1050"/>
      <c r="R1238" s="1050"/>
      <c r="S1238" s="1050"/>
      <c r="T1238" s="2059">
        <f>IFERROR(HLOOKUP(B1238,pp1p!$1:$3,3,0),0)+IFERROR(HLOOKUP(B1238,pp3p1m!$1:$3,3,0),0)</f>
        <v>0</v>
      </c>
    </row>
    <row r="1239" spans="1:20" ht="22.15" hidden="1" customHeight="1">
      <c r="A1239" s="59"/>
      <c r="B1239" s="1586" t="s">
        <v>669</v>
      </c>
      <c r="C1239" s="1015" t="str">
        <f t="shared" si="253"/>
        <v xml:space="preserve"> </v>
      </c>
      <c r="D1239" s="1544">
        <v>1</v>
      </c>
      <c r="E1239" s="1047"/>
      <c r="F1239" s="1059" t="str">
        <f>VLOOKUP($B1239,DG!A:D,DG!$C$2,)&amp;"-Fe8x100 nhuùng keõm"</f>
        <v>Cổ dê Ø 195 nẹp trụ-Fe8x100 nhuùng keõm</v>
      </c>
      <c r="G1239" s="1047" t="str">
        <f>VLOOKUP($B1239,DG!A:D,DG!$D$2,)</f>
        <v>bộ</v>
      </c>
      <c r="H1239" s="1845">
        <f t="shared" ref="H1239:N1247" si="258">H$1238*$D1239</f>
        <v>0</v>
      </c>
      <c r="I1239" s="1845">
        <f t="shared" si="258"/>
        <v>0</v>
      </c>
      <c r="J1239" s="1845">
        <f t="shared" si="258"/>
        <v>0</v>
      </c>
      <c r="K1239" s="1845">
        <f t="shared" si="258"/>
        <v>0</v>
      </c>
      <c r="L1239" s="1845">
        <f t="shared" si="258"/>
        <v>0</v>
      </c>
      <c r="M1239" s="1845">
        <f t="shared" si="258"/>
        <v>0</v>
      </c>
      <c r="N1239" s="1845">
        <f t="shared" si="258"/>
        <v>0</v>
      </c>
      <c r="O1239" s="1845"/>
      <c r="P1239" s="1845"/>
      <c r="Q1239" s="1056"/>
      <c r="R1239" s="1056"/>
      <c r="S1239" s="1056"/>
      <c r="T1239" s="2059">
        <f t="shared" si="252"/>
        <v>0</v>
      </c>
    </row>
    <row r="1240" spans="1:20" ht="22.15" hidden="1" customHeight="1">
      <c r="A1240" s="59"/>
      <c r="B1240" s="1586" t="s">
        <v>111</v>
      </c>
      <c r="C1240" s="1015" t="str">
        <f t="shared" si="253"/>
        <v xml:space="preserve"> </v>
      </c>
      <c r="D1240" s="1544">
        <v>1</v>
      </c>
      <c r="E1240" s="1047"/>
      <c r="F1240" s="1059" t="str">
        <f>VLOOKUP($B1240,DG!A:D,DG!$C$2,)</f>
        <v>Sứ chằng</v>
      </c>
      <c r="G1240" s="1047" t="str">
        <f>VLOOKUP($B1240,DG!A:D,DG!$D$2,)</f>
        <v>cái</v>
      </c>
      <c r="H1240" s="1845">
        <f t="shared" si="258"/>
        <v>0</v>
      </c>
      <c r="I1240" s="1845">
        <f t="shared" si="258"/>
        <v>0</v>
      </c>
      <c r="J1240" s="1845">
        <f t="shared" si="258"/>
        <v>0</v>
      </c>
      <c r="K1240" s="1845">
        <f t="shared" si="258"/>
        <v>0</v>
      </c>
      <c r="L1240" s="1845">
        <f t="shared" si="258"/>
        <v>0</v>
      </c>
      <c r="M1240" s="1845">
        <f t="shared" si="258"/>
        <v>0</v>
      </c>
      <c r="N1240" s="1845">
        <f t="shared" si="258"/>
        <v>0</v>
      </c>
      <c r="O1240" s="1845"/>
      <c r="P1240" s="1845"/>
      <c r="Q1240" s="1056"/>
      <c r="R1240" s="1056"/>
      <c r="S1240" s="1056"/>
      <c r="T1240" s="2059">
        <f t="shared" si="252"/>
        <v>0</v>
      </c>
    </row>
    <row r="1241" spans="1:20" ht="22.15" hidden="1" customHeight="1">
      <c r="A1241" s="59"/>
      <c r="B1241" s="1586" t="s">
        <v>1583</v>
      </c>
      <c r="C1241" s="1015" t="str">
        <f t="shared" si="253"/>
        <v xml:space="preserve"> </v>
      </c>
      <c r="D1241" s="1544">
        <v>8</v>
      </c>
      <c r="E1241" s="1047"/>
      <c r="F1241" s="1059" t="str">
        <f>VLOOKUP($B1241,DG!A:D,DG!$C$2,)</f>
        <v>Kẹp cáp 3 boulon</v>
      </c>
      <c r="G1241" s="1047" t="str">
        <f>VLOOKUP($B1241,DG!A:D,DG!$D$2,)</f>
        <v>cái</v>
      </c>
      <c r="H1241" s="1845">
        <f t="shared" si="258"/>
        <v>0</v>
      </c>
      <c r="I1241" s="1845">
        <f t="shared" si="258"/>
        <v>0</v>
      </c>
      <c r="J1241" s="1845">
        <f t="shared" si="258"/>
        <v>0</v>
      </c>
      <c r="K1241" s="1845">
        <f t="shared" si="258"/>
        <v>0</v>
      </c>
      <c r="L1241" s="1845">
        <f t="shared" si="258"/>
        <v>0</v>
      </c>
      <c r="M1241" s="1845">
        <f t="shared" si="258"/>
        <v>0</v>
      </c>
      <c r="N1241" s="1845">
        <f t="shared" si="258"/>
        <v>0</v>
      </c>
      <c r="O1241" s="1845"/>
      <c r="P1241" s="1845"/>
      <c r="Q1241" s="1056"/>
      <c r="R1241" s="1056"/>
      <c r="S1241" s="1056"/>
      <c r="T1241" s="2059">
        <f t="shared" si="252"/>
        <v>0</v>
      </c>
    </row>
    <row r="1242" spans="1:20" ht="22.15" hidden="1" customHeight="1">
      <c r="A1242" s="59"/>
      <c r="B1242" s="1604" t="s">
        <v>1051</v>
      </c>
      <c r="C1242" s="1015" t="str">
        <f t="shared" si="253"/>
        <v xml:space="preserve"> </v>
      </c>
      <c r="D1242" s="1544">
        <v>15</v>
      </c>
      <c r="E1242" s="1047"/>
      <c r="F1242" s="1059" t="str">
        <f>VLOOKUP($B1242,DG!A:D,DG!$C$2,)</f>
        <v>Kẹp hotline 4/0</v>
      </c>
      <c r="G1242" s="1047" t="str">
        <f>VLOOKUP($B1242,DG!A:D,DG!$D$2,)</f>
        <v>cái</v>
      </c>
      <c r="H1242" s="1845">
        <f t="shared" si="258"/>
        <v>0</v>
      </c>
      <c r="I1242" s="1845">
        <f t="shared" si="258"/>
        <v>0</v>
      </c>
      <c r="J1242" s="1845">
        <f t="shared" si="258"/>
        <v>0</v>
      </c>
      <c r="K1242" s="1845">
        <f t="shared" si="258"/>
        <v>0</v>
      </c>
      <c r="L1242" s="1845">
        <f t="shared" si="258"/>
        <v>0</v>
      </c>
      <c r="M1242" s="1845">
        <f t="shared" si="258"/>
        <v>0</v>
      </c>
      <c r="N1242" s="1845">
        <f t="shared" si="258"/>
        <v>0</v>
      </c>
      <c r="O1242" s="1845"/>
      <c r="P1242" s="1845"/>
      <c r="Q1242" s="1056"/>
      <c r="R1242" s="1056"/>
      <c r="S1242" s="1056"/>
      <c r="T1242" s="2059">
        <f t="shared" si="252"/>
        <v>0</v>
      </c>
    </row>
    <row r="1243" spans="1:20" ht="22.15" hidden="1" customHeight="1">
      <c r="A1243" s="59"/>
      <c r="B1243" s="1586" t="s">
        <v>279</v>
      </c>
      <c r="C1243" s="1015" t="str">
        <f t="shared" si="253"/>
        <v xml:space="preserve"> </v>
      </c>
      <c r="D1243" s="1544">
        <v>2</v>
      </c>
      <c r="E1243" s="1047"/>
      <c r="F1243" s="1059" t="str">
        <f>VLOOKUP($B1243,DG!A:D,DG!$C$2,)</f>
        <v>Sắt dẹt 60 x 6</v>
      </c>
      <c r="G1243" s="1047" t="str">
        <f>VLOOKUP($B1243,DG!A:D,DG!$D$2,)</f>
        <v>kg</v>
      </c>
      <c r="H1243" s="1845">
        <f t="shared" si="258"/>
        <v>0</v>
      </c>
      <c r="I1243" s="1845">
        <f t="shared" si="258"/>
        <v>0</v>
      </c>
      <c r="J1243" s="1845">
        <f t="shared" si="258"/>
        <v>0</v>
      </c>
      <c r="K1243" s="1845">
        <f t="shared" si="258"/>
        <v>0</v>
      </c>
      <c r="L1243" s="1845">
        <f t="shared" si="258"/>
        <v>0</v>
      </c>
      <c r="M1243" s="1845">
        <f t="shared" si="258"/>
        <v>0</v>
      </c>
      <c r="N1243" s="1845">
        <f t="shared" si="258"/>
        <v>0</v>
      </c>
      <c r="O1243" s="1845"/>
      <c r="P1243" s="1845"/>
      <c r="Q1243" s="1056"/>
      <c r="R1243" s="1056"/>
      <c r="S1243" s="1056"/>
      <c r="T1243" s="2059">
        <f t="shared" si="252"/>
        <v>0</v>
      </c>
    </row>
    <row r="1244" spans="1:20" ht="22.15" hidden="1" customHeight="1">
      <c r="A1244" s="59"/>
      <c r="B1244" s="1586" t="s">
        <v>1376</v>
      </c>
      <c r="C1244" s="1015" t="str">
        <f t="shared" si="253"/>
        <v xml:space="preserve"> </v>
      </c>
      <c r="D1244" s="1544">
        <v>1</v>
      </c>
      <c r="E1244" s="1047"/>
      <c r="F1244" s="1059" t="str">
        <f>VLOOKUP($B1244,DG!A:D,DG!$C$2,)</f>
        <v xml:space="preserve">Móc treo chữ U </v>
      </c>
      <c r="G1244" s="1047" t="str">
        <f>VLOOKUP($B1244,DG!A:D,DG!$D$2,)</f>
        <v>cái</v>
      </c>
      <c r="H1244" s="1845">
        <f t="shared" si="258"/>
        <v>0</v>
      </c>
      <c r="I1244" s="1845">
        <f t="shared" si="258"/>
        <v>0</v>
      </c>
      <c r="J1244" s="1845">
        <f t="shared" si="258"/>
        <v>0</v>
      </c>
      <c r="K1244" s="1845">
        <f t="shared" si="258"/>
        <v>0</v>
      </c>
      <c r="L1244" s="1845">
        <f t="shared" si="258"/>
        <v>0</v>
      </c>
      <c r="M1244" s="1845">
        <f t="shared" si="258"/>
        <v>0</v>
      </c>
      <c r="N1244" s="1845">
        <f t="shared" si="258"/>
        <v>0</v>
      </c>
      <c r="O1244" s="1845"/>
      <c r="P1244" s="1845"/>
      <c r="Q1244" s="1056"/>
      <c r="R1244" s="1056"/>
      <c r="S1244" s="1056"/>
      <c r="T1244" s="2059">
        <f t="shared" si="252"/>
        <v>0</v>
      </c>
    </row>
    <row r="1245" spans="1:20" ht="22.15" hidden="1" customHeight="1">
      <c r="A1245" s="59"/>
      <c r="B1245" s="1605" t="s">
        <v>1897</v>
      </c>
      <c r="C1245" s="1015" t="str">
        <f t="shared" si="253"/>
        <v xml:space="preserve"> </v>
      </c>
      <c r="D1245" s="1544">
        <v>2</v>
      </c>
      <c r="E1245" s="1047"/>
      <c r="F1245" s="1059" t="str">
        <f>VLOOKUP($B1245,DG!A:D,DG!$C$2,)</f>
        <v>Boulon 16x100VRS+ 4 long đền vuông D18-50x50x3/Zn</v>
      </c>
      <c r="G1245" s="1047" t="str">
        <f>VLOOKUP($B1245,DG!A:D,DG!$D$2,)</f>
        <v>bộ</v>
      </c>
      <c r="H1245" s="1845">
        <f t="shared" si="258"/>
        <v>0</v>
      </c>
      <c r="I1245" s="1845">
        <f t="shared" si="258"/>
        <v>0</v>
      </c>
      <c r="J1245" s="1845">
        <f t="shared" si="258"/>
        <v>0</v>
      </c>
      <c r="K1245" s="1845">
        <f t="shared" si="258"/>
        <v>0</v>
      </c>
      <c r="L1245" s="1845">
        <f t="shared" si="258"/>
        <v>0</v>
      </c>
      <c r="M1245" s="1845">
        <f t="shared" si="258"/>
        <v>0</v>
      </c>
      <c r="N1245" s="1845">
        <f t="shared" si="258"/>
        <v>0</v>
      </c>
      <c r="O1245" s="1845"/>
      <c r="P1245" s="1845"/>
      <c r="Q1245" s="1056"/>
      <c r="R1245" s="1056"/>
      <c r="S1245" s="1056"/>
      <c r="T1245" s="2059">
        <f t="shared" si="252"/>
        <v>0</v>
      </c>
    </row>
    <row r="1246" spans="1:20" ht="22.15" hidden="1" customHeight="1">
      <c r="A1246" s="59"/>
      <c r="B1246" s="1586" t="s">
        <v>2006</v>
      </c>
      <c r="C1246" s="1015" t="str">
        <f t="shared" si="253"/>
        <v xml:space="preserve"> </v>
      </c>
      <c r="D1246" s="1544">
        <v>2</v>
      </c>
      <c r="E1246" s="1047"/>
      <c r="F1246" s="1059" t="str">
        <f>VLOOKUP($B1246,DG!A:D,DG!$C$2,)</f>
        <v>Yếm cáp dày 2mm</v>
      </c>
      <c r="G1246" s="1047" t="str">
        <f>VLOOKUP($B1246,DG!A:D,DG!$D$2,)</f>
        <v>cái</v>
      </c>
      <c r="H1246" s="1845">
        <f t="shared" si="258"/>
        <v>0</v>
      </c>
      <c r="I1246" s="1845">
        <f t="shared" si="258"/>
        <v>0</v>
      </c>
      <c r="J1246" s="1845">
        <f t="shared" si="258"/>
        <v>0</v>
      </c>
      <c r="K1246" s="1845">
        <f t="shared" si="258"/>
        <v>0</v>
      </c>
      <c r="L1246" s="1845">
        <f t="shared" si="258"/>
        <v>0</v>
      </c>
      <c r="M1246" s="1845">
        <f t="shared" si="258"/>
        <v>0</v>
      </c>
      <c r="N1246" s="1845">
        <f t="shared" si="258"/>
        <v>0</v>
      </c>
      <c r="O1246" s="1845"/>
      <c r="P1246" s="1845"/>
      <c r="Q1246" s="1056"/>
      <c r="R1246" s="1056"/>
      <c r="S1246" s="1056"/>
      <c r="T1246" s="2059">
        <f t="shared" si="252"/>
        <v>0</v>
      </c>
    </row>
    <row r="1247" spans="1:20" ht="22.15" hidden="1" customHeight="1">
      <c r="A1247" s="59"/>
      <c r="B1247" s="1586" t="s">
        <v>2007</v>
      </c>
      <c r="C1247" s="1015" t="str">
        <f t="shared" si="253"/>
        <v xml:space="preserve"> </v>
      </c>
      <c r="D1247" s="1544">
        <v>1</v>
      </c>
      <c r="E1247" s="1047"/>
      <c r="F1247" s="1059" t="str">
        <f>VLOOKUP($B1247,DG!A:D,DG!$C$2,)</f>
        <v>Máng che dây chằng dày 1,6mm</v>
      </c>
      <c r="G1247" s="1047" t="str">
        <f>VLOOKUP($B1247,DG!A:D,DG!$D$2,)</f>
        <v>cái</v>
      </c>
      <c r="H1247" s="1845">
        <f t="shared" si="258"/>
        <v>0</v>
      </c>
      <c r="I1247" s="1845">
        <f t="shared" si="258"/>
        <v>0</v>
      </c>
      <c r="J1247" s="1845">
        <f t="shared" si="258"/>
        <v>0</v>
      </c>
      <c r="K1247" s="1845">
        <f t="shared" si="258"/>
        <v>0</v>
      </c>
      <c r="L1247" s="1845">
        <f t="shared" si="258"/>
        <v>0</v>
      </c>
      <c r="M1247" s="1845">
        <f t="shared" si="258"/>
        <v>0</v>
      </c>
      <c r="N1247" s="1845">
        <f t="shared" si="258"/>
        <v>0</v>
      </c>
      <c r="O1247" s="1845"/>
      <c r="P1247" s="1845"/>
      <c r="Q1247" s="1056"/>
      <c r="R1247" s="1056"/>
      <c r="S1247" s="1056"/>
      <c r="T1247" s="2059">
        <f t="shared" si="252"/>
        <v>0</v>
      </c>
    </row>
    <row r="1248" spans="1:20" ht="22.15" hidden="1" customHeight="1">
      <c r="A1248" s="59"/>
      <c r="B1248" s="1586" t="s">
        <v>1924</v>
      </c>
      <c r="C1248" s="1015" t="str">
        <f t="shared" si="253"/>
        <v xml:space="preserve"> </v>
      </c>
      <c r="D1248" s="1544">
        <v>1</v>
      </c>
      <c r="E1248" s="1047" t="str">
        <f>VLOOKUP($B1248,DG!A:D,DG!$B$2,)</f>
        <v>06.3241</v>
      </c>
      <c r="F1248" s="1052" t="str">
        <f>VLOOKUP($B1248,DG!A:D,DG!$C$2,)</f>
        <v>Lắp bộ dây néo</v>
      </c>
      <c r="G1248" s="1047" t="str">
        <f>VLOOKUP($B1248,DG!A:D,DG!$D$2,)</f>
        <v>bộ</v>
      </c>
      <c r="H1248" s="1845"/>
      <c r="I1248" s="1845"/>
      <c r="J1248" s="1845"/>
      <c r="K1248" s="1845"/>
      <c r="L1248" s="1845"/>
      <c r="M1248" s="1845"/>
      <c r="N1248" s="1845"/>
      <c r="O1248" s="1845"/>
      <c r="P1248" s="1845"/>
      <c r="Q1248" s="1061"/>
      <c r="R1248" s="1061"/>
      <c r="S1248" s="1061"/>
      <c r="T1248" s="2059">
        <f t="shared" si="252"/>
        <v>0</v>
      </c>
    </row>
    <row r="1249" spans="1:20" ht="22.15" hidden="1" customHeight="1">
      <c r="A1249" s="59"/>
      <c r="B1249" s="1586" t="s">
        <v>681</v>
      </c>
      <c r="C1249" s="1015" t="str">
        <f t="shared" si="253"/>
        <v xml:space="preserve"> </v>
      </c>
      <c r="D1249" s="1544">
        <v>1</v>
      </c>
      <c r="E1249" s="1047" t="str">
        <f>VLOOKUP($B1249,DG!A:D,DG!$B$2,)</f>
        <v>06.2110</v>
      </c>
      <c r="F1249" s="1052" t="str">
        <f>VLOOKUP($B1249,DG!A:D,DG!$C$2,)</f>
        <v>Lắp cổ dề</v>
      </c>
      <c r="G1249" s="1047" t="str">
        <f>VLOOKUP($B1249,DG!A:D,DG!$D$2,)</f>
        <v>cái</v>
      </c>
      <c r="H1249" s="1845"/>
      <c r="I1249" s="1845"/>
      <c r="J1249" s="1845"/>
      <c r="K1249" s="1845"/>
      <c r="L1249" s="1845"/>
      <c r="M1249" s="1845"/>
      <c r="N1249" s="1845"/>
      <c r="O1249" s="1845"/>
      <c r="P1249" s="1845"/>
      <c r="Q1249" s="1061"/>
      <c r="R1249" s="1061"/>
      <c r="S1249" s="1061"/>
      <c r="T1249" s="2059">
        <f t="shared" si="252"/>
        <v>0</v>
      </c>
    </row>
    <row r="1250" spans="1:20" ht="22.15" hidden="1" customHeight="1">
      <c r="A1250" s="59"/>
      <c r="B1250" s="1598" t="s">
        <v>356</v>
      </c>
      <c r="C1250" s="1015" t="str">
        <f t="shared" si="253"/>
        <v xml:space="preserve"> </v>
      </c>
      <c r="D1250" s="1543">
        <v>0.02</v>
      </c>
      <c r="E1250" s="1047" t="str">
        <f>VLOOKUP($B1250,DG!A:C,2,)</f>
        <v>02.1421</v>
      </c>
      <c r="F1250" s="1052" t="str">
        <f>VLOOKUP($B1250,DG!A:C,3,)</f>
        <v>V/c phụ kiện vào vị trí (cự ly &lt;=100m)</v>
      </c>
      <c r="G1250" s="1047" t="str">
        <f>VLOOKUP($B1250,DG!A:D,4,0)</f>
        <v>tấn</v>
      </c>
      <c r="H1250" s="1845"/>
      <c r="I1250" s="1845"/>
      <c r="J1250" s="1845"/>
      <c r="K1250" s="1845"/>
      <c r="L1250" s="1845"/>
      <c r="M1250" s="1845"/>
      <c r="N1250" s="1845"/>
      <c r="O1250" s="1845"/>
      <c r="P1250" s="1845"/>
      <c r="Q1250" s="1061"/>
      <c r="R1250" s="1061"/>
      <c r="S1250" s="1061"/>
      <c r="T1250" s="2059">
        <f t="shared" si="252"/>
        <v>0</v>
      </c>
    </row>
    <row r="1251" spans="1:20" ht="22.15" hidden="1" customHeight="1">
      <c r="A1251" s="56" t="s">
        <v>1086</v>
      </c>
      <c r="B1251" s="1583" t="s">
        <v>1086</v>
      </c>
      <c r="C1251" s="1015" t="str">
        <f t="shared" si="253"/>
        <v xml:space="preserve"> </v>
      </c>
      <c r="D1251" s="1541"/>
      <c r="E1251" s="1048"/>
      <c r="F1251" s="1396" t="s">
        <v>2487</v>
      </c>
      <c r="G1251" s="1049" t="s">
        <v>2394</v>
      </c>
      <c r="H1251" s="1843">
        <f>SUM(I1251:O1251)</f>
        <v>0</v>
      </c>
      <c r="I1251" s="1844"/>
      <c r="J1251" s="1844"/>
      <c r="K1251" s="1844">
        <f>IFERROR(HLOOKUP(B1251,pp3p1m!$1:$3,3,0),0)</f>
        <v>0</v>
      </c>
      <c r="L1251" s="1844">
        <f>IFERROR(HLOOKUP(chitiet!B1251,pp1p!$1:$3,3,0),0)</f>
        <v>0</v>
      </c>
      <c r="M1251" s="1844"/>
      <c r="N1251" s="1844"/>
      <c r="O1251" s="1844"/>
      <c r="P1251" s="1844">
        <f>H1251+Q1251-R1251</f>
        <v>0</v>
      </c>
      <c r="Q1251" s="1050"/>
      <c r="R1251" s="1050"/>
      <c r="S1251" s="1050"/>
      <c r="T1251" s="2059">
        <f>IFERROR(HLOOKUP(B1251,pp1p!$1:$3,3,0),0)+IFERROR(HLOOKUP(B1251,pp3p1m!$1:$3,3,0),0)</f>
        <v>0</v>
      </c>
    </row>
    <row r="1252" spans="1:20" ht="22.15" hidden="1" customHeight="1">
      <c r="A1252" s="59"/>
      <c r="B1252" s="1586" t="s">
        <v>669</v>
      </c>
      <c r="C1252" s="1015" t="str">
        <f t="shared" si="253"/>
        <v xml:space="preserve"> </v>
      </c>
      <c r="D1252" s="1544">
        <v>1</v>
      </c>
      <c r="E1252" s="1047"/>
      <c r="F1252" s="1059" t="str">
        <f>VLOOKUP($B1252,DG!A:D,DG!$C$2,)&amp;"-Fe8x100 nhuùng keõm"</f>
        <v>Cổ dê Ø 195 nẹp trụ-Fe8x100 nhuùng keõm</v>
      </c>
      <c r="G1252" s="1047" t="str">
        <f>VLOOKUP($B1252,DG!A:D,DG!$D$2,)</f>
        <v>bộ</v>
      </c>
      <c r="H1252" s="1845">
        <f t="shared" ref="H1252:N1261" si="259">H$1251*$D1252</f>
        <v>0</v>
      </c>
      <c r="I1252" s="1845">
        <f t="shared" si="259"/>
        <v>0</v>
      </c>
      <c r="J1252" s="1845">
        <f t="shared" si="259"/>
        <v>0</v>
      </c>
      <c r="K1252" s="1845">
        <f t="shared" si="259"/>
        <v>0</v>
      </c>
      <c r="L1252" s="1845">
        <f t="shared" si="259"/>
        <v>0</v>
      </c>
      <c r="M1252" s="1845">
        <f t="shared" si="259"/>
        <v>0</v>
      </c>
      <c r="N1252" s="1845">
        <f t="shared" si="259"/>
        <v>0</v>
      </c>
      <c r="O1252" s="1845"/>
      <c r="P1252" s="1845"/>
      <c r="Q1252" s="1056"/>
      <c r="R1252" s="1056"/>
      <c r="S1252" s="1056"/>
      <c r="T1252" s="2059">
        <f t="shared" si="252"/>
        <v>0</v>
      </c>
    </row>
    <row r="1253" spans="1:20" ht="22.15" hidden="1" customHeight="1">
      <c r="A1253" s="59"/>
      <c r="B1253" s="1586" t="s">
        <v>111</v>
      </c>
      <c r="C1253" s="1015" t="str">
        <f t="shared" si="253"/>
        <v xml:space="preserve"> </v>
      </c>
      <c r="D1253" s="1544">
        <v>1</v>
      </c>
      <c r="E1253" s="1047"/>
      <c r="F1253" s="1059" t="str">
        <f>VLOOKUP($B1253,DG!A:D,DG!$C$2,)</f>
        <v>Sứ chằng</v>
      </c>
      <c r="G1253" s="1047" t="str">
        <f>VLOOKUP($B1253,DG!A:D,DG!$D$2,)</f>
        <v>cái</v>
      </c>
      <c r="H1253" s="1845">
        <f t="shared" si="259"/>
        <v>0</v>
      </c>
      <c r="I1253" s="1845">
        <f t="shared" si="259"/>
        <v>0</v>
      </c>
      <c r="J1253" s="1845">
        <f t="shared" si="259"/>
        <v>0</v>
      </c>
      <c r="K1253" s="1845">
        <f t="shared" si="259"/>
        <v>0</v>
      </c>
      <c r="L1253" s="1845">
        <f t="shared" si="259"/>
        <v>0</v>
      </c>
      <c r="M1253" s="1845">
        <f t="shared" si="259"/>
        <v>0</v>
      </c>
      <c r="N1253" s="1845">
        <f t="shared" si="259"/>
        <v>0</v>
      </c>
      <c r="O1253" s="1845"/>
      <c r="P1253" s="1845"/>
      <c r="Q1253" s="1056"/>
      <c r="R1253" s="1056"/>
      <c r="S1253" s="1056"/>
      <c r="T1253" s="2059">
        <f t="shared" si="252"/>
        <v>0</v>
      </c>
    </row>
    <row r="1254" spans="1:20" ht="22.15" hidden="1" customHeight="1">
      <c r="A1254" s="59"/>
      <c r="B1254" s="1586" t="s">
        <v>1583</v>
      </c>
      <c r="C1254" s="1015" t="str">
        <f t="shared" si="253"/>
        <v xml:space="preserve"> </v>
      </c>
      <c r="D1254" s="1544">
        <v>8</v>
      </c>
      <c r="E1254" s="1047"/>
      <c r="F1254" s="1059" t="str">
        <f>VLOOKUP($B1254,DG!A:D,DG!$C$2,)</f>
        <v>Kẹp cáp 3 boulon</v>
      </c>
      <c r="G1254" s="1047" t="str">
        <f>VLOOKUP($B1254,DG!A:D,DG!$D$2,)</f>
        <v>cái</v>
      </c>
      <c r="H1254" s="1845">
        <f t="shared" si="259"/>
        <v>0</v>
      </c>
      <c r="I1254" s="1845">
        <f t="shared" si="259"/>
        <v>0</v>
      </c>
      <c r="J1254" s="1845">
        <f t="shared" si="259"/>
        <v>0</v>
      </c>
      <c r="K1254" s="1845">
        <f t="shared" si="259"/>
        <v>0</v>
      </c>
      <c r="L1254" s="1845">
        <f t="shared" si="259"/>
        <v>0</v>
      </c>
      <c r="M1254" s="1845">
        <f t="shared" si="259"/>
        <v>0</v>
      </c>
      <c r="N1254" s="1845">
        <f t="shared" si="259"/>
        <v>0</v>
      </c>
      <c r="O1254" s="1845"/>
      <c r="P1254" s="1845"/>
      <c r="Q1254" s="1056"/>
      <c r="R1254" s="1056"/>
      <c r="S1254" s="1056"/>
      <c r="T1254" s="2059">
        <f t="shared" si="252"/>
        <v>0</v>
      </c>
    </row>
    <row r="1255" spans="1:20" ht="22.15" hidden="1" customHeight="1">
      <c r="A1255" s="59"/>
      <c r="B1255" s="1604" t="s">
        <v>1051</v>
      </c>
      <c r="C1255" s="1015" t="str">
        <f t="shared" si="253"/>
        <v xml:space="preserve"> </v>
      </c>
      <c r="D1255" s="1544">
        <v>11</v>
      </c>
      <c r="E1255" s="1047"/>
      <c r="F1255" s="1059" t="str">
        <f>VLOOKUP($B1255,DG!A:D,DG!$C$2,)</f>
        <v>Kẹp hotline 4/0</v>
      </c>
      <c r="G1255" s="1047" t="str">
        <f>VLOOKUP($B1255,DG!A:D,DG!$D$2,)</f>
        <v>cái</v>
      </c>
      <c r="H1255" s="1845">
        <f t="shared" si="259"/>
        <v>0</v>
      </c>
      <c r="I1255" s="1845">
        <f t="shared" si="259"/>
        <v>0</v>
      </c>
      <c r="J1255" s="1845">
        <f t="shared" si="259"/>
        <v>0</v>
      </c>
      <c r="K1255" s="1845">
        <f t="shared" si="259"/>
        <v>0</v>
      </c>
      <c r="L1255" s="1845">
        <f t="shared" si="259"/>
        <v>0</v>
      </c>
      <c r="M1255" s="1845">
        <f t="shared" si="259"/>
        <v>0</v>
      </c>
      <c r="N1255" s="1845">
        <f t="shared" si="259"/>
        <v>0</v>
      </c>
      <c r="O1255" s="1845"/>
      <c r="P1255" s="1845"/>
      <c r="Q1255" s="1056"/>
      <c r="R1255" s="1056"/>
      <c r="S1255" s="1056"/>
      <c r="T1255" s="2059">
        <f t="shared" si="252"/>
        <v>0</v>
      </c>
    </row>
    <row r="1256" spans="1:20" ht="22.15" hidden="1" customHeight="1">
      <c r="A1256" s="59"/>
      <c r="B1256" s="1586" t="s">
        <v>607</v>
      </c>
      <c r="C1256" s="1015" t="str">
        <f t="shared" si="253"/>
        <v xml:space="preserve"> </v>
      </c>
      <c r="D1256" s="1544">
        <v>1</v>
      </c>
      <c r="E1256" s="1047"/>
      <c r="F1256" s="1059" t="str">
        <f>VLOOKUP($B1256,DG!A:D,DG!$C$2,)</f>
        <v>Bộ chống chằng hẹp Ø60/50x1500+2BL12x40+BL16x250/80</v>
      </c>
      <c r="G1256" s="1047" t="str">
        <f>VLOOKUP($B1256,DG!A:D,DG!$D$2,)</f>
        <v>bộ</v>
      </c>
      <c r="H1256" s="1845">
        <f t="shared" si="259"/>
        <v>0</v>
      </c>
      <c r="I1256" s="1845">
        <f t="shared" si="259"/>
        <v>0</v>
      </c>
      <c r="J1256" s="1845">
        <f t="shared" si="259"/>
        <v>0</v>
      </c>
      <c r="K1256" s="1845">
        <f t="shared" si="259"/>
        <v>0</v>
      </c>
      <c r="L1256" s="1845">
        <f t="shared" si="259"/>
        <v>0</v>
      </c>
      <c r="M1256" s="1845">
        <f t="shared" si="259"/>
        <v>0</v>
      </c>
      <c r="N1256" s="1845">
        <f t="shared" si="259"/>
        <v>0</v>
      </c>
      <c r="O1256" s="1845"/>
      <c r="P1256" s="1845"/>
      <c r="Q1256" s="1056"/>
      <c r="R1256" s="1056"/>
      <c r="S1256" s="1056"/>
      <c r="T1256" s="2059">
        <f t="shared" si="252"/>
        <v>0</v>
      </c>
    </row>
    <row r="1257" spans="1:20" ht="22.15" hidden="1" customHeight="1">
      <c r="A1257" s="59"/>
      <c r="B1257" s="1586" t="s">
        <v>279</v>
      </c>
      <c r="C1257" s="1015" t="str">
        <f t="shared" si="253"/>
        <v xml:space="preserve"> </v>
      </c>
      <c r="D1257" s="1544">
        <v>2</v>
      </c>
      <c r="E1257" s="1047"/>
      <c r="F1257" s="1059" t="str">
        <f>VLOOKUP($B1257,DG!A:D,DG!$C$2,)</f>
        <v>Sắt dẹt 60 x 6</v>
      </c>
      <c r="G1257" s="1047" t="str">
        <f>VLOOKUP($B1257,DG!A:D,DG!$D$2,)</f>
        <v>kg</v>
      </c>
      <c r="H1257" s="1845">
        <f t="shared" si="259"/>
        <v>0</v>
      </c>
      <c r="I1257" s="1845">
        <f t="shared" si="259"/>
        <v>0</v>
      </c>
      <c r="J1257" s="1845">
        <f t="shared" si="259"/>
        <v>0</v>
      </c>
      <c r="K1257" s="1845">
        <f t="shared" si="259"/>
        <v>0</v>
      </c>
      <c r="L1257" s="1845">
        <f t="shared" si="259"/>
        <v>0</v>
      </c>
      <c r="M1257" s="1845">
        <f t="shared" si="259"/>
        <v>0</v>
      </c>
      <c r="N1257" s="1845">
        <f t="shared" si="259"/>
        <v>0</v>
      </c>
      <c r="O1257" s="1845"/>
      <c r="P1257" s="1845"/>
      <c r="Q1257" s="1056"/>
      <c r="R1257" s="1056"/>
      <c r="S1257" s="1056"/>
      <c r="T1257" s="2059">
        <f t="shared" si="252"/>
        <v>0</v>
      </c>
    </row>
    <row r="1258" spans="1:20" ht="22.15" hidden="1" customHeight="1">
      <c r="A1258" s="59"/>
      <c r="B1258" s="1586" t="s">
        <v>1376</v>
      </c>
      <c r="C1258" s="1015" t="str">
        <f t="shared" si="253"/>
        <v xml:space="preserve"> </v>
      </c>
      <c r="D1258" s="1544">
        <v>1</v>
      </c>
      <c r="E1258" s="1047"/>
      <c r="F1258" s="1059" t="str">
        <f>VLOOKUP($B1258,DG!A:D,DG!$C$2,)</f>
        <v xml:space="preserve">Móc treo chữ U </v>
      </c>
      <c r="G1258" s="1047" t="str">
        <f>VLOOKUP($B1258,DG!A:D,DG!$D$2,)</f>
        <v>cái</v>
      </c>
      <c r="H1258" s="1845">
        <f t="shared" si="259"/>
        <v>0</v>
      </c>
      <c r="I1258" s="1845">
        <f t="shared" si="259"/>
        <v>0</v>
      </c>
      <c r="J1258" s="1845">
        <f t="shared" si="259"/>
        <v>0</v>
      </c>
      <c r="K1258" s="1845">
        <f t="shared" si="259"/>
        <v>0</v>
      </c>
      <c r="L1258" s="1845">
        <f t="shared" si="259"/>
        <v>0</v>
      </c>
      <c r="M1258" s="1845">
        <f t="shared" si="259"/>
        <v>0</v>
      </c>
      <c r="N1258" s="1845">
        <f t="shared" si="259"/>
        <v>0</v>
      </c>
      <c r="O1258" s="1845"/>
      <c r="P1258" s="1845"/>
      <c r="Q1258" s="1056"/>
      <c r="R1258" s="1056"/>
      <c r="S1258" s="1056"/>
      <c r="T1258" s="2059">
        <f t="shared" si="252"/>
        <v>0</v>
      </c>
    </row>
    <row r="1259" spans="1:20" ht="22.15" hidden="1" customHeight="1">
      <c r="A1259" s="59"/>
      <c r="B1259" s="1605" t="s">
        <v>1897</v>
      </c>
      <c r="C1259" s="1015" t="str">
        <f t="shared" si="253"/>
        <v xml:space="preserve"> </v>
      </c>
      <c r="D1259" s="1544">
        <v>2</v>
      </c>
      <c r="E1259" s="1047"/>
      <c r="F1259" s="1059" t="str">
        <f>VLOOKUP($B1259,DG!A:D,DG!$C$2,)</f>
        <v>Boulon 16x100VRS+ 4 long đền vuông D18-50x50x3/Zn</v>
      </c>
      <c r="G1259" s="1047" t="str">
        <f>VLOOKUP($B1259,DG!A:D,DG!$D$2,)</f>
        <v>bộ</v>
      </c>
      <c r="H1259" s="1845">
        <f t="shared" si="259"/>
        <v>0</v>
      </c>
      <c r="I1259" s="1845">
        <f t="shared" si="259"/>
        <v>0</v>
      </c>
      <c r="J1259" s="1845">
        <f t="shared" si="259"/>
        <v>0</v>
      </c>
      <c r="K1259" s="1845">
        <f t="shared" si="259"/>
        <v>0</v>
      </c>
      <c r="L1259" s="1845">
        <f t="shared" si="259"/>
        <v>0</v>
      </c>
      <c r="M1259" s="1845">
        <f t="shared" si="259"/>
        <v>0</v>
      </c>
      <c r="N1259" s="1845">
        <f t="shared" si="259"/>
        <v>0</v>
      </c>
      <c r="O1259" s="1845"/>
      <c r="P1259" s="1845"/>
      <c r="Q1259" s="1056"/>
      <c r="R1259" s="1056"/>
      <c r="S1259" s="1056"/>
      <c r="T1259" s="2059">
        <f t="shared" ref="T1259:T1321" si="260">IFERROR(HLOOKUP(B1259,BangKeTru,3,0),0)</f>
        <v>0</v>
      </c>
    </row>
    <row r="1260" spans="1:20" ht="22.15" hidden="1" customHeight="1">
      <c r="A1260" s="59"/>
      <c r="B1260" s="1586" t="s">
        <v>2006</v>
      </c>
      <c r="C1260" s="1015" t="str">
        <f t="shared" si="253"/>
        <v xml:space="preserve"> </v>
      </c>
      <c r="D1260" s="1544">
        <v>2</v>
      </c>
      <c r="E1260" s="1047"/>
      <c r="F1260" s="1059" t="str">
        <f>VLOOKUP($B1260,DG!A:D,DG!$C$2,)</f>
        <v>Yếm cáp dày 2mm</v>
      </c>
      <c r="G1260" s="1047" t="str">
        <f>VLOOKUP($B1260,DG!A:D,DG!$D$2,)</f>
        <v>cái</v>
      </c>
      <c r="H1260" s="1845">
        <f t="shared" si="259"/>
        <v>0</v>
      </c>
      <c r="I1260" s="1845">
        <f t="shared" si="259"/>
        <v>0</v>
      </c>
      <c r="J1260" s="1845">
        <f t="shared" si="259"/>
        <v>0</v>
      </c>
      <c r="K1260" s="1845">
        <f t="shared" si="259"/>
        <v>0</v>
      </c>
      <c r="L1260" s="1845">
        <f t="shared" si="259"/>
        <v>0</v>
      </c>
      <c r="M1260" s="1845">
        <f t="shared" si="259"/>
        <v>0</v>
      </c>
      <c r="N1260" s="1845">
        <f t="shared" si="259"/>
        <v>0</v>
      </c>
      <c r="O1260" s="1845"/>
      <c r="P1260" s="1845"/>
      <c r="Q1260" s="1056"/>
      <c r="R1260" s="1056"/>
      <c r="S1260" s="1056"/>
      <c r="T1260" s="2059">
        <f t="shared" si="260"/>
        <v>0</v>
      </c>
    </row>
    <row r="1261" spans="1:20" ht="22.15" hidden="1" customHeight="1">
      <c r="A1261" s="59"/>
      <c r="B1261" s="1586" t="s">
        <v>2007</v>
      </c>
      <c r="C1261" s="1015" t="str">
        <f t="shared" si="253"/>
        <v xml:space="preserve"> </v>
      </c>
      <c r="D1261" s="1544">
        <v>1</v>
      </c>
      <c r="E1261" s="1047"/>
      <c r="F1261" s="1059" t="str">
        <f>VLOOKUP($B1261,DG!A:D,DG!$C$2,)</f>
        <v>Máng che dây chằng dày 1,6mm</v>
      </c>
      <c r="G1261" s="1047" t="str">
        <f>VLOOKUP($B1261,DG!A:D,DG!$D$2,)</f>
        <v>cái</v>
      </c>
      <c r="H1261" s="1845">
        <f t="shared" si="259"/>
        <v>0</v>
      </c>
      <c r="I1261" s="1845">
        <f t="shared" si="259"/>
        <v>0</v>
      </c>
      <c r="J1261" s="1845">
        <f t="shared" si="259"/>
        <v>0</v>
      </c>
      <c r="K1261" s="1845">
        <f t="shared" si="259"/>
        <v>0</v>
      </c>
      <c r="L1261" s="1845">
        <f t="shared" si="259"/>
        <v>0</v>
      </c>
      <c r="M1261" s="1845">
        <f t="shared" si="259"/>
        <v>0</v>
      </c>
      <c r="N1261" s="1845">
        <f t="shared" si="259"/>
        <v>0</v>
      </c>
      <c r="O1261" s="1845"/>
      <c r="P1261" s="1845"/>
      <c r="Q1261" s="1056"/>
      <c r="R1261" s="1056"/>
      <c r="S1261" s="1056"/>
      <c r="T1261" s="2059">
        <f t="shared" si="260"/>
        <v>0</v>
      </c>
    </row>
    <row r="1262" spans="1:20" ht="22.15" hidden="1" customHeight="1">
      <c r="A1262" s="59"/>
      <c r="B1262" s="1586" t="s">
        <v>1924</v>
      </c>
      <c r="C1262" s="1015" t="str">
        <f t="shared" si="253"/>
        <v xml:space="preserve"> </v>
      </c>
      <c r="D1262" s="1544">
        <v>1</v>
      </c>
      <c r="E1262" s="1047" t="str">
        <f>VLOOKUP($B1262,DG!A:D,DG!$B$2,)</f>
        <v>06.3241</v>
      </c>
      <c r="F1262" s="1052" t="str">
        <f>VLOOKUP($B1262,DG!A:D,DG!$C$2,)</f>
        <v>Lắp bộ dây néo</v>
      </c>
      <c r="G1262" s="1047" t="str">
        <f>VLOOKUP($B1262,DG!A:D,DG!$D$2,)</f>
        <v>bộ</v>
      </c>
      <c r="H1262" s="1845"/>
      <c r="I1262" s="1845"/>
      <c r="J1262" s="1845"/>
      <c r="K1262" s="1845"/>
      <c r="L1262" s="1845"/>
      <c r="M1262" s="1845"/>
      <c r="N1262" s="1845"/>
      <c r="O1262" s="1845"/>
      <c r="P1262" s="1845"/>
      <c r="Q1262" s="1061"/>
      <c r="R1262" s="1061"/>
      <c r="S1262" s="1061"/>
      <c r="T1262" s="2059">
        <f t="shared" si="260"/>
        <v>0</v>
      </c>
    </row>
    <row r="1263" spans="1:20" ht="22.15" hidden="1" customHeight="1">
      <c r="A1263" s="59"/>
      <c r="B1263" s="1586" t="s">
        <v>681</v>
      </c>
      <c r="C1263" s="1015" t="str">
        <f t="shared" si="253"/>
        <v xml:space="preserve"> </v>
      </c>
      <c r="D1263" s="1544">
        <v>1</v>
      </c>
      <c r="E1263" s="1047" t="str">
        <f>VLOOKUP($B1263,DG!A:D,DG!$B$2,)</f>
        <v>06.2110</v>
      </c>
      <c r="F1263" s="1052" t="str">
        <f>VLOOKUP($B1263,DG!A:D,DG!$C$2,)</f>
        <v>Lắp cổ dề</v>
      </c>
      <c r="G1263" s="1047" t="str">
        <f>VLOOKUP($B1263,DG!A:D,DG!$D$2,)</f>
        <v>cái</v>
      </c>
      <c r="H1263" s="1845"/>
      <c r="I1263" s="1845"/>
      <c r="J1263" s="1845"/>
      <c r="K1263" s="1845"/>
      <c r="L1263" s="1845"/>
      <c r="M1263" s="1845"/>
      <c r="N1263" s="1845"/>
      <c r="O1263" s="1845"/>
      <c r="P1263" s="1845"/>
      <c r="Q1263" s="1061"/>
      <c r="R1263" s="1061"/>
      <c r="S1263" s="1061"/>
      <c r="T1263" s="2059">
        <f t="shared" si="260"/>
        <v>0</v>
      </c>
    </row>
    <row r="1264" spans="1:20" ht="22.15" hidden="1" customHeight="1">
      <c r="A1264" s="59"/>
      <c r="B1264" s="1586" t="s">
        <v>1912</v>
      </c>
      <c r="C1264" s="1015" t="str">
        <f t="shared" si="253"/>
        <v xml:space="preserve"> </v>
      </c>
      <c r="D1264" s="1544">
        <v>1</v>
      </c>
      <c r="E1264" s="1047" t="str">
        <f>VLOOKUP($B1264,DG!A:D,DG!$B$2,)</f>
        <v>05.6011</v>
      </c>
      <c r="F1264" s="1052" t="str">
        <f>VLOOKUP($B1264,DG!A:D,DG!$C$2,)</f>
        <v>Lắp bộ chống lệch</v>
      </c>
      <c r="G1264" s="1047" t="str">
        <f>VLOOKUP($B1264,DG!A:D,DG!$D$2,)</f>
        <v>bộ</v>
      </c>
      <c r="H1264" s="1845"/>
      <c r="I1264" s="1845"/>
      <c r="J1264" s="1845"/>
      <c r="K1264" s="1845"/>
      <c r="L1264" s="1845"/>
      <c r="M1264" s="1845"/>
      <c r="N1264" s="1845"/>
      <c r="O1264" s="1845"/>
      <c r="P1264" s="1845"/>
      <c r="Q1264" s="1061"/>
      <c r="R1264" s="1061"/>
      <c r="S1264" s="1061"/>
      <c r="T1264" s="2059">
        <f t="shared" si="260"/>
        <v>0</v>
      </c>
    </row>
    <row r="1265" spans="1:20" ht="22.15" hidden="1" customHeight="1">
      <c r="A1265" s="59"/>
      <c r="B1265" s="1598" t="s">
        <v>356</v>
      </c>
      <c r="C1265" s="1015" t="str">
        <f t="shared" si="253"/>
        <v xml:space="preserve"> </v>
      </c>
      <c r="D1265" s="1543">
        <v>0.02</v>
      </c>
      <c r="E1265" s="1047" t="str">
        <f>VLOOKUP($B1265,DG!A:C,2,)</f>
        <v>02.1421</v>
      </c>
      <c r="F1265" s="1052" t="str">
        <f>VLOOKUP($B1265,DG!A:C,3,)</f>
        <v>V/c phụ kiện vào vị trí (cự ly &lt;=100m)</v>
      </c>
      <c r="G1265" s="1047" t="str">
        <f>VLOOKUP($B1265,DG!A:D,4,0)</f>
        <v>tấn</v>
      </c>
      <c r="H1265" s="1845"/>
      <c r="I1265" s="1845"/>
      <c r="J1265" s="1845"/>
      <c r="K1265" s="1845"/>
      <c r="L1265" s="1845"/>
      <c r="M1265" s="1845"/>
      <c r="N1265" s="1845"/>
      <c r="O1265" s="1845"/>
      <c r="P1265" s="1845"/>
      <c r="Q1265" s="1061"/>
      <c r="R1265" s="1061"/>
      <c r="S1265" s="1061"/>
      <c r="T1265" s="2059">
        <f t="shared" si="260"/>
        <v>0</v>
      </c>
    </row>
    <row r="1266" spans="1:20" ht="22.15" hidden="1" customHeight="1">
      <c r="A1266" s="63" t="s">
        <v>1087</v>
      </c>
      <c r="B1266" s="1583" t="s">
        <v>1087</v>
      </c>
      <c r="C1266" s="1015" t="str">
        <f t="shared" si="253"/>
        <v xml:space="preserve"> </v>
      </c>
      <c r="D1266" s="1541"/>
      <c r="E1266" s="1048"/>
      <c r="F1266" s="1396" t="s">
        <v>2488</v>
      </c>
      <c r="G1266" s="1049" t="s">
        <v>2394</v>
      </c>
      <c r="H1266" s="1843">
        <f>SUM(I1266:O1266)</f>
        <v>0</v>
      </c>
      <c r="I1266" s="1844"/>
      <c r="J1266" s="1844"/>
      <c r="K1266" s="1844">
        <f>IFERROR(HLOOKUP(B1266,pp3p1m!$1:$3,3,0),0)</f>
        <v>0</v>
      </c>
      <c r="L1266" s="1844">
        <f>IFERROR(HLOOKUP(chitiet!B1266,pp1p!$1:$3,3,0),0)</f>
        <v>0</v>
      </c>
      <c r="M1266" s="1844"/>
      <c r="N1266" s="1844"/>
      <c r="O1266" s="1844"/>
      <c r="P1266" s="1844">
        <f>H1266+Q1266-R1266</f>
        <v>0</v>
      </c>
      <c r="Q1266" s="1050"/>
      <c r="R1266" s="1050"/>
      <c r="S1266" s="1050"/>
      <c r="T1266" s="2059">
        <f>IFERROR(HLOOKUP(B1266,pp1p!$1:$3,3,0),0)+IFERROR(HLOOKUP(B1266,pp3p1m!$1:$3,3,0),0)</f>
        <v>0</v>
      </c>
    </row>
    <row r="1267" spans="1:20" ht="22.15" hidden="1" customHeight="1">
      <c r="A1267" s="59"/>
      <c r="B1267" s="1586" t="s">
        <v>669</v>
      </c>
      <c r="C1267" s="1015" t="str">
        <f t="shared" ref="C1267:C1330" si="261">IF(OR(P1267&lt;&gt;0,H1267&lt;&gt;0),"x"," ")</f>
        <v xml:space="preserve"> </v>
      </c>
      <c r="D1267" s="1544">
        <v>1</v>
      </c>
      <c r="E1267" s="1047"/>
      <c r="F1267" s="1059" t="str">
        <f>VLOOKUP($B1267,DG!A:D,DG!$C$2,)&amp;"-Fe8x100 nhuùng keõm"</f>
        <v>Cổ dê Ø 195 nẹp trụ-Fe8x100 nhuùng keõm</v>
      </c>
      <c r="G1267" s="1047" t="str">
        <f>VLOOKUP($B1267,DG!A:D,DG!$D$2,)</f>
        <v>bộ</v>
      </c>
      <c r="H1267" s="1845">
        <f t="shared" ref="H1267:N1267" si="262">H$1266*$D1267</f>
        <v>0</v>
      </c>
      <c r="I1267" s="1845">
        <f t="shared" si="262"/>
        <v>0</v>
      </c>
      <c r="J1267" s="1845">
        <f t="shared" si="262"/>
        <v>0</v>
      </c>
      <c r="K1267" s="1845">
        <f t="shared" si="262"/>
        <v>0</v>
      </c>
      <c r="L1267" s="1845">
        <f t="shared" si="262"/>
        <v>0</v>
      </c>
      <c r="M1267" s="1845">
        <f t="shared" si="262"/>
        <v>0</v>
      </c>
      <c r="N1267" s="1845">
        <f t="shared" si="262"/>
        <v>0</v>
      </c>
      <c r="O1267" s="1845"/>
      <c r="P1267" s="1845"/>
      <c r="Q1267" s="1056"/>
      <c r="R1267" s="1056"/>
      <c r="S1267" s="1056"/>
      <c r="T1267" s="2059">
        <f t="shared" si="260"/>
        <v>0</v>
      </c>
    </row>
    <row r="1268" spans="1:20" ht="22.15" hidden="1" customHeight="1">
      <c r="A1268" s="59"/>
      <c r="B1268" s="1586" t="s">
        <v>1471</v>
      </c>
      <c r="C1268" s="1015" t="str">
        <f t="shared" si="261"/>
        <v xml:space="preserve"> </v>
      </c>
      <c r="D1268" s="1544">
        <v>1</v>
      </c>
      <c r="E1268" s="1047"/>
      <c r="F1268" s="1059" t="str">
        <f>VLOOKUP($B1268,DG!A:D,DG!$C$2,)&amp;"-Fe8x100 nhuùng keõm"</f>
        <v>Cổ dê Ø 220 nẹp trụ-Fe8x100 nhuùng keõm</v>
      </c>
      <c r="G1268" s="1047" t="str">
        <f>VLOOKUP($B1268,DG!A:D,DG!$D$2,)</f>
        <v>bộ</v>
      </c>
      <c r="H1268" s="1845">
        <f t="shared" ref="H1268:N1268" si="263">H$1351*$D1268</f>
        <v>0</v>
      </c>
      <c r="I1268" s="1845">
        <f t="shared" si="263"/>
        <v>0</v>
      </c>
      <c r="J1268" s="1845">
        <f t="shared" si="263"/>
        <v>0</v>
      </c>
      <c r="K1268" s="1845">
        <f t="shared" si="263"/>
        <v>0</v>
      </c>
      <c r="L1268" s="1845">
        <f t="shared" si="263"/>
        <v>0</v>
      </c>
      <c r="M1268" s="1845">
        <f t="shared" si="263"/>
        <v>0</v>
      </c>
      <c r="N1268" s="1845">
        <f t="shared" si="263"/>
        <v>0</v>
      </c>
      <c r="O1268" s="1845"/>
      <c r="P1268" s="1845"/>
      <c r="Q1268" s="1056"/>
      <c r="R1268" s="1056"/>
      <c r="S1268" s="1056"/>
      <c r="T1268" s="2059">
        <f t="shared" si="260"/>
        <v>0</v>
      </c>
    </row>
    <row r="1269" spans="1:20" ht="22.15" hidden="1" customHeight="1">
      <c r="A1269" s="59"/>
      <c r="B1269" s="1586" t="s">
        <v>111</v>
      </c>
      <c r="C1269" s="1015" t="str">
        <f t="shared" si="261"/>
        <v xml:space="preserve"> </v>
      </c>
      <c r="D1269" s="1544">
        <v>2</v>
      </c>
      <c r="E1269" s="1047"/>
      <c r="F1269" s="1059" t="str">
        <f>VLOOKUP($B1269,DG!A:D,DG!$C$2,)</f>
        <v>Sứ chằng</v>
      </c>
      <c r="G1269" s="1047" t="str">
        <f>VLOOKUP($B1269,DG!A:D,DG!$D$2,)</f>
        <v>cái</v>
      </c>
      <c r="H1269" s="1845">
        <f t="shared" ref="H1269:N1276" si="264">H$1266*$D1269</f>
        <v>0</v>
      </c>
      <c r="I1269" s="1845">
        <f t="shared" si="264"/>
        <v>0</v>
      </c>
      <c r="J1269" s="1845">
        <f t="shared" si="264"/>
        <v>0</v>
      </c>
      <c r="K1269" s="1845">
        <f t="shared" si="264"/>
        <v>0</v>
      </c>
      <c r="L1269" s="1845">
        <f t="shared" si="264"/>
        <v>0</v>
      </c>
      <c r="M1269" s="1845">
        <f t="shared" si="264"/>
        <v>0</v>
      </c>
      <c r="N1269" s="1845">
        <f t="shared" si="264"/>
        <v>0</v>
      </c>
      <c r="O1269" s="1845"/>
      <c r="P1269" s="1845"/>
      <c r="Q1269" s="1056"/>
      <c r="R1269" s="1056"/>
      <c r="S1269" s="1056"/>
      <c r="T1269" s="2059">
        <f t="shared" si="260"/>
        <v>0</v>
      </c>
    </row>
    <row r="1270" spans="1:20" ht="22.15" hidden="1" customHeight="1">
      <c r="A1270" s="59"/>
      <c r="B1270" s="1586" t="s">
        <v>1583</v>
      </c>
      <c r="C1270" s="1015" t="str">
        <f t="shared" si="261"/>
        <v xml:space="preserve"> </v>
      </c>
      <c r="D1270" s="1544">
        <v>16</v>
      </c>
      <c r="E1270" s="1047"/>
      <c r="F1270" s="1059" t="str">
        <f>VLOOKUP($B1270,DG!A:D,DG!$C$2,)</f>
        <v>Kẹp cáp 3 boulon</v>
      </c>
      <c r="G1270" s="1047" t="str">
        <f>VLOOKUP($B1270,DG!A:D,DG!$D$2,)</f>
        <v>cái</v>
      </c>
      <c r="H1270" s="1845">
        <f t="shared" si="264"/>
        <v>0</v>
      </c>
      <c r="I1270" s="1845">
        <f t="shared" si="264"/>
        <v>0</v>
      </c>
      <c r="J1270" s="1845">
        <f t="shared" si="264"/>
        <v>0</v>
      </c>
      <c r="K1270" s="1845">
        <f t="shared" si="264"/>
        <v>0</v>
      </c>
      <c r="L1270" s="1845">
        <f t="shared" si="264"/>
        <v>0</v>
      </c>
      <c r="M1270" s="1845">
        <f t="shared" si="264"/>
        <v>0</v>
      </c>
      <c r="N1270" s="1845">
        <f t="shared" si="264"/>
        <v>0</v>
      </c>
      <c r="O1270" s="1845"/>
      <c r="P1270" s="1845"/>
      <c r="Q1270" s="1056"/>
      <c r="R1270" s="1056"/>
      <c r="S1270" s="1056"/>
      <c r="T1270" s="2059">
        <f t="shared" si="260"/>
        <v>0</v>
      </c>
    </row>
    <row r="1271" spans="1:20" ht="22.15" hidden="1" customHeight="1">
      <c r="A1271" s="59"/>
      <c r="B1271" s="1604" t="s">
        <v>1051</v>
      </c>
      <c r="C1271" s="1015" t="str">
        <f t="shared" si="261"/>
        <v xml:space="preserve"> </v>
      </c>
      <c r="D1271" s="1544">
        <v>26</v>
      </c>
      <c r="E1271" s="1047"/>
      <c r="F1271" s="1059" t="str">
        <f>VLOOKUP($B1271,DG!A:D,DG!$C$2,)</f>
        <v>Kẹp hotline 4/0</v>
      </c>
      <c r="G1271" s="1047" t="str">
        <f>VLOOKUP($B1271,DG!A:D,DG!$D$2,)</f>
        <v>cái</v>
      </c>
      <c r="H1271" s="1845">
        <f t="shared" si="264"/>
        <v>0</v>
      </c>
      <c r="I1271" s="1845">
        <f t="shared" si="264"/>
        <v>0</v>
      </c>
      <c r="J1271" s="1845">
        <f t="shared" si="264"/>
        <v>0</v>
      </c>
      <c r="K1271" s="1845">
        <f t="shared" si="264"/>
        <v>0</v>
      </c>
      <c r="L1271" s="1845">
        <f t="shared" si="264"/>
        <v>0</v>
      </c>
      <c r="M1271" s="1845">
        <f t="shared" si="264"/>
        <v>0</v>
      </c>
      <c r="N1271" s="1845">
        <f t="shared" si="264"/>
        <v>0</v>
      </c>
      <c r="O1271" s="1845"/>
      <c r="P1271" s="1845"/>
      <c r="Q1271" s="1056"/>
      <c r="R1271" s="1056"/>
      <c r="S1271" s="1056"/>
      <c r="T1271" s="2059">
        <f t="shared" si="260"/>
        <v>0</v>
      </c>
    </row>
    <row r="1272" spans="1:20" ht="22.15" hidden="1" customHeight="1">
      <c r="A1272" s="59"/>
      <c r="B1272" s="1586" t="s">
        <v>279</v>
      </c>
      <c r="C1272" s="1015" t="str">
        <f t="shared" si="261"/>
        <v xml:space="preserve"> </v>
      </c>
      <c r="D1272" s="1544">
        <v>4</v>
      </c>
      <c r="E1272" s="1047"/>
      <c r="F1272" s="1059" t="str">
        <f>VLOOKUP($B1272,DG!A:D,DG!$C$2,)</f>
        <v>Sắt dẹt 60 x 6</v>
      </c>
      <c r="G1272" s="1047" t="str">
        <f>VLOOKUP($B1272,DG!A:D,DG!$D$2,)</f>
        <v>kg</v>
      </c>
      <c r="H1272" s="1845">
        <f t="shared" si="264"/>
        <v>0</v>
      </c>
      <c r="I1272" s="1845">
        <f t="shared" si="264"/>
        <v>0</v>
      </c>
      <c r="J1272" s="1845">
        <f t="shared" si="264"/>
        <v>0</v>
      </c>
      <c r="K1272" s="1845">
        <f t="shared" si="264"/>
        <v>0</v>
      </c>
      <c r="L1272" s="1845">
        <f t="shared" si="264"/>
        <v>0</v>
      </c>
      <c r="M1272" s="1845">
        <f t="shared" si="264"/>
        <v>0</v>
      </c>
      <c r="N1272" s="1845">
        <f t="shared" si="264"/>
        <v>0</v>
      </c>
      <c r="O1272" s="1845"/>
      <c r="P1272" s="1845"/>
      <c r="Q1272" s="1056"/>
      <c r="R1272" s="1056"/>
      <c r="S1272" s="1056"/>
      <c r="T1272" s="2059">
        <f t="shared" si="260"/>
        <v>0</v>
      </c>
    </row>
    <row r="1273" spans="1:20" ht="22.15" hidden="1" customHeight="1">
      <c r="A1273" s="59"/>
      <c r="B1273" s="1586" t="s">
        <v>1376</v>
      </c>
      <c r="C1273" s="1015" t="str">
        <f t="shared" si="261"/>
        <v xml:space="preserve"> </v>
      </c>
      <c r="D1273" s="1544">
        <v>2</v>
      </c>
      <c r="E1273" s="1047"/>
      <c r="F1273" s="1059" t="str">
        <f>VLOOKUP($B1273,DG!A:D,DG!$C$2,)</f>
        <v xml:space="preserve">Móc treo chữ U </v>
      </c>
      <c r="G1273" s="1047" t="str">
        <f>VLOOKUP($B1273,DG!A:D,DG!$D$2,)</f>
        <v>cái</v>
      </c>
      <c r="H1273" s="1845">
        <f t="shared" si="264"/>
        <v>0</v>
      </c>
      <c r="I1273" s="1845">
        <f t="shared" si="264"/>
        <v>0</v>
      </c>
      <c r="J1273" s="1845">
        <f t="shared" si="264"/>
        <v>0</v>
      </c>
      <c r="K1273" s="1845">
        <f t="shared" si="264"/>
        <v>0</v>
      </c>
      <c r="L1273" s="1845">
        <f t="shared" si="264"/>
        <v>0</v>
      </c>
      <c r="M1273" s="1845">
        <f t="shared" si="264"/>
        <v>0</v>
      </c>
      <c r="N1273" s="1845">
        <f t="shared" si="264"/>
        <v>0</v>
      </c>
      <c r="O1273" s="1845"/>
      <c r="P1273" s="1845"/>
      <c r="Q1273" s="1056"/>
      <c r="R1273" s="1056"/>
      <c r="S1273" s="1056"/>
      <c r="T1273" s="2059">
        <f t="shared" si="260"/>
        <v>0</v>
      </c>
    </row>
    <row r="1274" spans="1:20" ht="22.15" hidden="1" customHeight="1">
      <c r="A1274" s="59"/>
      <c r="B1274" s="1605" t="s">
        <v>1897</v>
      </c>
      <c r="C1274" s="1015" t="str">
        <f t="shared" si="261"/>
        <v xml:space="preserve"> </v>
      </c>
      <c r="D1274" s="1544">
        <v>4</v>
      </c>
      <c r="E1274" s="1047"/>
      <c r="F1274" s="1059" t="str">
        <f>VLOOKUP($B1274,DG!A:D,DG!$C$2,)</f>
        <v>Boulon 16x100VRS+ 4 long đền vuông D18-50x50x3/Zn</v>
      </c>
      <c r="G1274" s="1047" t="str">
        <f>VLOOKUP($B1274,DG!A:D,DG!$D$2,)</f>
        <v>bộ</v>
      </c>
      <c r="H1274" s="1845">
        <f t="shared" si="264"/>
        <v>0</v>
      </c>
      <c r="I1274" s="1845">
        <f t="shared" si="264"/>
        <v>0</v>
      </c>
      <c r="J1274" s="1845">
        <f t="shared" si="264"/>
        <v>0</v>
      </c>
      <c r="K1274" s="1845">
        <f t="shared" si="264"/>
        <v>0</v>
      </c>
      <c r="L1274" s="1845">
        <f t="shared" si="264"/>
        <v>0</v>
      </c>
      <c r="M1274" s="1845">
        <f t="shared" si="264"/>
        <v>0</v>
      </c>
      <c r="N1274" s="1845">
        <f t="shared" si="264"/>
        <v>0</v>
      </c>
      <c r="O1274" s="1845"/>
      <c r="P1274" s="1845"/>
      <c r="Q1274" s="1056"/>
      <c r="R1274" s="1056"/>
      <c r="S1274" s="1056"/>
      <c r="T1274" s="2059">
        <f t="shared" si="260"/>
        <v>0</v>
      </c>
    </row>
    <row r="1275" spans="1:20" ht="22.15" hidden="1" customHeight="1">
      <c r="A1275" s="59"/>
      <c r="B1275" s="1586" t="s">
        <v>2006</v>
      </c>
      <c r="C1275" s="1015" t="str">
        <f t="shared" si="261"/>
        <v xml:space="preserve"> </v>
      </c>
      <c r="D1275" s="1544">
        <v>4</v>
      </c>
      <c r="E1275" s="1047"/>
      <c r="F1275" s="1059" t="str">
        <f>VLOOKUP($B1275,DG!A:D,DG!$C$2,)</f>
        <v>Yếm cáp dày 2mm</v>
      </c>
      <c r="G1275" s="1047" t="str">
        <f>VLOOKUP($B1275,DG!A:D,DG!$D$2,)</f>
        <v>cái</v>
      </c>
      <c r="H1275" s="1845">
        <f t="shared" si="264"/>
        <v>0</v>
      </c>
      <c r="I1275" s="1845">
        <f t="shared" si="264"/>
        <v>0</v>
      </c>
      <c r="J1275" s="1845">
        <f t="shared" si="264"/>
        <v>0</v>
      </c>
      <c r="K1275" s="1845">
        <f t="shared" si="264"/>
        <v>0</v>
      </c>
      <c r="L1275" s="1845">
        <f t="shared" si="264"/>
        <v>0</v>
      </c>
      <c r="M1275" s="1845">
        <f t="shared" si="264"/>
        <v>0</v>
      </c>
      <c r="N1275" s="1845">
        <f t="shared" si="264"/>
        <v>0</v>
      </c>
      <c r="O1275" s="1845"/>
      <c r="P1275" s="1845"/>
      <c r="Q1275" s="1056"/>
      <c r="R1275" s="1056"/>
      <c r="S1275" s="1056"/>
      <c r="T1275" s="2059">
        <f t="shared" si="260"/>
        <v>0</v>
      </c>
    </row>
    <row r="1276" spans="1:20" ht="22.15" hidden="1" customHeight="1">
      <c r="A1276" s="59"/>
      <c r="B1276" s="1586" t="s">
        <v>2007</v>
      </c>
      <c r="C1276" s="1015" t="str">
        <f t="shared" si="261"/>
        <v xml:space="preserve"> </v>
      </c>
      <c r="D1276" s="1544">
        <v>2</v>
      </c>
      <c r="E1276" s="1047"/>
      <c r="F1276" s="1059" t="str">
        <f>VLOOKUP($B1276,DG!A:D,DG!$C$2,)</f>
        <v>Máng che dây chằng dày 1,6mm</v>
      </c>
      <c r="G1276" s="1047" t="str">
        <f>VLOOKUP($B1276,DG!A:D,DG!$D$2,)</f>
        <v>cái</v>
      </c>
      <c r="H1276" s="1845">
        <f t="shared" si="264"/>
        <v>0</v>
      </c>
      <c r="I1276" s="1845">
        <f t="shared" si="264"/>
        <v>0</v>
      </c>
      <c r="J1276" s="1845">
        <f t="shared" si="264"/>
        <v>0</v>
      </c>
      <c r="K1276" s="1845">
        <f t="shared" si="264"/>
        <v>0</v>
      </c>
      <c r="L1276" s="1845">
        <f t="shared" si="264"/>
        <v>0</v>
      </c>
      <c r="M1276" s="1845">
        <f t="shared" si="264"/>
        <v>0</v>
      </c>
      <c r="N1276" s="1845">
        <f t="shared" si="264"/>
        <v>0</v>
      </c>
      <c r="O1276" s="1845"/>
      <c r="P1276" s="1845"/>
      <c r="Q1276" s="1056"/>
      <c r="R1276" s="1056"/>
      <c r="S1276" s="1056"/>
      <c r="T1276" s="2059">
        <f t="shared" si="260"/>
        <v>0</v>
      </c>
    </row>
    <row r="1277" spans="1:20" ht="22.15" hidden="1" customHeight="1">
      <c r="A1277" s="59"/>
      <c r="B1277" s="1586" t="s">
        <v>1924</v>
      </c>
      <c r="C1277" s="1015" t="str">
        <f t="shared" si="261"/>
        <v xml:space="preserve"> </v>
      </c>
      <c r="D1277" s="1544">
        <v>2</v>
      </c>
      <c r="E1277" s="1047" t="str">
        <f>VLOOKUP($B1277,DG!A:D,DG!$B$2,)</f>
        <v>06.3241</v>
      </c>
      <c r="F1277" s="1052" t="str">
        <f>VLOOKUP($B1277,DG!A:D,DG!$C$2,)</f>
        <v>Lắp bộ dây néo</v>
      </c>
      <c r="G1277" s="1047" t="str">
        <f>VLOOKUP($B1277,DG!A:D,DG!$D$2,)</f>
        <v>bộ</v>
      </c>
      <c r="H1277" s="1845"/>
      <c r="I1277" s="1845"/>
      <c r="J1277" s="1845"/>
      <c r="K1277" s="1845"/>
      <c r="L1277" s="1845"/>
      <c r="M1277" s="1845"/>
      <c r="N1277" s="1845"/>
      <c r="O1277" s="1845"/>
      <c r="P1277" s="1845"/>
      <c r="Q1277" s="1061"/>
      <c r="R1277" s="1061"/>
      <c r="S1277" s="1061"/>
      <c r="T1277" s="2059">
        <f t="shared" si="260"/>
        <v>0</v>
      </c>
    </row>
    <row r="1278" spans="1:20" ht="22.15" hidden="1" customHeight="1">
      <c r="A1278" s="59"/>
      <c r="B1278" s="1586" t="s">
        <v>681</v>
      </c>
      <c r="C1278" s="1015" t="str">
        <f t="shared" si="261"/>
        <v xml:space="preserve"> </v>
      </c>
      <c r="D1278" s="1544">
        <v>2</v>
      </c>
      <c r="E1278" s="1047" t="str">
        <f>VLOOKUP($B1278,DG!A:D,DG!$B$2,)</f>
        <v>06.2110</v>
      </c>
      <c r="F1278" s="1052" t="str">
        <f>VLOOKUP($B1278,DG!A:D,DG!$C$2,)</f>
        <v>Lắp cổ dề</v>
      </c>
      <c r="G1278" s="1047" t="str">
        <f>VLOOKUP($B1278,DG!A:D,DG!$D$2,)</f>
        <v>cái</v>
      </c>
      <c r="H1278" s="1845"/>
      <c r="I1278" s="1845"/>
      <c r="J1278" s="1845"/>
      <c r="K1278" s="1845"/>
      <c r="L1278" s="1845"/>
      <c r="M1278" s="1845"/>
      <c r="N1278" s="1845"/>
      <c r="O1278" s="1845"/>
      <c r="P1278" s="1845"/>
      <c r="Q1278" s="1061"/>
      <c r="R1278" s="1061"/>
      <c r="S1278" s="1061"/>
      <c r="T1278" s="2059">
        <f t="shared" si="260"/>
        <v>0</v>
      </c>
    </row>
    <row r="1279" spans="1:20" ht="22.15" hidden="1" customHeight="1">
      <c r="A1279" s="59"/>
      <c r="B1279" s="1598" t="s">
        <v>356</v>
      </c>
      <c r="C1279" s="1015" t="str">
        <f t="shared" si="261"/>
        <v xml:space="preserve"> </v>
      </c>
      <c r="D1279" s="1543">
        <v>0.02</v>
      </c>
      <c r="E1279" s="1047" t="str">
        <f>VLOOKUP($B1279,DG!A:C,2,)</f>
        <v>02.1421</v>
      </c>
      <c r="F1279" s="1052" t="str">
        <f>VLOOKUP($B1279,DG!A:C,3,)</f>
        <v>V/c phụ kiện vào vị trí (cự ly &lt;=100m)</v>
      </c>
      <c r="G1279" s="1047" t="str">
        <f>VLOOKUP($B1279,DG!A:D,4,0)</f>
        <v>tấn</v>
      </c>
      <c r="H1279" s="1845"/>
      <c r="I1279" s="1845"/>
      <c r="J1279" s="1845"/>
      <c r="K1279" s="1845"/>
      <c r="L1279" s="1845"/>
      <c r="M1279" s="1845"/>
      <c r="N1279" s="1845"/>
      <c r="O1279" s="1845"/>
      <c r="P1279" s="1845"/>
      <c r="Q1279" s="1061"/>
      <c r="R1279" s="1061"/>
      <c r="S1279" s="1061"/>
      <c r="T1279" s="2059">
        <f t="shared" si="260"/>
        <v>0</v>
      </c>
    </row>
    <row r="1280" spans="1:20" ht="22.15" hidden="1" customHeight="1">
      <c r="A1280" s="56" t="s">
        <v>1088</v>
      </c>
      <c r="B1280" s="1583" t="s">
        <v>1088</v>
      </c>
      <c r="C1280" s="1015" t="str">
        <f t="shared" si="261"/>
        <v xml:space="preserve"> </v>
      </c>
      <c r="D1280" s="1541"/>
      <c r="E1280" s="1048"/>
      <c r="F1280" s="1396" t="s">
        <v>2489</v>
      </c>
      <c r="G1280" s="1049" t="s">
        <v>2394</v>
      </c>
      <c r="H1280" s="1843">
        <f>SUM(I1280:O1280)</f>
        <v>0</v>
      </c>
      <c r="I1280" s="1844"/>
      <c r="J1280" s="1844"/>
      <c r="K1280" s="1844">
        <f>IFERROR(HLOOKUP(B1280,pp3p1m!$1:$3,3,0),0)</f>
        <v>0</v>
      </c>
      <c r="L1280" s="1844">
        <f>IFERROR(HLOOKUP(chitiet!B1280,pp1p!$1:$3,3,0),0)</f>
        <v>0</v>
      </c>
      <c r="M1280" s="1844"/>
      <c r="N1280" s="1844"/>
      <c r="O1280" s="1844"/>
      <c r="P1280" s="1844">
        <f>H1280+Q1280-R1280</f>
        <v>0</v>
      </c>
      <c r="Q1280" s="1050"/>
      <c r="R1280" s="1050"/>
      <c r="S1280" s="1050"/>
      <c r="T1280" s="2059">
        <f>IFERROR(HLOOKUP(B1280,pp1p!$1:$3,3,0),0)+IFERROR(HLOOKUP(B1280,pp3p1m!$1:$3,3,0),0)</f>
        <v>0</v>
      </c>
    </row>
    <row r="1281" spans="1:20" ht="22.15" hidden="1" customHeight="1">
      <c r="A1281" s="59"/>
      <c r="B1281" s="1586" t="s">
        <v>669</v>
      </c>
      <c r="C1281" s="1015" t="str">
        <f t="shared" si="261"/>
        <v xml:space="preserve"> </v>
      </c>
      <c r="D1281" s="1544">
        <v>1</v>
      </c>
      <c r="E1281" s="1047"/>
      <c r="F1281" s="1059" t="str">
        <f>VLOOKUP($B1281,DG!A:D,DG!$C$2,)&amp;"-Fe8x100 nhuùng keõm"</f>
        <v>Cổ dê Ø 195 nẹp trụ-Fe8x100 nhuùng keõm</v>
      </c>
      <c r="G1281" s="1047" t="str">
        <f>VLOOKUP($B1281,DG!A:D,DG!$D$2,)</f>
        <v>bộ</v>
      </c>
      <c r="H1281" s="1845">
        <f t="shared" ref="H1281:N1289" si="265">H$1280*$D1281</f>
        <v>0</v>
      </c>
      <c r="I1281" s="1845">
        <f t="shared" si="265"/>
        <v>0</v>
      </c>
      <c r="J1281" s="1845">
        <f t="shared" si="265"/>
        <v>0</v>
      </c>
      <c r="K1281" s="1845">
        <f t="shared" si="265"/>
        <v>0</v>
      </c>
      <c r="L1281" s="1845">
        <f t="shared" si="265"/>
        <v>0</v>
      </c>
      <c r="M1281" s="1845">
        <f t="shared" si="265"/>
        <v>0</v>
      </c>
      <c r="N1281" s="1845">
        <f t="shared" si="265"/>
        <v>0</v>
      </c>
      <c r="O1281" s="1845"/>
      <c r="P1281" s="1845"/>
      <c r="Q1281" s="1056"/>
      <c r="R1281" s="1056"/>
      <c r="S1281" s="1056"/>
      <c r="T1281" s="2059">
        <f t="shared" si="260"/>
        <v>0</v>
      </c>
    </row>
    <row r="1282" spans="1:20" ht="22.15" hidden="1" customHeight="1">
      <c r="A1282" s="59"/>
      <c r="B1282" s="1586" t="s">
        <v>111</v>
      </c>
      <c r="C1282" s="1015" t="str">
        <f t="shared" si="261"/>
        <v xml:space="preserve"> </v>
      </c>
      <c r="D1282" s="1544">
        <v>1</v>
      </c>
      <c r="E1282" s="1047"/>
      <c r="F1282" s="1059" t="str">
        <f>VLOOKUP($B1282,DG!A:D,DG!$C$2,)</f>
        <v>Sứ chằng</v>
      </c>
      <c r="G1282" s="1047" t="str">
        <f>VLOOKUP($B1282,DG!A:D,DG!$D$2,)</f>
        <v>cái</v>
      </c>
      <c r="H1282" s="1845">
        <f t="shared" si="265"/>
        <v>0</v>
      </c>
      <c r="I1282" s="1845">
        <f t="shared" si="265"/>
        <v>0</v>
      </c>
      <c r="J1282" s="1845">
        <f t="shared" si="265"/>
        <v>0</v>
      </c>
      <c r="K1282" s="1845">
        <f t="shared" si="265"/>
        <v>0</v>
      </c>
      <c r="L1282" s="1845">
        <f t="shared" si="265"/>
        <v>0</v>
      </c>
      <c r="M1282" s="1845">
        <f t="shared" si="265"/>
        <v>0</v>
      </c>
      <c r="N1282" s="1845">
        <f t="shared" si="265"/>
        <v>0</v>
      </c>
      <c r="O1282" s="1845"/>
      <c r="P1282" s="1845"/>
      <c r="Q1282" s="1056"/>
      <c r="R1282" s="1056"/>
      <c r="S1282" s="1056"/>
      <c r="T1282" s="2059">
        <f t="shared" si="260"/>
        <v>0</v>
      </c>
    </row>
    <row r="1283" spans="1:20" ht="22.15" hidden="1" customHeight="1">
      <c r="A1283" s="59"/>
      <c r="B1283" s="1586" t="s">
        <v>1583</v>
      </c>
      <c r="C1283" s="1015" t="str">
        <f t="shared" si="261"/>
        <v xml:space="preserve"> </v>
      </c>
      <c r="D1283" s="1544">
        <v>8</v>
      </c>
      <c r="E1283" s="1047"/>
      <c r="F1283" s="1059" t="str">
        <f>VLOOKUP($B1283,DG!A:D,DG!$C$2,)</f>
        <v>Kẹp cáp 3 boulon</v>
      </c>
      <c r="G1283" s="1047" t="str">
        <f>VLOOKUP($B1283,DG!A:D,DG!$D$2,)</f>
        <v>cái</v>
      </c>
      <c r="H1283" s="1845">
        <f t="shared" si="265"/>
        <v>0</v>
      </c>
      <c r="I1283" s="1845">
        <f t="shared" si="265"/>
        <v>0</v>
      </c>
      <c r="J1283" s="1845">
        <f t="shared" si="265"/>
        <v>0</v>
      </c>
      <c r="K1283" s="1845">
        <f t="shared" si="265"/>
        <v>0</v>
      </c>
      <c r="L1283" s="1845">
        <f t="shared" si="265"/>
        <v>0</v>
      </c>
      <c r="M1283" s="1845">
        <f t="shared" si="265"/>
        <v>0</v>
      </c>
      <c r="N1283" s="1845">
        <f t="shared" si="265"/>
        <v>0</v>
      </c>
      <c r="O1283" s="1845"/>
      <c r="P1283" s="1845"/>
      <c r="Q1283" s="1056"/>
      <c r="R1283" s="1056"/>
      <c r="S1283" s="1056"/>
      <c r="T1283" s="2059">
        <f t="shared" si="260"/>
        <v>0</v>
      </c>
    </row>
    <row r="1284" spans="1:20" ht="22.15" hidden="1" customHeight="1">
      <c r="A1284" s="59"/>
      <c r="B1284" s="1604" t="s">
        <v>1051</v>
      </c>
      <c r="C1284" s="1015" t="str">
        <f t="shared" si="261"/>
        <v xml:space="preserve"> </v>
      </c>
      <c r="D1284" s="1544">
        <v>17</v>
      </c>
      <c r="E1284" s="1047"/>
      <c r="F1284" s="1059" t="str">
        <f>VLOOKUP($B1284,DG!A:D,DG!$C$2,)</f>
        <v>Kẹp hotline 4/0</v>
      </c>
      <c r="G1284" s="1047" t="str">
        <f>VLOOKUP($B1284,DG!A:D,DG!$D$2,)</f>
        <v>cái</v>
      </c>
      <c r="H1284" s="1845">
        <f t="shared" si="265"/>
        <v>0</v>
      </c>
      <c r="I1284" s="1845">
        <f t="shared" si="265"/>
        <v>0</v>
      </c>
      <c r="J1284" s="1845">
        <f t="shared" si="265"/>
        <v>0</v>
      </c>
      <c r="K1284" s="1845">
        <f t="shared" si="265"/>
        <v>0</v>
      </c>
      <c r="L1284" s="1845">
        <f t="shared" si="265"/>
        <v>0</v>
      </c>
      <c r="M1284" s="1845">
        <f t="shared" si="265"/>
        <v>0</v>
      </c>
      <c r="N1284" s="1845">
        <f t="shared" si="265"/>
        <v>0</v>
      </c>
      <c r="O1284" s="1845"/>
      <c r="P1284" s="1845"/>
      <c r="Q1284" s="1056"/>
      <c r="R1284" s="1056"/>
      <c r="S1284" s="1056"/>
      <c r="T1284" s="2059">
        <f t="shared" si="260"/>
        <v>0</v>
      </c>
    </row>
    <row r="1285" spans="1:20" ht="22.15" hidden="1" customHeight="1">
      <c r="A1285" s="59"/>
      <c r="B1285" s="1586" t="s">
        <v>279</v>
      </c>
      <c r="C1285" s="1015" t="str">
        <f t="shared" si="261"/>
        <v xml:space="preserve"> </v>
      </c>
      <c r="D1285" s="1544">
        <v>2</v>
      </c>
      <c r="E1285" s="1047"/>
      <c r="F1285" s="1059" t="str">
        <f>VLOOKUP($B1285,DG!A:D,DG!$C$2,)</f>
        <v>Sắt dẹt 60 x 6</v>
      </c>
      <c r="G1285" s="1047" t="str">
        <f>VLOOKUP($B1285,DG!A:D,DG!$D$2,)</f>
        <v>kg</v>
      </c>
      <c r="H1285" s="1845">
        <f t="shared" si="265"/>
        <v>0</v>
      </c>
      <c r="I1285" s="1845">
        <f t="shared" si="265"/>
        <v>0</v>
      </c>
      <c r="J1285" s="1845">
        <f t="shared" si="265"/>
        <v>0</v>
      </c>
      <c r="K1285" s="1845">
        <f t="shared" si="265"/>
        <v>0</v>
      </c>
      <c r="L1285" s="1845">
        <f t="shared" si="265"/>
        <v>0</v>
      </c>
      <c r="M1285" s="1845">
        <f t="shared" si="265"/>
        <v>0</v>
      </c>
      <c r="N1285" s="1845">
        <f t="shared" si="265"/>
        <v>0</v>
      </c>
      <c r="O1285" s="1845"/>
      <c r="P1285" s="1845"/>
      <c r="Q1285" s="1056"/>
      <c r="R1285" s="1056"/>
      <c r="S1285" s="1056"/>
      <c r="T1285" s="2059">
        <f t="shared" si="260"/>
        <v>0</v>
      </c>
    </row>
    <row r="1286" spans="1:20" ht="22.15" hidden="1" customHeight="1">
      <c r="A1286" s="59"/>
      <c r="B1286" s="1586" t="s">
        <v>1376</v>
      </c>
      <c r="C1286" s="1015" t="str">
        <f t="shared" si="261"/>
        <v xml:space="preserve"> </v>
      </c>
      <c r="D1286" s="1544">
        <v>1</v>
      </c>
      <c r="E1286" s="1047"/>
      <c r="F1286" s="1059" t="str">
        <f>VLOOKUP($B1286,DG!A:D,DG!$C$2,)</f>
        <v xml:space="preserve">Móc treo chữ U </v>
      </c>
      <c r="G1286" s="1047" t="str">
        <f>VLOOKUP($B1286,DG!A:D,DG!$D$2,)</f>
        <v>cái</v>
      </c>
      <c r="H1286" s="1845">
        <f t="shared" si="265"/>
        <v>0</v>
      </c>
      <c r="I1286" s="1845">
        <f t="shared" si="265"/>
        <v>0</v>
      </c>
      <c r="J1286" s="1845">
        <f t="shared" si="265"/>
        <v>0</v>
      </c>
      <c r="K1286" s="1845">
        <f t="shared" si="265"/>
        <v>0</v>
      </c>
      <c r="L1286" s="1845">
        <f t="shared" si="265"/>
        <v>0</v>
      </c>
      <c r="M1286" s="1845">
        <f t="shared" si="265"/>
        <v>0</v>
      </c>
      <c r="N1286" s="1845">
        <f t="shared" si="265"/>
        <v>0</v>
      </c>
      <c r="O1286" s="1845"/>
      <c r="P1286" s="1845"/>
      <c r="Q1286" s="1056"/>
      <c r="R1286" s="1056"/>
      <c r="S1286" s="1056"/>
      <c r="T1286" s="2059">
        <f t="shared" si="260"/>
        <v>0</v>
      </c>
    </row>
    <row r="1287" spans="1:20" ht="22.15" hidden="1" customHeight="1">
      <c r="A1287" s="59"/>
      <c r="B1287" s="1605" t="s">
        <v>1897</v>
      </c>
      <c r="C1287" s="1015" t="str">
        <f t="shared" si="261"/>
        <v xml:space="preserve"> </v>
      </c>
      <c r="D1287" s="1544">
        <v>2</v>
      </c>
      <c r="E1287" s="1047"/>
      <c r="F1287" s="1059" t="str">
        <f>VLOOKUP($B1287,DG!A:D,DG!$C$2,)</f>
        <v>Boulon 16x100VRS+ 4 long đền vuông D18-50x50x3/Zn</v>
      </c>
      <c r="G1287" s="1047" t="str">
        <f>VLOOKUP($B1287,DG!A:D,DG!$D$2,)</f>
        <v>bộ</v>
      </c>
      <c r="H1287" s="1845">
        <f t="shared" si="265"/>
        <v>0</v>
      </c>
      <c r="I1287" s="1845">
        <f t="shared" si="265"/>
        <v>0</v>
      </c>
      <c r="J1287" s="1845">
        <f t="shared" si="265"/>
        <v>0</v>
      </c>
      <c r="K1287" s="1845">
        <f t="shared" si="265"/>
        <v>0</v>
      </c>
      <c r="L1287" s="1845">
        <f t="shared" si="265"/>
        <v>0</v>
      </c>
      <c r="M1287" s="1845">
        <f t="shared" si="265"/>
        <v>0</v>
      </c>
      <c r="N1287" s="1845">
        <f t="shared" si="265"/>
        <v>0</v>
      </c>
      <c r="O1287" s="1845"/>
      <c r="P1287" s="1845"/>
      <c r="Q1287" s="1056"/>
      <c r="R1287" s="1056"/>
      <c r="S1287" s="1056"/>
      <c r="T1287" s="2059">
        <f t="shared" si="260"/>
        <v>0</v>
      </c>
    </row>
    <row r="1288" spans="1:20" ht="22.15" hidden="1" customHeight="1">
      <c r="A1288" s="59"/>
      <c r="B1288" s="1586" t="s">
        <v>2006</v>
      </c>
      <c r="C1288" s="1015" t="str">
        <f t="shared" si="261"/>
        <v xml:space="preserve"> </v>
      </c>
      <c r="D1288" s="1544">
        <v>2</v>
      </c>
      <c r="E1288" s="1047"/>
      <c r="F1288" s="1059" t="str">
        <f>VLOOKUP($B1288,DG!A:D,DG!$C$2,)</f>
        <v>Yếm cáp dày 2mm</v>
      </c>
      <c r="G1288" s="1047" t="str">
        <f>VLOOKUP($B1288,DG!A:D,DG!$D$2,)</f>
        <v>cái</v>
      </c>
      <c r="H1288" s="1845">
        <f t="shared" si="265"/>
        <v>0</v>
      </c>
      <c r="I1288" s="1845">
        <f t="shared" si="265"/>
        <v>0</v>
      </c>
      <c r="J1288" s="1845">
        <f t="shared" si="265"/>
        <v>0</v>
      </c>
      <c r="K1288" s="1845">
        <f t="shared" si="265"/>
        <v>0</v>
      </c>
      <c r="L1288" s="1845">
        <f t="shared" si="265"/>
        <v>0</v>
      </c>
      <c r="M1288" s="1845">
        <f t="shared" si="265"/>
        <v>0</v>
      </c>
      <c r="N1288" s="1845">
        <f t="shared" si="265"/>
        <v>0</v>
      </c>
      <c r="O1288" s="1845"/>
      <c r="P1288" s="1845"/>
      <c r="Q1288" s="1056"/>
      <c r="R1288" s="1056"/>
      <c r="S1288" s="1056"/>
      <c r="T1288" s="2059">
        <f t="shared" si="260"/>
        <v>0</v>
      </c>
    </row>
    <row r="1289" spans="1:20" ht="22.15" hidden="1" customHeight="1">
      <c r="A1289" s="59"/>
      <c r="B1289" s="1586" t="s">
        <v>2007</v>
      </c>
      <c r="C1289" s="1015" t="str">
        <f t="shared" si="261"/>
        <v xml:space="preserve"> </v>
      </c>
      <c r="D1289" s="1544">
        <v>1</v>
      </c>
      <c r="E1289" s="1047"/>
      <c r="F1289" s="1059" t="str">
        <f>VLOOKUP($B1289,DG!A:D,DG!$C$2,)</f>
        <v>Máng che dây chằng dày 1,6mm</v>
      </c>
      <c r="G1289" s="1047" t="str">
        <f>VLOOKUP($B1289,DG!A:D,DG!$D$2,)</f>
        <v>cái</v>
      </c>
      <c r="H1289" s="1845">
        <f t="shared" si="265"/>
        <v>0</v>
      </c>
      <c r="I1289" s="1845">
        <f t="shared" si="265"/>
        <v>0</v>
      </c>
      <c r="J1289" s="1845">
        <f t="shared" si="265"/>
        <v>0</v>
      </c>
      <c r="K1289" s="1845">
        <f t="shared" si="265"/>
        <v>0</v>
      </c>
      <c r="L1289" s="1845">
        <f t="shared" si="265"/>
        <v>0</v>
      </c>
      <c r="M1289" s="1845">
        <f t="shared" si="265"/>
        <v>0</v>
      </c>
      <c r="N1289" s="1845">
        <f t="shared" si="265"/>
        <v>0</v>
      </c>
      <c r="O1289" s="1845"/>
      <c r="P1289" s="1845"/>
      <c r="Q1289" s="1056"/>
      <c r="R1289" s="1056"/>
      <c r="S1289" s="1056"/>
      <c r="T1289" s="2059">
        <f t="shared" si="260"/>
        <v>0</v>
      </c>
    </row>
    <row r="1290" spans="1:20" ht="22.15" hidden="1" customHeight="1">
      <c r="A1290" s="59"/>
      <c r="B1290" s="1586" t="s">
        <v>1924</v>
      </c>
      <c r="C1290" s="1015" t="str">
        <f t="shared" si="261"/>
        <v xml:space="preserve"> </v>
      </c>
      <c r="D1290" s="1544">
        <f>D1281</f>
        <v>1</v>
      </c>
      <c r="E1290" s="1047" t="str">
        <f>VLOOKUP($B1290,DG!A:D,DG!$B$2,)</f>
        <v>06.3241</v>
      </c>
      <c r="F1290" s="1052" t="str">
        <f>VLOOKUP($B1290,DG!A:D,DG!$C$2,)</f>
        <v>Lắp bộ dây néo</v>
      </c>
      <c r="G1290" s="1047" t="str">
        <f>VLOOKUP($B1290,DG!A:D,DG!$D$2,)</f>
        <v>bộ</v>
      </c>
      <c r="H1290" s="1845"/>
      <c r="I1290" s="1845"/>
      <c r="J1290" s="1845"/>
      <c r="K1290" s="1845"/>
      <c r="L1290" s="1845"/>
      <c r="M1290" s="1845"/>
      <c r="N1290" s="1845"/>
      <c r="O1290" s="1845"/>
      <c r="P1290" s="1845"/>
      <c r="Q1290" s="1061"/>
      <c r="R1290" s="1061"/>
      <c r="S1290" s="1061"/>
      <c r="T1290" s="2059">
        <f t="shared" si="260"/>
        <v>0</v>
      </c>
    </row>
    <row r="1291" spans="1:20" ht="22.15" hidden="1" customHeight="1">
      <c r="A1291" s="59"/>
      <c r="B1291" s="1586" t="s">
        <v>681</v>
      </c>
      <c r="C1291" s="1015" t="str">
        <f t="shared" si="261"/>
        <v xml:space="preserve"> </v>
      </c>
      <c r="D1291" s="1544">
        <v>1</v>
      </c>
      <c r="E1291" s="1047" t="str">
        <f>VLOOKUP($B1291,DG!A:D,DG!$B$2,)</f>
        <v>06.2110</v>
      </c>
      <c r="F1291" s="1052" t="str">
        <f>VLOOKUP($B1291,DG!A:D,DG!$C$2,)</f>
        <v>Lắp cổ dề</v>
      </c>
      <c r="G1291" s="1047" t="str">
        <f>VLOOKUP($B1291,DG!A:D,DG!$D$2,)</f>
        <v>cái</v>
      </c>
      <c r="H1291" s="1845"/>
      <c r="I1291" s="1845"/>
      <c r="J1291" s="1845"/>
      <c r="K1291" s="1845"/>
      <c r="L1291" s="1845"/>
      <c r="M1291" s="1845"/>
      <c r="N1291" s="1845"/>
      <c r="O1291" s="1845"/>
      <c r="P1291" s="1845"/>
      <c r="Q1291" s="1061"/>
      <c r="R1291" s="1061"/>
      <c r="S1291" s="1061"/>
      <c r="T1291" s="2059">
        <f t="shared" si="260"/>
        <v>0</v>
      </c>
    </row>
    <row r="1292" spans="1:20" ht="22.15" hidden="1" customHeight="1">
      <c r="A1292" s="59"/>
      <c r="B1292" s="1598" t="s">
        <v>356</v>
      </c>
      <c r="C1292" s="1015" t="str">
        <f t="shared" si="261"/>
        <v xml:space="preserve"> </v>
      </c>
      <c r="D1292" s="1543">
        <v>0.02</v>
      </c>
      <c r="E1292" s="1047" t="str">
        <f>VLOOKUP($B1292,DG!A:C,2,)</f>
        <v>02.1421</v>
      </c>
      <c r="F1292" s="1052" t="str">
        <f>VLOOKUP($B1292,DG!A:C,3,)</f>
        <v>V/c phụ kiện vào vị trí (cự ly &lt;=100m)</v>
      </c>
      <c r="G1292" s="1047" t="str">
        <f>VLOOKUP($B1292,DG!A:D,4,0)</f>
        <v>tấn</v>
      </c>
      <c r="H1292" s="1845"/>
      <c r="I1292" s="1845"/>
      <c r="J1292" s="1845"/>
      <c r="K1292" s="1845"/>
      <c r="L1292" s="1845"/>
      <c r="M1292" s="1845"/>
      <c r="N1292" s="1845"/>
      <c r="O1292" s="1845"/>
      <c r="P1292" s="1845"/>
      <c r="Q1292" s="1061"/>
      <c r="R1292" s="1061"/>
      <c r="S1292" s="1061"/>
      <c r="T1292" s="2059">
        <f t="shared" si="260"/>
        <v>0</v>
      </c>
    </row>
    <row r="1293" spans="1:20" ht="22.15" hidden="1" customHeight="1">
      <c r="A1293" s="56" t="s">
        <v>1089</v>
      </c>
      <c r="B1293" s="1583" t="s">
        <v>1089</v>
      </c>
      <c r="C1293" s="1015" t="str">
        <f t="shared" si="261"/>
        <v xml:space="preserve"> </v>
      </c>
      <c r="D1293" s="1541"/>
      <c r="E1293" s="1048"/>
      <c r="F1293" s="1396" t="s">
        <v>2490</v>
      </c>
      <c r="G1293" s="1049" t="s">
        <v>2394</v>
      </c>
      <c r="H1293" s="1843">
        <f>SUM(I1293:O1293)</f>
        <v>0</v>
      </c>
      <c r="I1293" s="1844"/>
      <c r="J1293" s="1844"/>
      <c r="K1293" s="1844">
        <f>IFERROR(HLOOKUP(B1293,pp3p1m!$1:$3,3,0),0)</f>
        <v>0</v>
      </c>
      <c r="L1293" s="1844">
        <f>IFERROR(HLOOKUP(chitiet!B1293,pp1p!$1:$3,3,0),0)</f>
        <v>0</v>
      </c>
      <c r="M1293" s="1844"/>
      <c r="N1293" s="1844"/>
      <c r="O1293" s="1844"/>
      <c r="P1293" s="1844">
        <f>H1293+Q1293-R1293</f>
        <v>0</v>
      </c>
      <c r="Q1293" s="1050"/>
      <c r="R1293" s="1050"/>
      <c r="S1293" s="1050"/>
      <c r="T1293" s="2059">
        <f>IFERROR(HLOOKUP(B1293,pp1p!$1:$3,3,0),0)+IFERROR(HLOOKUP(B1293,pp3p1m!$1:$3,3,0),0)</f>
        <v>0</v>
      </c>
    </row>
    <row r="1294" spans="1:20" ht="22.15" hidden="1" customHeight="1">
      <c r="A1294" s="59"/>
      <c r="B1294" s="1586" t="s">
        <v>669</v>
      </c>
      <c r="C1294" s="1015" t="str">
        <f t="shared" si="261"/>
        <v xml:space="preserve"> </v>
      </c>
      <c r="D1294" s="1544">
        <v>1</v>
      </c>
      <c r="E1294" s="1047"/>
      <c r="F1294" s="1059" t="str">
        <f>VLOOKUP($B1294,DG!A:D,DG!$C$2,)&amp;"-Fe8x100 nhuùng keõm"</f>
        <v>Cổ dê Ø 195 nẹp trụ-Fe8x100 nhuùng keõm</v>
      </c>
      <c r="G1294" s="1047" t="str">
        <f>VLOOKUP($B1294,DG!A:D,DG!$D$2,)</f>
        <v>bộ</v>
      </c>
      <c r="H1294" s="1845">
        <f t="shared" ref="H1294:N1303" si="266">H$1293*$D1294</f>
        <v>0</v>
      </c>
      <c r="I1294" s="1845">
        <f t="shared" si="266"/>
        <v>0</v>
      </c>
      <c r="J1294" s="1845">
        <f t="shared" si="266"/>
        <v>0</v>
      </c>
      <c r="K1294" s="1845">
        <f t="shared" si="266"/>
        <v>0</v>
      </c>
      <c r="L1294" s="1845">
        <f t="shared" si="266"/>
        <v>0</v>
      </c>
      <c r="M1294" s="1845">
        <f t="shared" si="266"/>
        <v>0</v>
      </c>
      <c r="N1294" s="1845">
        <f t="shared" si="266"/>
        <v>0</v>
      </c>
      <c r="O1294" s="1845"/>
      <c r="P1294" s="1845"/>
      <c r="Q1294" s="1056"/>
      <c r="R1294" s="1056"/>
      <c r="S1294" s="1056"/>
      <c r="T1294" s="2059">
        <f t="shared" si="260"/>
        <v>0</v>
      </c>
    </row>
    <row r="1295" spans="1:20" ht="22.15" hidden="1" customHeight="1">
      <c r="A1295" s="59"/>
      <c r="B1295" s="1586" t="s">
        <v>111</v>
      </c>
      <c r="C1295" s="1015" t="str">
        <f t="shared" si="261"/>
        <v xml:space="preserve"> </v>
      </c>
      <c r="D1295" s="1544">
        <v>1</v>
      </c>
      <c r="E1295" s="1047"/>
      <c r="F1295" s="1059" t="str">
        <f>VLOOKUP($B1295,DG!A:D,DG!$C$2,)</f>
        <v>Sứ chằng</v>
      </c>
      <c r="G1295" s="1047" t="str">
        <f>VLOOKUP($B1295,DG!A:D,DG!$D$2,)</f>
        <v>cái</v>
      </c>
      <c r="H1295" s="1845">
        <f t="shared" si="266"/>
        <v>0</v>
      </c>
      <c r="I1295" s="1845">
        <f t="shared" si="266"/>
        <v>0</v>
      </c>
      <c r="J1295" s="1845">
        <f t="shared" si="266"/>
        <v>0</v>
      </c>
      <c r="K1295" s="1845">
        <f t="shared" si="266"/>
        <v>0</v>
      </c>
      <c r="L1295" s="1845">
        <f t="shared" si="266"/>
        <v>0</v>
      </c>
      <c r="M1295" s="1845">
        <f t="shared" si="266"/>
        <v>0</v>
      </c>
      <c r="N1295" s="1845">
        <f t="shared" si="266"/>
        <v>0</v>
      </c>
      <c r="O1295" s="1845"/>
      <c r="P1295" s="1845"/>
      <c r="Q1295" s="1056"/>
      <c r="R1295" s="1056"/>
      <c r="S1295" s="1056"/>
      <c r="T1295" s="2059">
        <f t="shared" si="260"/>
        <v>0</v>
      </c>
    </row>
    <row r="1296" spans="1:20" ht="22.15" hidden="1" customHeight="1">
      <c r="A1296" s="59"/>
      <c r="B1296" s="1586" t="s">
        <v>1583</v>
      </c>
      <c r="C1296" s="1015" t="str">
        <f t="shared" si="261"/>
        <v xml:space="preserve"> </v>
      </c>
      <c r="D1296" s="1544">
        <v>8</v>
      </c>
      <c r="E1296" s="1047"/>
      <c r="F1296" s="1059" t="str">
        <f>VLOOKUP($B1296,DG!A:D,DG!$C$2,)</f>
        <v>Kẹp cáp 3 boulon</v>
      </c>
      <c r="G1296" s="1047" t="str">
        <f>VLOOKUP($B1296,DG!A:D,DG!$D$2,)</f>
        <v>cái</v>
      </c>
      <c r="H1296" s="1845">
        <f t="shared" si="266"/>
        <v>0</v>
      </c>
      <c r="I1296" s="1845">
        <f t="shared" si="266"/>
        <v>0</v>
      </c>
      <c r="J1296" s="1845">
        <f t="shared" si="266"/>
        <v>0</v>
      </c>
      <c r="K1296" s="1845">
        <f t="shared" si="266"/>
        <v>0</v>
      </c>
      <c r="L1296" s="1845">
        <f t="shared" si="266"/>
        <v>0</v>
      </c>
      <c r="M1296" s="1845">
        <f t="shared" si="266"/>
        <v>0</v>
      </c>
      <c r="N1296" s="1845">
        <f t="shared" si="266"/>
        <v>0</v>
      </c>
      <c r="O1296" s="1845"/>
      <c r="P1296" s="1845"/>
      <c r="Q1296" s="1056"/>
      <c r="R1296" s="1056"/>
      <c r="S1296" s="1056"/>
      <c r="T1296" s="2059">
        <f t="shared" si="260"/>
        <v>0</v>
      </c>
    </row>
    <row r="1297" spans="1:20" ht="22.15" hidden="1" customHeight="1">
      <c r="A1297" s="59"/>
      <c r="B1297" s="1604" t="s">
        <v>1051</v>
      </c>
      <c r="C1297" s="1015" t="str">
        <f t="shared" si="261"/>
        <v xml:space="preserve"> </v>
      </c>
      <c r="D1297" s="1544">
        <v>13</v>
      </c>
      <c r="E1297" s="1047"/>
      <c r="F1297" s="1059" t="str">
        <f>VLOOKUP($B1297,DG!A:D,DG!$C$2,)</f>
        <v>Kẹp hotline 4/0</v>
      </c>
      <c r="G1297" s="1047" t="str">
        <f>VLOOKUP($B1297,DG!A:D,DG!$D$2,)</f>
        <v>cái</v>
      </c>
      <c r="H1297" s="1845">
        <f t="shared" si="266"/>
        <v>0</v>
      </c>
      <c r="I1297" s="1845">
        <f t="shared" si="266"/>
        <v>0</v>
      </c>
      <c r="J1297" s="1845">
        <f t="shared" si="266"/>
        <v>0</v>
      </c>
      <c r="K1297" s="1845">
        <f t="shared" si="266"/>
        <v>0</v>
      </c>
      <c r="L1297" s="1845">
        <f t="shared" si="266"/>
        <v>0</v>
      </c>
      <c r="M1297" s="1845">
        <f t="shared" si="266"/>
        <v>0</v>
      </c>
      <c r="N1297" s="1845">
        <f t="shared" si="266"/>
        <v>0</v>
      </c>
      <c r="O1297" s="1845"/>
      <c r="P1297" s="1845"/>
      <c r="Q1297" s="1056"/>
      <c r="R1297" s="1056"/>
      <c r="S1297" s="1056"/>
      <c r="T1297" s="2059">
        <f t="shared" si="260"/>
        <v>0</v>
      </c>
    </row>
    <row r="1298" spans="1:20" ht="22.15" hidden="1" customHeight="1">
      <c r="A1298" s="59"/>
      <c r="B1298" s="1586" t="s">
        <v>607</v>
      </c>
      <c r="C1298" s="1015" t="str">
        <f t="shared" si="261"/>
        <v xml:space="preserve"> </v>
      </c>
      <c r="D1298" s="1544">
        <v>1</v>
      </c>
      <c r="E1298" s="1047"/>
      <c r="F1298" s="1059" t="str">
        <f>VLOOKUP($B1298,DG!A:D,DG!$C$2,)</f>
        <v>Bộ chống chằng hẹp Ø60/50x1500+2BL12x40+BL16x250/80</v>
      </c>
      <c r="G1298" s="1047" t="str">
        <f>VLOOKUP($B1298,DG!A:D,DG!$D$2,)</f>
        <v>bộ</v>
      </c>
      <c r="H1298" s="1845">
        <f t="shared" si="266"/>
        <v>0</v>
      </c>
      <c r="I1298" s="1845">
        <f t="shared" si="266"/>
        <v>0</v>
      </c>
      <c r="J1298" s="1845">
        <f t="shared" si="266"/>
        <v>0</v>
      </c>
      <c r="K1298" s="1845">
        <f t="shared" si="266"/>
        <v>0</v>
      </c>
      <c r="L1298" s="1845">
        <f t="shared" si="266"/>
        <v>0</v>
      </c>
      <c r="M1298" s="1845">
        <f t="shared" si="266"/>
        <v>0</v>
      </c>
      <c r="N1298" s="1845">
        <f t="shared" si="266"/>
        <v>0</v>
      </c>
      <c r="O1298" s="1845"/>
      <c r="P1298" s="1845"/>
      <c r="Q1298" s="1056"/>
      <c r="R1298" s="1056"/>
      <c r="S1298" s="1056"/>
      <c r="T1298" s="2059">
        <f t="shared" si="260"/>
        <v>0</v>
      </c>
    </row>
    <row r="1299" spans="1:20" ht="22.15" hidden="1" customHeight="1">
      <c r="A1299" s="59"/>
      <c r="B1299" s="1586" t="s">
        <v>279</v>
      </c>
      <c r="C1299" s="1015" t="str">
        <f t="shared" si="261"/>
        <v xml:space="preserve"> </v>
      </c>
      <c r="D1299" s="1544">
        <v>2</v>
      </c>
      <c r="E1299" s="1047"/>
      <c r="F1299" s="1059" t="str">
        <f>VLOOKUP($B1299,DG!A:D,DG!$C$2,)</f>
        <v>Sắt dẹt 60 x 6</v>
      </c>
      <c r="G1299" s="1047" t="str">
        <f>VLOOKUP($B1299,DG!A:D,DG!$D$2,)</f>
        <v>kg</v>
      </c>
      <c r="H1299" s="1845">
        <f t="shared" si="266"/>
        <v>0</v>
      </c>
      <c r="I1299" s="1845">
        <f t="shared" si="266"/>
        <v>0</v>
      </c>
      <c r="J1299" s="1845">
        <f t="shared" si="266"/>
        <v>0</v>
      </c>
      <c r="K1299" s="1845">
        <f t="shared" si="266"/>
        <v>0</v>
      </c>
      <c r="L1299" s="1845">
        <f t="shared" si="266"/>
        <v>0</v>
      </c>
      <c r="M1299" s="1845">
        <f t="shared" si="266"/>
        <v>0</v>
      </c>
      <c r="N1299" s="1845">
        <f t="shared" si="266"/>
        <v>0</v>
      </c>
      <c r="O1299" s="1845"/>
      <c r="P1299" s="1845"/>
      <c r="Q1299" s="1056"/>
      <c r="R1299" s="1056"/>
      <c r="S1299" s="1056"/>
      <c r="T1299" s="2059">
        <f t="shared" si="260"/>
        <v>0</v>
      </c>
    </row>
    <row r="1300" spans="1:20" ht="22.15" hidden="1" customHeight="1">
      <c r="A1300" s="59"/>
      <c r="B1300" s="1586" t="s">
        <v>1376</v>
      </c>
      <c r="C1300" s="1015" t="str">
        <f t="shared" si="261"/>
        <v xml:space="preserve"> </v>
      </c>
      <c r="D1300" s="1544">
        <v>1</v>
      </c>
      <c r="E1300" s="1047"/>
      <c r="F1300" s="1059" t="str">
        <f>VLOOKUP($B1300,DG!A:D,DG!$C$2,)</f>
        <v xml:space="preserve">Móc treo chữ U </v>
      </c>
      <c r="G1300" s="1047" t="str">
        <f>VLOOKUP($B1300,DG!A:D,DG!$D$2,)</f>
        <v>cái</v>
      </c>
      <c r="H1300" s="1845">
        <f t="shared" si="266"/>
        <v>0</v>
      </c>
      <c r="I1300" s="1845">
        <f t="shared" si="266"/>
        <v>0</v>
      </c>
      <c r="J1300" s="1845">
        <f t="shared" si="266"/>
        <v>0</v>
      </c>
      <c r="K1300" s="1845">
        <f t="shared" si="266"/>
        <v>0</v>
      </c>
      <c r="L1300" s="1845">
        <f t="shared" si="266"/>
        <v>0</v>
      </c>
      <c r="M1300" s="1845">
        <f t="shared" si="266"/>
        <v>0</v>
      </c>
      <c r="N1300" s="1845">
        <f t="shared" si="266"/>
        <v>0</v>
      </c>
      <c r="O1300" s="1845"/>
      <c r="P1300" s="1845"/>
      <c r="Q1300" s="1056"/>
      <c r="R1300" s="1056"/>
      <c r="S1300" s="1056"/>
      <c r="T1300" s="2059">
        <f t="shared" si="260"/>
        <v>0</v>
      </c>
    </row>
    <row r="1301" spans="1:20" ht="22.15" hidden="1" customHeight="1">
      <c r="A1301" s="59"/>
      <c r="B1301" s="1605" t="s">
        <v>1897</v>
      </c>
      <c r="C1301" s="1015" t="str">
        <f t="shared" si="261"/>
        <v xml:space="preserve"> </v>
      </c>
      <c r="D1301" s="1544">
        <v>2</v>
      </c>
      <c r="E1301" s="1047"/>
      <c r="F1301" s="1059" t="str">
        <f>VLOOKUP($B1301,DG!A:D,DG!$C$2,)</f>
        <v>Boulon 16x100VRS+ 4 long đền vuông D18-50x50x3/Zn</v>
      </c>
      <c r="G1301" s="1047" t="str">
        <f>VLOOKUP($B1301,DG!A:D,DG!$D$2,)</f>
        <v>bộ</v>
      </c>
      <c r="H1301" s="1845">
        <f t="shared" si="266"/>
        <v>0</v>
      </c>
      <c r="I1301" s="1845">
        <f t="shared" si="266"/>
        <v>0</v>
      </c>
      <c r="J1301" s="1845">
        <f t="shared" si="266"/>
        <v>0</v>
      </c>
      <c r="K1301" s="1845">
        <f t="shared" si="266"/>
        <v>0</v>
      </c>
      <c r="L1301" s="1845">
        <f t="shared" si="266"/>
        <v>0</v>
      </c>
      <c r="M1301" s="1845">
        <f t="shared" si="266"/>
        <v>0</v>
      </c>
      <c r="N1301" s="1845">
        <f t="shared" si="266"/>
        <v>0</v>
      </c>
      <c r="O1301" s="1845"/>
      <c r="P1301" s="1845"/>
      <c r="Q1301" s="1056"/>
      <c r="R1301" s="1056"/>
      <c r="S1301" s="1056"/>
      <c r="T1301" s="2059">
        <f t="shared" si="260"/>
        <v>0</v>
      </c>
    </row>
    <row r="1302" spans="1:20" ht="22.15" hidden="1" customHeight="1">
      <c r="A1302" s="59"/>
      <c r="B1302" s="1586" t="s">
        <v>2006</v>
      </c>
      <c r="C1302" s="1015" t="str">
        <f t="shared" si="261"/>
        <v xml:space="preserve"> </v>
      </c>
      <c r="D1302" s="1544">
        <v>2</v>
      </c>
      <c r="E1302" s="1047"/>
      <c r="F1302" s="1059" t="str">
        <f>VLOOKUP($B1302,DG!A:D,DG!$C$2,)</f>
        <v>Yếm cáp dày 2mm</v>
      </c>
      <c r="G1302" s="1047" t="str">
        <f>VLOOKUP($B1302,DG!A:D,DG!$D$2,)</f>
        <v>cái</v>
      </c>
      <c r="H1302" s="1845">
        <f t="shared" si="266"/>
        <v>0</v>
      </c>
      <c r="I1302" s="1845">
        <f t="shared" si="266"/>
        <v>0</v>
      </c>
      <c r="J1302" s="1845">
        <f t="shared" si="266"/>
        <v>0</v>
      </c>
      <c r="K1302" s="1845">
        <f t="shared" si="266"/>
        <v>0</v>
      </c>
      <c r="L1302" s="1845">
        <f t="shared" si="266"/>
        <v>0</v>
      </c>
      <c r="M1302" s="1845">
        <f t="shared" si="266"/>
        <v>0</v>
      </c>
      <c r="N1302" s="1845">
        <f t="shared" si="266"/>
        <v>0</v>
      </c>
      <c r="O1302" s="1845"/>
      <c r="P1302" s="1845"/>
      <c r="Q1302" s="1056"/>
      <c r="R1302" s="1056"/>
      <c r="S1302" s="1056"/>
      <c r="T1302" s="2059">
        <f t="shared" si="260"/>
        <v>0</v>
      </c>
    </row>
    <row r="1303" spans="1:20" ht="22.15" hidden="1" customHeight="1">
      <c r="A1303" s="59"/>
      <c r="B1303" s="1586" t="s">
        <v>2007</v>
      </c>
      <c r="C1303" s="1015" t="str">
        <f t="shared" si="261"/>
        <v xml:space="preserve"> </v>
      </c>
      <c r="D1303" s="1544">
        <v>1</v>
      </c>
      <c r="E1303" s="1047"/>
      <c r="F1303" s="1059" t="str">
        <f>VLOOKUP($B1303,DG!A:D,DG!$C$2,)</f>
        <v>Máng che dây chằng dày 1,6mm</v>
      </c>
      <c r="G1303" s="1047" t="str">
        <f>VLOOKUP($B1303,DG!A:D,DG!$D$2,)</f>
        <v>cái</v>
      </c>
      <c r="H1303" s="1845">
        <f t="shared" si="266"/>
        <v>0</v>
      </c>
      <c r="I1303" s="1845">
        <f t="shared" si="266"/>
        <v>0</v>
      </c>
      <c r="J1303" s="1845">
        <f t="shared" si="266"/>
        <v>0</v>
      </c>
      <c r="K1303" s="1845">
        <f t="shared" si="266"/>
        <v>0</v>
      </c>
      <c r="L1303" s="1845">
        <f t="shared" si="266"/>
        <v>0</v>
      </c>
      <c r="M1303" s="1845">
        <f t="shared" si="266"/>
        <v>0</v>
      </c>
      <c r="N1303" s="1845">
        <f t="shared" si="266"/>
        <v>0</v>
      </c>
      <c r="O1303" s="1845"/>
      <c r="P1303" s="1845"/>
      <c r="Q1303" s="1056"/>
      <c r="R1303" s="1056"/>
      <c r="S1303" s="1056"/>
      <c r="T1303" s="2059">
        <f t="shared" si="260"/>
        <v>0</v>
      </c>
    </row>
    <row r="1304" spans="1:20" ht="22.15" hidden="1" customHeight="1">
      <c r="A1304" s="59"/>
      <c r="B1304" s="1586" t="s">
        <v>1924</v>
      </c>
      <c r="C1304" s="1015" t="str">
        <f t="shared" si="261"/>
        <v xml:space="preserve"> </v>
      </c>
      <c r="D1304" s="1544">
        <f>D1294</f>
        <v>1</v>
      </c>
      <c r="E1304" s="1047" t="str">
        <f>VLOOKUP($B1304,DG!A:D,DG!$B$2,)</f>
        <v>06.3241</v>
      </c>
      <c r="F1304" s="1052" t="str">
        <f>VLOOKUP($B1304,DG!A:D,DG!$C$2,)</f>
        <v>Lắp bộ dây néo</v>
      </c>
      <c r="G1304" s="1047" t="str">
        <f>VLOOKUP($B1304,DG!A:D,DG!$D$2,)</f>
        <v>bộ</v>
      </c>
      <c r="H1304" s="1845"/>
      <c r="I1304" s="1845"/>
      <c r="J1304" s="1845"/>
      <c r="K1304" s="1845"/>
      <c r="L1304" s="1845"/>
      <c r="M1304" s="1845"/>
      <c r="N1304" s="1845"/>
      <c r="O1304" s="1845"/>
      <c r="P1304" s="1845"/>
      <c r="Q1304" s="1061"/>
      <c r="R1304" s="1061"/>
      <c r="S1304" s="1061"/>
      <c r="T1304" s="2059">
        <f t="shared" si="260"/>
        <v>0</v>
      </c>
    </row>
    <row r="1305" spans="1:20" ht="22.15" hidden="1" customHeight="1">
      <c r="A1305" s="59"/>
      <c r="B1305" s="1586" t="s">
        <v>681</v>
      </c>
      <c r="C1305" s="1015" t="str">
        <f t="shared" si="261"/>
        <v xml:space="preserve"> </v>
      </c>
      <c r="D1305" s="1544">
        <v>1</v>
      </c>
      <c r="E1305" s="1047" t="str">
        <f>VLOOKUP($B1305,DG!A:D,DG!$B$2,)</f>
        <v>06.2110</v>
      </c>
      <c r="F1305" s="1052" t="str">
        <f>VLOOKUP($B1305,DG!A:D,DG!$C$2,)</f>
        <v>Lắp cổ dề</v>
      </c>
      <c r="G1305" s="1047" t="str">
        <f>VLOOKUP($B1305,DG!A:D,DG!$D$2,)</f>
        <v>cái</v>
      </c>
      <c r="H1305" s="1845"/>
      <c r="I1305" s="1845"/>
      <c r="J1305" s="1845"/>
      <c r="K1305" s="1845"/>
      <c r="L1305" s="1845"/>
      <c r="M1305" s="1845"/>
      <c r="N1305" s="1845"/>
      <c r="O1305" s="1845"/>
      <c r="P1305" s="1845"/>
      <c r="Q1305" s="1061"/>
      <c r="R1305" s="1061"/>
      <c r="S1305" s="1061"/>
      <c r="T1305" s="2059">
        <f t="shared" si="260"/>
        <v>0</v>
      </c>
    </row>
    <row r="1306" spans="1:20" ht="22.15" hidden="1" customHeight="1">
      <c r="A1306" s="59"/>
      <c r="B1306" s="1586" t="s">
        <v>1912</v>
      </c>
      <c r="C1306" s="1015" t="str">
        <f t="shared" si="261"/>
        <v xml:space="preserve"> </v>
      </c>
      <c r="D1306" s="1544">
        <f>D1290</f>
        <v>1</v>
      </c>
      <c r="E1306" s="1047" t="str">
        <f>VLOOKUP($B1306,DG!A:D,DG!$B$2,)</f>
        <v>05.6011</v>
      </c>
      <c r="F1306" s="1052" t="str">
        <f>VLOOKUP($B1306,DG!A:D,DG!$C$2,)</f>
        <v>Lắp bộ chống lệch</v>
      </c>
      <c r="G1306" s="1047" t="str">
        <f>VLOOKUP($B1306,DG!A:D,DG!$D$2,)</f>
        <v>bộ</v>
      </c>
      <c r="H1306" s="1845"/>
      <c r="I1306" s="1845"/>
      <c r="J1306" s="1845"/>
      <c r="K1306" s="1845"/>
      <c r="L1306" s="1845"/>
      <c r="M1306" s="1845"/>
      <c r="N1306" s="1845"/>
      <c r="O1306" s="1845"/>
      <c r="P1306" s="1845"/>
      <c r="Q1306" s="1061"/>
      <c r="R1306" s="1061"/>
      <c r="S1306" s="1061"/>
      <c r="T1306" s="2059">
        <f t="shared" si="260"/>
        <v>0</v>
      </c>
    </row>
    <row r="1307" spans="1:20" ht="22.15" hidden="1" customHeight="1">
      <c r="A1307" s="59"/>
      <c r="B1307" s="1598" t="s">
        <v>356</v>
      </c>
      <c r="C1307" s="1015" t="str">
        <f t="shared" si="261"/>
        <v xml:space="preserve"> </v>
      </c>
      <c r="D1307" s="1543">
        <v>0.02</v>
      </c>
      <c r="E1307" s="1047" t="str">
        <f>VLOOKUP($B1307,DG!A:C,2,)</f>
        <v>02.1421</v>
      </c>
      <c r="F1307" s="1052" t="str">
        <f>VLOOKUP($B1307,DG!A:C,3,)</f>
        <v>V/c phụ kiện vào vị trí (cự ly &lt;=100m)</v>
      </c>
      <c r="G1307" s="1047" t="str">
        <f>VLOOKUP($B1307,DG!A:D,4,0)</f>
        <v>tấn</v>
      </c>
      <c r="H1307" s="1845"/>
      <c r="I1307" s="1845"/>
      <c r="J1307" s="1845"/>
      <c r="K1307" s="1845"/>
      <c r="L1307" s="1845"/>
      <c r="M1307" s="1845"/>
      <c r="N1307" s="1845"/>
      <c r="O1307" s="1845"/>
      <c r="P1307" s="1845"/>
      <c r="Q1307" s="1061"/>
      <c r="R1307" s="1061"/>
      <c r="S1307" s="1061"/>
      <c r="T1307" s="2059">
        <f t="shared" si="260"/>
        <v>0</v>
      </c>
    </row>
    <row r="1308" spans="1:20" ht="22.15" hidden="1" customHeight="1">
      <c r="A1308" s="56" t="s">
        <v>1090</v>
      </c>
      <c r="B1308" s="1583" t="s">
        <v>1090</v>
      </c>
      <c r="C1308" s="1015" t="str">
        <f t="shared" si="261"/>
        <v xml:space="preserve"> </v>
      </c>
      <c r="D1308" s="1541"/>
      <c r="E1308" s="1048"/>
      <c r="F1308" s="1396" t="s">
        <v>2491</v>
      </c>
      <c r="G1308" s="1049" t="s">
        <v>2394</v>
      </c>
      <c r="H1308" s="1843">
        <f>SUM(I1308:O1308)</f>
        <v>0</v>
      </c>
      <c r="I1308" s="1844"/>
      <c r="J1308" s="1844"/>
      <c r="K1308" s="1844">
        <f>IFERROR(HLOOKUP(B1308,pp3p1m!$1:$3,3,0),0)</f>
        <v>0</v>
      </c>
      <c r="L1308" s="1844">
        <f>IFERROR(HLOOKUP(chitiet!B1308,pp1p!$1:$3,3,0),0)</f>
        <v>0</v>
      </c>
      <c r="M1308" s="1844"/>
      <c r="N1308" s="1844"/>
      <c r="O1308" s="1844"/>
      <c r="P1308" s="1844">
        <f>H1308+Q1308-R1308</f>
        <v>0</v>
      </c>
      <c r="Q1308" s="1050"/>
      <c r="R1308" s="1050"/>
      <c r="S1308" s="1050"/>
      <c r="T1308" s="2059">
        <f>IFERROR(HLOOKUP(B1308,pp1p!$1:$3,3,0),0)+IFERROR(HLOOKUP(B1308,pp3p1m!$1:$3,3,0),0)</f>
        <v>0</v>
      </c>
    </row>
    <row r="1309" spans="1:20" ht="22.15" hidden="1" customHeight="1">
      <c r="A1309" s="59"/>
      <c r="B1309" s="1586" t="s">
        <v>669</v>
      </c>
      <c r="C1309" s="1015" t="str">
        <f t="shared" si="261"/>
        <v xml:space="preserve"> </v>
      </c>
      <c r="D1309" s="1544">
        <v>1</v>
      </c>
      <c r="E1309" s="1047"/>
      <c r="F1309" s="1059" t="str">
        <f>VLOOKUP($B1309,DG!A:D,DG!$C$2,)&amp;"-Fe8x100 nhuùng keõm"</f>
        <v>Cổ dê Ø 195 nẹp trụ-Fe8x100 nhuùng keõm</v>
      </c>
      <c r="G1309" s="1047" t="str">
        <f>VLOOKUP($B1309,DG!A:D,DG!$D$2,)</f>
        <v>bộ</v>
      </c>
      <c r="H1309" s="1845">
        <f t="shared" ref="H1309:N1309" si="267">H$1308*$D1309</f>
        <v>0</v>
      </c>
      <c r="I1309" s="1845">
        <f t="shared" si="267"/>
        <v>0</v>
      </c>
      <c r="J1309" s="1845">
        <f t="shared" si="267"/>
        <v>0</v>
      </c>
      <c r="K1309" s="1845">
        <f t="shared" si="267"/>
        <v>0</v>
      </c>
      <c r="L1309" s="1845">
        <f t="shared" si="267"/>
        <v>0</v>
      </c>
      <c r="M1309" s="1845">
        <f t="shared" si="267"/>
        <v>0</v>
      </c>
      <c r="N1309" s="1845">
        <f t="shared" si="267"/>
        <v>0</v>
      </c>
      <c r="O1309" s="1845"/>
      <c r="P1309" s="1845"/>
      <c r="Q1309" s="1056"/>
      <c r="R1309" s="1056"/>
      <c r="S1309" s="1056"/>
      <c r="T1309" s="2059">
        <f t="shared" si="260"/>
        <v>0</v>
      </c>
    </row>
    <row r="1310" spans="1:20" ht="22.15" hidden="1" customHeight="1">
      <c r="A1310" s="59"/>
      <c r="B1310" s="1586" t="s">
        <v>1471</v>
      </c>
      <c r="C1310" s="1015" t="str">
        <f t="shared" si="261"/>
        <v xml:space="preserve"> </v>
      </c>
      <c r="D1310" s="1544">
        <v>1</v>
      </c>
      <c r="E1310" s="1047"/>
      <c r="F1310" s="1059" t="str">
        <f>VLOOKUP($B1310,DG!A:D,DG!$C$2,)&amp;"-Fe8x100 nhuùng keõm"</f>
        <v>Cổ dê Ø 220 nẹp trụ-Fe8x100 nhuùng keõm</v>
      </c>
      <c r="G1310" s="1047" t="str">
        <f>VLOOKUP($B1310,DG!A:D,DG!$D$2,)</f>
        <v>bộ</v>
      </c>
      <c r="H1310" s="1845">
        <f t="shared" ref="H1310:N1310" si="268">H$1351*$D1310</f>
        <v>0</v>
      </c>
      <c r="I1310" s="1845">
        <f t="shared" si="268"/>
        <v>0</v>
      </c>
      <c r="J1310" s="1845">
        <f t="shared" si="268"/>
        <v>0</v>
      </c>
      <c r="K1310" s="1845">
        <f t="shared" si="268"/>
        <v>0</v>
      </c>
      <c r="L1310" s="1845">
        <f t="shared" si="268"/>
        <v>0</v>
      </c>
      <c r="M1310" s="1845">
        <f t="shared" si="268"/>
        <v>0</v>
      </c>
      <c r="N1310" s="1845">
        <f t="shared" si="268"/>
        <v>0</v>
      </c>
      <c r="O1310" s="1845"/>
      <c r="P1310" s="1845"/>
      <c r="Q1310" s="1056"/>
      <c r="R1310" s="1056"/>
      <c r="S1310" s="1056"/>
      <c r="T1310" s="2059">
        <f t="shared" si="260"/>
        <v>0</v>
      </c>
    </row>
    <row r="1311" spans="1:20" ht="22.15" hidden="1" customHeight="1">
      <c r="A1311" s="59"/>
      <c r="B1311" s="1586" t="s">
        <v>111</v>
      </c>
      <c r="C1311" s="1015" t="str">
        <f t="shared" si="261"/>
        <v xml:space="preserve"> </v>
      </c>
      <c r="D1311" s="1544">
        <v>2</v>
      </c>
      <c r="E1311" s="1047"/>
      <c r="F1311" s="1059" t="str">
        <f>VLOOKUP($B1311,DG!A:D,DG!$C$2,)</f>
        <v>Sứ chằng</v>
      </c>
      <c r="G1311" s="1047" t="str">
        <f>VLOOKUP($B1311,DG!A:D,DG!$D$2,)</f>
        <v>cái</v>
      </c>
      <c r="H1311" s="1845">
        <f t="shared" ref="H1311:N1318" si="269">H$1308*$D1311</f>
        <v>0</v>
      </c>
      <c r="I1311" s="1845">
        <f t="shared" si="269"/>
        <v>0</v>
      </c>
      <c r="J1311" s="1845">
        <f t="shared" si="269"/>
        <v>0</v>
      </c>
      <c r="K1311" s="1845">
        <f t="shared" si="269"/>
        <v>0</v>
      </c>
      <c r="L1311" s="1845">
        <f t="shared" si="269"/>
        <v>0</v>
      </c>
      <c r="M1311" s="1845">
        <f t="shared" si="269"/>
        <v>0</v>
      </c>
      <c r="N1311" s="1845">
        <f t="shared" si="269"/>
        <v>0</v>
      </c>
      <c r="O1311" s="1845"/>
      <c r="P1311" s="1845"/>
      <c r="Q1311" s="1056"/>
      <c r="R1311" s="1056"/>
      <c r="S1311" s="1056"/>
      <c r="T1311" s="2059">
        <f t="shared" si="260"/>
        <v>0</v>
      </c>
    </row>
    <row r="1312" spans="1:20" ht="22.15" hidden="1" customHeight="1">
      <c r="A1312" s="59"/>
      <c r="B1312" s="1586" t="s">
        <v>1583</v>
      </c>
      <c r="C1312" s="1015" t="str">
        <f t="shared" si="261"/>
        <v xml:space="preserve"> </v>
      </c>
      <c r="D1312" s="1544">
        <v>16</v>
      </c>
      <c r="E1312" s="1047"/>
      <c r="F1312" s="1059" t="str">
        <f>VLOOKUP($B1312,DG!A:D,DG!$C$2,)</f>
        <v>Kẹp cáp 3 boulon</v>
      </c>
      <c r="G1312" s="1047" t="str">
        <f>VLOOKUP($B1312,DG!A:D,DG!$D$2,)</f>
        <v>cái</v>
      </c>
      <c r="H1312" s="1845">
        <f t="shared" si="269"/>
        <v>0</v>
      </c>
      <c r="I1312" s="1845">
        <f t="shared" si="269"/>
        <v>0</v>
      </c>
      <c r="J1312" s="1845">
        <f t="shared" si="269"/>
        <v>0</v>
      </c>
      <c r="K1312" s="1845">
        <f t="shared" si="269"/>
        <v>0</v>
      </c>
      <c r="L1312" s="1845">
        <f t="shared" si="269"/>
        <v>0</v>
      </c>
      <c r="M1312" s="1845">
        <f t="shared" si="269"/>
        <v>0</v>
      </c>
      <c r="N1312" s="1845">
        <f t="shared" si="269"/>
        <v>0</v>
      </c>
      <c r="O1312" s="1845"/>
      <c r="P1312" s="1845"/>
      <c r="Q1312" s="1056"/>
      <c r="R1312" s="1056"/>
      <c r="S1312" s="1056"/>
      <c r="T1312" s="2059">
        <f t="shared" si="260"/>
        <v>0</v>
      </c>
    </row>
    <row r="1313" spans="1:20" ht="22.15" hidden="1" customHeight="1">
      <c r="A1313" s="59"/>
      <c r="B1313" s="1604" t="s">
        <v>1051</v>
      </c>
      <c r="C1313" s="1015" t="str">
        <f t="shared" si="261"/>
        <v xml:space="preserve"> </v>
      </c>
      <c r="D1313" s="1544">
        <v>30</v>
      </c>
      <c r="E1313" s="1047"/>
      <c r="F1313" s="1059" t="str">
        <f>VLOOKUP($B1313,DG!A:D,DG!$C$2,)</f>
        <v>Kẹp hotline 4/0</v>
      </c>
      <c r="G1313" s="1047" t="str">
        <f>VLOOKUP($B1313,DG!A:D,DG!$D$2,)</f>
        <v>cái</v>
      </c>
      <c r="H1313" s="1845">
        <f t="shared" si="269"/>
        <v>0</v>
      </c>
      <c r="I1313" s="1845">
        <f t="shared" si="269"/>
        <v>0</v>
      </c>
      <c r="J1313" s="1845">
        <f t="shared" si="269"/>
        <v>0</v>
      </c>
      <c r="K1313" s="1845">
        <f t="shared" si="269"/>
        <v>0</v>
      </c>
      <c r="L1313" s="1845">
        <f t="shared" si="269"/>
        <v>0</v>
      </c>
      <c r="M1313" s="1845">
        <f t="shared" si="269"/>
        <v>0</v>
      </c>
      <c r="N1313" s="1845">
        <f t="shared" si="269"/>
        <v>0</v>
      </c>
      <c r="O1313" s="1845"/>
      <c r="P1313" s="1845"/>
      <c r="Q1313" s="1056"/>
      <c r="R1313" s="1056"/>
      <c r="S1313" s="1056"/>
      <c r="T1313" s="2059">
        <f t="shared" si="260"/>
        <v>0</v>
      </c>
    </row>
    <row r="1314" spans="1:20" ht="22.15" hidden="1" customHeight="1">
      <c r="A1314" s="59"/>
      <c r="B1314" s="1586" t="s">
        <v>279</v>
      </c>
      <c r="C1314" s="1015" t="str">
        <f t="shared" si="261"/>
        <v xml:space="preserve"> </v>
      </c>
      <c r="D1314" s="1544">
        <v>4</v>
      </c>
      <c r="E1314" s="1047"/>
      <c r="F1314" s="1059" t="str">
        <f>VLOOKUP($B1314,DG!A:D,DG!$C$2,)</f>
        <v>Sắt dẹt 60 x 6</v>
      </c>
      <c r="G1314" s="1047" t="str">
        <f>VLOOKUP($B1314,DG!A:D,DG!$D$2,)</f>
        <v>kg</v>
      </c>
      <c r="H1314" s="1845">
        <f t="shared" si="269"/>
        <v>0</v>
      </c>
      <c r="I1314" s="1845">
        <f t="shared" si="269"/>
        <v>0</v>
      </c>
      <c r="J1314" s="1845">
        <f t="shared" si="269"/>
        <v>0</v>
      </c>
      <c r="K1314" s="1845">
        <f t="shared" si="269"/>
        <v>0</v>
      </c>
      <c r="L1314" s="1845">
        <f t="shared" si="269"/>
        <v>0</v>
      </c>
      <c r="M1314" s="1845">
        <f t="shared" si="269"/>
        <v>0</v>
      </c>
      <c r="N1314" s="1845">
        <f t="shared" si="269"/>
        <v>0</v>
      </c>
      <c r="O1314" s="1845"/>
      <c r="P1314" s="1845"/>
      <c r="Q1314" s="1056"/>
      <c r="R1314" s="1056"/>
      <c r="S1314" s="1056"/>
      <c r="T1314" s="2059">
        <f t="shared" si="260"/>
        <v>0</v>
      </c>
    </row>
    <row r="1315" spans="1:20" ht="22.15" hidden="1" customHeight="1">
      <c r="A1315" s="59"/>
      <c r="B1315" s="1586" t="s">
        <v>1376</v>
      </c>
      <c r="C1315" s="1015" t="str">
        <f t="shared" si="261"/>
        <v xml:space="preserve"> </v>
      </c>
      <c r="D1315" s="1544">
        <v>2</v>
      </c>
      <c r="E1315" s="1047"/>
      <c r="F1315" s="1059" t="str">
        <f>VLOOKUP($B1315,DG!A:D,DG!$C$2,)</f>
        <v xml:space="preserve">Móc treo chữ U </v>
      </c>
      <c r="G1315" s="1047" t="str">
        <f>VLOOKUP($B1315,DG!A:D,DG!$D$2,)</f>
        <v>cái</v>
      </c>
      <c r="H1315" s="1845">
        <f t="shared" si="269"/>
        <v>0</v>
      </c>
      <c r="I1315" s="1845">
        <f t="shared" si="269"/>
        <v>0</v>
      </c>
      <c r="J1315" s="1845">
        <f t="shared" si="269"/>
        <v>0</v>
      </c>
      <c r="K1315" s="1845">
        <f t="shared" si="269"/>
        <v>0</v>
      </c>
      <c r="L1315" s="1845">
        <f t="shared" si="269"/>
        <v>0</v>
      </c>
      <c r="M1315" s="1845">
        <f t="shared" si="269"/>
        <v>0</v>
      </c>
      <c r="N1315" s="1845">
        <f t="shared" si="269"/>
        <v>0</v>
      </c>
      <c r="O1315" s="1845"/>
      <c r="P1315" s="1845"/>
      <c r="Q1315" s="1056"/>
      <c r="R1315" s="1056"/>
      <c r="S1315" s="1056"/>
      <c r="T1315" s="2059">
        <f t="shared" si="260"/>
        <v>0</v>
      </c>
    </row>
    <row r="1316" spans="1:20" ht="22.15" hidden="1" customHeight="1">
      <c r="A1316" s="59"/>
      <c r="B1316" s="1605" t="s">
        <v>1897</v>
      </c>
      <c r="C1316" s="1015" t="str">
        <f t="shared" si="261"/>
        <v xml:space="preserve"> </v>
      </c>
      <c r="D1316" s="1544">
        <v>4</v>
      </c>
      <c r="E1316" s="1047"/>
      <c r="F1316" s="1059" t="str">
        <f>VLOOKUP($B1316,DG!A:D,DG!$C$2,)</f>
        <v>Boulon 16x100VRS+ 4 long đền vuông D18-50x50x3/Zn</v>
      </c>
      <c r="G1316" s="1047" t="str">
        <f>VLOOKUP($B1316,DG!A:D,DG!$D$2,)</f>
        <v>bộ</v>
      </c>
      <c r="H1316" s="1845">
        <f t="shared" si="269"/>
        <v>0</v>
      </c>
      <c r="I1316" s="1845">
        <f t="shared" si="269"/>
        <v>0</v>
      </c>
      <c r="J1316" s="1845">
        <f t="shared" si="269"/>
        <v>0</v>
      </c>
      <c r="K1316" s="1845">
        <f t="shared" si="269"/>
        <v>0</v>
      </c>
      <c r="L1316" s="1845">
        <f t="shared" si="269"/>
        <v>0</v>
      </c>
      <c r="M1316" s="1845">
        <f t="shared" si="269"/>
        <v>0</v>
      </c>
      <c r="N1316" s="1845">
        <f t="shared" si="269"/>
        <v>0</v>
      </c>
      <c r="O1316" s="1845"/>
      <c r="P1316" s="1845"/>
      <c r="Q1316" s="1056"/>
      <c r="R1316" s="1056"/>
      <c r="S1316" s="1056"/>
      <c r="T1316" s="2059">
        <f t="shared" si="260"/>
        <v>0</v>
      </c>
    </row>
    <row r="1317" spans="1:20" ht="22.15" hidden="1" customHeight="1">
      <c r="A1317" s="59"/>
      <c r="B1317" s="1586" t="s">
        <v>2006</v>
      </c>
      <c r="C1317" s="1015" t="str">
        <f t="shared" si="261"/>
        <v xml:space="preserve"> </v>
      </c>
      <c r="D1317" s="1544">
        <v>4</v>
      </c>
      <c r="E1317" s="1047"/>
      <c r="F1317" s="1059" t="str">
        <f>VLOOKUP($B1317,DG!A:D,DG!$C$2,)</f>
        <v>Yếm cáp dày 2mm</v>
      </c>
      <c r="G1317" s="1047" t="str">
        <f>VLOOKUP($B1317,DG!A:D,DG!$D$2,)</f>
        <v>cái</v>
      </c>
      <c r="H1317" s="1845">
        <f t="shared" si="269"/>
        <v>0</v>
      </c>
      <c r="I1317" s="1845">
        <f t="shared" si="269"/>
        <v>0</v>
      </c>
      <c r="J1317" s="1845">
        <f t="shared" si="269"/>
        <v>0</v>
      </c>
      <c r="K1317" s="1845">
        <f t="shared" si="269"/>
        <v>0</v>
      </c>
      <c r="L1317" s="1845">
        <f t="shared" si="269"/>
        <v>0</v>
      </c>
      <c r="M1317" s="1845">
        <f t="shared" si="269"/>
        <v>0</v>
      </c>
      <c r="N1317" s="1845">
        <f t="shared" si="269"/>
        <v>0</v>
      </c>
      <c r="O1317" s="1845"/>
      <c r="P1317" s="1845"/>
      <c r="Q1317" s="1056"/>
      <c r="R1317" s="1056"/>
      <c r="S1317" s="1056"/>
      <c r="T1317" s="2059">
        <f t="shared" si="260"/>
        <v>0</v>
      </c>
    </row>
    <row r="1318" spans="1:20" ht="22.15" hidden="1" customHeight="1">
      <c r="A1318" s="59"/>
      <c r="B1318" s="1586" t="s">
        <v>2007</v>
      </c>
      <c r="C1318" s="1015" t="str">
        <f t="shared" si="261"/>
        <v xml:space="preserve"> </v>
      </c>
      <c r="D1318" s="1544">
        <v>2</v>
      </c>
      <c r="E1318" s="1047"/>
      <c r="F1318" s="1059" t="str">
        <f>VLOOKUP($B1318,DG!A:D,DG!$C$2,)</f>
        <v>Máng che dây chằng dày 1,6mm</v>
      </c>
      <c r="G1318" s="1047" t="str">
        <f>VLOOKUP($B1318,DG!A:D,DG!$D$2,)</f>
        <v>cái</v>
      </c>
      <c r="H1318" s="1845">
        <f t="shared" si="269"/>
        <v>0</v>
      </c>
      <c r="I1318" s="1845">
        <f t="shared" si="269"/>
        <v>0</v>
      </c>
      <c r="J1318" s="1845">
        <f t="shared" si="269"/>
        <v>0</v>
      </c>
      <c r="K1318" s="1845">
        <f t="shared" si="269"/>
        <v>0</v>
      </c>
      <c r="L1318" s="1845">
        <f t="shared" si="269"/>
        <v>0</v>
      </c>
      <c r="M1318" s="1845">
        <f t="shared" si="269"/>
        <v>0</v>
      </c>
      <c r="N1318" s="1845">
        <f t="shared" si="269"/>
        <v>0</v>
      </c>
      <c r="O1318" s="1845"/>
      <c r="P1318" s="1845"/>
      <c r="Q1318" s="1056"/>
      <c r="R1318" s="1056"/>
      <c r="S1318" s="1056"/>
      <c r="T1318" s="2059">
        <f t="shared" si="260"/>
        <v>0</v>
      </c>
    </row>
    <row r="1319" spans="1:20" ht="22.15" hidden="1" customHeight="1">
      <c r="A1319" s="59"/>
      <c r="B1319" s="1586" t="s">
        <v>1924</v>
      </c>
      <c r="C1319" s="1015" t="str">
        <f t="shared" si="261"/>
        <v xml:space="preserve"> </v>
      </c>
      <c r="D1319" s="1544">
        <f>D1309</f>
        <v>1</v>
      </c>
      <c r="E1319" s="1047" t="str">
        <f>VLOOKUP($B1319,DG!A:D,DG!$B$2,)</f>
        <v>06.3241</v>
      </c>
      <c r="F1319" s="1052" t="str">
        <f>VLOOKUP($B1319,DG!A:D,DG!$C$2,)</f>
        <v>Lắp bộ dây néo</v>
      </c>
      <c r="G1319" s="1047" t="str">
        <f>VLOOKUP($B1319,DG!A:D,DG!$D$2,)</f>
        <v>bộ</v>
      </c>
      <c r="H1319" s="1845"/>
      <c r="I1319" s="1845"/>
      <c r="J1319" s="1845"/>
      <c r="K1319" s="1845"/>
      <c r="L1319" s="1845"/>
      <c r="M1319" s="1845"/>
      <c r="N1319" s="1845"/>
      <c r="O1319" s="1845"/>
      <c r="P1319" s="1845"/>
      <c r="Q1319" s="1061"/>
      <c r="R1319" s="1061"/>
      <c r="S1319" s="1061"/>
      <c r="T1319" s="2059">
        <f t="shared" si="260"/>
        <v>0</v>
      </c>
    </row>
    <row r="1320" spans="1:20" ht="22.15" hidden="1" customHeight="1">
      <c r="A1320" s="59"/>
      <c r="B1320" s="1586" t="s">
        <v>681</v>
      </c>
      <c r="C1320" s="1015" t="str">
        <f t="shared" si="261"/>
        <v xml:space="preserve"> </v>
      </c>
      <c r="D1320" s="1544">
        <v>2</v>
      </c>
      <c r="E1320" s="1047" t="str">
        <f>VLOOKUP($B1320,DG!A:D,DG!$B$2,)</f>
        <v>06.2110</v>
      </c>
      <c r="F1320" s="1052" t="str">
        <f>VLOOKUP($B1320,DG!A:D,DG!$C$2,)</f>
        <v>Lắp cổ dề</v>
      </c>
      <c r="G1320" s="1047" t="str">
        <f>VLOOKUP($B1320,DG!A:D,DG!$D$2,)</f>
        <v>cái</v>
      </c>
      <c r="H1320" s="1845"/>
      <c r="I1320" s="1845"/>
      <c r="J1320" s="1845"/>
      <c r="K1320" s="1845"/>
      <c r="L1320" s="1845"/>
      <c r="M1320" s="1845"/>
      <c r="N1320" s="1845"/>
      <c r="O1320" s="1845"/>
      <c r="P1320" s="1845"/>
      <c r="Q1320" s="1061"/>
      <c r="R1320" s="1061"/>
      <c r="S1320" s="1061"/>
      <c r="T1320" s="2059">
        <f t="shared" si="260"/>
        <v>0</v>
      </c>
    </row>
    <row r="1321" spans="1:20" ht="22.15" hidden="1" customHeight="1">
      <c r="A1321" s="59"/>
      <c r="B1321" s="1598" t="s">
        <v>356</v>
      </c>
      <c r="C1321" s="1015" t="str">
        <f t="shared" si="261"/>
        <v xml:space="preserve"> </v>
      </c>
      <c r="D1321" s="1543">
        <v>0.02</v>
      </c>
      <c r="E1321" s="1047" t="str">
        <f>VLOOKUP($B1321,DG!A:C,2,)</f>
        <v>02.1421</v>
      </c>
      <c r="F1321" s="1052" t="str">
        <f>VLOOKUP($B1321,DG!A:C,3,)</f>
        <v>V/c phụ kiện vào vị trí (cự ly &lt;=100m)</v>
      </c>
      <c r="G1321" s="1047" t="str">
        <f>VLOOKUP($B1321,DG!A:D,4,0)</f>
        <v>tấn</v>
      </c>
      <c r="H1321" s="1845"/>
      <c r="I1321" s="1845"/>
      <c r="J1321" s="1845"/>
      <c r="K1321" s="1845"/>
      <c r="L1321" s="1845"/>
      <c r="M1321" s="1845"/>
      <c r="N1321" s="1845"/>
      <c r="O1321" s="1845"/>
      <c r="P1321" s="1845"/>
      <c r="Q1321" s="1061"/>
      <c r="R1321" s="1061"/>
      <c r="S1321" s="1061"/>
      <c r="T1321" s="2059">
        <f t="shared" si="260"/>
        <v>0</v>
      </c>
    </row>
    <row r="1322" spans="1:20" ht="22.15" hidden="1" customHeight="1">
      <c r="A1322" s="56" t="s">
        <v>1815</v>
      </c>
      <c r="B1322" s="1583" t="s">
        <v>1815</v>
      </c>
      <c r="C1322" s="1015" t="str">
        <f t="shared" si="261"/>
        <v xml:space="preserve"> </v>
      </c>
      <c r="D1322" s="1541"/>
      <c r="E1322" s="1048"/>
      <c r="F1322" s="1396" t="s">
        <v>2492</v>
      </c>
      <c r="G1322" s="1049" t="s">
        <v>2394</v>
      </c>
      <c r="H1322" s="1843">
        <f>SUM(I1322:O1322)</f>
        <v>0</v>
      </c>
      <c r="I1322" s="1844"/>
      <c r="J1322" s="1844"/>
      <c r="K1322" s="1844">
        <f>IFERROR(HLOOKUP(B1322,pp3p1m!$1:$3,3,0),0)</f>
        <v>0</v>
      </c>
      <c r="L1322" s="1844">
        <f>IFERROR(HLOOKUP(chitiet!B1322,pp1p!$1:$3,3,0),0)</f>
        <v>0</v>
      </c>
      <c r="M1322" s="1844"/>
      <c r="N1322" s="1844"/>
      <c r="O1322" s="1844"/>
      <c r="P1322" s="1844">
        <f>H1322+Q1322-R1322</f>
        <v>0</v>
      </c>
      <c r="Q1322" s="1050"/>
      <c r="R1322" s="1050"/>
      <c r="S1322" s="1050"/>
      <c r="T1322" s="2059">
        <f>IFERROR(HLOOKUP(B1322,pp1p!$1:$3,3,0),0)+IFERROR(HLOOKUP(B1322,pp3p1m!$1:$3,3,0),0)</f>
        <v>0</v>
      </c>
    </row>
    <row r="1323" spans="1:20" ht="22.15" hidden="1" customHeight="1">
      <c r="A1323" s="59"/>
      <c r="B1323" s="1586" t="s">
        <v>669</v>
      </c>
      <c r="C1323" s="1015" t="str">
        <f t="shared" si="261"/>
        <v xml:space="preserve"> </v>
      </c>
      <c r="D1323" s="1544">
        <v>1</v>
      </c>
      <c r="E1323" s="1047"/>
      <c r="F1323" s="1059" t="str">
        <f>VLOOKUP($B1323,DG!A:D,DG!$C$2,)&amp;"-Fe8x100 nhuùng keõm"</f>
        <v>Cổ dê Ø 195 nẹp trụ-Fe8x100 nhuùng keõm</v>
      </c>
      <c r="G1323" s="1047" t="str">
        <f>VLOOKUP($B1323,DG!A:D,DG!$D$2,)</f>
        <v>bộ</v>
      </c>
      <c r="H1323" s="1845">
        <f t="shared" ref="H1323:N1331" si="270">H$1322*$D1323</f>
        <v>0</v>
      </c>
      <c r="I1323" s="1845">
        <f t="shared" si="270"/>
        <v>0</v>
      </c>
      <c r="J1323" s="1845">
        <f t="shared" si="270"/>
        <v>0</v>
      </c>
      <c r="K1323" s="1845">
        <f t="shared" si="270"/>
        <v>0</v>
      </c>
      <c r="L1323" s="1845">
        <f t="shared" si="270"/>
        <v>0</v>
      </c>
      <c r="M1323" s="1845">
        <f t="shared" si="270"/>
        <v>0</v>
      </c>
      <c r="N1323" s="1845">
        <f t="shared" si="270"/>
        <v>0</v>
      </c>
      <c r="O1323" s="1845"/>
      <c r="P1323" s="1845"/>
      <c r="Q1323" s="1056"/>
      <c r="R1323" s="1056"/>
      <c r="S1323" s="1056"/>
      <c r="T1323" s="2059">
        <f t="shared" ref="T1323:T1386" si="271">IFERROR(HLOOKUP(B1323,BangKeTru,3,0),0)</f>
        <v>0</v>
      </c>
    </row>
    <row r="1324" spans="1:20" ht="22.15" hidden="1" customHeight="1">
      <c r="A1324" s="59"/>
      <c r="B1324" s="1586" t="s">
        <v>111</v>
      </c>
      <c r="C1324" s="1015" t="str">
        <f t="shared" si="261"/>
        <v xml:space="preserve"> </v>
      </c>
      <c r="D1324" s="1544">
        <v>2</v>
      </c>
      <c r="E1324" s="1047"/>
      <c r="F1324" s="1059" t="str">
        <f>VLOOKUP($B1324,DG!A:D,DG!$C$2,)</f>
        <v>Sứ chằng</v>
      </c>
      <c r="G1324" s="1047" t="str">
        <f>VLOOKUP($B1324,DG!A:D,DG!$D$2,)</f>
        <v>cái</v>
      </c>
      <c r="H1324" s="1845">
        <f t="shared" si="270"/>
        <v>0</v>
      </c>
      <c r="I1324" s="1845">
        <f t="shared" si="270"/>
        <v>0</v>
      </c>
      <c r="J1324" s="1845">
        <f t="shared" si="270"/>
        <v>0</v>
      </c>
      <c r="K1324" s="1845">
        <f t="shared" si="270"/>
        <v>0</v>
      </c>
      <c r="L1324" s="1845">
        <f t="shared" si="270"/>
        <v>0</v>
      </c>
      <c r="M1324" s="1845">
        <f t="shared" si="270"/>
        <v>0</v>
      </c>
      <c r="N1324" s="1845">
        <f t="shared" si="270"/>
        <v>0</v>
      </c>
      <c r="O1324" s="1845"/>
      <c r="P1324" s="1845"/>
      <c r="Q1324" s="1056"/>
      <c r="R1324" s="1056"/>
      <c r="S1324" s="1056"/>
      <c r="T1324" s="2059">
        <f t="shared" si="271"/>
        <v>0</v>
      </c>
    </row>
    <row r="1325" spans="1:20" ht="22.15" hidden="1" customHeight="1">
      <c r="A1325" s="59"/>
      <c r="B1325" s="1586" t="s">
        <v>1583</v>
      </c>
      <c r="C1325" s="1015" t="str">
        <f t="shared" si="261"/>
        <v xml:space="preserve"> </v>
      </c>
      <c r="D1325" s="1544">
        <v>8</v>
      </c>
      <c r="E1325" s="1047"/>
      <c r="F1325" s="1059" t="str">
        <f>VLOOKUP($B1325,DG!A:D,DG!$C$2,)</f>
        <v>Kẹp cáp 3 boulon</v>
      </c>
      <c r="G1325" s="1047" t="str">
        <f>VLOOKUP($B1325,DG!A:D,DG!$D$2,)</f>
        <v>cái</v>
      </c>
      <c r="H1325" s="1845">
        <f t="shared" si="270"/>
        <v>0</v>
      </c>
      <c r="I1325" s="1845">
        <f t="shared" si="270"/>
        <v>0</v>
      </c>
      <c r="J1325" s="1845">
        <f t="shared" si="270"/>
        <v>0</v>
      </c>
      <c r="K1325" s="1845">
        <f t="shared" si="270"/>
        <v>0</v>
      </c>
      <c r="L1325" s="1845">
        <f t="shared" si="270"/>
        <v>0</v>
      </c>
      <c r="M1325" s="1845">
        <f t="shared" si="270"/>
        <v>0</v>
      </c>
      <c r="N1325" s="1845">
        <f t="shared" si="270"/>
        <v>0</v>
      </c>
      <c r="O1325" s="1845"/>
      <c r="P1325" s="1845"/>
      <c r="Q1325" s="1056"/>
      <c r="R1325" s="1056"/>
      <c r="S1325" s="1056"/>
      <c r="T1325" s="2059">
        <f t="shared" si="271"/>
        <v>0</v>
      </c>
    </row>
    <row r="1326" spans="1:20" ht="22.15" hidden="1" customHeight="1">
      <c r="A1326" s="59"/>
      <c r="B1326" s="1604" t="s">
        <v>1051</v>
      </c>
      <c r="C1326" s="1015" t="str">
        <f t="shared" si="261"/>
        <v xml:space="preserve"> </v>
      </c>
      <c r="D1326" s="1544">
        <v>19</v>
      </c>
      <c r="E1326" s="1047"/>
      <c r="F1326" s="1059" t="str">
        <f>VLOOKUP($B1326,DG!A:D,DG!$C$2,)</f>
        <v>Kẹp hotline 4/0</v>
      </c>
      <c r="G1326" s="1047" t="str">
        <f>VLOOKUP($B1326,DG!A:D,DG!$D$2,)</f>
        <v>cái</v>
      </c>
      <c r="H1326" s="1845">
        <f t="shared" si="270"/>
        <v>0</v>
      </c>
      <c r="I1326" s="1845">
        <f t="shared" si="270"/>
        <v>0</v>
      </c>
      <c r="J1326" s="1845">
        <f t="shared" si="270"/>
        <v>0</v>
      </c>
      <c r="K1326" s="1845">
        <f t="shared" si="270"/>
        <v>0</v>
      </c>
      <c r="L1326" s="1845">
        <f t="shared" si="270"/>
        <v>0</v>
      </c>
      <c r="M1326" s="1845">
        <f t="shared" si="270"/>
        <v>0</v>
      </c>
      <c r="N1326" s="1845">
        <f t="shared" si="270"/>
        <v>0</v>
      </c>
      <c r="O1326" s="1845"/>
      <c r="P1326" s="1845"/>
      <c r="Q1326" s="1056"/>
      <c r="R1326" s="1056"/>
      <c r="S1326" s="1056"/>
      <c r="T1326" s="2059">
        <f t="shared" si="271"/>
        <v>0</v>
      </c>
    </row>
    <row r="1327" spans="1:20" ht="22.15" hidden="1" customHeight="1">
      <c r="A1327" s="59"/>
      <c r="B1327" s="1586" t="s">
        <v>279</v>
      </c>
      <c r="C1327" s="1015" t="str">
        <f t="shared" si="261"/>
        <v xml:space="preserve"> </v>
      </c>
      <c r="D1327" s="1544">
        <v>2</v>
      </c>
      <c r="E1327" s="1047"/>
      <c r="F1327" s="1059" t="str">
        <f>VLOOKUP($B1327,DG!A:D,DG!$C$2,)</f>
        <v>Sắt dẹt 60 x 6</v>
      </c>
      <c r="G1327" s="1047" t="str">
        <f>VLOOKUP($B1327,DG!A:D,DG!$D$2,)</f>
        <v>kg</v>
      </c>
      <c r="H1327" s="1845">
        <f t="shared" si="270"/>
        <v>0</v>
      </c>
      <c r="I1327" s="1845">
        <f t="shared" si="270"/>
        <v>0</v>
      </c>
      <c r="J1327" s="1845">
        <f t="shared" si="270"/>
        <v>0</v>
      </c>
      <c r="K1327" s="1845">
        <f t="shared" si="270"/>
        <v>0</v>
      </c>
      <c r="L1327" s="1845">
        <f t="shared" si="270"/>
        <v>0</v>
      </c>
      <c r="M1327" s="1845">
        <f t="shared" si="270"/>
        <v>0</v>
      </c>
      <c r="N1327" s="1845">
        <f t="shared" si="270"/>
        <v>0</v>
      </c>
      <c r="O1327" s="1845"/>
      <c r="P1327" s="1845"/>
      <c r="Q1327" s="1056"/>
      <c r="R1327" s="1056"/>
      <c r="S1327" s="1056"/>
      <c r="T1327" s="2059">
        <f t="shared" si="271"/>
        <v>0</v>
      </c>
    </row>
    <row r="1328" spans="1:20" ht="22.15" hidden="1" customHeight="1">
      <c r="A1328" s="59"/>
      <c r="B1328" s="1586" t="s">
        <v>1376</v>
      </c>
      <c r="C1328" s="1015" t="str">
        <f t="shared" si="261"/>
        <v xml:space="preserve"> </v>
      </c>
      <c r="D1328" s="1544">
        <v>1</v>
      </c>
      <c r="E1328" s="1047"/>
      <c r="F1328" s="1059" t="str">
        <f>VLOOKUP($B1328,DG!A:D,DG!$C$2,)</f>
        <v xml:space="preserve">Móc treo chữ U </v>
      </c>
      <c r="G1328" s="1047" t="str">
        <f>VLOOKUP($B1328,DG!A:D,DG!$D$2,)</f>
        <v>cái</v>
      </c>
      <c r="H1328" s="1845">
        <f t="shared" si="270"/>
        <v>0</v>
      </c>
      <c r="I1328" s="1845">
        <f t="shared" si="270"/>
        <v>0</v>
      </c>
      <c r="J1328" s="1845">
        <f t="shared" si="270"/>
        <v>0</v>
      </c>
      <c r="K1328" s="1845">
        <f t="shared" si="270"/>
        <v>0</v>
      </c>
      <c r="L1328" s="1845">
        <f t="shared" si="270"/>
        <v>0</v>
      </c>
      <c r="M1328" s="1845">
        <f t="shared" si="270"/>
        <v>0</v>
      </c>
      <c r="N1328" s="1845">
        <f t="shared" si="270"/>
        <v>0</v>
      </c>
      <c r="O1328" s="1845"/>
      <c r="P1328" s="1845"/>
      <c r="Q1328" s="1056"/>
      <c r="R1328" s="1056"/>
      <c r="S1328" s="1056"/>
      <c r="T1328" s="2059">
        <f t="shared" si="271"/>
        <v>0</v>
      </c>
    </row>
    <row r="1329" spans="1:20" ht="22.15" hidden="1" customHeight="1">
      <c r="A1329" s="59"/>
      <c r="B1329" s="1605" t="s">
        <v>1897</v>
      </c>
      <c r="C1329" s="1015" t="str">
        <f t="shared" si="261"/>
        <v xml:space="preserve"> </v>
      </c>
      <c r="D1329" s="1544">
        <v>2</v>
      </c>
      <c r="E1329" s="1047"/>
      <c r="F1329" s="1059" t="str">
        <f>VLOOKUP($B1329,DG!A:D,DG!$C$2,)</f>
        <v>Boulon 16x100VRS+ 4 long đền vuông D18-50x50x3/Zn</v>
      </c>
      <c r="G1329" s="1047" t="str">
        <f>VLOOKUP($B1329,DG!A:D,DG!$D$2,)</f>
        <v>bộ</v>
      </c>
      <c r="H1329" s="1845">
        <f t="shared" si="270"/>
        <v>0</v>
      </c>
      <c r="I1329" s="1845">
        <f t="shared" si="270"/>
        <v>0</v>
      </c>
      <c r="J1329" s="1845">
        <f t="shared" si="270"/>
        <v>0</v>
      </c>
      <c r="K1329" s="1845">
        <f t="shared" si="270"/>
        <v>0</v>
      </c>
      <c r="L1329" s="1845">
        <f t="shared" si="270"/>
        <v>0</v>
      </c>
      <c r="M1329" s="1845">
        <f t="shared" si="270"/>
        <v>0</v>
      </c>
      <c r="N1329" s="1845">
        <f t="shared" si="270"/>
        <v>0</v>
      </c>
      <c r="O1329" s="1845"/>
      <c r="P1329" s="1845"/>
      <c r="Q1329" s="1056"/>
      <c r="R1329" s="1056"/>
      <c r="S1329" s="1056"/>
      <c r="T1329" s="2059">
        <f t="shared" si="271"/>
        <v>0</v>
      </c>
    </row>
    <row r="1330" spans="1:20" ht="22.15" hidden="1" customHeight="1">
      <c r="A1330" s="59"/>
      <c r="B1330" s="1586" t="s">
        <v>2006</v>
      </c>
      <c r="C1330" s="1015" t="str">
        <f t="shared" si="261"/>
        <v xml:space="preserve"> </v>
      </c>
      <c r="D1330" s="1544">
        <v>2</v>
      </c>
      <c r="E1330" s="1047"/>
      <c r="F1330" s="1059" t="str">
        <f>VLOOKUP($B1330,DG!A:D,DG!$C$2,)</f>
        <v>Yếm cáp dày 2mm</v>
      </c>
      <c r="G1330" s="1047" t="str">
        <f>VLOOKUP($B1330,DG!A:D,DG!$D$2,)</f>
        <v>cái</v>
      </c>
      <c r="H1330" s="1845">
        <f t="shared" si="270"/>
        <v>0</v>
      </c>
      <c r="I1330" s="1845">
        <f t="shared" si="270"/>
        <v>0</v>
      </c>
      <c r="J1330" s="1845">
        <f t="shared" si="270"/>
        <v>0</v>
      </c>
      <c r="K1330" s="1845">
        <f t="shared" si="270"/>
        <v>0</v>
      </c>
      <c r="L1330" s="1845">
        <f t="shared" si="270"/>
        <v>0</v>
      </c>
      <c r="M1330" s="1845">
        <f t="shared" si="270"/>
        <v>0</v>
      </c>
      <c r="N1330" s="1845">
        <f t="shared" si="270"/>
        <v>0</v>
      </c>
      <c r="O1330" s="1845"/>
      <c r="P1330" s="1845"/>
      <c r="Q1330" s="1056"/>
      <c r="R1330" s="1056"/>
      <c r="S1330" s="1056"/>
      <c r="T1330" s="2059">
        <f t="shared" si="271"/>
        <v>0</v>
      </c>
    </row>
    <row r="1331" spans="1:20" ht="22.15" hidden="1" customHeight="1">
      <c r="A1331" s="59"/>
      <c r="B1331" s="1586" t="s">
        <v>2007</v>
      </c>
      <c r="C1331" s="1015" t="str">
        <f t="shared" ref="C1331:C1394" si="272">IF(OR(P1331&lt;&gt;0,H1331&lt;&gt;0),"x"," ")</f>
        <v xml:space="preserve"> </v>
      </c>
      <c r="D1331" s="1544">
        <v>1</v>
      </c>
      <c r="E1331" s="1047"/>
      <c r="F1331" s="1059" t="str">
        <f>VLOOKUP($B1331,DG!A:D,DG!$C$2,)</f>
        <v>Máng che dây chằng dày 1,6mm</v>
      </c>
      <c r="G1331" s="1047" t="str">
        <f>VLOOKUP($B1331,DG!A:D,DG!$D$2,)</f>
        <v>cái</v>
      </c>
      <c r="H1331" s="1845">
        <f t="shared" si="270"/>
        <v>0</v>
      </c>
      <c r="I1331" s="1845">
        <f t="shared" si="270"/>
        <v>0</v>
      </c>
      <c r="J1331" s="1845">
        <f t="shared" si="270"/>
        <v>0</v>
      </c>
      <c r="K1331" s="1845">
        <f t="shared" si="270"/>
        <v>0</v>
      </c>
      <c r="L1331" s="1845">
        <f t="shared" si="270"/>
        <v>0</v>
      </c>
      <c r="M1331" s="1845">
        <f t="shared" si="270"/>
        <v>0</v>
      </c>
      <c r="N1331" s="1845">
        <f t="shared" si="270"/>
        <v>0</v>
      </c>
      <c r="O1331" s="1845"/>
      <c r="P1331" s="1845"/>
      <c r="Q1331" s="1056"/>
      <c r="R1331" s="1056"/>
      <c r="S1331" s="1056"/>
      <c r="T1331" s="2059">
        <f t="shared" si="271"/>
        <v>0</v>
      </c>
    </row>
    <row r="1332" spans="1:20" ht="22.15" hidden="1" customHeight="1">
      <c r="A1332" s="59"/>
      <c r="B1332" s="1586" t="s">
        <v>1924</v>
      </c>
      <c r="C1332" s="1015" t="str">
        <f t="shared" si="272"/>
        <v xml:space="preserve"> </v>
      </c>
      <c r="D1332" s="1544">
        <f>D1323</f>
        <v>1</v>
      </c>
      <c r="E1332" s="1047" t="str">
        <f>VLOOKUP($B1332,DG!A:D,DG!$B$2,)</f>
        <v>06.3241</v>
      </c>
      <c r="F1332" s="1052" t="str">
        <f>VLOOKUP($B1332,DG!A:D,DG!$C$2,)</f>
        <v>Lắp bộ dây néo</v>
      </c>
      <c r="G1332" s="1047" t="str">
        <f>VLOOKUP($B1332,DG!A:D,DG!$D$2,)</f>
        <v>bộ</v>
      </c>
      <c r="H1332" s="1845"/>
      <c r="I1332" s="1845"/>
      <c r="J1332" s="1845"/>
      <c r="K1332" s="1845"/>
      <c r="L1332" s="1845"/>
      <c r="M1332" s="1845"/>
      <c r="N1332" s="1845"/>
      <c r="O1332" s="1845"/>
      <c r="P1332" s="1845"/>
      <c r="Q1332" s="1061"/>
      <c r="R1332" s="1061"/>
      <c r="S1332" s="1061"/>
      <c r="T1332" s="2059">
        <f t="shared" si="271"/>
        <v>0</v>
      </c>
    </row>
    <row r="1333" spans="1:20" ht="22.15" hidden="1" customHeight="1">
      <c r="A1333" s="59"/>
      <c r="B1333" s="1586" t="s">
        <v>681</v>
      </c>
      <c r="C1333" s="1015" t="str">
        <f t="shared" si="272"/>
        <v xml:space="preserve"> </v>
      </c>
      <c r="D1333" s="1544">
        <v>1</v>
      </c>
      <c r="E1333" s="1047" t="str">
        <f>VLOOKUP($B1333,DG!A:D,DG!$B$2,)</f>
        <v>06.2110</v>
      </c>
      <c r="F1333" s="1052" t="str">
        <f>VLOOKUP($B1333,DG!A:D,DG!$C$2,)</f>
        <v>Lắp cổ dề</v>
      </c>
      <c r="G1333" s="1047" t="str">
        <f>VLOOKUP($B1333,DG!A:D,DG!$D$2,)</f>
        <v>cái</v>
      </c>
      <c r="H1333" s="1845"/>
      <c r="I1333" s="1845"/>
      <c r="J1333" s="1845"/>
      <c r="K1333" s="1845"/>
      <c r="L1333" s="1845"/>
      <c r="M1333" s="1845"/>
      <c r="N1333" s="1845"/>
      <c r="O1333" s="1845"/>
      <c r="P1333" s="1845"/>
      <c r="Q1333" s="1061"/>
      <c r="R1333" s="1061"/>
      <c r="S1333" s="1061"/>
      <c r="T1333" s="2059">
        <f t="shared" si="271"/>
        <v>0</v>
      </c>
    </row>
    <row r="1334" spans="1:20" ht="22.15" hidden="1" customHeight="1">
      <c r="A1334" s="59"/>
      <c r="B1334" s="1598" t="s">
        <v>356</v>
      </c>
      <c r="C1334" s="1015" t="str">
        <f t="shared" si="272"/>
        <v xml:space="preserve"> </v>
      </c>
      <c r="D1334" s="1543">
        <v>0.02</v>
      </c>
      <c r="E1334" s="1047" t="str">
        <f>VLOOKUP($B1334,DG!A:C,2,)</f>
        <v>02.1421</v>
      </c>
      <c r="F1334" s="1052" t="str">
        <f>VLOOKUP($B1334,DG!A:C,3,)</f>
        <v>V/c phụ kiện vào vị trí (cự ly &lt;=100m)</v>
      </c>
      <c r="G1334" s="1047" t="str">
        <f>VLOOKUP($B1334,DG!A:D,4,0)</f>
        <v>tấn</v>
      </c>
      <c r="H1334" s="1845"/>
      <c r="I1334" s="1845"/>
      <c r="J1334" s="1845"/>
      <c r="K1334" s="1845"/>
      <c r="L1334" s="1845"/>
      <c r="M1334" s="1845"/>
      <c r="N1334" s="1845"/>
      <c r="O1334" s="1845"/>
      <c r="P1334" s="1845"/>
      <c r="Q1334" s="1061"/>
      <c r="R1334" s="1061"/>
      <c r="S1334" s="1061"/>
      <c r="T1334" s="2059">
        <f t="shared" si="271"/>
        <v>0</v>
      </c>
    </row>
    <row r="1335" spans="1:20" ht="22.15" hidden="1" customHeight="1">
      <c r="A1335" s="56" t="s">
        <v>339</v>
      </c>
      <c r="B1335" s="1583" t="s">
        <v>339</v>
      </c>
      <c r="C1335" s="1015" t="str">
        <f t="shared" si="272"/>
        <v xml:space="preserve"> </v>
      </c>
      <c r="D1335" s="1541"/>
      <c r="E1335" s="1048"/>
      <c r="F1335" s="1396" t="s">
        <v>2493</v>
      </c>
      <c r="G1335" s="1049" t="s">
        <v>2394</v>
      </c>
      <c r="H1335" s="1843">
        <f>SUM(I1335:O1335)</f>
        <v>0</v>
      </c>
      <c r="I1335" s="1844"/>
      <c r="J1335" s="1844"/>
      <c r="K1335" s="1844">
        <f>IFERROR(HLOOKUP(B1335,pp3p1m!$1:$3,3,0),0)</f>
        <v>0</v>
      </c>
      <c r="L1335" s="1844">
        <f>IFERROR(HLOOKUP(chitiet!B1335,pp1p!$1:$3,3,0),0)</f>
        <v>0</v>
      </c>
      <c r="M1335" s="1844"/>
      <c r="N1335" s="1844"/>
      <c r="O1335" s="1844"/>
      <c r="P1335" s="1844">
        <f>H1335+Q1335-R1335</f>
        <v>0</v>
      </c>
      <c r="Q1335" s="1050"/>
      <c r="R1335" s="1050"/>
      <c r="S1335" s="1050"/>
      <c r="T1335" s="2059">
        <f>IFERROR(HLOOKUP(B1335,pp1p!$1:$3,3,0),0)+IFERROR(HLOOKUP(B1335,pp3p1m!$1:$3,3,0),0)</f>
        <v>0</v>
      </c>
    </row>
    <row r="1336" spans="1:20" ht="22.15" hidden="1" customHeight="1">
      <c r="A1336" s="59"/>
      <c r="B1336" s="1586" t="s">
        <v>669</v>
      </c>
      <c r="C1336" s="1015" t="str">
        <f t="shared" si="272"/>
        <v xml:space="preserve"> </v>
      </c>
      <c r="D1336" s="1544">
        <v>1</v>
      </c>
      <c r="E1336" s="1047"/>
      <c r="F1336" s="1059" t="str">
        <f>VLOOKUP($B1336,DG!A:D,DG!$C$2,)&amp;"-Fe8x100 nhuùng keõm"</f>
        <v>Cổ dê Ø 195 nẹp trụ-Fe8x100 nhuùng keõm</v>
      </c>
      <c r="G1336" s="1047" t="str">
        <f>VLOOKUP($B1336,DG!A:D,DG!$D$2,)</f>
        <v>bộ</v>
      </c>
      <c r="H1336" s="1845">
        <f t="shared" ref="H1336:N1346" si="273">H$1335*$D1336</f>
        <v>0</v>
      </c>
      <c r="I1336" s="1845">
        <f t="shared" si="273"/>
        <v>0</v>
      </c>
      <c r="J1336" s="1845">
        <f t="shared" si="273"/>
        <v>0</v>
      </c>
      <c r="K1336" s="1845">
        <f t="shared" si="273"/>
        <v>0</v>
      </c>
      <c r="L1336" s="1845">
        <f t="shared" si="273"/>
        <v>0</v>
      </c>
      <c r="M1336" s="1845">
        <f t="shared" si="273"/>
        <v>0</v>
      </c>
      <c r="N1336" s="1845">
        <f t="shared" si="273"/>
        <v>0</v>
      </c>
      <c r="O1336" s="1845"/>
      <c r="P1336" s="1845"/>
      <c r="Q1336" s="1056"/>
      <c r="R1336" s="1056"/>
      <c r="S1336" s="1056"/>
      <c r="T1336" s="2059">
        <f t="shared" si="271"/>
        <v>0</v>
      </c>
    </row>
    <row r="1337" spans="1:20" ht="22.15" hidden="1" customHeight="1">
      <c r="A1337" s="59"/>
      <c r="B1337" s="1586" t="s">
        <v>111</v>
      </c>
      <c r="C1337" s="1015" t="str">
        <f t="shared" si="272"/>
        <v xml:space="preserve"> </v>
      </c>
      <c r="D1337" s="1544">
        <v>1</v>
      </c>
      <c r="E1337" s="1047"/>
      <c r="F1337" s="1059" t="str">
        <f>VLOOKUP($B1337,DG!A:D,DG!$C$2,)</f>
        <v>Sứ chằng</v>
      </c>
      <c r="G1337" s="1047" t="str">
        <f>VLOOKUP($B1337,DG!A:D,DG!$D$2,)</f>
        <v>cái</v>
      </c>
      <c r="H1337" s="1845">
        <f t="shared" si="273"/>
        <v>0</v>
      </c>
      <c r="I1337" s="1845">
        <f t="shared" si="273"/>
        <v>0</v>
      </c>
      <c r="J1337" s="1845">
        <f t="shared" si="273"/>
        <v>0</v>
      </c>
      <c r="K1337" s="1845">
        <f t="shared" si="273"/>
        <v>0</v>
      </c>
      <c r="L1337" s="1845">
        <f t="shared" si="273"/>
        <v>0</v>
      </c>
      <c r="M1337" s="1845">
        <f t="shared" si="273"/>
        <v>0</v>
      </c>
      <c r="N1337" s="1845">
        <f t="shared" si="273"/>
        <v>0</v>
      </c>
      <c r="O1337" s="1845"/>
      <c r="P1337" s="1845"/>
      <c r="Q1337" s="1056"/>
      <c r="R1337" s="1056"/>
      <c r="S1337" s="1056"/>
      <c r="T1337" s="2059">
        <f t="shared" si="271"/>
        <v>0</v>
      </c>
    </row>
    <row r="1338" spans="1:20" ht="22.15" hidden="1" customHeight="1">
      <c r="A1338" s="59"/>
      <c r="B1338" s="1586" t="s">
        <v>1583</v>
      </c>
      <c r="C1338" s="1015" t="str">
        <f t="shared" si="272"/>
        <v xml:space="preserve"> </v>
      </c>
      <c r="D1338" s="1544">
        <v>8</v>
      </c>
      <c r="E1338" s="1047"/>
      <c r="F1338" s="1059" t="str">
        <f>VLOOKUP($B1338,DG!A:D,DG!$C$2,)</f>
        <v>Kẹp cáp 3 boulon</v>
      </c>
      <c r="G1338" s="1047" t="str">
        <f>VLOOKUP($B1338,DG!A:D,DG!$D$2,)</f>
        <v>cái</v>
      </c>
      <c r="H1338" s="1845">
        <f t="shared" si="273"/>
        <v>0</v>
      </c>
      <c r="I1338" s="1845">
        <f t="shared" si="273"/>
        <v>0</v>
      </c>
      <c r="J1338" s="1845">
        <f t="shared" si="273"/>
        <v>0</v>
      </c>
      <c r="K1338" s="1845">
        <f t="shared" si="273"/>
        <v>0</v>
      </c>
      <c r="L1338" s="1845">
        <f t="shared" si="273"/>
        <v>0</v>
      </c>
      <c r="M1338" s="1845">
        <f t="shared" si="273"/>
        <v>0</v>
      </c>
      <c r="N1338" s="1845">
        <f t="shared" si="273"/>
        <v>0</v>
      </c>
      <c r="O1338" s="1845"/>
      <c r="P1338" s="1845"/>
      <c r="Q1338" s="1056"/>
      <c r="R1338" s="1056"/>
      <c r="S1338" s="1056"/>
      <c r="T1338" s="2059">
        <f t="shared" si="271"/>
        <v>0</v>
      </c>
    </row>
    <row r="1339" spans="1:20" ht="22.15" hidden="1" customHeight="1">
      <c r="A1339" s="59"/>
      <c r="B1339" s="1604" t="s">
        <v>1051</v>
      </c>
      <c r="C1339" s="1015" t="str">
        <f t="shared" si="272"/>
        <v xml:space="preserve"> </v>
      </c>
      <c r="D1339" s="1544">
        <v>15</v>
      </c>
      <c r="E1339" s="1047"/>
      <c r="F1339" s="1059" t="str">
        <f>VLOOKUP($B1339,DG!A:D,DG!$C$2,)</f>
        <v>Kẹp hotline 4/0</v>
      </c>
      <c r="G1339" s="1047" t="str">
        <f>VLOOKUP($B1339,DG!A:D,DG!$D$2,)</f>
        <v>cái</v>
      </c>
      <c r="H1339" s="1845">
        <f t="shared" si="273"/>
        <v>0</v>
      </c>
      <c r="I1339" s="1845">
        <f t="shared" si="273"/>
        <v>0</v>
      </c>
      <c r="J1339" s="1845">
        <f t="shared" si="273"/>
        <v>0</v>
      </c>
      <c r="K1339" s="1845">
        <f t="shared" si="273"/>
        <v>0</v>
      </c>
      <c r="L1339" s="1845">
        <f t="shared" si="273"/>
        <v>0</v>
      </c>
      <c r="M1339" s="1845">
        <f t="shared" si="273"/>
        <v>0</v>
      </c>
      <c r="N1339" s="1845">
        <f t="shared" si="273"/>
        <v>0</v>
      </c>
      <c r="O1339" s="1845"/>
      <c r="P1339" s="1845"/>
      <c r="Q1339" s="1056"/>
      <c r="R1339" s="1056"/>
      <c r="S1339" s="1056"/>
      <c r="T1339" s="2059">
        <f t="shared" si="271"/>
        <v>0</v>
      </c>
    </row>
    <row r="1340" spans="1:20" ht="22.15" hidden="1" customHeight="1">
      <c r="A1340" s="59"/>
      <c r="B1340" s="1586" t="s">
        <v>607</v>
      </c>
      <c r="C1340" s="1015" t="str">
        <f t="shared" si="272"/>
        <v xml:space="preserve"> </v>
      </c>
      <c r="D1340" s="1544">
        <v>1</v>
      </c>
      <c r="E1340" s="1047"/>
      <c r="F1340" s="1059" t="str">
        <f>VLOOKUP($B1340,DG!A:D,DG!$C$2,)</f>
        <v>Bộ chống chằng hẹp Ø60/50x1500+2BL12x40+BL16x250/80</v>
      </c>
      <c r="G1340" s="1047" t="str">
        <f>VLOOKUP($B1340,DG!A:D,DG!$D$2,)</f>
        <v>bộ</v>
      </c>
      <c r="H1340" s="1845">
        <f t="shared" si="273"/>
        <v>0</v>
      </c>
      <c r="I1340" s="1845">
        <f t="shared" si="273"/>
        <v>0</v>
      </c>
      <c r="J1340" s="1845">
        <f t="shared" si="273"/>
        <v>0</v>
      </c>
      <c r="K1340" s="1845">
        <f t="shared" si="273"/>
        <v>0</v>
      </c>
      <c r="L1340" s="1845">
        <f t="shared" si="273"/>
        <v>0</v>
      </c>
      <c r="M1340" s="1845">
        <f t="shared" si="273"/>
        <v>0</v>
      </c>
      <c r="N1340" s="1845">
        <f t="shared" si="273"/>
        <v>0</v>
      </c>
      <c r="O1340" s="1845"/>
      <c r="P1340" s="1845"/>
      <c r="Q1340" s="1056"/>
      <c r="R1340" s="1056"/>
      <c r="S1340" s="1056"/>
      <c r="T1340" s="2059">
        <f t="shared" si="271"/>
        <v>0</v>
      </c>
    </row>
    <row r="1341" spans="1:20" ht="22.15" hidden="1" customHeight="1">
      <c r="A1341" s="59"/>
      <c r="B1341" s="1586" t="s">
        <v>279</v>
      </c>
      <c r="C1341" s="1015" t="str">
        <f t="shared" si="272"/>
        <v xml:space="preserve"> </v>
      </c>
      <c r="D1341" s="1544">
        <v>2</v>
      </c>
      <c r="E1341" s="1047"/>
      <c r="F1341" s="1059" t="str">
        <f>VLOOKUP($B1341,DG!A:D,DG!$C$2,)</f>
        <v>Sắt dẹt 60 x 6</v>
      </c>
      <c r="G1341" s="1047" t="str">
        <f>VLOOKUP($B1341,DG!A:D,DG!$D$2,)</f>
        <v>kg</v>
      </c>
      <c r="H1341" s="1845">
        <f t="shared" si="273"/>
        <v>0</v>
      </c>
      <c r="I1341" s="1845">
        <f t="shared" si="273"/>
        <v>0</v>
      </c>
      <c r="J1341" s="1845">
        <f t="shared" si="273"/>
        <v>0</v>
      </c>
      <c r="K1341" s="1845">
        <f t="shared" si="273"/>
        <v>0</v>
      </c>
      <c r="L1341" s="1845">
        <f t="shared" si="273"/>
        <v>0</v>
      </c>
      <c r="M1341" s="1845">
        <f t="shared" si="273"/>
        <v>0</v>
      </c>
      <c r="N1341" s="1845">
        <f t="shared" si="273"/>
        <v>0</v>
      </c>
      <c r="O1341" s="1845"/>
      <c r="P1341" s="1845"/>
      <c r="Q1341" s="1056"/>
      <c r="R1341" s="1056"/>
      <c r="S1341" s="1056"/>
      <c r="T1341" s="2059">
        <f t="shared" si="271"/>
        <v>0</v>
      </c>
    </row>
    <row r="1342" spans="1:20" ht="22.15" hidden="1" customHeight="1">
      <c r="A1342" s="59"/>
      <c r="B1342" s="1586" t="s">
        <v>1376</v>
      </c>
      <c r="C1342" s="1015" t="str">
        <f t="shared" si="272"/>
        <v xml:space="preserve"> </v>
      </c>
      <c r="D1342" s="1544">
        <v>1</v>
      </c>
      <c r="E1342" s="1047"/>
      <c r="F1342" s="1059" t="str">
        <f>VLOOKUP($B1342,DG!A:D,DG!$C$2,)</f>
        <v xml:space="preserve">Móc treo chữ U </v>
      </c>
      <c r="G1342" s="1047" t="str">
        <f>VLOOKUP($B1342,DG!A:D,DG!$D$2,)</f>
        <v>cái</v>
      </c>
      <c r="H1342" s="1845">
        <f t="shared" si="273"/>
        <v>0</v>
      </c>
      <c r="I1342" s="1845">
        <f t="shared" si="273"/>
        <v>0</v>
      </c>
      <c r="J1342" s="1845">
        <f t="shared" si="273"/>
        <v>0</v>
      </c>
      <c r="K1342" s="1845">
        <f t="shared" si="273"/>
        <v>0</v>
      </c>
      <c r="L1342" s="1845">
        <f t="shared" si="273"/>
        <v>0</v>
      </c>
      <c r="M1342" s="1845">
        <f t="shared" si="273"/>
        <v>0</v>
      </c>
      <c r="N1342" s="1845">
        <f t="shared" si="273"/>
        <v>0</v>
      </c>
      <c r="O1342" s="1845"/>
      <c r="P1342" s="1845"/>
      <c r="Q1342" s="1056"/>
      <c r="R1342" s="1056"/>
      <c r="S1342" s="1056"/>
      <c r="T1342" s="2059">
        <f t="shared" si="271"/>
        <v>0</v>
      </c>
    </row>
    <row r="1343" spans="1:20" ht="22.15" hidden="1" customHeight="1">
      <c r="A1343" s="59"/>
      <c r="B1343" s="1605" t="s">
        <v>1897</v>
      </c>
      <c r="C1343" s="1015" t="str">
        <f t="shared" si="272"/>
        <v xml:space="preserve"> </v>
      </c>
      <c r="D1343" s="1544">
        <v>2</v>
      </c>
      <c r="E1343" s="1047"/>
      <c r="F1343" s="1059" t="str">
        <f>VLOOKUP($B1343,DG!A:D,DG!$C$2,)</f>
        <v>Boulon 16x100VRS+ 4 long đền vuông D18-50x50x3/Zn</v>
      </c>
      <c r="G1343" s="1047" t="str">
        <f>VLOOKUP($B1343,DG!A:D,DG!$D$2,)</f>
        <v>bộ</v>
      </c>
      <c r="H1343" s="1845">
        <f t="shared" si="273"/>
        <v>0</v>
      </c>
      <c r="I1343" s="1845">
        <f t="shared" si="273"/>
        <v>0</v>
      </c>
      <c r="J1343" s="1845">
        <f t="shared" si="273"/>
        <v>0</v>
      </c>
      <c r="K1343" s="1845">
        <f t="shared" si="273"/>
        <v>0</v>
      </c>
      <c r="L1343" s="1845">
        <f t="shared" si="273"/>
        <v>0</v>
      </c>
      <c r="M1343" s="1845">
        <f t="shared" si="273"/>
        <v>0</v>
      </c>
      <c r="N1343" s="1845">
        <f t="shared" si="273"/>
        <v>0</v>
      </c>
      <c r="O1343" s="1845"/>
      <c r="P1343" s="1845"/>
      <c r="Q1343" s="1056"/>
      <c r="R1343" s="1056"/>
      <c r="S1343" s="1056"/>
      <c r="T1343" s="2059">
        <f t="shared" si="271"/>
        <v>0</v>
      </c>
    </row>
    <row r="1344" spans="1:20" ht="22.15" hidden="1" customHeight="1">
      <c r="A1344" s="59"/>
      <c r="B1344" s="1605" t="s">
        <v>340</v>
      </c>
      <c r="C1344" s="1015" t="str">
        <f t="shared" si="272"/>
        <v xml:space="preserve"> </v>
      </c>
      <c r="D1344" s="1544">
        <v>1</v>
      </c>
      <c r="E1344" s="1047"/>
      <c r="F1344" s="1059" t="str">
        <f>VLOOKUP($B1344,DG!A:D,DG!$C$2,)</f>
        <v>Boulon 16x270/80+ 2 long đền vuông D18-50x50x3/Zn</v>
      </c>
      <c r="G1344" s="1047" t="str">
        <f>VLOOKUP($B1344,DG!A:D,DG!$D$2,)</f>
        <v>bộ</v>
      </c>
      <c r="H1344" s="1845">
        <f t="shared" si="273"/>
        <v>0</v>
      </c>
      <c r="I1344" s="1845">
        <f t="shared" si="273"/>
        <v>0</v>
      </c>
      <c r="J1344" s="1845">
        <f t="shared" si="273"/>
        <v>0</v>
      </c>
      <c r="K1344" s="1845">
        <f t="shared" si="273"/>
        <v>0</v>
      </c>
      <c r="L1344" s="1845">
        <f t="shared" si="273"/>
        <v>0</v>
      </c>
      <c r="M1344" s="1845">
        <f t="shared" si="273"/>
        <v>0</v>
      </c>
      <c r="N1344" s="1845">
        <f t="shared" si="273"/>
        <v>0</v>
      </c>
      <c r="O1344" s="1845"/>
      <c r="P1344" s="1845"/>
      <c r="Q1344" s="1056"/>
      <c r="R1344" s="1056"/>
      <c r="S1344" s="1056"/>
      <c r="T1344" s="2059">
        <f t="shared" si="271"/>
        <v>0</v>
      </c>
    </row>
    <row r="1345" spans="1:20" ht="22.15" hidden="1" customHeight="1">
      <c r="A1345" s="59"/>
      <c r="B1345" s="1586" t="s">
        <v>2006</v>
      </c>
      <c r="C1345" s="1015" t="str">
        <f t="shared" si="272"/>
        <v xml:space="preserve"> </v>
      </c>
      <c r="D1345" s="1544">
        <v>2</v>
      </c>
      <c r="E1345" s="1047"/>
      <c r="F1345" s="1059" t="str">
        <f>VLOOKUP($B1345,DG!A:D,DG!$C$2,)</f>
        <v>Yếm cáp dày 2mm</v>
      </c>
      <c r="G1345" s="1047" t="str">
        <f>VLOOKUP($B1345,DG!A:D,DG!$D$2,)</f>
        <v>cái</v>
      </c>
      <c r="H1345" s="1845">
        <f t="shared" si="273"/>
        <v>0</v>
      </c>
      <c r="I1345" s="1845">
        <f t="shared" si="273"/>
        <v>0</v>
      </c>
      <c r="J1345" s="1845">
        <f t="shared" si="273"/>
        <v>0</v>
      </c>
      <c r="K1345" s="1845">
        <f t="shared" si="273"/>
        <v>0</v>
      </c>
      <c r="L1345" s="1845">
        <f t="shared" si="273"/>
        <v>0</v>
      </c>
      <c r="M1345" s="1845">
        <f t="shared" si="273"/>
        <v>0</v>
      </c>
      <c r="N1345" s="1845">
        <f t="shared" si="273"/>
        <v>0</v>
      </c>
      <c r="O1345" s="1845"/>
      <c r="P1345" s="1845"/>
      <c r="Q1345" s="1056"/>
      <c r="R1345" s="1056"/>
      <c r="S1345" s="1056"/>
      <c r="T1345" s="2059">
        <f t="shared" si="271"/>
        <v>0</v>
      </c>
    </row>
    <row r="1346" spans="1:20" ht="22.15" hidden="1" customHeight="1">
      <c r="A1346" s="59"/>
      <c r="B1346" s="1586" t="s">
        <v>2007</v>
      </c>
      <c r="C1346" s="1015" t="str">
        <f t="shared" si="272"/>
        <v xml:space="preserve"> </v>
      </c>
      <c r="D1346" s="1544">
        <v>1</v>
      </c>
      <c r="E1346" s="1047"/>
      <c r="F1346" s="1059" t="str">
        <f>VLOOKUP($B1346,DG!A:D,DG!$C$2,)</f>
        <v>Máng che dây chằng dày 1,6mm</v>
      </c>
      <c r="G1346" s="1047" t="str">
        <f>VLOOKUP($B1346,DG!A:D,DG!$D$2,)</f>
        <v>cái</v>
      </c>
      <c r="H1346" s="1845">
        <f t="shared" si="273"/>
        <v>0</v>
      </c>
      <c r="I1346" s="1845">
        <f t="shared" si="273"/>
        <v>0</v>
      </c>
      <c r="J1346" s="1845">
        <f t="shared" si="273"/>
        <v>0</v>
      </c>
      <c r="K1346" s="1845">
        <f t="shared" si="273"/>
        <v>0</v>
      </c>
      <c r="L1346" s="1845">
        <f t="shared" si="273"/>
        <v>0</v>
      </c>
      <c r="M1346" s="1845">
        <f t="shared" si="273"/>
        <v>0</v>
      </c>
      <c r="N1346" s="1845">
        <f t="shared" si="273"/>
        <v>0</v>
      </c>
      <c r="O1346" s="1845"/>
      <c r="P1346" s="1845"/>
      <c r="Q1346" s="1056"/>
      <c r="R1346" s="1056"/>
      <c r="S1346" s="1056"/>
      <c r="T1346" s="2059">
        <f t="shared" si="271"/>
        <v>0</v>
      </c>
    </row>
    <row r="1347" spans="1:20" ht="22.15" hidden="1" customHeight="1">
      <c r="A1347" s="59"/>
      <c r="B1347" s="1586" t="s">
        <v>1924</v>
      </c>
      <c r="C1347" s="1015" t="str">
        <f t="shared" si="272"/>
        <v xml:space="preserve"> </v>
      </c>
      <c r="D1347" s="1544">
        <f>D1336</f>
        <v>1</v>
      </c>
      <c r="E1347" s="1047" t="str">
        <f>VLOOKUP($B1347,DG!A:D,DG!$B$2,)</f>
        <v>06.3241</v>
      </c>
      <c r="F1347" s="1052" t="str">
        <f>VLOOKUP($B1347,DG!A:D,DG!$C$2,)</f>
        <v>Lắp bộ dây néo</v>
      </c>
      <c r="G1347" s="1047" t="str">
        <f>VLOOKUP($B1347,DG!A:D,DG!$D$2,)</f>
        <v>bộ</v>
      </c>
      <c r="H1347" s="1845"/>
      <c r="I1347" s="1845"/>
      <c r="J1347" s="1845"/>
      <c r="K1347" s="1845"/>
      <c r="L1347" s="1845"/>
      <c r="M1347" s="1845"/>
      <c r="N1347" s="1845"/>
      <c r="O1347" s="1845"/>
      <c r="P1347" s="1845"/>
      <c r="Q1347" s="1061"/>
      <c r="R1347" s="1061"/>
      <c r="S1347" s="1061"/>
      <c r="T1347" s="2059">
        <f t="shared" si="271"/>
        <v>0</v>
      </c>
    </row>
    <row r="1348" spans="1:20" ht="22.15" hidden="1" customHeight="1">
      <c r="A1348" s="59"/>
      <c r="B1348" s="1586" t="s">
        <v>681</v>
      </c>
      <c r="C1348" s="1015" t="str">
        <f t="shared" si="272"/>
        <v xml:space="preserve"> </v>
      </c>
      <c r="D1348" s="1544">
        <v>1</v>
      </c>
      <c r="E1348" s="1047" t="str">
        <f>VLOOKUP($B1348,DG!A:D,DG!$B$2,)</f>
        <v>06.2110</v>
      </c>
      <c r="F1348" s="1052" t="str">
        <f>VLOOKUP($B1348,DG!A:D,DG!$C$2,)</f>
        <v>Lắp cổ dề</v>
      </c>
      <c r="G1348" s="1047" t="str">
        <f>VLOOKUP($B1348,DG!A:D,DG!$D$2,)</f>
        <v>cái</v>
      </c>
      <c r="H1348" s="1845"/>
      <c r="I1348" s="1845"/>
      <c r="J1348" s="1845"/>
      <c r="K1348" s="1845"/>
      <c r="L1348" s="1845"/>
      <c r="M1348" s="1845"/>
      <c r="N1348" s="1845"/>
      <c r="O1348" s="1845"/>
      <c r="P1348" s="1845"/>
      <c r="Q1348" s="1061"/>
      <c r="R1348" s="1061"/>
      <c r="S1348" s="1061"/>
      <c r="T1348" s="2059">
        <f t="shared" si="271"/>
        <v>0</v>
      </c>
    </row>
    <row r="1349" spans="1:20" ht="22.15" hidden="1" customHeight="1">
      <c r="A1349" s="59"/>
      <c r="B1349" s="1586" t="s">
        <v>1912</v>
      </c>
      <c r="C1349" s="1015" t="str">
        <f t="shared" si="272"/>
        <v xml:space="preserve"> </v>
      </c>
      <c r="D1349" s="1544">
        <f>D1332</f>
        <v>1</v>
      </c>
      <c r="E1349" s="1047" t="str">
        <f>VLOOKUP($B1349,DG!A:D,DG!$B$2,)</f>
        <v>05.6011</v>
      </c>
      <c r="F1349" s="1052" t="str">
        <f>VLOOKUP($B1349,DG!A:D,DG!$C$2,)</f>
        <v>Lắp bộ chống lệch</v>
      </c>
      <c r="G1349" s="1047" t="str">
        <f>VLOOKUP($B1349,DG!A:D,DG!$D$2,)</f>
        <v>bộ</v>
      </c>
      <c r="H1349" s="1845"/>
      <c r="I1349" s="1845"/>
      <c r="J1349" s="1845"/>
      <c r="K1349" s="1845"/>
      <c r="L1349" s="1845"/>
      <c r="M1349" s="1845"/>
      <c r="N1349" s="1845"/>
      <c r="O1349" s="1845"/>
      <c r="P1349" s="1845"/>
      <c r="Q1349" s="1061"/>
      <c r="R1349" s="1061"/>
      <c r="S1349" s="1061"/>
      <c r="T1349" s="2059">
        <f t="shared" si="271"/>
        <v>0</v>
      </c>
    </row>
    <row r="1350" spans="1:20" ht="22.15" hidden="1" customHeight="1">
      <c r="A1350" s="59"/>
      <c r="B1350" s="1598" t="s">
        <v>356</v>
      </c>
      <c r="C1350" s="1015" t="str">
        <f t="shared" si="272"/>
        <v xml:space="preserve"> </v>
      </c>
      <c r="D1350" s="1543">
        <v>0.02</v>
      </c>
      <c r="E1350" s="1047" t="str">
        <f>VLOOKUP($B1350,DG!A:C,2,)</f>
        <v>02.1421</v>
      </c>
      <c r="F1350" s="1052" t="str">
        <f>VLOOKUP($B1350,DG!A:C,3,)</f>
        <v>V/c phụ kiện vào vị trí (cự ly &lt;=100m)</v>
      </c>
      <c r="G1350" s="1047" t="str">
        <f>VLOOKUP($B1350,DG!A:D,4,0)</f>
        <v>tấn</v>
      </c>
      <c r="H1350" s="1845"/>
      <c r="I1350" s="1845"/>
      <c r="J1350" s="1845"/>
      <c r="K1350" s="1845"/>
      <c r="L1350" s="1845"/>
      <c r="M1350" s="1845"/>
      <c r="N1350" s="1845"/>
      <c r="O1350" s="1845"/>
      <c r="P1350" s="1845"/>
      <c r="Q1350" s="1061"/>
      <c r="R1350" s="1061"/>
      <c r="S1350" s="1061"/>
      <c r="T1350" s="2059">
        <f t="shared" si="271"/>
        <v>0</v>
      </c>
    </row>
    <row r="1351" spans="1:20" ht="22.15" hidden="1" customHeight="1">
      <c r="A1351" s="56" t="s">
        <v>1245</v>
      </c>
      <c r="B1351" s="1583" t="s">
        <v>1245</v>
      </c>
      <c r="C1351" s="1015" t="str">
        <f t="shared" si="272"/>
        <v xml:space="preserve"> </v>
      </c>
      <c r="D1351" s="1541"/>
      <c r="E1351" s="1048"/>
      <c r="F1351" s="1396" t="s">
        <v>2494</v>
      </c>
      <c r="G1351" s="1049" t="s">
        <v>2394</v>
      </c>
      <c r="H1351" s="1843">
        <f>SUM(I1351:O1351)</f>
        <v>0</v>
      </c>
      <c r="I1351" s="1844"/>
      <c r="J1351" s="1844"/>
      <c r="K1351" s="1844">
        <f>IFERROR(HLOOKUP(B1351,pp3p1m!$1:$3,3,0),0)</f>
        <v>0</v>
      </c>
      <c r="L1351" s="1844">
        <f>IFERROR(HLOOKUP(chitiet!B1351,pp1p!$1:$3,3,0),0)</f>
        <v>0</v>
      </c>
      <c r="M1351" s="1844"/>
      <c r="N1351" s="1844"/>
      <c r="O1351" s="1844"/>
      <c r="P1351" s="1844">
        <f>H1351+Q1351-R1351</f>
        <v>0</v>
      </c>
      <c r="Q1351" s="1050"/>
      <c r="R1351" s="1050"/>
      <c r="S1351" s="1050"/>
      <c r="T1351" s="2059">
        <f>IFERROR(HLOOKUP(B1351,pp1p!$1:$3,3,0),0)+IFERROR(HLOOKUP(B1351,pp3p1m!$1:$3,3,0),0)</f>
        <v>0</v>
      </c>
    </row>
    <row r="1352" spans="1:20" ht="22.15" hidden="1" customHeight="1">
      <c r="A1352" s="59"/>
      <c r="B1352" s="1586" t="s">
        <v>669</v>
      </c>
      <c r="C1352" s="1015" t="str">
        <f t="shared" si="272"/>
        <v xml:space="preserve"> </v>
      </c>
      <c r="D1352" s="1544">
        <v>1</v>
      </c>
      <c r="E1352" s="1047"/>
      <c r="F1352" s="1059" t="str">
        <f>VLOOKUP($B1352,DG!A:D,DG!$C$2,)&amp;"-Fe8x100 nhuùng keõm"</f>
        <v>Cổ dê Ø 195 nẹp trụ-Fe8x100 nhuùng keõm</v>
      </c>
      <c r="G1352" s="1047" t="str">
        <f>VLOOKUP($B1352,DG!A:D,DG!$D$2,)</f>
        <v>bộ</v>
      </c>
      <c r="H1352" s="1845">
        <f t="shared" ref="H1352:N1361" si="274">H$1351*$D1352</f>
        <v>0</v>
      </c>
      <c r="I1352" s="1845">
        <f t="shared" si="274"/>
        <v>0</v>
      </c>
      <c r="J1352" s="1845">
        <f t="shared" si="274"/>
        <v>0</v>
      </c>
      <c r="K1352" s="1845">
        <f t="shared" si="274"/>
        <v>0</v>
      </c>
      <c r="L1352" s="1845">
        <f t="shared" si="274"/>
        <v>0</v>
      </c>
      <c r="M1352" s="1845">
        <f t="shared" si="274"/>
        <v>0</v>
      </c>
      <c r="N1352" s="1845">
        <f t="shared" si="274"/>
        <v>0</v>
      </c>
      <c r="O1352" s="1845"/>
      <c r="P1352" s="1845"/>
      <c r="Q1352" s="1056"/>
      <c r="R1352" s="1056"/>
      <c r="S1352" s="1056"/>
      <c r="T1352" s="2059">
        <f t="shared" si="271"/>
        <v>0</v>
      </c>
    </row>
    <row r="1353" spans="1:20" ht="22.15" hidden="1" customHeight="1">
      <c r="A1353" s="59"/>
      <c r="B1353" s="1586" t="s">
        <v>1471</v>
      </c>
      <c r="C1353" s="1015" t="str">
        <f t="shared" si="272"/>
        <v xml:space="preserve"> </v>
      </c>
      <c r="D1353" s="1544">
        <v>1</v>
      </c>
      <c r="E1353" s="1047"/>
      <c r="F1353" s="1059" t="str">
        <f>VLOOKUP($B1353,DG!A:D,DG!$C$2,)&amp;"-Fe8x100 nhuùng keõm"</f>
        <v>Cổ dê Ø 220 nẹp trụ-Fe8x100 nhuùng keõm</v>
      </c>
      <c r="G1353" s="1047" t="str">
        <f>VLOOKUP($B1353,DG!A:D,DG!$D$2,)</f>
        <v>bộ</v>
      </c>
      <c r="H1353" s="1845">
        <f t="shared" si="274"/>
        <v>0</v>
      </c>
      <c r="I1353" s="1845">
        <f t="shared" si="274"/>
        <v>0</v>
      </c>
      <c r="J1353" s="1845">
        <f t="shared" si="274"/>
        <v>0</v>
      </c>
      <c r="K1353" s="1845">
        <f t="shared" si="274"/>
        <v>0</v>
      </c>
      <c r="L1353" s="1845">
        <f t="shared" si="274"/>
        <v>0</v>
      </c>
      <c r="M1353" s="1845">
        <f t="shared" si="274"/>
        <v>0</v>
      </c>
      <c r="N1353" s="1845">
        <f t="shared" si="274"/>
        <v>0</v>
      </c>
      <c r="O1353" s="1845"/>
      <c r="P1353" s="1845"/>
      <c r="Q1353" s="1056"/>
      <c r="R1353" s="1056"/>
      <c r="S1353" s="1056"/>
      <c r="T1353" s="2059">
        <f t="shared" si="271"/>
        <v>0</v>
      </c>
    </row>
    <row r="1354" spans="1:20" ht="22.15" hidden="1" customHeight="1">
      <c r="A1354" s="59"/>
      <c r="B1354" s="1586" t="s">
        <v>111</v>
      </c>
      <c r="C1354" s="1015" t="str">
        <f t="shared" si="272"/>
        <v xml:space="preserve"> </v>
      </c>
      <c r="D1354" s="1544">
        <v>2</v>
      </c>
      <c r="E1354" s="1047"/>
      <c r="F1354" s="1059" t="str">
        <f>VLOOKUP($B1354,DG!A:D,DG!$C$2,)</f>
        <v>Sứ chằng</v>
      </c>
      <c r="G1354" s="1047" t="str">
        <f>VLOOKUP($B1354,DG!A:D,DG!$D$2,)</f>
        <v>cái</v>
      </c>
      <c r="H1354" s="1845">
        <f t="shared" si="274"/>
        <v>0</v>
      </c>
      <c r="I1354" s="1845">
        <f t="shared" si="274"/>
        <v>0</v>
      </c>
      <c r="J1354" s="1845">
        <f t="shared" si="274"/>
        <v>0</v>
      </c>
      <c r="K1354" s="1845">
        <f t="shared" si="274"/>
        <v>0</v>
      </c>
      <c r="L1354" s="1845">
        <f t="shared" si="274"/>
        <v>0</v>
      </c>
      <c r="M1354" s="1845">
        <f t="shared" si="274"/>
        <v>0</v>
      </c>
      <c r="N1354" s="1845">
        <f t="shared" si="274"/>
        <v>0</v>
      </c>
      <c r="O1354" s="1845"/>
      <c r="P1354" s="1845"/>
      <c r="Q1354" s="1056"/>
      <c r="R1354" s="1056"/>
      <c r="S1354" s="1056"/>
      <c r="T1354" s="2059">
        <f t="shared" si="271"/>
        <v>0</v>
      </c>
    </row>
    <row r="1355" spans="1:20" ht="22.15" hidden="1" customHeight="1">
      <c r="A1355" s="59"/>
      <c r="B1355" s="1586" t="s">
        <v>1583</v>
      </c>
      <c r="C1355" s="1015" t="str">
        <f t="shared" si="272"/>
        <v xml:space="preserve"> </v>
      </c>
      <c r="D1355" s="1544">
        <v>16</v>
      </c>
      <c r="E1355" s="1047"/>
      <c r="F1355" s="1059" t="str">
        <f>VLOOKUP($B1355,DG!A:D,DG!$C$2,)</f>
        <v>Kẹp cáp 3 boulon</v>
      </c>
      <c r="G1355" s="1047" t="str">
        <f>VLOOKUP($B1355,DG!A:D,DG!$D$2,)</f>
        <v>cái</v>
      </c>
      <c r="H1355" s="1845">
        <f t="shared" si="274"/>
        <v>0</v>
      </c>
      <c r="I1355" s="1845">
        <f t="shared" si="274"/>
        <v>0</v>
      </c>
      <c r="J1355" s="1845">
        <f t="shared" si="274"/>
        <v>0</v>
      </c>
      <c r="K1355" s="1845">
        <f t="shared" si="274"/>
        <v>0</v>
      </c>
      <c r="L1355" s="1845">
        <f t="shared" si="274"/>
        <v>0</v>
      </c>
      <c r="M1355" s="1845">
        <f t="shared" si="274"/>
        <v>0</v>
      </c>
      <c r="N1355" s="1845">
        <f t="shared" si="274"/>
        <v>0</v>
      </c>
      <c r="O1355" s="1845"/>
      <c r="P1355" s="1845"/>
      <c r="Q1355" s="1056"/>
      <c r="R1355" s="1056"/>
      <c r="S1355" s="1056"/>
      <c r="T1355" s="2059">
        <f t="shared" si="271"/>
        <v>0</v>
      </c>
    </row>
    <row r="1356" spans="1:20" ht="22.15" hidden="1" customHeight="1">
      <c r="A1356" s="59"/>
      <c r="B1356" s="1604" t="s">
        <v>1051</v>
      </c>
      <c r="C1356" s="1015" t="str">
        <f t="shared" si="272"/>
        <v xml:space="preserve"> </v>
      </c>
      <c r="D1356" s="1544">
        <v>36</v>
      </c>
      <c r="E1356" s="1047"/>
      <c r="F1356" s="1059" t="str">
        <f>VLOOKUP($B1356,DG!A:D,DG!$C$2,)</f>
        <v>Kẹp hotline 4/0</v>
      </c>
      <c r="G1356" s="1047" t="str">
        <f>VLOOKUP($B1356,DG!A:D,DG!$D$2,)</f>
        <v>cái</v>
      </c>
      <c r="H1356" s="1845">
        <f t="shared" si="274"/>
        <v>0</v>
      </c>
      <c r="I1356" s="1845">
        <f t="shared" si="274"/>
        <v>0</v>
      </c>
      <c r="J1356" s="1845">
        <f t="shared" si="274"/>
        <v>0</v>
      </c>
      <c r="K1356" s="1845">
        <f t="shared" si="274"/>
        <v>0</v>
      </c>
      <c r="L1356" s="1845">
        <f t="shared" si="274"/>
        <v>0</v>
      </c>
      <c r="M1356" s="1845">
        <f t="shared" si="274"/>
        <v>0</v>
      </c>
      <c r="N1356" s="1845">
        <f t="shared" si="274"/>
        <v>0</v>
      </c>
      <c r="O1356" s="1845"/>
      <c r="P1356" s="1845"/>
      <c r="Q1356" s="1056"/>
      <c r="R1356" s="1056"/>
      <c r="S1356" s="1056"/>
      <c r="T1356" s="2059">
        <f t="shared" si="271"/>
        <v>0</v>
      </c>
    </row>
    <row r="1357" spans="1:20" ht="22.15" hidden="1" customHeight="1">
      <c r="A1357" s="59"/>
      <c r="B1357" s="1586" t="s">
        <v>279</v>
      </c>
      <c r="C1357" s="1015" t="str">
        <f t="shared" si="272"/>
        <v xml:space="preserve"> </v>
      </c>
      <c r="D1357" s="1544">
        <v>4</v>
      </c>
      <c r="E1357" s="1047"/>
      <c r="F1357" s="1059" t="str">
        <f>VLOOKUP($B1357,DG!A:D,DG!$C$2,)</f>
        <v>Sắt dẹt 60 x 6</v>
      </c>
      <c r="G1357" s="1047" t="str">
        <f>VLOOKUP($B1357,DG!A:D,DG!$D$2,)</f>
        <v>kg</v>
      </c>
      <c r="H1357" s="1845">
        <f t="shared" si="274"/>
        <v>0</v>
      </c>
      <c r="I1357" s="1845">
        <f t="shared" si="274"/>
        <v>0</v>
      </c>
      <c r="J1357" s="1845">
        <f t="shared" si="274"/>
        <v>0</v>
      </c>
      <c r="K1357" s="1845">
        <f t="shared" si="274"/>
        <v>0</v>
      </c>
      <c r="L1357" s="1845">
        <f t="shared" si="274"/>
        <v>0</v>
      </c>
      <c r="M1357" s="1845">
        <f t="shared" si="274"/>
        <v>0</v>
      </c>
      <c r="N1357" s="1845">
        <f t="shared" si="274"/>
        <v>0</v>
      </c>
      <c r="O1357" s="1845"/>
      <c r="P1357" s="1845"/>
      <c r="Q1357" s="1056"/>
      <c r="R1357" s="1056"/>
      <c r="S1357" s="1056"/>
      <c r="T1357" s="2059">
        <f t="shared" si="271"/>
        <v>0</v>
      </c>
    </row>
    <row r="1358" spans="1:20" ht="22.15" hidden="1" customHeight="1">
      <c r="A1358" s="59"/>
      <c r="B1358" s="1586" t="s">
        <v>1376</v>
      </c>
      <c r="C1358" s="1015" t="str">
        <f t="shared" si="272"/>
        <v xml:space="preserve"> </v>
      </c>
      <c r="D1358" s="1544">
        <v>2</v>
      </c>
      <c r="E1358" s="1047"/>
      <c r="F1358" s="1059" t="str">
        <f>VLOOKUP($B1358,DG!A:D,DG!$C$2,)</f>
        <v xml:space="preserve">Móc treo chữ U </v>
      </c>
      <c r="G1358" s="1047" t="str">
        <f>VLOOKUP($B1358,DG!A:D,DG!$D$2,)</f>
        <v>cái</v>
      </c>
      <c r="H1358" s="1845">
        <f t="shared" si="274"/>
        <v>0</v>
      </c>
      <c r="I1358" s="1845">
        <f t="shared" si="274"/>
        <v>0</v>
      </c>
      <c r="J1358" s="1845">
        <f t="shared" si="274"/>
        <v>0</v>
      </c>
      <c r="K1358" s="1845">
        <f t="shared" si="274"/>
        <v>0</v>
      </c>
      <c r="L1358" s="1845">
        <f t="shared" si="274"/>
        <v>0</v>
      </c>
      <c r="M1358" s="1845">
        <f t="shared" si="274"/>
        <v>0</v>
      </c>
      <c r="N1358" s="1845">
        <f t="shared" si="274"/>
        <v>0</v>
      </c>
      <c r="O1358" s="1845"/>
      <c r="P1358" s="1845"/>
      <c r="Q1358" s="1056"/>
      <c r="R1358" s="1056"/>
      <c r="S1358" s="1056"/>
      <c r="T1358" s="2059">
        <f t="shared" si="271"/>
        <v>0</v>
      </c>
    </row>
    <row r="1359" spans="1:20" ht="22.15" hidden="1" customHeight="1">
      <c r="A1359" s="59"/>
      <c r="B1359" s="1605" t="s">
        <v>1897</v>
      </c>
      <c r="C1359" s="1015" t="str">
        <f t="shared" si="272"/>
        <v xml:space="preserve"> </v>
      </c>
      <c r="D1359" s="1544">
        <v>4</v>
      </c>
      <c r="E1359" s="1047"/>
      <c r="F1359" s="1059" t="str">
        <f>VLOOKUP($B1359,DG!A:D,DG!$C$2,)</f>
        <v>Boulon 16x100VRS+ 4 long đền vuông D18-50x50x3/Zn</v>
      </c>
      <c r="G1359" s="1047" t="str">
        <f>VLOOKUP($B1359,DG!A:D,DG!$D$2,)</f>
        <v>bộ</v>
      </c>
      <c r="H1359" s="1845">
        <f t="shared" si="274"/>
        <v>0</v>
      </c>
      <c r="I1359" s="1845">
        <f t="shared" si="274"/>
        <v>0</v>
      </c>
      <c r="J1359" s="1845">
        <f t="shared" si="274"/>
        <v>0</v>
      </c>
      <c r="K1359" s="1845">
        <f t="shared" si="274"/>
        <v>0</v>
      </c>
      <c r="L1359" s="1845">
        <f t="shared" si="274"/>
        <v>0</v>
      </c>
      <c r="M1359" s="1845">
        <f t="shared" si="274"/>
        <v>0</v>
      </c>
      <c r="N1359" s="1845">
        <f t="shared" si="274"/>
        <v>0</v>
      </c>
      <c r="O1359" s="1845"/>
      <c r="P1359" s="1845"/>
      <c r="Q1359" s="1056"/>
      <c r="R1359" s="1056"/>
      <c r="S1359" s="1056"/>
      <c r="T1359" s="2059">
        <f t="shared" si="271"/>
        <v>0</v>
      </c>
    </row>
    <row r="1360" spans="1:20" ht="22.15" hidden="1" customHeight="1">
      <c r="A1360" s="59"/>
      <c r="B1360" s="1586" t="s">
        <v>2006</v>
      </c>
      <c r="C1360" s="1015" t="str">
        <f t="shared" si="272"/>
        <v xml:space="preserve"> </v>
      </c>
      <c r="D1360" s="1544">
        <v>4</v>
      </c>
      <c r="E1360" s="1047"/>
      <c r="F1360" s="1059" t="str">
        <f>VLOOKUP($B1360,DG!A:D,DG!$C$2,)</f>
        <v>Yếm cáp dày 2mm</v>
      </c>
      <c r="G1360" s="1047" t="str">
        <f>VLOOKUP($B1360,DG!A:D,DG!$D$2,)</f>
        <v>cái</v>
      </c>
      <c r="H1360" s="1845">
        <f t="shared" si="274"/>
        <v>0</v>
      </c>
      <c r="I1360" s="1845">
        <f t="shared" si="274"/>
        <v>0</v>
      </c>
      <c r="J1360" s="1845">
        <f t="shared" si="274"/>
        <v>0</v>
      </c>
      <c r="K1360" s="1845">
        <f t="shared" si="274"/>
        <v>0</v>
      </c>
      <c r="L1360" s="1845">
        <f t="shared" si="274"/>
        <v>0</v>
      </c>
      <c r="M1360" s="1845">
        <f t="shared" si="274"/>
        <v>0</v>
      </c>
      <c r="N1360" s="1845">
        <f t="shared" si="274"/>
        <v>0</v>
      </c>
      <c r="O1360" s="1845"/>
      <c r="P1360" s="1845"/>
      <c r="Q1360" s="1056"/>
      <c r="R1360" s="1056"/>
      <c r="S1360" s="1056"/>
      <c r="T1360" s="2059">
        <f t="shared" si="271"/>
        <v>0</v>
      </c>
    </row>
    <row r="1361" spans="1:20" ht="22.15" hidden="1" customHeight="1">
      <c r="A1361" s="59"/>
      <c r="B1361" s="1586" t="s">
        <v>2007</v>
      </c>
      <c r="C1361" s="1015" t="str">
        <f t="shared" si="272"/>
        <v xml:space="preserve"> </v>
      </c>
      <c r="D1361" s="1544">
        <v>2</v>
      </c>
      <c r="E1361" s="1047"/>
      <c r="F1361" s="1059" t="str">
        <f>VLOOKUP($B1361,DG!A:D,DG!$C$2,)</f>
        <v>Máng che dây chằng dày 1,6mm</v>
      </c>
      <c r="G1361" s="1047" t="str">
        <f>VLOOKUP($B1361,DG!A:D,DG!$D$2,)</f>
        <v>cái</v>
      </c>
      <c r="H1361" s="1845">
        <f t="shared" si="274"/>
        <v>0</v>
      </c>
      <c r="I1361" s="1845">
        <f t="shared" si="274"/>
        <v>0</v>
      </c>
      <c r="J1361" s="1845">
        <f t="shared" si="274"/>
        <v>0</v>
      </c>
      <c r="K1361" s="1845">
        <f t="shared" si="274"/>
        <v>0</v>
      </c>
      <c r="L1361" s="1845">
        <f t="shared" si="274"/>
        <v>0</v>
      </c>
      <c r="M1361" s="1845">
        <f t="shared" si="274"/>
        <v>0</v>
      </c>
      <c r="N1361" s="1845">
        <f t="shared" si="274"/>
        <v>0</v>
      </c>
      <c r="O1361" s="1845"/>
      <c r="P1361" s="1845"/>
      <c r="Q1361" s="1056"/>
      <c r="R1361" s="1056"/>
      <c r="S1361" s="1056"/>
      <c r="T1361" s="2059">
        <f t="shared" si="271"/>
        <v>0</v>
      </c>
    </row>
    <row r="1362" spans="1:20" ht="22.15" hidden="1" customHeight="1">
      <c r="A1362" s="59"/>
      <c r="B1362" s="1586" t="s">
        <v>1924</v>
      </c>
      <c r="C1362" s="1015" t="str">
        <f t="shared" si="272"/>
        <v xml:space="preserve"> </v>
      </c>
      <c r="D1362" s="1544">
        <f>D1352</f>
        <v>1</v>
      </c>
      <c r="E1362" s="1047" t="str">
        <f>VLOOKUP($B1362,DG!A:D,DG!$B$2,)</f>
        <v>06.3241</v>
      </c>
      <c r="F1362" s="1052" t="str">
        <f>VLOOKUP($B1362,DG!A:D,DG!$C$2,)</f>
        <v>Lắp bộ dây néo</v>
      </c>
      <c r="G1362" s="1047" t="str">
        <f>VLOOKUP($B1362,DG!A:D,DG!$D$2,)</f>
        <v>bộ</v>
      </c>
      <c r="H1362" s="1845"/>
      <c r="I1362" s="1845"/>
      <c r="J1362" s="1845"/>
      <c r="K1362" s="1845"/>
      <c r="L1362" s="1845"/>
      <c r="M1362" s="1845"/>
      <c r="N1362" s="1845"/>
      <c r="O1362" s="1845"/>
      <c r="P1362" s="1845"/>
      <c r="Q1362" s="1061"/>
      <c r="R1362" s="1061"/>
      <c r="S1362" s="1061"/>
      <c r="T1362" s="2059">
        <f t="shared" si="271"/>
        <v>0</v>
      </c>
    </row>
    <row r="1363" spans="1:20" ht="22.15" hidden="1" customHeight="1">
      <c r="A1363" s="59"/>
      <c r="B1363" s="1586" t="s">
        <v>681</v>
      </c>
      <c r="C1363" s="1015" t="str">
        <f t="shared" si="272"/>
        <v xml:space="preserve"> </v>
      </c>
      <c r="D1363" s="1544">
        <v>2</v>
      </c>
      <c r="E1363" s="1047" t="str">
        <f>VLOOKUP($B1363,DG!A:D,DG!$B$2,)</f>
        <v>06.2110</v>
      </c>
      <c r="F1363" s="1052" t="str">
        <f>VLOOKUP($B1363,DG!A:D,DG!$C$2,)</f>
        <v>Lắp cổ dề</v>
      </c>
      <c r="G1363" s="1047" t="str">
        <f>VLOOKUP($B1363,DG!A:D,DG!$D$2,)</f>
        <v>cái</v>
      </c>
      <c r="H1363" s="1845"/>
      <c r="I1363" s="1845"/>
      <c r="J1363" s="1845"/>
      <c r="K1363" s="1845"/>
      <c r="L1363" s="1845"/>
      <c r="M1363" s="1845"/>
      <c r="N1363" s="1845"/>
      <c r="O1363" s="1845"/>
      <c r="P1363" s="1845"/>
      <c r="Q1363" s="1061"/>
      <c r="R1363" s="1061"/>
      <c r="S1363" s="1061"/>
      <c r="T1363" s="2059">
        <f t="shared" si="271"/>
        <v>0</v>
      </c>
    </row>
    <row r="1364" spans="1:20" ht="22.15" hidden="1" customHeight="1">
      <c r="A1364" s="59"/>
      <c r="B1364" s="1598" t="s">
        <v>356</v>
      </c>
      <c r="C1364" s="1015" t="str">
        <f t="shared" si="272"/>
        <v xml:space="preserve"> </v>
      </c>
      <c r="D1364" s="1543">
        <v>0.02</v>
      </c>
      <c r="E1364" s="1047" t="str">
        <f>VLOOKUP($B1364,DG!A:C,2,)</f>
        <v>02.1421</v>
      </c>
      <c r="F1364" s="1052" t="str">
        <f>VLOOKUP($B1364,DG!A:C,3,)</f>
        <v>V/c phụ kiện vào vị trí (cự ly &lt;=100m)</v>
      </c>
      <c r="G1364" s="1047" t="str">
        <f>VLOOKUP($B1364,DG!A:D,4,0)</f>
        <v>tấn</v>
      </c>
      <c r="H1364" s="1845"/>
      <c r="I1364" s="1845"/>
      <c r="J1364" s="1845"/>
      <c r="K1364" s="1845"/>
      <c r="L1364" s="1845"/>
      <c r="M1364" s="1845"/>
      <c r="N1364" s="1845"/>
      <c r="O1364" s="1845"/>
      <c r="P1364" s="1845"/>
      <c r="Q1364" s="1061"/>
      <c r="R1364" s="1061"/>
      <c r="S1364" s="1061"/>
      <c r="T1364" s="2059">
        <f t="shared" si="271"/>
        <v>0</v>
      </c>
    </row>
    <row r="1365" spans="1:20" ht="22.15" hidden="1" customHeight="1">
      <c r="A1365" s="56" t="s">
        <v>814</v>
      </c>
      <c r="B1365" s="1583" t="s">
        <v>814</v>
      </c>
      <c r="C1365" s="1015" t="str">
        <f t="shared" si="272"/>
        <v xml:space="preserve"> </v>
      </c>
      <c r="D1365" s="1541"/>
      <c r="E1365" s="1048"/>
      <c r="F1365" s="1396" t="s">
        <v>2495</v>
      </c>
      <c r="G1365" s="1049" t="s">
        <v>2394</v>
      </c>
      <c r="H1365" s="1843">
        <f>SUM(I1365:O1365)</f>
        <v>0</v>
      </c>
      <c r="I1365" s="1844"/>
      <c r="J1365" s="1844"/>
      <c r="K1365" s="1844">
        <f>IFERROR(HLOOKUP(B1365,pp3p1m!$1:$3,3,0),0)</f>
        <v>0</v>
      </c>
      <c r="L1365" s="1844">
        <f>IFERROR(HLOOKUP(chitiet!B1365,pp1p!$1:$3,3,0),0)</f>
        <v>0</v>
      </c>
      <c r="M1365" s="1844"/>
      <c r="N1365" s="1844"/>
      <c r="O1365" s="1844"/>
      <c r="P1365" s="1844">
        <f>H1365+Q1365-R1365</f>
        <v>0</v>
      </c>
      <c r="Q1365" s="1050"/>
      <c r="R1365" s="1050"/>
      <c r="S1365" s="1050"/>
      <c r="T1365" s="2059">
        <f>IFERROR(HLOOKUP(B1365,pp1p!$1:$3,3,0),0)+IFERROR(HLOOKUP(B1365,pp3p1m!$1:$3,3,0),0)</f>
        <v>0</v>
      </c>
    </row>
    <row r="1366" spans="1:20" ht="22.15" hidden="1" customHeight="1">
      <c r="A1366" s="59"/>
      <c r="B1366" s="1586" t="s">
        <v>669</v>
      </c>
      <c r="C1366" s="1015" t="str">
        <f t="shared" si="272"/>
        <v xml:space="preserve"> </v>
      </c>
      <c r="D1366" s="1547">
        <v>1</v>
      </c>
      <c r="E1366" s="1051"/>
      <c r="F1366" s="1057" t="str">
        <f>VLOOKUP($B1366,DG!A:D,DG!$C$2,)&amp;"-Fe8x100 nhuùng keõm"</f>
        <v>Cổ dê Ø 195 nẹp trụ-Fe8x100 nhuùng keõm</v>
      </c>
      <c r="G1366" s="1051" t="str">
        <f>VLOOKUP($B1366,DG!A:D,DG!$D$2,)</f>
        <v>bộ</v>
      </c>
      <c r="H1366" s="1846">
        <f t="shared" ref="H1366:J1374" si="275">H$1365*$D1366</f>
        <v>0</v>
      </c>
      <c r="I1366" s="1846">
        <f t="shared" si="275"/>
        <v>0</v>
      </c>
      <c r="J1366" s="1846">
        <f t="shared" si="275"/>
        <v>0</v>
      </c>
      <c r="K1366" s="1846"/>
      <c r="L1366" s="1846"/>
      <c r="M1366" s="1846"/>
      <c r="N1366" s="1846"/>
      <c r="O1366" s="1846"/>
      <c r="P1366" s="1846"/>
      <c r="Q1366" s="1055"/>
      <c r="R1366" s="1055"/>
      <c r="S1366" s="1055"/>
      <c r="T1366" s="2059">
        <f t="shared" si="271"/>
        <v>0</v>
      </c>
    </row>
    <row r="1367" spans="1:20" ht="22.15" hidden="1" customHeight="1">
      <c r="A1367" s="59"/>
      <c r="B1367" s="1586" t="s">
        <v>111</v>
      </c>
      <c r="C1367" s="1015" t="str">
        <f t="shared" si="272"/>
        <v xml:space="preserve"> </v>
      </c>
      <c r="D1367" s="1547">
        <v>2</v>
      </c>
      <c r="E1367" s="1051"/>
      <c r="F1367" s="1057" t="str">
        <f>VLOOKUP($B1367,DG!A:D,DG!$C$2,)</f>
        <v>Sứ chằng</v>
      </c>
      <c r="G1367" s="1051" t="str">
        <f>VLOOKUP($B1367,DG!A:D,DG!$D$2,)</f>
        <v>cái</v>
      </c>
      <c r="H1367" s="1846">
        <f t="shared" si="275"/>
        <v>0</v>
      </c>
      <c r="I1367" s="1846">
        <f t="shared" si="275"/>
        <v>0</v>
      </c>
      <c r="J1367" s="1846">
        <f t="shared" si="275"/>
        <v>0</v>
      </c>
      <c r="K1367" s="1846"/>
      <c r="L1367" s="1846"/>
      <c r="M1367" s="1846"/>
      <c r="N1367" s="1846"/>
      <c r="O1367" s="1846"/>
      <c r="P1367" s="1846"/>
      <c r="Q1367" s="1055"/>
      <c r="R1367" s="1055"/>
      <c r="S1367" s="1055"/>
      <c r="T1367" s="2059">
        <f t="shared" si="271"/>
        <v>0</v>
      </c>
    </row>
    <row r="1368" spans="1:20" ht="22.15" hidden="1" customHeight="1">
      <c r="A1368" s="59"/>
      <c r="B1368" s="1586" t="s">
        <v>1583</v>
      </c>
      <c r="C1368" s="1015" t="str">
        <f t="shared" si="272"/>
        <v xml:space="preserve"> </v>
      </c>
      <c r="D1368" s="1547">
        <v>8</v>
      </c>
      <c r="E1368" s="1051"/>
      <c r="F1368" s="1057" t="str">
        <f>VLOOKUP($B1368,DG!A:D,DG!$C$2,)</f>
        <v>Kẹp cáp 3 boulon</v>
      </c>
      <c r="G1368" s="1051" t="str">
        <f>VLOOKUP($B1368,DG!A:D,DG!$D$2,)</f>
        <v>cái</v>
      </c>
      <c r="H1368" s="1846">
        <f t="shared" si="275"/>
        <v>0</v>
      </c>
      <c r="I1368" s="1846">
        <f t="shared" si="275"/>
        <v>0</v>
      </c>
      <c r="J1368" s="1846">
        <f t="shared" si="275"/>
        <v>0</v>
      </c>
      <c r="K1368" s="1846"/>
      <c r="L1368" s="1846"/>
      <c r="M1368" s="1846"/>
      <c r="N1368" s="1846"/>
      <c r="O1368" s="1846"/>
      <c r="P1368" s="1846"/>
      <c r="Q1368" s="1055"/>
      <c r="R1368" s="1055"/>
      <c r="S1368" s="1055"/>
      <c r="T1368" s="2059">
        <f t="shared" si="271"/>
        <v>0</v>
      </c>
    </row>
    <row r="1369" spans="1:20" ht="22.15" hidden="1" customHeight="1">
      <c r="A1369" s="59"/>
      <c r="B1369" s="1586" t="s">
        <v>1364</v>
      </c>
      <c r="C1369" s="1015" t="str">
        <f t="shared" si="272"/>
        <v xml:space="preserve"> </v>
      </c>
      <c r="D1369" s="1547">
        <v>19</v>
      </c>
      <c r="E1369" s="1051"/>
      <c r="F1369" s="1057" t="str">
        <f>VLOOKUP($B1369,DG!A:D,DG!$C$2,)</f>
        <v>Cáp thép 5/8"</v>
      </c>
      <c r="G1369" s="1051" t="str">
        <f>VLOOKUP($B1369,DG!A:D,DG!$D$2,)</f>
        <v>kg</v>
      </c>
      <c r="H1369" s="1846">
        <f t="shared" si="275"/>
        <v>0</v>
      </c>
      <c r="I1369" s="1846">
        <f t="shared" si="275"/>
        <v>0</v>
      </c>
      <c r="J1369" s="1846">
        <f t="shared" si="275"/>
        <v>0</v>
      </c>
      <c r="K1369" s="1846"/>
      <c r="L1369" s="1846"/>
      <c r="M1369" s="1846"/>
      <c r="N1369" s="1846"/>
      <c r="O1369" s="1846"/>
      <c r="P1369" s="1846"/>
      <c r="Q1369" s="1055"/>
      <c r="R1369" s="1055"/>
      <c r="S1369" s="1055"/>
      <c r="T1369" s="2059">
        <f t="shared" si="271"/>
        <v>0</v>
      </c>
    </row>
    <row r="1370" spans="1:20" ht="22.15" hidden="1" customHeight="1">
      <c r="A1370" s="59"/>
      <c r="B1370" s="1586" t="s">
        <v>279</v>
      </c>
      <c r="C1370" s="1015" t="str">
        <f t="shared" si="272"/>
        <v xml:space="preserve"> </v>
      </c>
      <c r="D1370" s="1547">
        <v>2</v>
      </c>
      <c r="E1370" s="1051"/>
      <c r="F1370" s="1057" t="str">
        <f>VLOOKUP($B1370,DG!A:D,DG!$C$2,)</f>
        <v>Sắt dẹt 60 x 6</v>
      </c>
      <c r="G1370" s="1051" t="str">
        <f>VLOOKUP($B1370,DG!A:D,DG!$D$2,)</f>
        <v>kg</v>
      </c>
      <c r="H1370" s="1846">
        <f t="shared" si="275"/>
        <v>0</v>
      </c>
      <c r="I1370" s="1846">
        <f t="shared" si="275"/>
        <v>0</v>
      </c>
      <c r="J1370" s="1846">
        <f t="shared" si="275"/>
        <v>0</v>
      </c>
      <c r="K1370" s="1846"/>
      <c r="L1370" s="1846"/>
      <c r="M1370" s="1846"/>
      <c r="N1370" s="1846"/>
      <c r="O1370" s="1846"/>
      <c r="P1370" s="1846"/>
      <c r="Q1370" s="1055"/>
      <c r="R1370" s="1055"/>
      <c r="S1370" s="1055"/>
      <c r="T1370" s="2059">
        <f t="shared" si="271"/>
        <v>0</v>
      </c>
    </row>
    <row r="1371" spans="1:20" ht="22.15" hidden="1" customHeight="1">
      <c r="A1371" s="59"/>
      <c r="B1371" s="1586" t="s">
        <v>1376</v>
      </c>
      <c r="C1371" s="1015" t="str">
        <f t="shared" si="272"/>
        <v xml:space="preserve"> </v>
      </c>
      <c r="D1371" s="1547">
        <v>1</v>
      </c>
      <c r="E1371" s="1051"/>
      <c r="F1371" s="1057" t="str">
        <f>VLOOKUP($B1371,DG!A:D,DG!$C$2,)</f>
        <v xml:space="preserve">Móc treo chữ U </v>
      </c>
      <c r="G1371" s="1051" t="str">
        <f>VLOOKUP($B1371,DG!A:D,DG!$D$2,)</f>
        <v>cái</v>
      </c>
      <c r="H1371" s="1846">
        <f t="shared" si="275"/>
        <v>0</v>
      </c>
      <c r="I1371" s="1846">
        <f t="shared" si="275"/>
        <v>0</v>
      </c>
      <c r="J1371" s="1846">
        <f t="shared" si="275"/>
        <v>0</v>
      </c>
      <c r="K1371" s="1846"/>
      <c r="L1371" s="1846"/>
      <c r="M1371" s="1846"/>
      <c r="N1371" s="1846"/>
      <c r="O1371" s="1846"/>
      <c r="P1371" s="1846"/>
      <c r="Q1371" s="1055"/>
      <c r="R1371" s="1055"/>
      <c r="S1371" s="1055"/>
      <c r="T1371" s="2059">
        <f t="shared" si="271"/>
        <v>0</v>
      </c>
    </row>
    <row r="1372" spans="1:20" ht="22.15" hidden="1" customHeight="1">
      <c r="A1372" s="59"/>
      <c r="B1372" s="1605" t="s">
        <v>1897</v>
      </c>
      <c r="C1372" s="1015" t="str">
        <f t="shared" si="272"/>
        <v xml:space="preserve"> </v>
      </c>
      <c r="D1372" s="1547">
        <v>2</v>
      </c>
      <c r="E1372" s="1051"/>
      <c r="F1372" s="1057" t="str">
        <f>VLOOKUP($B1372,DG!A:D,DG!$C$2,)</f>
        <v>Boulon 16x100VRS+ 4 long đền vuông D18-50x50x3/Zn</v>
      </c>
      <c r="G1372" s="1051" t="str">
        <f>VLOOKUP($B1372,DG!A:D,DG!$D$2,)</f>
        <v>bộ</v>
      </c>
      <c r="H1372" s="1846">
        <f t="shared" si="275"/>
        <v>0</v>
      </c>
      <c r="I1372" s="1846">
        <f t="shared" si="275"/>
        <v>0</v>
      </c>
      <c r="J1372" s="1846">
        <f t="shared" si="275"/>
        <v>0</v>
      </c>
      <c r="K1372" s="1846"/>
      <c r="L1372" s="1846"/>
      <c r="M1372" s="1846"/>
      <c r="N1372" s="1846"/>
      <c r="O1372" s="1846"/>
      <c r="P1372" s="1846"/>
      <c r="Q1372" s="1055"/>
      <c r="R1372" s="1055"/>
      <c r="S1372" s="1055"/>
      <c r="T1372" s="2059">
        <f t="shared" si="271"/>
        <v>0</v>
      </c>
    </row>
    <row r="1373" spans="1:20" ht="22.15" hidden="1" customHeight="1">
      <c r="A1373" s="59"/>
      <c r="B1373" s="1586" t="s">
        <v>2006</v>
      </c>
      <c r="C1373" s="1015" t="str">
        <f t="shared" si="272"/>
        <v xml:space="preserve"> </v>
      </c>
      <c r="D1373" s="1547">
        <v>2</v>
      </c>
      <c r="E1373" s="1051"/>
      <c r="F1373" s="1057" t="str">
        <f>VLOOKUP($B1373,DG!A:D,DG!$C$2,)</f>
        <v>Yếm cáp dày 2mm</v>
      </c>
      <c r="G1373" s="1051" t="str">
        <f>VLOOKUP($B1373,DG!A:D,DG!$D$2,)</f>
        <v>cái</v>
      </c>
      <c r="H1373" s="1846">
        <f t="shared" si="275"/>
        <v>0</v>
      </c>
      <c r="I1373" s="1846">
        <f t="shared" si="275"/>
        <v>0</v>
      </c>
      <c r="J1373" s="1846">
        <f t="shared" si="275"/>
        <v>0</v>
      </c>
      <c r="K1373" s="1846"/>
      <c r="L1373" s="1846"/>
      <c r="M1373" s="1846"/>
      <c r="N1373" s="1846"/>
      <c r="O1373" s="1846"/>
      <c r="P1373" s="1846"/>
      <c r="Q1373" s="1055"/>
      <c r="R1373" s="1055"/>
      <c r="S1373" s="1055"/>
      <c r="T1373" s="2059">
        <f t="shared" si="271"/>
        <v>0</v>
      </c>
    </row>
    <row r="1374" spans="1:20" ht="22.15" hidden="1" customHeight="1">
      <c r="A1374" s="59"/>
      <c r="B1374" s="1586" t="s">
        <v>2007</v>
      </c>
      <c r="C1374" s="1015" t="str">
        <f t="shared" si="272"/>
        <v xml:space="preserve"> </v>
      </c>
      <c r="D1374" s="1547">
        <v>1</v>
      </c>
      <c r="E1374" s="1051"/>
      <c r="F1374" s="1057" t="str">
        <f>VLOOKUP($B1374,DG!A:D,DG!$C$2,)</f>
        <v>Máng che dây chằng dày 1,6mm</v>
      </c>
      <c r="G1374" s="1051" t="str">
        <f>VLOOKUP($B1374,DG!A:D,DG!$D$2,)</f>
        <v>cái</v>
      </c>
      <c r="H1374" s="1846">
        <f t="shared" si="275"/>
        <v>0</v>
      </c>
      <c r="I1374" s="1846">
        <f t="shared" si="275"/>
        <v>0</v>
      </c>
      <c r="J1374" s="1846">
        <f t="shared" si="275"/>
        <v>0</v>
      </c>
      <c r="K1374" s="1846"/>
      <c r="L1374" s="1846"/>
      <c r="M1374" s="1846"/>
      <c r="N1374" s="1846"/>
      <c r="O1374" s="1846"/>
      <c r="P1374" s="1846"/>
      <c r="Q1374" s="1055"/>
      <c r="R1374" s="1055"/>
      <c r="S1374" s="1055"/>
      <c r="T1374" s="2059">
        <f t="shared" si="271"/>
        <v>0</v>
      </c>
    </row>
    <row r="1375" spans="1:20" ht="22.15" hidden="1" customHeight="1">
      <c r="A1375" s="59"/>
      <c r="B1375" s="1586" t="s">
        <v>1924</v>
      </c>
      <c r="C1375" s="1015" t="str">
        <f t="shared" si="272"/>
        <v xml:space="preserve"> </v>
      </c>
      <c r="D1375" s="1547">
        <f>D1366</f>
        <v>1</v>
      </c>
      <c r="E1375" s="1051" t="str">
        <f>VLOOKUP($B1375,DG!A:D,DG!$B$2,)</f>
        <v>06.3241</v>
      </c>
      <c r="F1375" s="1052" t="str">
        <f>VLOOKUP($B1375,DG!A:D,DG!$C$2,)</f>
        <v>Lắp bộ dây néo</v>
      </c>
      <c r="G1375" s="1051" t="str">
        <f>VLOOKUP($B1375,DG!A:D,DG!$D$2,)</f>
        <v>bộ</v>
      </c>
      <c r="H1375" s="1846"/>
      <c r="I1375" s="1846"/>
      <c r="J1375" s="1846"/>
      <c r="K1375" s="1846"/>
      <c r="L1375" s="1846"/>
      <c r="M1375" s="1846"/>
      <c r="N1375" s="1846"/>
      <c r="O1375" s="1846"/>
      <c r="P1375" s="1846"/>
      <c r="Q1375" s="1058"/>
      <c r="R1375" s="1058"/>
      <c r="S1375" s="1058"/>
      <c r="T1375" s="2059">
        <f t="shared" si="271"/>
        <v>0</v>
      </c>
    </row>
    <row r="1376" spans="1:20" ht="22.15" hidden="1" customHeight="1">
      <c r="A1376" s="59"/>
      <c r="B1376" s="1586" t="s">
        <v>681</v>
      </c>
      <c r="C1376" s="1015" t="str">
        <f t="shared" si="272"/>
        <v xml:space="preserve"> </v>
      </c>
      <c r="D1376" s="1547">
        <v>1</v>
      </c>
      <c r="E1376" s="1051" t="str">
        <f>VLOOKUP($B1376,DG!A:D,DG!$B$2,)</f>
        <v>06.2110</v>
      </c>
      <c r="F1376" s="1052" t="str">
        <f>VLOOKUP($B1376,DG!A:D,DG!$C$2,)</f>
        <v>Lắp cổ dề</v>
      </c>
      <c r="G1376" s="1051" t="str">
        <f>VLOOKUP($B1376,DG!A:D,DG!$D$2,)</f>
        <v>cái</v>
      </c>
      <c r="H1376" s="1846"/>
      <c r="I1376" s="1846"/>
      <c r="J1376" s="1846"/>
      <c r="K1376" s="1846"/>
      <c r="L1376" s="1846"/>
      <c r="M1376" s="1846"/>
      <c r="N1376" s="1846"/>
      <c r="O1376" s="1846"/>
      <c r="P1376" s="1846"/>
      <c r="Q1376" s="1058"/>
      <c r="R1376" s="1058"/>
      <c r="S1376" s="1058"/>
      <c r="T1376" s="2059">
        <f t="shared" si="271"/>
        <v>0</v>
      </c>
    </row>
    <row r="1377" spans="1:20" ht="22.15" hidden="1" customHeight="1">
      <c r="A1377" s="59"/>
      <c r="B1377" s="1598" t="s">
        <v>356</v>
      </c>
      <c r="C1377" s="1015" t="str">
        <f t="shared" si="272"/>
        <v xml:space="preserve"> </v>
      </c>
      <c r="D1377" s="1546">
        <v>0.02</v>
      </c>
      <c r="E1377" s="1051" t="str">
        <f>VLOOKUP($B1377,DG!A:C,2,)</f>
        <v>02.1421</v>
      </c>
      <c r="F1377" s="1052" t="str">
        <f>VLOOKUP($B1377,DG!A:C,3,)</f>
        <v>V/c phụ kiện vào vị trí (cự ly &lt;=100m)</v>
      </c>
      <c r="G1377" s="1051" t="str">
        <f>VLOOKUP($B1377,DG!A:D,4,0)</f>
        <v>tấn</v>
      </c>
      <c r="H1377" s="1846"/>
      <c r="I1377" s="1846"/>
      <c r="J1377" s="1846"/>
      <c r="K1377" s="1846"/>
      <c r="L1377" s="1846"/>
      <c r="M1377" s="1846"/>
      <c r="N1377" s="1846"/>
      <c r="O1377" s="1846"/>
      <c r="P1377" s="1846"/>
      <c r="Q1377" s="1058"/>
      <c r="R1377" s="1058"/>
      <c r="S1377" s="1058"/>
      <c r="T1377" s="2059">
        <f t="shared" si="271"/>
        <v>0</v>
      </c>
    </row>
    <row r="1378" spans="1:20" ht="22.15" hidden="1" customHeight="1">
      <c r="A1378" s="56" t="s">
        <v>1091</v>
      </c>
      <c r="B1378" s="1583" t="s">
        <v>1091</v>
      </c>
      <c r="C1378" s="1015" t="str">
        <f t="shared" si="272"/>
        <v xml:space="preserve"> </v>
      </c>
      <c r="D1378" s="1541"/>
      <c r="E1378" s="1048"/>
      <c r="F1378" s="1396" t="s">
        <v>2496</v>
      </c>
      <c r="G1378" s="1049" t="s">
        <v>2394</v>
      </c>
      <c r="H1378" s="1843">
        <f>SUM(I1378:O1378)</f>
        <v>0</v>
      </c>
      <c r="I1378" s="1844"/>
      <c r="J1378" s="1844"/>
      <c r="K1378" s="1844">
        <f>IFERROR(HLOOKUP(B1378,pp3p1m!$1:$3,3,0),0)</f>
        <v>0</v>
      </c>
      <c r="L1378" s="1844">
        <f>IFERROR(HLOOKUP(chitiet!B1378,pp1p!$1:$3,3,0),0)</f>
        <v>0</v>
      </c>
      <c r="M1378" s="1844"/>
      <c r="N1378" s="1844"/>
      <c r="O1378" s="1844"/>
      <c r="P1378" s="1844">
        <f>H1378+Q1378-R1378</f>
        <v>0</v>
      </c>
      <c r="Q1378" s="1050"/>
      <c r="R1378" s="1050"/>
      <c r="S1378" s="1050"/>
      <c r="T1378" s="2059">
        <f>IFERROR(HLOOKUP(B1378,pp1p!$1:$3,3,0),0)+IFERROR(HLOOKUP(B1378,pp3p1m!$1:$3,3,0),0)</f>
        <v>0</v>
      </c>
    </row>
    <row r="1379" spans="1:20" ht="22.15" hidden="1" customHeight="1">
      <c r="A1379" s="59"/>
      <c r="B1379" s="1586" t="s">
        <v>669</v>
      </c>
      <c r="C1379" s="1015" t="str">
        <f t="shared" si="272"/>
        <v xml:space="preserve"> </v>
      </c>
      <c r="D1379" s="1544">
        <v>1</v>
      </c>
      <c r="E1379" s="1047"/>
      <c r="F1379" s="1059" t="str">
        <f>VLOOKUP($B1379,DG!A:D,DG!$C$2,)&amp;"-Fe8x100 nhuùng keõm"</f>
        <v>Cổ dê Ø 195 nẹp trụ-Fe8x100 nhuùng keõm</v>
      </c>
      <c r="G1379" s="1047" t="str">
        <f>VLOOKUP($B1379,DG!A:D,DG!$D$2,)</f>
        <v>bộ</v>
      </c>
      <c r="H1379" s="1845">
        <f t="shared" ref="H1379:N1386" si="276">H$1378*$D1379</f>
        <v>0</v>
      </c>
      <c r="I1379" s="1845">
        <f t="shared" si="276"/>
        <v>0</v>
      </c>
      <c r="J1379" s="1845">
        <f t="shared" si="276"/>
        <v>0</v>
      </c>
      <c r="K1379" s="1845">
        <f t="shared" si="276"/>
        <v>0</v>
      </c>
      <c r="L1379" s="1845">
        <f t="shared" si="276"/>
        <v>0</v>
      </c>
      <c r="M1379" s="1845">
        <f t="shared" si="276"/>
        <v>0</v>
      </c>
      <c r="N1379" s="1845">
        <f t="shared" si="276"/>
        <v>0</v>
      </c>
      <c r="O1379" s="1845"/>
      <c r="P1379" s="1845"/>
      <c r="Q1379" s="1056"/>
      <c r="R1379" s="1056"/>
      <c r="S1379" s="1056"/>
      <c r="T1379" s="2059">
        <f t="shared" si="271"/>
        <v>0</v>
      </c>
    </row>
    <row r="1380" spans="1:20" ht="22.15" hidden="1" customHeight="1">
      <c r="A1380" s="59"/>
      <c r="B1380" s="1586" t="s">
        <v>111</v>
      </c>
      <c r="C1380" s="1015" t="str">
        <f t="shared" si="272"/>
        <v xml:space="preserve"> </v>
      </c>
      <c r="D1380" s="1544">
        <v>2</v>
      </c>
      <c r="E1380" s="1047"/>
      <c r="F1380" s="1059" t="str">
        <f>VLOOKUP($B1380,DG!A:D,DG!$C$2,)</f>
        <v>Sứ chằng</v>
      </c>
      <c r="G1380" s="1047" t="str">
        <f>VLOOKUP($B1380,DG!A:D,DG!$D$2,)</f>
        <v>cái</v>
      </c>
      <c r="H1380" s="1845">
        <f t="shared" si="276"/>
        <v>0</v>
      </c>
      <c r="I1380" s="1845">
        <f t="shared" si="276"/>
        <v>0</v>
      </c>
      <c r="J1380" s="1845">
        <f t="shared" si="276"/>
        <v>0</v>
      </c>
      <c r="K1380" s="1845">
        <f t="shared" si="276"/>
        <v>0</v>
      </c>
      <c r="L1380" s="1845">
        <f t="shared" si="276"/>
        <v>0</v>
      </c>
      <c r="M1380" s="1845">
        <f t="shared" si="276"/>
        <v>0</v>
      </c>
      <c r="N1380" s="1845">
        <f t="shared" si="276"/>
        <v>0</v>
      </c>
      <c r="O1380" s="1845"/>
      <c r="P1380" s="1845"/>
      <c r="Q1380" s="1056"/>
      <c r="R1380" s="1056"/>
      <c r="S1380" s="1056"/>
      <c r="T1380" s="2059">
        <f t="shared" si="271"/>
        <v>0</v>
      </c>
    </row>
    <row r="1381" spans="1:20" ht="22.15" hidden="1" customHeight="1">
      <c r="A1381" s="59"/>
      <c r="B1381" s="1586" t="s">
        <v>1583</v>
      </c>
      <c r="C1381" s="1015" t="str">
        <f t="shared" si="272"/>
        <v xml:space="preserve"> </v>
      </c>
      <c r="D1381" s="1544">
        <v>12</v>
      </c>
      <c r="E1381" s="1047"/>
      <c r="F1381" s="1059" t="str">
        <f>VLOOKUP($B1381,DG!A:D,DG!$C$2,)</f>
        <v>Kẹp cáp 3 boulon</v>
      </c>
      <c r="G1381" s="1047" t="str">
        <f>VLOOKUP($B1381,DG!A:D,DG!$D$2,)</f>
        <v>cái</v>
      </c>
      <c r="H1381" s="1845">
        <f t="shared" si="276"/>
        <v>0</v>
      </c>
      <c r="I1381" s="1845">
        <f t="shared" si="276"/>
        <v>0</v>
      </c>
      <c r="J1381" s="1845">
        <f t="shared" si="276"/>
        <v>0</v>
      </c>
      <c r="K1381" s="1845">
        <f t="shared" si="276"/>
        <v>0</v>
      </c>
      <c r="L1381" s="1845">
        <f t="shared" si="276"/>
        <v>0</v>
      </c>
      <c r="M1381" s="1845">
        <f t="shared" si="276"/>
        <v>0</v>
      </c>
      <c r="N1381" s="1845">
        <f t="shared" si="276"/>
        <v>0</v>
      </c>
      <c r="O1381" s="1845"/>
      <c r="P1381" s="1845"/>
      <c r="Q1381" s="1056"/>
      <c r="R1381" s="1056"/>
      <c r="S1381" s="1056"/>
      <c r="T1381" s="2059">
        <f t="shared" si="271"/>
        <v>0</v>
      </c>
    </row>
    <row r="1382" spans="1:20" ht="22.15" hidden="1" customHeight="1">
      <c r="A1382" s="59"/>
      <c r="B1382" s="1604" t="s">
        <v>1051</v>
      </c>
      <c r="C1382" s="1015" t="str">
        <f t="shared" si="272"/>
        <v xml:space="preserve"> </v>
      </c>
      <c r="D1382" s="1544">
        <v>6</v>
      </c>
      <c r="E1382" s="1047"/>
      <c r="F1382" s="1059" t="str">
        <f>VLOOKUP($B1382,DG!A:D,DG!$C$2,)</f>
        <v>Kẹp hotline 4/0</v>
      </c>
      <c r="G1382" s="1047" t="str">
        <f>VLOOKUP($B1382,DG!A:D,DG!$D$2,)</f>
        <v>cái</v>
      </c>
      <c r="H1382" s="1845">
        <f t="shared" si="276"/>
        <v>0</v>
      </c>
      <c r="I1382" s="1845">
        <f t="shared" si="276"/>
        <v>0</v>
      </c>
      <c r="J1382" s="1845">
        <f t="shared" si="276"/>
        <v>0</v>
      </c>
      <c r="K1382" s="1845">
        <f t="shared" si="276"/>
        <v>0</v>
      </c>
      <c r="L1382" s="1845">
        <f t="shared" si="276"/>
        <v>0</v>
      </c>
      <c r="M1382" s="1845">
        <f t="shared" si="276"/>
        <v>0</v>
      </c>
      <c r="N1382" s="1845">
        <f t="shared" si="276"/>
        <v>0</v>
      </c>
      <c r="O1382" s="1845"/>
      <c r="P1382" s="1845"/>
      <c r="Q1382" s="1056"/>
      <c r="R1382" s="1056"/>
      <c r="S1382" s="1056"/>
      <c r="T1382" s="2059">
        <f t="shared" si="271"/>
        <v>0</v>
      </c>
    </row>
    <row r="1383" spans="1:20" ht="22.15" hidden="1" customHeight="1">
      <c r="A1383" s="59"/>
      <c r="B1383" s="1586" t="s">
        <v>279</v>
      </c>
      <c r="C1383" s="1015" t="str">
        <f t="shared" si="272"/>
        <v xml:space="preserve"> </v>
      </c>
      <c r="D1383" s="1544">
        <v>2</v>
      </c>
      <c r="E1383" s="1047"/>
      <c r="F1383" s="1059" t="str">
        <f>VLOOKUP($B1383,DG!A:D,DG!$C$2,)</f>
        <v>Sắt dẹt 60 x 6</v>
      </c>
      <c r="G1383" s="1047" t="str">
        <f>VLOOKUP($B1383,DG!A:D,DG!$D$2,)</f>
        <v>kg</v>
      </c>
      <c r="H1383" s="1845">
        <f t="shared" si="276"/>
        <v>0</v>
      </c>
      <c r="I1383" s="1845">
        <f t="shared" si="276"/>
        <v>0</v>
      </c>
      <c r="J1383" s="1845">
        <f t="shared" si="276"/>
        <v>0</v>
      </c>
      <c r="K1383" s="1845">
        <f t="shared" si="276"/>
        <v>0</v>
      </c>
      <c r="L1383" s="1845">
        <f t="shared" si="276"/>
        <v>0</v>
      </c>
      <c r="M1383" s="1845">
        <f t="shared" si="276"/>
        <v>0</v>
      </c>
      <c r="N1383" s="1845">
        <f t="shared" si="276"/>
        <v>0</v>
      </c>
      <c r="O1383" s="1845"/>
      <c r="P1383" s="1845"/>
      <c r="Q1383" s="1056"/>
      <c r="R1383" s="1056"/>
      <c r="S1383" s="1056"/>
      <c r="T1383" s="2059">
        <f t="shared" si="271"/>
        <v>0</v>
      </c>
    </row>
    <row r="1384" spans="1:20" ht="22.15" hidden="1" customHeight="1">
      <c r="A1384" s="59"/>
      <c r="B1384" s="1586" t="s">
        <v>1376</v>
      </c>
      <c r="C1384" s="1015" t="str">
        <f t="shared" si="272"/>
        <v xml:space="preserve"> </v>
      </c>
      <c r="D1384" s="1544">
        <v>2</v>
      </c>
      <c r="E1384" s="1047"/>
      <c r="F1384" s="1059" t="str">
        <f>VLOOKUP($B1384,DG!A:D,DG!$C$2,)</f>
        <v xml:space="preserve">Móc treo chữ U </v>
      </c>
      <c r="G1384" s="1047" t="str">
        <f>VLOOKUP($B1384,DG!A:D,DG!$D$2,)</f>
        <v>cái</v>
      </c>
      <c r="H1384" s="1845">
        <f t="shared" si="276"/>
        <v>0</v>
      </c>
      <c r="I1384" s="1845">
        <f t="shared" si="276"/>
        <v>0</v>
      </c>
      <c r="J1384" s="1845">
        <f t="shared" si="276"/>
        <v>0</v>
      </c>
      <c r="K1384" s="1845">
        <f t="shared" si="276"/>
        <v>0</v>
      </c>
      <c r="L1384" s="1845">
        <f t="shared" si="276"/>
        <v>0</v>
      </c>
      <c r="M1384" s="1845">
        <f t="shared" si="276"/>
        <v>0</v>
      </c>
      <c r="N1384" s="1845">
        <f t="shared" si="276"/>
        <v>0</v>
      </c>
      <c r="O1384" s="1845"/>
      <c r="P1384" s="1845"/>
      <c r="Q1384" s="1056"/>
      <c r="R1384" s="1056"/>
      <c r="S1384" s="1056"/>
      <c r="T1384" s="2059">
        <f t="shared" si="271"/>
        <v>0</v>
      </c>
    </row>
    <row r="1385" spans="1:20" ht="22.15" hidden="1" customHeight="1">
      <c r="A1385" s="59"/>
      <c r="B1385" s="1605" t="s">
        <v>1897</v>
      </c>
      <c r="C1385" s="1015" t="str">
        <f t="shared" si="272"/>
        <v xml:space="preserve"> </v>
      </c>
      <c r="D1385" s="1544">
        <v>2</v>
      </c>
      <c r="E1385" s="1047"/>
      <c r="F1385" s="1059" t="str">
        <f>VLOOKUP($B1385,DG!A:D,DG!$C$2,)</f>
        <v>Boulon 16x100VRS+ 4 long đền vuông D18-50x50x3/Zn</v>
      </c>
      <c r="G1385" s="1047" t="str">
        <f>VLOOKUP($B1385,DG!A:D,DG!$D$2,)</f>
        <v>bộ</v>
      </c>
      <c r="H1385" s="1845">
        <f t="shared" si="276"/>
        <v>0</v>
      </c>
      <c r="I1385" s="1845">
        <f t="shared" si="276"/>
        <v>0</v>
      </c>
      <c r="J1385" s="1845">
        <f t="shared" si="276"/>
        <v>0</v>
      </c>
      <c r="K1385" s="1845">
        <f t="shared" si="276"/>
        <v>0</v>
      </c>
      <c r="L1385" s="1845">
        <f t="shared" si="276"/>
        <v>0</v>
      </c>
      <c r="M1385" s="1845">
        <f t="shared" si="276"/>
        <v>0</v>
      </c>
      <c r="N1385" s="1845">
        <f t="shared" si="276"/>
        <v>0</v>
      </c>
      <c r="O1385" s="1845"/>
      <c r="P1385" s="1845"/>
      <c r="Q1385" s="1056"/>
      <c r="R1385" s="1056"/>
      <c r="S1385" s="1056"/>
      <c r="T1385" s="2059">
        <f t="shared" si="271"/>
        <v>0</v>
      </c>
    </row>
    <row r="1386" spans="1:20" ht="22.15" hidden="1" customHeight="1">
      <c r="A1386" s="59"/>
      <c r="B1386" s="1586" t="s">
        <v>2006</v>
      </c>
      <c r="C1386" s="1015" t="str">
        <f t="shared" si="272"/>
        <v xml:space="preserve"> </v>
      </c>
      <c r="D1386" s="1544">
        <v>2</v>
      </c>
      <c r="E1386" s="1047"/>
      <c r="F1386" s="1059" t="str">
        <f>VLOOKUP($B1386,DG!A:D,DG!$C$2,)</f>
        <v>Yếm cáp dày 2mm</v>
      </c>
      <c r="G1386" s="1047" t="str">
        <f>VLOOKUP($B1386,DG!A:D,DG!$D$2,)</f>
        <v>cái</v>
      </c>
      <c r="H1386" s="1845">
        <f t="shared" si="276"/>
        <v>0</v>
      </c>
      <c r="I1386" s="1845">
        <f t="shared" si="276"/>
        <v>0</v>
      </c>
      <c r="J1386" s="1845">
        <f t="shared" si="276"/>
        <v>0</v>
      </c>
      <c r="K1386" s="1845">
        <f t="shared" si="276"/>
        <v>0</v>
      </c>
      <c r="L1386" s="1845">
        <f t="shared" si="276"/>
        <v>0</v>
      </c>
      <c r="M1386" s="1845">
        <f t="shared" si="276"/>
        <v>0</v>
      </c>
      <c r="N1386" s="1845">
        <f t="shared" si="276"/>
        <v>0</v>
      </c>
      <c r="O1386" s="1845"/>
      <c r="P1386" s="1845"/>
      <c r="Q1386" s="1056"/>
      <c r="R1386" s="1056"/>
      <c r="S1386" s="1056"/>
      <c r="T1386" s="2059">
        <f t="shared" si="271"/>
        <v>0</v>
      </c>
    </row>
    <row r="1387" spans="1:20" ht="22.15" hidden="1" customHeight="1">
      <c r="A1387" s="59"/>
      <c r="B1387" s="1586" t="s">
        <v>1924</v>
      </c>
      <c r="C1387" s="1015" t="str">
        <f t="shared" si="272"/>
        <v xml:space="preserve"> </v>
      </c>
      <c r="D1387" s="1544">
        <f>D1379</f>
        <v>1</v>
      </c>
      <c r="E1387" s="1047" t="str">
        <f>VLOOKUP($B1387,DG!A:D,DG!$B$2,)</f>
        <v>06.3241</v>
      </c>
      <c r="F1387" s="1052" t="str">
        <f>VLOOKUP($B1387,DG!A:D,DG!$C$2,)</f>
        <v>Lắp bộ dây néo</v>
      </c>
      <c r="G1387" s="1047" t="str">
        <f>VLOOKUP($B1387,DG!A:D,DG!$D$2,)</f>
        <v>bộ</v>
      </c>
      <c r="H1387" s="1845"/>
      <c r="I1387" s="1845"/>
      <c r="J1387" s="1845"/>
      <c r="K1387" s="1845"/>
      <c r="L1387" s="1845"/>
      <c r="M1387" s="1845"/>
      <c r="N1387" s="1845"/>
      <c r="O1387" s="1845"/>
      <c r="P1387" s="1845"/>
      <c r="Q1387" s="1061"/>
      <c r="R1387" s="1061"/>
      <c r="S1387" s="1061"/>
      <c r="T1387" s="2059">
        <f t="shared" ref="T1387:T1450" si="277">IFERROR(HLOOKUP(B1387,BangKeTru,3,0),0)</f>
        <v>0</v>
      </c>
    </row>
    <row r="1388" spans="1:20" ht="22.15" hidden="1" customHeight="1">
      <c r="A1388" s="59"/>
      <c r="B1388" s="1586" t="s">
        <v>681</v>
      </c>
      <c r="C1388" s="1015" t="str">
        <f t="shared" si="272"/>
        <v xml:space="preserve"> </v>
      </c>
      <c r="D1388" s="1544">
        <v>1</v>
      </c>
      <c r="E1388" s="1047" t="str">
        <f>VLOOKUP($B1388,DG!A:D,DG!$B$2,)</f>
        <v>06.2110</v>
      </c>
      <c r="F1388" s="1052" t="str">
        <f>VLOOKUP($B1388,DG!A:D,DG!$C$2,)</f>
        <v>Lắp cổ dề</v>
      </c>
      <c r="G1388" s="1047" t="str">
        <f>VLOOKUP($B1388,DG!A:D,DG!$D$2,)</f>
        <v>cái</v>
      </c>
      <c r="H1388" s="1845"/>
      <c r="I1388" s="1845"/>
      <c r="J1388" s="1845"/>
      <c r="K1388" s="1845"/>
      <c r="L1388" s="1845"/>
      <c r="M1388" s="1845"/>
      <c r="N1388" s="1845"/>
      <c r="O1388" s="1845"/>
      <c r="P1388" s="1845"/>
      <c r="Q1388" s="1061"/>
      <c r="R1388" s="1061"/>
      <c r="S1388" s="1061"/>
      <c r="T1388" s="2059">
        <f t="shared" si="277"/>
        <v>0</v>
      </c>
    </row>
    <row r="1389" spans="1:20" ht="22.15" hidden="1" customHeight="1">
      <c r="A1389" s="59"/>
      <c r="B1389" s="1598" t="s">
        <v>356</v>
      </c>
      <c r="C1389" s="1015" t="str">
        <f t="shared" si="272"/>
        <v xml:space="preserve"> </v>
      </c>
      <c r="D1389" s="1543">
        <v>0.02</v>
      </c>
      <c r="E1389" s="1047" t="str">
        <f>VLOOKUP($B1389,DG!A:C,2,)</f>
        <v>02.1421</v>
      </c>
      <c r="F1389" s="1052" t="str">
        <f>VLOOKUP($B1389,DG!A:C,3,)</f>
        <v>V/c phụ kiện vào vị trí (cự ly &lt;=100m)</v>
      </c>
      <c r="G1389" s="1047" t="str">
        <f>VLOOKUP($B1389,DG!A:D,4,0)</f>
        <v>tấn</v>
      </c>
      <c r="H1389" s="1845"/>
      <c r="I1389" s="1845"/>
      <c r="J1389" s="1845"/>
      <c r="K1389" s="1845"/>
      <c r="L1389" s="1845"/>
      <c r="M1389" s="1845"/>
      <c r="N1389" s="1845"/>
      <c r="O1389" s="1845"/>
      <c r="P1389" s="1845"/>
      <c r="Q1389" s="1061"/>
      <c r="R1389" s="1061"/>
      <c r="S1389" s="1061"/>
      <c r="T1389" s="2059">
        <f t="shared" si="277"/>
        <v>0</v>
      </c>
    </row>
    <row r="1390" spans="1:20" ht="22.15" hidden="1" customHeight="1">
      <c r="A1390" s="56" t="s">
        <v>1092</v>
      </c>
      <c r="B1390" s="1583" t="s">
        <v>1092</v>
      </c>
      <c r="C1390" s="1015" t="str">
        <f t="shared" si="272"/>
        <v xml:space="preserve"> </v>
      </c>
      <c r="D1390" s="1541"/>
      <c r="E1390" s="1048"/>
      <c r="F1390" s="1396" t="s">
        <v>2497</v>
      </c>
      <c r="G1390" s="1049" t="s">
        <v>2394</v>
      </c>
      <c r="H1390" s="1843">
        <f>SUM(I1390:O1390)</f>
        <v>0</v>
      </c>
      <c r="I1390" s="1844"/>
      <c r="J1390" s="1844"/>
      <c r="K1390" s="1844">
        <f>IFERROR(HLOOKUP(B1390,pp3p1m!$1:$3,3,0),0)</f>
        <v>0</v>
      </c>
      <c r="L1390" s="1844">
        <f>IFERROR(HLOOKUP(chitiet!B1390,pp1p!$1:$3,3,0),0)</f>
        <v>0</v>
      </c>
      <c r="M1390" s="1844"/>
      <c r="N1390" s="1844"/>
      <c r="O1390" s="1844"/>
      <c r="P1390" s="1844">
        <f>H1390+Q1390-R1390</f>
        <v>0</v>
      </c>
      <c r="Q1390" s="1050"/>
      <c r="R1390" s="1050"/>
      <c r="S1390" s="1050"/>
      <c r="T1390" s="2059">
        <f>IFERROR(HLOOKUP(B1390,pp1p!$1:$3,3,0),0)+IFERROR(HLOOKUP(B1390,pp3p1m!$1:$3,3,0),0)</f>
        <v>0</v>
      </c>
    </row>
    <row r="1391" spans="1:20" ht="22.15" hidden="1" customHeight="1">
      <c r="A1391" s="59"/>
      <c r="B1391" s="1586" t="s">
        <v>669</v>
      </c>
      <c r="C1391" s="1015" t="str">
        <f t="shared" si="272"/>
        <v xml:space="preserve"> </v>
      </c>
      <c r="D1391" s="1544">
        <v>2</v>
      </c>
      <c r="E1391" s="1047"/>
      <c r="F1391" s="1059" t="str">
        <f>VLOOKUP($B1391,DG!A:D,DG!$C$2,)&amp;"-Fe8x100 nhuùng keõm"</f>
        <v>Cổ dê Ø 195 nẹp trụ-Fe8x100 nhuùng keõm</v>
      </c>
      <c r="G1391" s="1047" t="str">
        <f>VLOOKUP($B1391,DG!A:D,DG!$D$2,)</f>
        <v>bộ</v>
      </c>
      <c r="H1391" s="1845">
        <f t="shared" ref="H1391:N1398" si="278">H$1390*$D1391</f>
        <v>0</v>
      </c>
      <c r="I1391" s="1845">
        <f t="shared" si="278"/>
        <v>0</v>
      </c>
      <c r="J1391" s="1845">
        <f t="shared" si="278"/>
        <v>0</v>
      </c>
      <c r="K1391" s="1845">
        <f t="shared" si="278"/>
        <v>0</v>
      </c>
      <c r="L1391" s="1845">
        <f t="shared" si="278"/>
        <v>0</v>
      </c>
      <c r="M1391" s="1845">
        <f t="shared" si="278"/>
        <v>0</v>
      </c>
      <c r="N1391" s="1845">
        <f t="shared" si="278"/>
        <v>0</v>
      </c>
      <c r="O1391" s="1845"/>
      <c r="P1391" s="1845"/>
      <c r="Q1391" s="1056"/>
      <c r="R1391" s="1056"/>
      <c r="S1391" s="1056"/>
      <c r="T1391" s="2059">
        <f t="shared" si="277"/>
        <v>0</v>
      </c>
    </row>
    <row r="1392" spans="1:20" ht="22.15" hidden="1" customHeight="1">
      <c r="A1392" s="59"/>
      <c r="B1392" s="1586" t="s">
        <v>111</v>
      </c>
      <c r="C1392" s="1015" t="str">
        <f t="shared" si="272"/>
        <v xml:space="preserve"> </v>
      </c>
      <c r="D1392" s="1544">
        <v>4</v>
      </c>
      <c r="E1392" s="1047"/>
      <c r="F1392" s="1059" t="str">
        <f>VLOOKUP($B1392,DG!A:D,DG!$C$2,)</f>
        <v>Sứ chằng</v>
      </c>
      <c r="G1392" s="1047" t="str">
        <f>VLOOKUP($B1392,DG!A:D,DG!$D$2,)</f>
        <v>cái</v>
      </c>
      <c r="H1392" s="1845">
        <f t="shared" si="278"/>
        <v>0</v>
      </c>
      <c r="I1392" s="1845">
        <f t="shared" si="278"/>
        <v>0</v>
      </c>
      <c r="J1392" s="1845">
        <f t="shared" si="278"/>
        <v>0</v>
      </c>
      <c r="K1392" s="1845">
        <f t="shared" si="278"/>
        <v>0</v>
      </c>
      <c r="L1392" s="1845">
        <f t="shared" si="278"/>
        <v>0</v>
      </c>
      <c r="M1392" s="1845">
        <f t="shared" si="278"/>
        <v>0</v>
      </c>
      <c r="N1392" s="1845">
        <f t="shared" si="278"/>
        <v>0</v>
      </c>
      <c r="O1392" s="1845"/>
      <c r="P1392" s="1845"/>
      <c r="Q1392" s="1056"/>
      <c r="R1392" s="1056"/>
      <c r="S1392" s="1056"/>
      <c r="T1392" s="2059">
        <f t="shared" si="277"/>
        <v>0</v>
      </c>
    </row>
    <row r="1393" spans="1:20" ht="22.15" hidden="1" customHeight="1">
      <c r="A1393" s="59"/>
      <c r="B1393" s="1586" t="s">
        <v>1583</v>
      </c>
      <c r="C1393" s="1015" t="str">
        <f t="shared" si="272"/>
        <v xml:space="preserve"> </v>
      </c>
      <c r="D1393" s="1544">
        <v>24</v>
      </c>
      <c r="E1393" s="1047"/>
      <c r="F1393" s="1059" t="str">
        <f>VLOOKUP($B1393,DG!A:D,DG!$C$2,)</f>
        <v>Kẹp cáp 3 boulon</v>
      </c>
      <c r="G1393" s="1047" t="str">
        <f>VLOOKUP($B1393,DG!A:D,DG!$D$2,)</f>
        <v>cái</v>
      </c>
      <c r="H1393" s="1845">
        <f t="shared" si="278"/>
        <v>0</v>
      </c>
      <c r="I1393" s="1845">
        <f t="shared" si="278"/>
        <v>0</v>
      </c>
      <c r="J1393" s="1845">
        <f t="shared" si="278"/>
        <v>0</v>
      </c>
      <c r="K1393" s="1845">
        <f t="shared" si="278"/>
        <v>0</v>
      </c>
      <c r="L1393" s="1845">
        <f t="shared" si="278"/>
        <v>0</v>
      </c>
      <c r="M1393" s="1845">
        <f t="shared" si="278"/>
        <v>0</v>
      </c>
      <c r="N1393" s="1845">
        <f t="shared" si="278"/>
        <v>0</v>
      </c>
      <c r="O1393" s="1845"/>
      <c r="P1393" s="1845"/>
      <c r="Q1393" s="1056"/>
      <c r="R1393" s="1056"/>
      <c r="S1393" s="1056"/>
      <c r="T1393" s="2059">
        <f t="shared" si="277"/>
        <v>0</v>
      </c>
    </row>
    <row r="1394" spans="1:20" ht="22.15" hidden="1" customHeight="1">
      <c r="A1394" s="59"/>
      <c r="B1394" s="1604" t="s">
        <v>1051</v>
      </c>
      <c r="C1394" s="1015" t="str">
        <f t="shared" si="272"/>
        <v xml:space="preserve"> </v>
      </c>
      <c r="D1394" s="1544">
        <v>12</v>
      </c>
      <c r="E1394" s="1047"/>
      <c r="F1394" s="1059" t="str">
        <f>VLOOKUP($B1394,DG!A:D,DG!$C$2,)</f>
        <v>Kẹp hotline 4/0</v>
      </c>
      <c r="G1394" s="1047" t="str">
        <f>VLOOKUP($B1394,DG!A:D,DG!$D$2,)</f>
        <v>cái</v>
      </c>
      <c r="H1394" s="1845">
        <f t="shared" si="278"/>
        <v>0</v>
      </c>
      <c r="I1394" s="1845">
        <f t="shared" si="278"/>
        <v>0</v>
      </c>
      <c r="J1394" s="1845">
        <f t="shared" si="278"/>
        <v>0</v>
      </c>
      <c r="K1394" s="1845">
        <f t="shared" si="278"/>
        <v>0</v>
      </c>
      <c r="L1394" s="1845">
        <f t="shared" si="278"/>
        <v>0</v>
      </c>
      <c r="M1394" s="1845">
        <f t="shared" si="278"/>
        <v>0</v>
      </c>
      <c r="N1394" s="1845">
        <f t="shared" si="278"/>
        <v>0</v>
      </c>
      <c r="O1394" s="1845"/>
      <c r="P1394" s="1845"/>
      <c r="Q1394" s="1056"/>
      <c r="R1394" s="1056"/>
      <c r="S1394" s="1056"/>
      <c r="T1394" s="2059">
        <f t="shared" si="277"/>
        <v>0</v>
      </c>
    </row>
    <row r="1395" spans="1:20" ht="22.15" hidden="1" customHeight="1">
      <c r="A1395" s="59"/>
      <c r="B1395" s="1586" t="s">
        <v>279</v>
      </c>
      <c r="C1395" s="1015" t="str">
        <f t="shared" ref="C1395:C1458" si="279">IF(OR(P1395&lt;&gt;0,H1395&lt;&gt;0),"x"," ")</f>
        <v xml:space="preserve"> </v>
      </c>
      <c r="D1395" s="1544">
        <v>8</v>
      </c>
      <c r="E1395" s="1047"/>
      <c r="F1395" s="1059" t="str">
        <f>VLOOKUP($B1395,DG!A:D,DG!$C$2,)</f>
        <v>Sắt dẹt 60 x 6</v>
      </c>
      <c r="G1395" s="1047" t="str">
        <f>VLOOKUP($B1395,DG!A:D,DG!$D$2,)</f>
        <v>kg</v>
      </c>
      <c r="H1395" s="1845">
        <f t="shared" si="278"/>
        <v>0</v>
      </c>
      <c r="I1395" s="1845">
        <f t="shared" si="278"/>
        <v>0</v>
      </c>
      <c r="J1395" s="1845">
        <f t="shared" si="278"/>
        <v>0</v>
      </c>
      <c r="K1395" s="1845">
        <f t="shared" si="278"/>
        <v>0</v>
      </c>
      <c r="L1395" s="1845">
        <f t="shared" si="278"/>
        <v>0</v>
      </c>
      <c r="M1395" s="1845">
        <f t="shared" si="278"/>
        <v>0</v>
      </c>
      <c r="N1395" s="1845">
        <f t="shared" si="278"/>
        <v>0</v>
      </c>
      <c r="O1395" s="1845"/>
      <c r="P1395" s="1845"/>
      <c r="Q1395" s="1056"/>
      <c r="R1395" s="1056"/>
      <c r="S1395" s="1056"/>
      <c r="T1395" s="2059">
        <f t="shared" si="277"/>
        <v>0</v>
      </c>
    </row>
    <row r="1396" spans="1:20" ht="22.15" hidden="1" customHeight="1">
      <c r="A1396" s="59"/>
      <c r="B1396" s="1586" t="s">
        <v>1376</v>
      </c>
      <c r="C1396" s="1015" t="str">
        <f t="shared" si="279"/>
        <v xml:space="preserve"> </v>
      </c>
      <c r="D1396" s="1544">
        <v>6</v>
      </c>
      <c r="E1396" s="1047"/>
      <c r="F1396" s="1059" t="str">
        <f>VLOOKUP($B1396,DG!A:D,DG!$C$2,)</f>
        <v xml:space="preserve">Móc treo chữ U </v>
      </c>
      <c r="G1396" s="1047" t="str">
        <f>VLOOKUP($B1396,DG!A:D,DG!$D$2,)</f>
        <v>cái</v>
      </c>
      <c r="H1396" s="1845">
        <f t="shared" si="278"/>
        <v>0</v>
      </c>
      <c r="I1396" s="1845">
        <f t="shared" si="278"/>
        <v>0</v>
      </c>
      <c r="J1396" s="1845">
        <f t="shared" si="278"/>
        <v>0</v>
      </c>
      <c r="K1396" s="1845">
        <f t="shared" si="278"/>
        <v>0</v>
      </c>
      <c r="L1396" s="1845">
        <f t="shared" si="278"/>
        <v>0</v>
      </c>
      <c r="M1396" s="1845">
        <f t="shared" si="278"/>
        <v>0</v>
      </c>
      <c r="N1396" s="1845">
        <f t="shared" si="278"/>
        <v>0</v>
      </c>
      <c r="O1396" s="1845"/>
      <c r="P1396" s="1845"/>
      <c r="Q1396" s="1056"/>
      <c r="R1396" s="1056"/>
      <c r="S1396" s="1056"/>
      <c r="T1396" s="2059">
        <f t="shared" si="277"/>
        <v>0</v>
      </c>
    </row>
    <row r="1397" spans="1:20" ht="22.15" hidden="1" customHeight="1">
      <c r="A1397" s="59"/>
      <c r="B1397" s="1605" t="s">
        <v>1897</v>
      </c>
      <c r="C1397" s="1015" t="str">
        <f t="shared" si="279"/>
        <v xml:space="preserve"> </v>
      </c>
      <c r="D1397" s="1544">
        <v>4</v>
      </c>
      <c r="E1397" s="1047"/>
      <c r="F1397" s="1059" t="str">
        <f>VLOOKUP($B1397,DG!A:D,DG!$C$2,)</f>
        <v>Boulon 16x100VRS+ 4 long đền vuông D18-50x50x3/Zn</v>
      </c>
      <c r="G1397" s="1047" t="str">
        <f>VLOOKUP($B1397,DG!A:D,DG!$D$2,)</f>
        <v>bộ</v>
      </c>
      <c r="H1397" s="1845">
        <f t="shared" si="278"/>
        <v>0</v>
      </c>
      <c r="I1397" s="1845">
        <f t="shared" si="278"/>
        <v>0</v>
      </c>
      <c r="J1397" s="1845">
        <f t="shared" si="278"/>
        <v>0</v>
      </c>
      <c r="K1397" s="1845">
        <f t="shared" si="278"/>
        <v>0</v>
      </c>
      <c r="L1397" s="1845">
        <f t="shared" si="278"/>
        <v>0</v>
      </c>
      <c r="M1397" s="1845">
        <f t="shared" si="278"/>
        <v>0</v>
      </c>
      <c r="N1397" s="1845">
        <f t="shared" si="278"/>
        <v>0</v>
      </c>
      <c r="O1397" s="1845"/>
      <c r="P1397" s="1845"/>
      <c r="Q1397" s="1056"/>
      <c r="R1397" s="1056"/>
      <c r="S1397" s="1056"/>
      <c r="T1397" s="2059">
        <f t="shared" si="277"/>
        <v>0</v>
      </c>
    </row>
    <row r="1398" spans="1:20" ht="22.15" hidden="1" customHeight="1">
      <c r="A1398" s="59"/>
      <c r="B1398" s="1586" t="s">
        <v>2006</v>
      </c>
      <c r="C1398" s="1015" t="str">
        <f t="shared" si="279"/>
        <v xml:space="preserve"> </v>
      </c>
      <c r="D1398" s="1544">
        <v>4</v>
      </c>
      <c r="E1398" s="1047"/>
      <c r="F1398" s="1059" t="str">
        <f>VLOOKUP($B1398,DG!A:D,DG!$C$2,)</f>
        <v>Yếm cáp dày 2mm</v>
      </c>
      <c r="G1398" s="1047" t="str">
        <f>VLOOKUP($B1398,DG!A:D,DG!$D$2,)</f>
        <v>cái</v>
      </c>
      <c r="H1398" s="1845">
        <f t="shared" si="278"/>
        <v>0</v>
      </c>
      <c r="I1398" s="1845">
        <f t="shared" si="278"/>
        <v>0</v>
      </c>
      <c r="J1398" s="1845">
        <f t="shared" si="278"/>
        <v>0</v>
      </c>
      <c r="K1398" s="1845">
        <f t="shared" si="278"/>
        <v>0</v>
      </c>
      <c r="L1398" s="1845">
        <f t="shared" si="278"/>
        <v>0</v>
      </c>
      <c r="M1398" s="1845">
        <f t="shared" si="278"/>
        <v>0</v>
      </c>
      <c r="N1398" s="1845">
        <f t="shared" si="278"/>
        <v>0</v>
      </c>
      <c r="O1398" s="1845"/>
      <c r="P1398" s="1845"/>
      <c r="Q1398" s="1056"/>
      <c r="R1398" s="1056"/>
      <c r="S1398" s="1056"/>
      <c r="T1398" s="2059">
        <f t="shared" si="277"/>
        <v>0</v>
      </c>
    </row>
    <row r="1399" spans="1:20" ht="22.15" hidden="1" customHeight="1">
      <c r="A1399" s="59"/>
      <c r="B1399" s="1586" t="s">
        <v>1924</v>
      </c>
      <c r="C1399" s="1015" t="str">
        <f t="shared" si="279"/>
        <v xml:space="preserve"> </v>
      </c>
      <c r="D1399" s="1544">
        <v>2</v>
      </c>
      <c r="E1399" s="1047" t="str">
        <f>VLOOKUP($B1399,DG!A:D,DG!$B$2,)</f>
        <v>06.3241</v>
      </c>
      <c r="F1399" s="1052" t="str">
        <f>VLOOKUP($B1399,DG!A:D,DG!$C$2,)</f>
        <v>Lắp bộ dây néo</v>
      </c>
      <c r="G1399" s="1047" t="str">
        <f>VLOOKUP($B1399,DG!A:D,DG!$D$2,)</f>
        <v>bộ</v>
      </c>
      <c r="H1399" s="1845"/>
      <c r="I1399" s="1845"/>
      <c r="J1399" s="1845"/>
      <c r="K1399" s="1845"/>
      <c r="L1399" s="1845"/>
      <c r="M1399" s="1845"/>
      <c r="N1399" s="1845"/>
      <c r="O1399" s="1845"/>
      <c r="P1399" s="1845"/>
      <c r="Q1399" s="1061"/>
      <c r="R1399" s="1061"/>
      <c r="S1399" s="1061"/>
      <c r="T1399" s="2059">
        <f t="shared" si="277"/>
        <v>0</v>
      </c>
    </row>
    <row r="1400" spans="1:20" ht="22.15" hidden="1" customHeight="1">
      <c r="A1400" s="59"/>
      <c r="B1400" s="1586" t="s">
        <v>681</v>
      </c>
      <c r="C1400" s="1015" t="str">
        <f t="shared" si="279"/>
        <v xml:space="preserve"> </v>
      </c>
      <c r="D1400" s="1544">
        <v>2</v>
      </c>
      <c r="E1400" s="1047" t="str">
        <f>VLOOKUP($B1400,DG!A:D,DG!$B$2,)</f>
        <v>06.2110</v>
      </c>
      <c r="F1400" s="1052" t="str">
        <f>VLOOKUP($B1400,DG!A:D,DG!$C$2,)</f>
        <v>Lắp cổ dề</v>
      </c>
      <c r="G1400" s="1047" t="str">
        <f>VLOOKUP($B1400,DG!A:D,DG!$D$2,)</f>
        <v>cái</v>
      </c>
      <c r="H1400" s="1845"/>
      <c r="I1400" s="1845"/>
      <c r="J1400" s="1845"/>
      <c r="K1400" s="1845"/>
      <c r="L1400" s="1845"/>
      <c r="M1400" s="1845"/>
      <c r="N1400" s="1845"/>
      <c r="O1400" s="1845"/>
      <c r="P1400" s="1845"/>
      <c r="Q1400" s="1061"/>
      <c r="R1400" s="1061"/>
      <c r="S1400" s="1061"/>
      <c r="T1400" s="2059">
        <f t="shared" si="277"/>
        <v>0</v>
      </c>
    </row>
    <row r="1401" spans="1:20" ht="22.15" hidden="1" customHeight="1">
      <c r="A1401" s="59"/>
      <c r="B1401" s="1598" t="s">
        <v>356</v>
      </c>
      <c r="C1401" s="1015" t="str">
        <f t="shared" si="279"/>
        <v xml:space="preserve"> </v>
      </c>
      <c r="D1401" s="1543">
        <v>0.02</v>
      </c>
      <c r="E1401" s="1047" t="str">
        <f>VLOOKUP($B1401,DG!A:C,2,)</f>
        <v>02.1421</v>
      </c>
      <c r="F1401" s="1052" t="str">
        <f>VLOOKUP($B1401,DG!A:C,3,)</f>
        <v>V/c phụ kiện vào vị trí (cự ly &lt;=100m)</v>
      </c>
      <c r="G1401" s="1047" t="str">
        <f>VLOOKUP($B1401,DG!A:D,4,0)</f>
        <v>tấn</v>
      </c>
      <c r="H1401" s="1845"/>
      <c r="I1401" s="1845"/>
      <c r="J1401" s="1845"/>
      <c r="K1401" s="1845"/>
      <c r="L1401" s="1845"/>
      <c r="M1401" s="1845"/>
      <c r="N1401" s="1845"/>
      <c r="O1401" s="1845"/>
      <c r="P1401" s="1845"/>
      <c r="Q1401" s="1061"/>
      <c r="R1401" s="1061"/>
      <c r="S1401" s="1061"/>
      <c r="T1401" s="2059">
        <f t="shared" si="277"/>
        <v>0</v>
      </c>
    </row>
    <row r="1402" spans="1:20" ht="22.15" hidden="1" customHeight="1">
      <c r="A1402" s="1590" t="s">
        <v>1497</v>
      </c>
      <c r="B1402" s="1583" t="s">
        <v>1497</v>
      </c>
      <c r="C1402" s="1854" t="str">
        <f t="shared" si="279"/>
        <v xml:space="preserve"> </v>
      </c>
      <c r="D1402" s="1541"/>
      <c r="E1402" s="1048"/>
      <c r="F1402" s="1396" t="s">
        <v>2498</v>
      </c>
      <c r="G1402" s="1049" t="s">
        <v>2394</v>
      </c>
      <c r="H1402" s="1843">
        <f>SUM(I1402:O1402)</f>
        <v>0</v>
      </c>
      <c r="I1402" s="1844"/>
      <c r="J1402" s="1844"/>
      <c r="K1402" s="1844">
        <f>IFERROR(HLOOKUP(B1402,pp3p1m!$1:$3,3,0),0)</f>
        <v>0</v>
      </c>
      <c r="L1402" s="1844">
        <f>IFERROR(HLOOKUP(chitiet!B1402,pp1p!$1:$3,3,0),0)</f>
        <v>0</v>
      </c>
      <c r="M1402" s="1844"/>
      <c r="N1402" s="1844"/>
      <c r="O1402" s="1844"/>
      <c r="P1402" s="1843">
        <f>H1402+Q1402-R1402</f>
        <v>0</v>
      </c>
      <c r="Q1402" s="1050"/>
      <c r="R1402" s="1050"/>
      <c r="S1402" s="1050"/>
      <c r="T1402" s="2059">
        <f>IFERROR(HLOOKUP(B1402,pp1p!$1:$3,3,0),0)+IFERROR(HLOOKUP(B1402,pp3p1m!$1:$3,3,0),0)</f>
        <v>0</v>
      </c>
    </row>
    <row r="1403" spans="1:20" ht="22.15" hidden="1" customHeight="1">
      <c r="B1403" s="1580" t="s">
        <v>536</v>
      </c>
      <c r="C1403" s="1854" t="str">
        <f t="shared" si="279"/>
        <v xml:space="preserve"> </v>
      </c>
      <c r="D1403" s="1544">
        <v>1</v>
      </c>
      <c r="E1403" s="1047"/>
      <c r="F1403" s="1059" t="str">
        <f>VLOOKUP($B1403,DG!A:D,DG!$C$2,)</f>
        <v>Ty neo Ø22x2400</v>
      </c>
      <c r="G1403" s="1047" t="str">
        <f>VLOOKUP($B1403,DG!A:D,DG!$D$2,)</f>
        <v>cái</v>
      </c>
      <c r="H1403" s="1845">
        <f t="shared" ref="H1403:N1404" si="280">H$1402*$D1403</f>
        <v>0</v>
      </c>
      <c r="I1403" s="1845">
        <f t="shared" si="280"/>
        <v>0</v>
      </c>
      <c r="J1403" s="1845">
        <f t="shared" si="280"/>
        <v>0</v>
      </c>
      <c r="K1403" s="1845">
        <f t="shared" si="280"/>
        <v>0</v>
      </c>
      <c r="L1403" s="1845">
        <f t="shared" si="280"/>
        <v>0</v>
      </c>
      <c r="M1403" s="1845">
        <f t="shared" si="280"/>
        <v>0</v>
      </c>
      <c r="N1403" s="1845">
        <f t="shared" si="280"/>
        <v>0</v>
      </c>
      <c r="O1403" s="1845"/>
      <c r="P1403" s="1845">
        <f>$P$1402*D1403</f>
        <v>0</v>
      </c>
      <c r="Q1403" s="1056"/>
      <c r="R1403" s="1056">
        <f>$R$1402*D1403</f>
        <v>0</v>
      </c>
      <c r="S1403" s="1056"/>
      <c r="T1403" s="2059">
        <f t="shared" si="277"/>
        <v>0</v>
      </c>
    </row>
    <row r="1404" spans="1:20" ht="22.15" hidden="1" customHeight="1">
      <c r="B1404" s="1580" t="s">
        <v>1294</v>
      </c>
      <c r="C1404" s="1854" t="str">
        <f t="shared" si="279"/>
        <v xml:space="preserve"> </v>
      </c>
      <c r="D1404" s="1544">
        <v>1</v>
      </c>
      <c r="E1404" s="1047" t="str">
        <f>VLOOKUP($B1404,DG!A:D,DG!$B$2,)</f>
        <v>04.4001</v>
      </c>
      <c r="F1404" s="1059" t="str">
        <f>VLOOKUP($B1404,DG!A:D,DG!$C$2,)</f>
        <v>Neo xòe 8 hướng (dày 3,2mm)</v>
      </c>
      <c r="G1404" s="1047" t="str">
        <f>VLOOKUP($B1404,DG!A:D,DG!$D$2,)</f>
        <v>cái</v>
      </c>
      <c r="H1404" s="1845">
        <f t="shared" si="280"/>
        <v>0</v>
      </c>
      <c r="I1404" s="1845">
        <f t="shared" si="280"/>
        <v>0</v>
      </c>
      <c r="J1404" s="1845">
        <f t="shared" si="280"/>
        <v>0</v>
      </c>
      <c r="K1404" s="1845">
        <f t="shared" si="280"/>
        <v>0</v>
      </c>
      <c r="L1404" s="1845">
        <f t="shared" si="280"/>
        <v>0</v>
      </c>
      <c r="M1404" s="1845">
        <f t="shared" si="280"/>
        <v>0</v>
      </c>
      <c r="N1404" s="1845">
        <f t="shared" si="280"/>
        <v>0</v>
      </c>
      <c r="O1404" s="1845"/>
      <c r="P1404" s="1845">
        <f>$P$1402*D1404</f>
        <v>0</v>
      </c>
      <c r="Q1404" s="1056"/>
      <c r="R1404" s="1056">
        <f>$R$1402*D1404</f>
        <v>0</v>
      </c>
      <c r="S1404" s="1056"/>
      <c r="T1404" s="2059">
        <f t="shared" si="277"/>
        <v>0</v>
      </c>
    </row>
    <row r="1405" spans="1:20" ht="22.15" hidden="1" customHeight="1">
      <c r="B1405" s="1580" t="s">
        <v>639</v>
      </c>
      <c r="C1405" s="1854" t="str">
        <f t="shared" si="279"/>
        <v xml:space="preserve"> </v>
      </c>
      <c r="D1405" s="1543">
        <v>0.4</v>
      </c>
      <c r="E1405" s="1047" t="str">
        <f>VLOOKUP($B1405,DG!A:D,DG!$B$2,)</f>
        <v>03.1013</v>
      </c>
      <c r="F1405" s="1052" t="str">
        <f>VLOOKUP($B1405,DG!A:D,DG!$C$2,)</f>
        <v>Đào hố móng đất cấp 3 sâu &gt;1m</v>
      </c>
      <c r="G1405" s="1047" t="str">
        <f>VLOOKUP($B1405,DG!A:D,DG!$D$2,)</f>
        <v>m3</v>
      </c>
      <c r="H1405" s="1845">
        <f>H$1402*$D1405</f>
        <v>0</v>
      </c>
      <c r="I1405" s="1845"/>
      <c r="J1405" s="1845"/>
      <c r="K1405" s="1845"/>
      <c r="L1405" s="1845"/>
      <c r="M1405" s="1845"/>
      <c r="N1405" s="1845"/>
      <c r="O1405" s="1845"/>
      <c r="P1405" s="1845">
        <f>$P$1402*D1405</f>
        <v>0</v>
      </c>
      <c r="Q1405" s="1056"/>
      <c r="R1405" s="1060">
        <f>$R$1402*D1405</f>
        <v>0</v>
      </c>
      <c r="S1405" s="1056"/>
      <c r="T1405" s="2059">
        <f t="shared" si="277"/>
        <v>0</v>
      </c>
    </row>
    <row r="1406" spans="1:20" ht="22.15" hidden="1" customHeight="1">
      <c r="B1406" s="1580" t="s">
        <v>21</v>
      </c>
      <c r="C1406" s="1854" t="str">
        <f t="shared" si="279"/>
        <v xml:space="preserve"> </v>
      </c>
      <c r="D1406" s="1543">
        <v>0.4</v>
      </c>
      <c r="E1406" s="1047" t="str">
        <f>VLOOKUP($B1406,DG!A:D,DG!$B$2,)</f>
        <v>03.4113</v>
      </c>
      <c r="F1406" s="1052" t="str">
        <f>VLOOKUP($B1406,DG!A:D,DG!$C$2,)</f>
        <v>Đắp đất hố móng, độ chặt k=0,95</v>
      </c>
      <c r="G1406" s="1047" t="str">
        <f>VLOOKUP($B1406,DG!A:D,DG!$D$2,)</f>
        <v>m3</v>
      </c>
      <c r="H1406" s="1845">
        <f>H$1402*$D1406</f>
        <v>0</v>
      </c>
      <c r="I1406" s="1845"/>
      <c r="J1406" s="1845"/>
      <c r="K1406" s="1845"/>
      <c r="L1406" s="1845"/>
      <c r="M1406" s="1845"/>
      <c r="N1406" s="1845"/>
      <c r="O1406" s="1845"/>
      <c r="P1406" s="1845">
        <f>$P$1402*D1406</f>
        <v>0</v>
      </c>
      <c r="Q1406" s="1056"/>
      <c r="R1406" s="1060">
        <f>$R$1402*D1406</f>
        <v>0</v>
      </c>
      <c r="S1406" s="1056"/>
      <c r="T1406" s="2059">
        <f t="shared" si="277"/>
        <v>0</v>
      </c>
    </row>
    <row r="1407" spans="1:20" ht="22.15" hidden="1" customHeight="1">
      <c r="A1407" s="59"/>
      <c r="B1407" s="1586" t="s">
        <v>749</v>
      </c>
      <c r="C1407" s="1015" t="str">
        <f t="shared" si="279"/>
        <v xml:space="preserve"> </v>
      </c>
      <c r="D1407" s="1542"/>
      <c r="E1407" s="1047" t="str">
        <f>VLOOKUP($B1407,DG!A:D,DG!$B$2,)</f>
        <v>02.3111</v>
      </c>
      <c r="F1407" s="1052" t="str">
        <f>VLOOKUP($B1407,DG!A:D,DG!$C$2,)</f>
        <v>Bốc dỡ neo xèo</v>
      </c>
      <c r="G1407" s="1047" t="str">
        <f>VLOOKUP($B1407,DG!A:D,DG!$D$2,)</f>
        <v>tấn</v>
      </c>
      <c r="H1407" s="1845"/>
      <c r="I1407" s="1845"/>
      <c r="J1407" s="1845"/>
      <c r="K1407" s="1845"/>
      <c r="L1407" s="1845"/>
      <c r="M1407" s="1845"/>
      <c r="N1407" s="1845"/>
      <c r="O1407" s="1845"/>
      <c r="P1407" s="1845"/>
      <c r="Q1407" s="1056"/>
      <c r="R1407" s="1056"/>
      <c r="S1407" s="1056"/>
      <c r="T1407" s="2059">
        <f t="shared" si="277"/>
        <v>0</v>
      </c>
    </row>
    <row r="1408" spans="1:20" ht="22.15" hidden="1" customHeight="1">
      <c r="A1408" s="59"/>
      <c r="B1408" s="1586" t="s">
        <v>1294</v>
      </c>
      <c r="C1408" s="1015" t="str">
        <f t="shared" si="279"/>
        <v xml:space="preserve"> </v>
      </c>
      <c r="D1408" s="1542"/>
      <c r="E1408" s="1047" t="str">
        <f>VLOOKUP($B1408,DG!A:C,2,)</f>
        <v>04.4001</v>
      </c>
      <c r="F1408" s="1059" t="str">
        <f>VLOOKUP($B1408,DG!A:C,3,)</f>
        <v>Neo xòe 8 hướng (dày 3,2mm)</v>
      </c>
      <c r="G1408" s="1047" t="str">
        <f>VLOOKUP($B1408,DG!A:D,4,0)</f>
        <v>cái</v>
      </c>
      <c r="H1408" s="1845"/>
      <c r="I1408" s="1845"/>
      <c r="J1408" s="1845"/>
      <c r="K1408" s="1845"/>
      <c r="L1408" s="1845"/>
      <c r="M1408" s="1845"/>
      <c r="N1408" s="1845"/>
      <c r="O1408" s="1845"/>
      <c r="P1408" s="1845"/>
      <c r="Q1408" s="1061"/>
      <c r="R1408" s="1061"/>
      <c r="S1408" s="1061"/>
      <c r="T1408" s="2059">
        <f t="shared" si="277"/>
        <v>0</v>
      </c>
    </row>
    <row r="1409" spans="1:20" ht="22.15" hidden="1" customHeight="1">
      <c r="A1409" s="59"/>
      <c r="B1409" s="1598" t="s">
        <v>606</v>
      </c>
      <c r="C1409" s="1015" t="str">
        <f t="shared" si="279"/>
        <v xml:space="preserve"> </v>
      </c>
      <c r="D1409" s="1543"/>
      <c r="E1409" s="1047" t="str">
        <f>VLOOKUP($B1409,DG!A:C,2,)</f>
        <v>02.1482</v>
      </c>
      <c r="F1409" s="1052" t="str">
        <f>VLOOKUP($B1409,DG!A:C,3,)</f>
        <v>V/c dụng cụ thi công vào vị trí (cự ly &lt;=100m)</v>
      </c>
      <c r="G1409" s="1047" t="str">
        <f>VLOOKUP($B1409,DG!A:D,4,0)</f>
        <v>tấn</v>
      </c>
      <c r="H1409" s="1845"/>
      <c r="I1409" s="1845"/>
      <c r="J1409" s="1845"/>
      <c r="K1409" s="1845"/>
      <c r="L1409" s="1845"/>
      <c r="M1409" s="1845"/>
      <c r="N1409" s="1845"/>
      <c r="O1409" s="1845"/>
      <c r="P1409" s="1845"/>
      <c r="Q1409" s="1061"/>
      <c r="R1409" s="1061"/>
      <c r="S1409" s="1061"/>
      <c r="T1409" s="2059">
        <f t="shared" si="277"/>
        <v>0</v>
      </c>
    </row>
    <row r="1410" spans="1:20" ht="22.15" customHeight="1">
      <c r="A1410" s="1590" t="s">
        <v>1498</v>
      </c>
      <c r="B1410" s="1583" t="s">
        <v>1498</v>
      </c>
      <c r="C1410" s="1015" t="str">
        <f t="shared" si="279"/>
        <v>x</v>
      </c>
      <c r="D1410" s="1541"/>
      <c r="E1410" s="1048"/>
      <c r="F1410" s="1396" t="s">
        <v>2499</v>
      </c>
      <c r="G1410" s="1049" t="s">
        <v>2394</v>
      </c>
      <c r="H1410" s="1843">
        <f>SUM(I1410:O1410)</f>
        <v>1</v>
      </c>
      <c r="I1410" s="1844"/>
      <c r="J1410" s="1844"/>
      <c r="K1410" s="1844">
        <f>IFERROR(HLOOKUP(B1410,pp3p1m!$1:$3,3,0),0)</f>
        <v>1</v>
      </c>
      <c r="L1410" s="1844">
        <f>IFERROR(HLOOKUP(chitiet!B1410,pp1p!$1:$3,3,0),0)</f>
        <v>0</v>
      </c>
      <c r="M1410" s="1844"/>
      <c r="N1410" s="1844"/>
      <c r="O1410" s="1844"/>
      <c r="P1410" s="1844">
        <f>H1410+Q1410-R1410</f>
        <v>1</v>
      </c>
      <c r="Q1410" s="1050"/>
      <c r="R1410" s="1050"/>
      <c r="S1410" s="1050"/>
      <c r="T1410" s="2059">
        <f>IFERROR(HLOOKUP(B1410,pp1p!$1:$3,3,0),0)+IFERROR(HLOOKUP(B1410,pp3p1m!$1:$3,3,0),0)</f>
        <v>1</v>
      </c>
    </row>
    <row r="1411" spans="1:20" ht="22.15" customHeight="1">
      <c r="B1411" s="1580" t="s">
        <v>536</v>
      </c>
      <c r="C1411" s="1015" t="str">
        <f t="shared" si="279"/>
        <v>x</v>
      </c>
      <c r="D1411" s="1544">
        <v>1</v>
      </c>
      <c r="E1411" s="1047"/>
      <c r="F1411" s="1059" t="str">
        <f>VLOOKUP($B1411,DG!A:D,DG!$C$2,)</f>
        <v>Ty neo Ø22x2400</v>
      </c>
      <c r="G1411" s="1047" t="str">
        <f>VLOOKUP($B1411,DG!A:D,DG!$D$2,)</f>
        <v>cái</v>
      </c>
      <c r="H1411" s="1845">
        <f t="shared" ref="H1411:N1412" si="281">H$1410*$D1411</f>
        <v>1</v>
      </c>
      <c r="I1411" s="1845">
        <f t="shared" si="281"/>
        <v>0</v>
      </c>
      <c r="J1411" s="1845">
        <f t="shared" si="281"/>
        <v>0</v>
      </c>
      <c r="K1411" s="1845">
        <f t="shared" si="281"/>
        <v>1</v>
      </c>
      <c r="L1411" s="1845">
        <f t="shared" si="281"/>
        <v>0</v>
      </c>
      <c r="M1411" s="1845">
        <f t="shared" si="281"/>
        <v>0</v>
      </c>
      <c r="N1411" s="1845">
        <f t="shared" si="281"/>
        <v>0</v>
      </c>
      <c r="O1411" s="1845"/>
      <c r="P1411" s="1845">
        <f>$P$1410*D1411</f>
        <v>1</v>
      </c>
      <c r="Q1411" s="1056">
        <f>$Q$1410*D1411</f>
        <v>0</v>
      </c>
      <c r="R1411" s="1056"/>
      <c r="S1411" s="1056"/>
      <c r="T1411" s="2059">
        <f t="shared" si="277"/>
        <v>0</v>
      </c>
    </row>
    <row r="1412" spans="1:20" ht="22.15" customHeight="1">
      <c r="B1412" s="1580" t="s">
        <v>1294</v>
      </c>
      <c r="C1412" s="1015" t="str">
        <f t="shared" si="279"/>
        <v>x</v>
      </c>
      <c r="D1412" s="1544">
        <v>1</v>
      </c>
      <c r="E1412" s="1047" t="str">
        <f>VLOOKUP($B1412,DG!A:D,DG!$B$2,)</f>
        <v>04.4001</v>
      </c>
      <c r="F1412" s="1059" t="str">
        <f>VLOOKUP($B1412,DG!A:D,DG!$C$2,)</f>
        <v>Neo xòe 8 hướng (dày 3,2mm)</v>
      </c>
      <c r="G1412" s="1047" t="str">
        <f>VLOOKUP($B1412,DG!A:D,DG!$D$2,)</f>
        <v>cái</v>
      </c>
      <c r="H1412" s="1845">
        <f t="shared" si="281"/>
        <v>1</v>
      </c>
      <c r="I1412" s="1845">
        <f t="shared" si="281"/>
        <v>0</v>
      </c>
      <c r="J1412" s="1845">
        <f t="shared" si="281"/>
        <v>0</v>
      </c>
      <c r="K1412" s="1845">
        <f t="shared" si="281"/>
        <v>1</v>
      </c>
      <c r="L1412" s="1845">
        <f t="shared" si="281"/>
        <v>0</v>
      </c>
      <c r="M1412" s="1845">
        <f t="shared" si="281"/>
        <v>0</v>
      </c>
      <c r="N1412" s="1845">
        <f t="shared" si="281"/>
        <v>0</v>
      </c>
      <c r="O1412" s="1845"/>
      <c r="P1412" s="1845">
        <f>$P$1410*D1412</f>
        <v>1</v>
      </c>
      <c r="Q1412" s="1056">
        <f>$Q$1410*D1412</f>
        <v>0</v>
      </c>
      <c r="R1412" s="1056"/>
      <c r="S1412" s="1056"/>
      <c r="T1412" s="2059">
        <f t="shared" si="277"/>
        <v>0</v>
      </c>
    </row>
    <row r="1413" spans="1:20" ht="22.15" customHeight="1">
      <c r="B1413" s="1580" t="s">
        <v>639</v>
      </c>
      <c r="C1413" s="1015" t="str">
        <f t="shared" si="279"/>
        <v>x</v>
      </c>
      <c r="D1413" s="1543">
        <v>0.28999999999999998</v>
      </c>
      <c r="E1413" s="1047" t="str">
        <f>VLOOKUP($B1413,DG!A:D,DG!$B$2,)</f>
        <v>03.1013</v>
      </c>
      <c r="F1413" s="1052" t="str">
        <f>VLOOKUP($B1413,DG!A:D,DG!$C$2,)</f>
        <v>Đào hố móng đất cấp 3 sâu &gt;1m</v>
      </c>
      <c r="G1413" s="1047" t="str">
        <f>VLOOKUP($B1413,DG!A:D,DG!$D$2,)</f>
        <v>m3</v>
      </c>
      <c r="H1413" s="1845">
        <f>H$1410*$D1413</f>
        <v>0.28999999999999998</v>
      </c>
      <c r="I1413" s="1845"/>
      <c r="J1413" s="1845"/>
      <c r="K1413" s="1845"/>
      <c r="L1413" s="1845"/>
      <c r="M1413" s="1845"/>
      <c r="N1413" s="1845"/>
      <c r="O1413" s="1845"/>
      <c r="P1413" s="1845">
        <f>$P$1410*D1413</f>
        <v>0.28999999999999998</v>
      </c>
      <c r="Q1413" s="1060">
        <f>$Q$1410*D1413</f>
        <v>0</v>
      </c>
      <c r="R1413" s="1060"/>
      <c r="S1413" s="1056"/>
      <c r="T1413" s="2059">
        <f t="shared" si="277"/>
        <v>0</v>
      </c>
    </row>
    <row r="1414" spans="1:20" ht="22.15" customHeight="1">
      <c r="B1414" s="1580" t="s">
        <v>21</v>
      </c>
      <c r="C1414" s="1015" t="str">
        <f t="shared" si="279"/>
        <v>x</v>
      </c>
      <c r="D1414" s="1543">
        <v>0.28999999999999998</v>
      </c>
      <c r="E1414" s="1047" t="str">
        <f>VLOOKUP($B1414,DG!A:D,DG!$B$2,)</f>
        <v>03.4113</v>
      </c>
      <c r="F1414" s="1052" t="str">
        <f>VLOOKUP($B1414,DG!A:D,DG!$C$2,)</f>
        <v>Đắp đất hố móng, độ chặt k=0,95</v>
      </c>
      <c r="G1414" s="1047" t="str">
        <f>VLOOKUP($B1414,DG!A:D,DG!$D$2,)</f>
        <v>m3</v>
      </c>
      <c r="H1414" s="1845">
        <f>H$1410*$D1414</f>
        <v>0.28999999999999998</v>
      </c>
      <c r="I1414" s="1845"/>
      <c r="J1414" s="1845"/>
      <c r="K1414" s="1845"/>
      <c r="L1414" s="1845"/>
      <c r="M1414" s="1845"/>
      <c r="N1414" s="1845"/>
      <c r="O1414" s="1845"/>
      <c r="P1414" s="1845">
        <f>$P$1410*D1414</f>
        <v>0.28999999999999998</v>
      </c>
      <c r="Q1414" s="1060">
        <f>$Q$1410*D1414</f>
        <v>0</v>
      </c>
      <c r="R1414" s="1060"/>
      <c r="S1414" s="1056"/>
      <c r="T1414" s="2059">
        <f t="shared" si="277"/>
        <v>0</v>
      </c>
    </row>
    <row r="1415" spans="1:20" ht="22.15" hidden="1" customHeight="1">
      <c r="A1415" s="59"/>
      <c r="B1415" s="1586" t="s">
        <v>749</v>
      </c>
      <c r="C1415" s="1015" t="str">
        <f t="shared" si="279"/>
        <v xml:space="preserve"> </v>
      </c>
      <c r="D1415" s="1543"/>
      <c r="E1415" s="1047" t="str">
        <f>VLOOKUP($B1415,DG!A:D,DG!$B$2,)</f>
        <v>02.3111</v>
      </c>
      <c r="F1415" s="1052" t="str">
        <f>VLOOKUP($B1415,DG!A:D,DG!$C$2,)</f>
        <v>Bốc dỡ neo xèo</v>
      </c>
      <c r="G1415" s="1047" t="str">
        <f>VLOOKUP($B1415,DG!A:D,DG!$D$2,)</f>
        <v>tấn</v>
      </c>
      <c r="H1415" s="1845"/>
      <c r="I1415" s="1845"/>
      <c r="J1415" s="1845"/>
      <c r="K1415" s="1845"/>
      <c r="L1415" s="1845"/>
      <c r="M1415" s="1845"/>
      <c r="N1415" s="1845"/>
      <c r="O1415" s="1845"/>
      <c r="P1415" s="1845"/>
      <c r="Q1415" s="1056"/>
      <c r="R1415" s="1056"/>
      <c r="S1415" s="1056"/>
      <c r="T1415" s="2059">
        <f t="shared" si="277"/>
        <v>0</v>
      </c>
    </row>
    <row r="1416" spans="1:20" ht="22.15" hidden="1" customHeight="1">
      <c r="A1416" s="59"/>
      <c r="B1416" s="1586" t="s">
        <v>1294</v>
      </c>
      <c r="C1416" s="1015" t="str">
        <f t="shared" si="279"/>
        <v xml:space="preserve"> </v>
      </c>
      <c r="D1416" s="1543"/>
      <c r="E1416" s="1047" t="str">
        <f>VLOOKUP($B1416,DG!A:C,2,)</f>
        <v>04.4001</v>
      </c>
      <c r="F1416" s="1059" t="str">
        <f>VLOOKUP($B1416,DG!A:C,3,)</f>
        <v>Neo xòe 8 hướng (dày 3,2mm)</v>
      </c>
      <c r="G1416" s="1047" t="str">
        <f>VLOOKUP($B1416,DG!A:D,4,0)</f>
        <v>cái</v>
      </c>
      <c r="H1416" s="1845"/>
      <c r="I1416" s="1845"/>
      <c r="J1416" s="1845"/>
      <c r="K1416" s="1845"/>
      <c r="L1416" s="1845"/>
      <c r="M1416" s="1845"/>
      <c r="N1416" s="1845"/>
      <c r="O1416" s="1845"/>
      <c r="P1416" s="1845"/>
      <c r="Q1416" s="1061"/>
      <c r="R1416" s="1061"/>
      <c r="S1416" s="1061"/>
      <c r="T1416" s="2059">
        <f t="shared" si="277"/>
        <v>0</v>
      </c>
    </row>
    <row r="1417" spans="1:20" ht="22.15" hidden="1" customHeight="1">
      <c r="A1417" s="59"/>
      <c r="B1417" s="1598" t="s">
        <v>606</v>
      </c>
      <c r="C1417" s="1015" t="str">
        <f t="shared" si="279"/>
        <v xml:space="preserve"> </v>
      </c>
      <c r="D1417" s="1543"/>
      <c r="E1417" s="1047" t="str">
        <f>VLOOKUP($B1417,DG!A:C,2,)</f>
        <v>02.1482</v>
      </c>
      <c r="F1417" s="1052" t="str">
        <f>VLOOKUP($B1417,DG!A:C,3,)</f>
        <v>V/c dụng cụ thi công vào vị trí (cự ly &lt;=100m)</v>
      </c>
      <c r="G1417" s="1047" t="str">
        <f>VLOOKUP($B1417,DG!A:D,4,0)</f>
        <v>tấn</v>
      </c>
      <c r="H1417" s="1845"/>
      <c r="I1417" s="1845"/>
      <c r="J1417" s="1845"/>
      <c r="K1417" s="1845"/>
      <c r="L1417" s="1845"/>
      <c r="M1417" s="1845"/>
      <c r="N1417" s="1845"/>
      <c r="O1417" s="1845"/>
      <c r="P1417" s="1845"/>
      <c r="Q1417" s="1061"/>
      <c r="R1417" s="1061"/>
      <c r="S1417" s="1061"/>
      <c r="T1417" s="2059">
        <f t="shared" si="277"/>
        <v>0</v>
      </c>
    </row>
    <row r="1418" spans="1:20" ht="22.15" hidden="1" customHeight="1">
      <c r="A1418" s="65" t="s">
        <v>1577</v>
      </c>
      <c r="B1418" s="1583" t="s">
        <v>1577</v>
      </c>
      <c r="C1418" s="1015" t="str">
        <f t="shared" si="279"/>
        <v xml:space="preserve"> </v>
      </c>
      <c r="D1418" s="1541"/>
      <c r="E1418" s="1048"/>
      <c r="F1418" s="1396" t="s">
        <v>2500</v>
      </c>
      <c r="G1418" s="1049" t="s">
        <v>2394</v>
      </c>
      <c r="H1418" s="1843">
        <f>SUM(I1418:O1418)</f>
        <v>0</v>
      </c>
      <c r="I1418" s="1844"/>
      <c r="J1418" s="1844"/>
      <c r="K1418" s="1844">
        <f>IFERROR(HLOOKUP(B1418,pp3p1m!$1:$3,3,0),0)</f>
        <v>0</v>
      </c>
      <c r="L1418" s="1844">
        <f>IFERROR(HLOOKUP(chitiet!B1418,pp1p!$1:$3,3,0),0)</f>
        <v>0</v>
      </c>
      <c r="M1418" s="1844"/>
      <c r="N1418" s="1844"/>
      <c r="O1418" s="1844"/>
      <c r="P1418" s="1844">
        <f>H1418+Q1418-R1418</f>
        <v>0</v>
      </c>
      <c r="Q1418" s="1050"/>
      <c r="R1418" s="1050"/>
      <c r="S1418" s="1050"/>
      <c r="T1418" s="2059">
        <f>IFERROR(HLOOKUP(B1418,pp1p!$1:$3,3,0),0)+IFERROR(HLOOKUP(B1418,pp3p1m!$1:$3,3,0),0)</f>
        <v>0</v>
      </c>
    </row>
    <row r="1419" spans="1:20" ht="22.15" hidden="1" customHeight="1">
      <c r="A1419" s="59"/>
      <c r="B1419" s="1586" t="s">
        <v>2005</v>
      </c>
      <c r="C1419" s="1015" t="str">
        <f t="shared" si="279"/>
        <v xml:space="preserve"> </v>
      </c>
      <c r="D1419" s="1544">
        <v>1</v>
      </c>
      <c r="E1419" s="1047"/>
      <c r="F1419" s="1059" t="str">
        <f>VLOOKUP($B1419,DG!A:D,DG!$C$2,)</f>
        <v>Ty neo Ø22x3000</v>
      </c>
      <c r="G1419" s="1047" t="str">
        <f>VLOOKUP($B1419,DG!A:D,DG!$D$2,)</f>
        <v>cái</v>
      </c>
      <c r="H1419" s="1845">
        <f t="shared" ref="H1419:N1421" si="282">H$1418*$D1419</f>
        <v>0</v>
      </c>
      <c r="I1419" s="1845">
        <f t="shared" si="282"/>
        <v>0</v>
      </c>
      <c r="J1419" s="1845">
        <f t="shared" si="282"/>
        <v>0</v>
      </c>
      <c r="K1419" s="1845">
        <f t="shared" si="282"/>
        <v>0</v>
      </c>
      <c r="L1419" s="1845">
        <f t="shared" si="282"/>
        <v>0</v>
      </c>
      <c r="M1419" s="1845">
        <f t="shared" si="282"/>
        <v>0</v>
      </c>
      <c r="N1419" s="1845">
        <f t="shared" si="282"/>
        <v>0</v>
      </c>
      <c r="O1419" s="1845"/>
      <c r="P1419" s="1845"/>
      <c r="Q1419" s="1056"/>
      <c r="R1419" s="1056"/>
      <c r="S1419" s="1056"/>
      <c r="T1419" s="2059">
        <f t="shared" si="277"/>
        <v>0</v>
      </c>
    </row>
    <row r="1420" spans="1:20" ht="22.15" hidden="1" customHeight="1">
      <c r="A1420" s="59"/>
      <c r="B1420" s="1586" t="s">
        <v>1263</v>
      </c>
      <c r="C1420" s="1015" t="str">
        <f t="shared" si="279"/>
        <v xml:space="preserve"> </v>
      </c>
      <c r="D1420" s="1544">
        <v>1</v>
      </c>
      <c r="E1420" s="1047" t="str">
        <f>VLOOKUP($B1420,DG!A:D,DG!$B$2,)</f>
        <v>04.3801</v>
      </c>
      <c r="F1420" s="1059" t="str">
        <f>VLOOKUP($B1420,DG!A:D,DG!$C$2,)</f>
        <v>Đế neo BTCT 200x1200</v>
      </c>
      <c r="G1420" s="1047" t="str">
        <f>VLOOKUP($B1420,DG!A:D,DG!$D$2,)</f>
        <v>cái</v>
      </c>
      <c r="H1420" s="1845">
        <f t="shared" si="282"/>
        <v>0</v>
      </c>
      <c r="I1420" s="1845">
        <f t="shared" si="282"/>
        <v>0</v>
      </c>
      <c r="J1420" s="1845">
        <f t="shared" si="282"/>
        <v>0</v>
      </c>
      <c r="K1420" s="1845">
        <f t="shared" si="282"/>
        <v>0</v>
      </c>
      <c r="L1420" s="1845">
        <f t="shared" si="282"/>
        <v>0</v>
      </c>
      <c r="M1420" s="1845">
        <f t="shared" si="282"/>
        <v>0</v>
      </c>
      <c r="N1420" s="1845">
        <f t="shared" si="282"/>
        <v>0</v>
      </c>
      <c r="O1420" s="1845"/>
      <c r="P1420" s="1845"/>
      <c r="Q1420" s="1056"/>
      <c r="R1420" s="1056"/>
      <c r="S1420" s="1056"/>
      <c r="T1420" s="2059">
        <f t="shared" si="277"/>
        <v>0</v>
      </c>
    </row>
    <row r="1421" spans="1:20" ht="22.15" hidden="1" customHeight="1">
      <c r="A1421" s="59"/>
      <c r="B1421" s="1586" t="s">
        <v>1066</v>
      </c>
      <c r="C1421" s="1015" t="str">
        <f t="shared" si="279"/>
        <v xml:space="preserve"> </v>
      </c>
      <c r="D1421" s="1554">
        <v>1.34</v>
      </c>
      <c r="E1421" s="1047" t="str">
        <f>VLOOKUP($B1421,DG!A:D,DG!$B$2,)</f>
        <v>04.9001</v>
      </c>
      <c r="F1421" s="1059" t="str">
        <f>VLOOKUP($B1421,DG!A:D,DG!$C$2,)</f>
        <v>Bitum</v>
      </c>
      <c r="G1421" s="1047" t="str">
        <f>VLOOKUP($B1421,DG!A:D,DG!$D$2,)</f>
        <v>m2</v>
      </c>
      <c r="H1421" s="1845">
        <f t="shared" si="282"/>
        <v>0</v>
      </c>
      <c r="I1421" s="1845">
        <f t="shared" si="282"/>
        <v>0</v>
      </c>
      <c r="J1421" s="1845">
        <f t="shared" si="282"/>
        <v>0</v>
      </c>
      <c r="K1421" s="1845">
        <f t="shared" si="282"/>
        <v>0</v>
      </c>
      <c r="L1421" s="1845">
        <f t="shared" si="282"/>
        <v>0</v>
      </c>
      <c r="M1421" s="1845">
        <f t="shared" si="282"/>
        <v>0</v>
      </c>
      <c r="N1421" s="1845">
        <f t="shared" si="282"/>
        <v>0</v>
      </c>
      <c r="O1421" s="1845"/>
      <c r="P1421" s="1845"/>
      <c r="Q1421" s="1056"/>
      <c r="R1421" s="1056"/>
      <c r="S1421" s="1056"/>
      <c r="T1421" s="2059">
        <f t="shared" si="277"/>
        <v>0</v>
      </c>
    </row>
    <row r="1422" spans="1:20" ht="22.15" hidden="1" customHeight="1">
      <c r="A1422" s="59"/>
      <c r="B1422" s="1586" t="s">
        <v>639</v>
      </c>
      <c r="C1422" s="1015" t="str">
        <f t="shared" si="279"/>
        <v xml:space="preserve"> </v>
      </c>
      <c r="D1422" s="1543">
        <v>2.71</v>
      </c>
      <c r="E1422" s="1047" t="str">
        <f>VLOOKUP($B1422,DG!A:D,DG!$B$2,)</f>
        <v>03.1013</v>
      </c>
      <c r="F1422" s="1052" t="str">
        <f>VLOOKUP($B1422,DG!A:D,DG!$C$2,)</f>
        <v>Đào hố móng đất cấp 3 sâu &gt;1m</v>
      </c>
      <c r="G1422" s="1047" t="str">
        <f>VLOOKUP($B1422,DG!A:D,DG!$D$2,)</f>
        <v>m3</v>
      </c>
      <c r="H1422" s="1845"/>
      <c r="I1422" s="1845"/>
      <c r="J1422" s="1845"/>
      <c r="K1422" s="1845"/>
      <c r="L1422" s="1845"/>
      <c r="M1422" s="1845"/>
      <c r="N1422" s="1845"/>
      <c r="O1422" s="1845"/>
      <c r="P1422" s="1845"/>
      <c r="Q1422" s="1056"/>
      <c r="R1422" s="1056"/>
      <c r="S1422" s="1056"/>
      <c r="T1422" s="2059">
        <f t="shared" si="277"/>
        <v>0</v>
      </c>
    </row>
    <row r="1423" spans="1:20" ht="22.15" hidden="1" customHeight="1">
      <c r="A1423" s="59"/>
      <c r="B1423" s="1586" t="s">
        <v>21</v>
      </c>
      <c r="C1423" s="1015" t="str">
        <f t="shared" si="279"/>
        <v xml:space="preserve"> </v>
      </c>
      <c r="D1423" s="1543">
        <v>3.23</v>
      </c>
      <c r="E1423" s="1047" t="str">
        <f>VLOOKUP($B1423,DG!A:D,DG!$B$2,)</f>
        <v>03.4113</v>
      </c>
      <c r="F1423" s="1052" t="str">
        <f>VLOOKUP($B1423,DG!A:D,DG!$C$2,)</f>
        <v>Đắp đất hố móng, độ chặt k=0,95</v>
      </c>
      <c r="G1423" s="1047" t="str">
        <f>VLOOKUP($B1423,DG!A:D,DG!$D$2,)</f>
        <v>m3</v>
      </c>
      <c r="H1423" s="1845"/>
      <c r="I1423" s="1845"/>
      <c r="J1423" s="1845"/>
      <c r="K1423" s="1845"/>
      <c r="L1423" s="1845"/>
      <c r="M1423" s="1845"/>
      <c r="N1423" s="1845"/>
      <c r="O1423" s="1845"/>
      <c r="P1423" s="1845"/>
      <c r="Q1423" s="1056"/>
      <c r="R1423" s="1056"/>
      <c r="S1423" s="1056"/>
      <c r="T1423" s="2059">
        <f t="shared" si="277"/>
        <v>0</v>
      </c>
    </row>
    <row r="1424" spans="1:20" ht="22.15" hidden="1" customHeight="1">
      <c r="A1424" s="59"/>
      <c r="B1424" s="1586" t="s">
        <v>637</v>
      </c>
      <c r="C1424" s="1015" t="str">
        <f t="shared" si="279"/>
        <v xml:space="preserve"> </v>
      </c>
      <c r="D1424" s="1543">
        <f>D1425</f>
        <v>8.6999999999999994E-2</v>
      </c>
      <c r="E1424" s="1047" t="str">
        <f>VLOOKUP($B1424,DG!A:D,DG!$B$2,)</f>
        <v>02.1123</v>
      </c>
      <c r="F1424" s="1052" t="str">
        <f>VLOOKUP($B1424,DG!A:D,DG!$C$2,)</f>
        <v>Bốc dỡ đà cản, đế néo</v>
      </c>
      <c r="G1424" s="1047" t="str">
        <f>VLOOKUP($B1424,DG!A:D,DG!$D$2,)</f>
        <v>tấn</v>
      </c>
      <c r="H1424" s="1845"/>
      <c r="I1424" s="1845"/>
      <c r="J1424" s="1845"/>
      <c r="K1424" s="1845"/>
      <c r="L1424" s="1845"/>
      <c r="M1424" s="1845"/>
      <c r="N1424" s="1845"/>
      <c r="O1424" s="1845"/>
      <c r="P1424" s="1845"/>
      <c r="Q1424" s="1056"/>
      <c r="R1424" s="1056"/>
      <c r="S1424" s="1056"/>
      <c r="T1424" s="2059">
        <f t="shared" si="277"/>
        <v>0</v>
      </c>
    </row>
    <row r="1425" spans="1:20" ht="22.15" hidden="1" customHeight="1">
      <c r="A1425" s="59"/>
      <c r="B1425" s="1598" t="s">
        <v>605</v>
      </c>
      <c r="C1425" s="1015" t="str">
        <f t="shared" si="279"/>
        <v xml:space="preserve"> </v>
      </c>
      <c r="D1425" s="1543">
        <v>8.6999999999999994E-2</v>
      </c>
      <c r="E1425" s="1047" t="str">
        <f>VLOOKUP($B1425,DG!A:C,2,)</f>
        <v>02.1451</v>
      </c>
      <c r="F1425" s="1052" t="str">
        <f>VLOOKUP($B1425,DG!A:C,3,)</f>
        <v>V/c đế néo vào vị trí (cự ly &lt;=100m)</v>
      </c>
      <c r="G1425" s="1047" t="str">
        <f>VLOOKUP($B1425,DG!A:D,4,0)</f>
        <v>tấn</v>
      </c>
      <c r="H1425" s="1845"/>
      <c r="I1425" s="1845"/>
      <c r="J1425" s="1845"/>
      <c r="K1425" s="1845"/>
      <c r="L1425" s="1845"/>
      <c r="M1425" s="1845"/>
      <c r="N1425" s="1845"/>
      <c r="O1425" s="1845"/>
      <c r="P1425" s="1845"/>
      <c r="Q1425" s="1061"/>
      <c r="R1425" s="1061"/>
      <c r="S1425" s="1061"/>
      <c r="T1425" s="2059">
        <f t="shared" si="277"/>
        <v>0</v>
      </c>
    </row>
    <row r="1426" spans="1:20" ht="22.15" hidden="1" customHeight="1">
      <c r="A1426" s="59"/>
      <c r="B1426" s="1598" t="s">
        <v>606</v>
      </c>
      <c r="C1426" s="1015" t="str">
        <f t="shared" si="279"/>
        <v xml:space="preserve"> </v>
      </c>
      <c r="D1426" s="1543">
        <v>0.05</v>
      </c>
      <c r="E1426" s="1047" t="str">
        <f>VLOOKUP($B1426,DG!A:C,2,)</f>
        <v>02.1482</v>
      </c>
      <c r="F1426" s="1052" t="str">
        <f>VLOOKUP($B1426,DG!A:C,3,)</f>
        <v>V/c dụng cụ thi công vào vị trí (cự ly &lt;=100m)</v>
      </c>
      <c r="G1426" s="1047" t="str">
        <f>VLOOKUP($B1426,DG!A:D,4,0)</f>
        <v>tấn</v>
      </c>
      <c r="H1426" s="1845"/>
      <c r="I1426" s="1845"/>
      <c r="J1426" s="1845"/>
      <c r="K1426" s="1845"/>
      <c r="L1426" s="1845"/>
      <c r="M1426" s="1845"/>
      <c r="N1426" s="1845"/>
      <c r="O1426" s="1845"/>
      <c r="P1426" s="1845"/>
      <c r="Q1426" s="1061"/>
      <c r="R1426" s="1061"/>
      <c r="S1426" s="1061"/>
      <c r="T1426" s="2059">
        <f t="shared" si="277"/>
        <v>0</v>
      </c>
    </row>
    <row r="1427" spans="1:20" ht="22.15" hidden="1" customHeight="1">
      <c r="A1427" s="56" t="s">
        <v>1093</v>
      </c>
      <c r="B1427" s="1583" t="s">
        <v>1093</v>
      </c>
      <c r="C1427" s="1015" t="str">
        <f t="shared" si="279"/>
        <v xml:space="preserve"> </v>
      </c>
      <c r="D1427" s="1541"/>
      <c r="E1427" s="1048"/>
      <c r="F1427" s="1396" t="s">
        <v>2501</v>
      </c>
      <c r="G1427" s="1049" t="s">
        <v>2394</v>
      </c>
      <c r="H1427" s="1843">
        <f>SUM(I1427:O1427)</f>
        <v>0</v>
      </c>
      <c r="I1427" s="1844"/>
      <c r="J1427" s="1844"/>
      <c r="K1427" s="1844">
        <f>IFERROR(HLOOKUP(B1427,pp3p1m!$1:$3,3,0),0)</f>
        <v>0</v>
      </c>
      <c r="L1427" s="1844">
        <f>IFERROR(HLOOKUP(chitiet!B1427,pp1p!$1:$3,3,0),0)</f>
        <v>0</v>
      </c>
      <c r="M1427" s="1844"/>
      <c r="N1427" s="1844"/>
      <c r="O1427" s="1844"/>
      <c r="P1427" s="1844">
        <f>H1427+Q1427-R1427</f>
        <v>0</v>
      </c>
      <c r="Q1427" s="1050"/>
      <c r="R1427" s="1050"/>
      <c r="S1427" s="1050"/>
      <c r="T1427" s="2059">
        <f>IFERROR(HLOOKUP(B1427,pp1p!$1:$3,3,0),0)+IFERROR(HLOOKUP(B1427,pp3p1m!$1:$3,3,0),0)</f>
        <v>0</v>
      </c>
    </row>
    <row r="1428" spans="1:20" ht="22.15" hidden="1" customHeight="1">
      <c r="A1428" s="59"/>
      <c r="B1428" s="1586" t="s">
        <v>2054</v>
      </c>
      <c r="C1428" s="1015" t="str">
        <f t="shared" si="279"/>
        <v xml:space="preserve"> </v>
      </c>
      <c r="D1428" s="1544">
        <v>1</v>
      </c>
      <c r="E1428" s="1047"/>
      <c r="F1428" s="1059" t="str">
        <f>VLOOKUP($B1428,DG!A:D,DG!$C$2,)</f>
        <v>Ty neo Ø16x1800</v>
      </c>
      <c r="G1428" s="1047" t="str">
        <f>VLOOKUP($B1428,DG!A:D,DG!$D$2,)</f>
        <v>cái</v>
      </c>
      <c r="H1428" s="1845">
        <f t="shared" ref="H1428:N1430" si="283">H$1427*$D1428</f>
        <v>0</v>
      </c>
      <c r="I1428" s="1845">
        <f t="shared" si="283"/>
        <v>0</v>
      </c>
      <c r="J1428" s="1845">
        <f t="shared" si="283"/>
        <v>0</v>
      </c>
      <c r="K1428" s="1845">
        <f t="shared" si="283"/>
        <v>0</v>
      </c>
      <c r="L1428" s="1845">
        <f t="shared" si="283"/>
        <v>0</v>
      </c>
      <c r="M1428" s="1845">
        <f t="shared" si="283"/>
        <v>0</v>
      </c>
      <c r="N1428" s="1845">
        <f t="shared" si="283"/>
        <v>0</v>
      </c>
      <c r="O1428" s="1845"/>
      <c r="P1428" s="1845"/>
      <c r="Q1428" s="1056"/>
      <c r="R1428" s="1056"/>
      <c r="S1428" s="1056"/>
      <c r="T1428" s="2059">
        <f t="shared" si="277"/>
        <v>0</v>
      </c>
    </row>
    <row r="1429" spans="1:20" ht="22.15" hidden="1" customHeight="1">
      <c r="A1429" s="59"/>
      <c r="B1429" s="1586" t="s">
        <v>1263</v>
      </c>
      <c r="C1429" s="1015" t="str">
        <f t="shared" si="279"/>
        <v xml:space="preserve"> </v>
      </c>
      <c r="D1429" s="1544">
        <v>1</v>
      </c>
      <c r="E1429" s="1047" t="str">
        <f>VLOOKUP($B1429,DG!A:D,DG!$B$2,)</f>
        <v>04.3801</v>
      </c>
      <c r="F1429" s="1059" t="str">
        <f>VLOOKUP($B1429,DG!A:D,DG!$C$2,)</f>
        <v>Đế neo BTCT 200x1200</v>
      </c>
      <c r="G1429" s="1047" t="str">
        <f>VLOOKUP($B1429,DG!A:D,DG!$D$2,)</f>
        <v>cái</v>
      </c>
      <c r="H1429" s="1845">
        <f t="shared" si="283"/>
        <v>0</v>
      </c>
      <c r="I1429" s="1845">
        <f t="shared" si="283"/>
        <v>0</v>
      </c>
      <c r="J1429" s="1845">
        <f t="shared" si="283"/>
        <v>0</v>
      </c>
      <c r="K1429" s="1845">
        <f t="shared" si="283"/>
        <v>0</v>
      </c>
      <c r="L1429" s="1845">
        <f t="shared" si="283"/>
        <v>0</v>
      </c>
      <c r="M1429" s="1845">
        <f t="shared" si="283"/>
        <v>0</v>
      </c>
      <c r="N1429" s="1845">
        <f t="shared" si="283"/>
        <v>0</v>
      </c>
      <c r="O1429" s="1845"/>
      <c r="P1429" s="1845"/>
      <c r="Q1429" s="1056"/>
      <c r="R1429" s="1056"/>
      <c r="S1429" s="1056"/>
      <c r="T1429" s="2059">
        <f t="shared" si="277"/>
        <v>0</v>
      </c>
    </row>
    <row r="1430" spans="1:20" ht="22.15" hidden="1" customHeight="1">
      <c r="A1430" s="59"/>
      <c r="B1430" s="1586" t="s">
        <v>1066</v>
      </c>
      <c r="C1430" s="1015" t="str">
        <f t="shared" si="279"/>
        <v xml:space="preserve"> </v>
      </c>
      <c r="D1430" s="1554">
        <v>1.34</v>
      </c>
      <c r="E1430" s="1047" t="str">
        <f>VLOOKUP($B1430,DG!A:D,DG!$B$2,)</f>
        <v>04.9001</v>
      </c>
      <c r="F1430" s="1059" t="str">
        <f>VLOOKUP($B1430,DG!A:D,DG!$C$2,)</f>
        <v>Bitum</v>
      </c>
      <c r="G1430" s="1047" t="str">
        <f>VLOOKUP($B1430,DG!A:D,DG!$D$2,)</f>
        <v>m2</v>
      </c>
      <c r="H1430" s="1845">
        <f t="shared" si="283"/>
        <v>0</v>
      </c>
      <c r="I1430" s="1845">
        <f t="shared" si="283"/>
        <v>0</v>
      </c>
      <c r="J1430" s="1845">
        <f t="shared" si="283"/>
        <v>0</v>
      </c>
      <c r="K1430" s="1845">
        <f t="shared" si="283"/>
        <v>0</v>
      </c>
      <c r="L1430" s="1845">
        <f t="shared" si="283"/>
        <v>0</v>
      </c>
      <c r="M1430" s="1845">
        <f t="shared" si="283"/>
        <v>0</v>
      </c>
      <c r="N1430" s="1845">
        <f t="shared" si="283"/>
        <v>0</v>
      </c>
      <c r="O1430" s="1845"/>
      <c r="P1430" s="1845"/>
      <c r="Q1430" s="1056"/>
      <c r="R1430" s="1056"/>
      <c r="S1430" s="1056"/>
      <c r="T1430" s="2059">
        <f t="shared" si="277"/>
        <v>0</v>
      </c>
    </row>
    <row r="1431" spans="1:20" ht="22.15" hidden="1" customHeight="1">
      <c r="A1431" s="59"/>
      <c r="B1431" s="1586" t="s">
        <v>639</v>
      </c>
      <c r="C1431" s="1015" t="str">
        <f t="shared" si="279"/>
        <v xml:space="preserve"> </v>
      </c>
      <c r="D1431" s="1543">
        <v>2.69</v>
      </c>
      <c r="E1431" s="1047" t="str">
        <f>VLOOKUP($B1431,DG!A:D,DG!$B$2,)</f>
        <v>03.1013</v>
      </c>
      <c r="F1431" s="1052" t="str">
        <f>VLOOKUP($B1431,DG!A:D,DG!$C$2,)</f>
        <v>Đào hố móng đất cấp 3 sâu &gt;1m</v>
      </c>
      <c r="G1431" s="1047" t="str">
        <f>VLOOKUP($B1431,DG!A:D,DG!$D$2,)</f>
        <v>m3</v>
      </c>
      <c r="H1431" s="1845"/>
      <c r="I1431" s="1845"/>
      <c r="J1431" s="1845"/>
      <c r="K1431" s="1845"/>
      <c r="L1431" s="1845"/>
      <c r="M1431" s="1845"/>
      <c r="N1431" s="1845"/>
      <c r="O1431" s="1845"/>
      <c r="P1431" s="1845"/>
      <c r="Q1431" s="1056"/>
      <c r="R1431" s="1056"/>
      <c r="S1431" s="1056"/>
      <c r="T1431" s="2059">
        <f t="shared" si="277"/>
        <v>0</v>
      </c>
    </row>
    <row r="1432" spans="1:20" ht="22.15" hidden="1" customHeight="1">
      <c r="A1432" s="59"/>
      <c r="B1432" s="1586" t="s">
        <v>21</v>
      </c>
      <c r="C1432" s="1015" t="str">
        <f t="shared" si="279"/>
        <v xml:space="preserve"> </v>
      </c>
      <c r="D1432" s="1543">
        <v>3.19</v>
      </c>
      <c r="E1432" s="1047" t="str">
        <f>VLOOKUP($B1432,DG!A:D,DG!$B$2,)</f>
        <v>03.4113</v>
      </c>
      <c r="F1432" s="1052" t="str">
        <f>VLOOKUP($B1432,DG!A:D,DG!$C$2,)</f>
        <v>Đắp đất hố móng, độ chặt k=0,95</v>
      </c>
      <c r="G1432" s="1047" t="str">
        <f>VLOOKUP($B1432,DG!A:D,DG!$D$2,)</f>
        <v>m3</v>
      </c>
      <c r="H1432" s="1845"/>
      <c r="I1432" s="1845"/>
      <c r="J1432" s="1845"/>
      <c r="K1432" s="1845"/>
      <c r="L1432" s="1845"/>
      <c r="M1432" s="1845"/>
      <c r="N1432" s="1845"/>
      <c r="O1432" s="1845"/>
      <c r="P1432" s="1845"/>
      <c r="Q1432" s="1056"/>
      <c r="R1432" s="1056"/>
      <c r="S1432" s="1056"/>
      <c r="T1432" s="2059">
        <f t="shared" si="277"/>
        <v>0</v>
      </c>
    </row>
    <row r="1433" spans="1:20" ht="22.15" hidden="1" customHeight="1">
      <c r="A1433" s="59"/>
      <c r="B1433" s="1586" t="s">
        <v>637</v>
      </c>
      <c r="C1433" s="1015" t="str">
        <f t="shared" si="279"/>
        <v xml:space="preserve"> </v>
      </c>
      <c r="D1433" s="1543">
        <f>D1434</f>
        <v>8.6999999999999994E-2</v>
      </c>
      <c r="E1433" s="1047" t="str">
        <f>VLOOKUP($B1433,DG!A:D,DG!$B$2,)</f>
        <v>02.1123</v>
      </c>
      <c r="F1433" s="1052" t="str">
        <f>VLOOKUP($B1433,DG!A:D,DG!$C$2,)</f>
        <v>Bốc dỡ đà cản, đế néo</v>
      </c>
      <c r="G1433" s="1047" t="str">
        <f>VLOOKUP($B1433,DG!A:D,DG!$D$2,)</f>
        <v>tấn</v>
      </c>
      <c r="H1433" s="1845"/>
      <c r="I1433" s="1845"/>
      <c r="J1433" s="1845"/>
      <c r="K1433" s="1845"/>
      <c r="L1433" s="1845"/>
      <c r="M1433" s="1845"/>
      <c r="N1433" s="1845"/>
      <c r="O1433" s="1845"/>
      <c r="P1433" s="1845"/>
      <c r="Q1433" s="1056"/>
      <c r="R1433" s="1056"/>
      <c r="S1433" s="1056"/>
      <c r="T1433" s="2059">
        <f t="shared" si="277"/>
        <v>0</v>
      </c>
    </row>
    <row r="1434" spans="1:20" ht="22.15" hidden="1" customHeight="1">
      <c r="A1434" s="59"/>
      <c r="B1434" s="1598" t="s">
        <v>605</v>
      </c>
      <c r="C1434" s="1015" t="str">
        <f t="shared" si="279"/>
        <v xml:space="preserve"> </v>
      </c>
      <c r="D1434" s="1543">
        <v>8.6999999999999994E-2</v>
      </c>
      <c r="E1434" s="1047" t="str">
        <f>VLOOKUP($B1434,DG!A:C,2,)</f>
        <v>02.1451</v>
      </c>
      <c r="F1434" s="1052" t="str">
        <f>VLOOKUP($B1434,DG!A:C,3,)</f>
        <v>V/c đế néo vào vị trí (cự ly &lt;=100m)</v>
      </c>
      <c r="G1434" s="1047" t="str">
        <f>VLOOKUP($B1434,DG!A:D,4,0)</f>
        <v>tấn</v>
      </c>
      <c r="H1434" s="1845"/>
      <c r="I1434" s="1845"/>
      <c r="J1434" s="1845"/>
      <c r="K1434" s="1845"/>
      <c r="L1434" s="1845"/>
      <c r="M1434" s="1845"/>
      <c r="N1434" s="1845"/>
      <c r="O1434" s="1845"/>
      <c r="P1434" s="1845"/>
      <c r="Q1434" s="1061"/>
      <c r="R1434" s="1061"/>
      <c r="S1434" s="1061"/>
      <c r="T1434" s="2059">
        <f t="shared" si="277"/>
        <v>0</v>
      </c>
    </row>
    <row r="1435" spans="1:20" ht="22.15" hidden="1" customHeight="1">
      <c r="A1435" s="59"/>
      <c r="B1435" s="1598" t="s">
        <v>606</v>
      </c>
      <c r="C1435" s="1015" t="str">
        <f t="shared" si="279"/>
        <v xml:space="preserve"> </v>
      </c>
      <c r="D1435" s="1543">
        <v>0.05</v>
      </c>
      <c r="E1435" s="1047" t="str">
        <f>VLOOKUP($B1435,DG!A:C,2,)</f>
        <v>02.1482</v>
      </c>
      <c r="F1435" s="1052" t="str">
        <f>VLOOKUP($B1435,DG!A:C,3,)</f>
        <v>V/c dụng cụ thi công vào vị trí (cự ly &lt;=100m)</v>
      </c>
      <c r="G1435" s="1047" t="str">
        <f>VLOOKUP($B1435,DG!A:D,4,0)</f>
        <v>tấn</v>
      </c>
      <c r="H1435" s="1845"/>
      <c r="I1435" s="1845"/>
      <c r="J1435" s="1845"/>
      <c r="K1435" s="1845"/>
      <c r="L1435" s="1845"/>
      <c r="M1435" s="1845"/>
      <c r="N1435" s="1845"/>
      <c r="O1435" s="1845"/>
      <c r="P1435" s="1845"/>
      <c r="Q1435" s="1061"/>
      <c r="R1435" s="1061"/>
      <c r="S1435" s="1061"/>
      <c r="T1435" s="2059">
        <f t="shared" si="277"/>
        <v>0</v>
      </c>
    </row>
    <row r="1436" spans="1:20" ht="22.15" hidden="1" customHeight="1">
      <c r="A1436" s="967" t="s">
        <v>2154</v>
      </c>
      <c r="B1436" s="1583" t="s">
        <v>2154</v>
      </c>
      <c r="C1436" s="1015" t="str">
        <f t="shared" si="279"/>
        <v xml:space="preserve"> </v>
      </c>
      <c r="D1436" s="1541"/>
      <c r="E1436" s="1048"/>
      <c r="F1436" s="1396" t="s">
        <v>2502</v>
      </c>
      <c r="G1436" s="1049" t="s">
        <v>2394</v>
      </c>
      <c r="H1436" s="1843">
        <f>SUM(I1436:O1436)</f>
        <v>0</v>
      </c>
      <c r="I1436" s="1844"/>
      <c r="J1436" s="1844"/>
      <c r="K1436" s="1844">
        <f>IFERROR(HLOOKUP(B1436,pp3p1m!$1:$3,3,0),0)</f>
        <v>0</v>
      </c>
      <c r="L1436" s="1844">
        <f>IFERROR(HLOOKUP(chitiet!B1436,pp1p!$1:$3,3,0),0)</f>
        <v>0</v>
      </c>
      <c r="M1436" s="1844"/>
      <c r="N1436" s="1844"/>
      <c r="O1436" s="1844"/>
      <c r="P1436" s="1844">
        <f>H1436+Q1436-R1436</f>
        <v>0</v>
      </c>
      <c r="Q1436" s="1050"/>
      <c r="R1436" s="1050"/>
      <c r="S1436" s="1050"/>
      <c r="T1436" s="2059">
        <f>IFERROR(HLOOKUP(B1436,pp1p!$1:$3,3,0),0)+IFERROR(HLOOKUP(B1436,pp3p1m!$1:$3,3,0),0)</f>
        <v>0</v>
      </c>
    </row>
    <row r="1437" spans="1:20" ht="22.15" hidden="1" customHeight="1">
      <c r="A1437" s="59"/>
      <c r="B1437" s="1586" t="s">
        <v>113</v>
      </c>
      <c r="C1437" s="1015" t="str">
        <f t="shared" si="279"/>
        <v xml:space="preserve"> </v>
      </c>
      <c r="D1437" s="1544">
        <v>1</v>
      </c>
      <c r="E1437" s="1047"/>
      <c r="F1437" s="1059" t="str">
        <f>VLOOKUP($B1437,DG!A:D,DG!$C$2,)</f>
        <v>Ty neo Ø22x3700</v>
      </c>
      <c r="G1437" s="1047" t="str">
        <f>VLOOKUP($B1437,DG!A:D,DG!$D$2,)</f>
        <v>cái</v>
      </c>
      <c r="H1437" s="1845">
        <f t="shared" ref="H1437:N1439" si="284">H$1436*$D1437</f>
        <v>0</v>
      </c>
      <c r="I1437" s="1845">
        <f t="shared" si="284"/>
        <v>0</v>
      </c>
      <c r="J1437" s="1845">
        <f t="shared" si="284"/>
        <v>0</v>
      </c>
      <c r="K1437" s="1845">
        <f t="shared" si="284"/>
        <v>0</v>
      </c>
      <c r="L1437" s="1845">
        <f t="shared" si="284"/>
        <v>0</v>
      </c>
      <c r="M1437" s="1845">
        <f t="shared" si="284"/>
        <v>0</v>
      </c>
      <c r="N1437" s="1845">
        <f t="shared" si="284"/>
        <v>0</v>
      </c>
      <c r="O1437" s="1845"/>
      <c r="P1437" s="1845"/>
      <c r="Q1437" s="1056"/>
      <c r="R1437" s="1056"/>
      <c r="S1437" s="1056"/>
      <c r="T1437" s="2059">
        <f t="shared" si="277"/>
        <v>0</v>
      </c>
    </row>
    <row r="1438" spans="1:20" ht="22.15" hidden="1" customHeight="1">
      <c r="A1438" s="59"/>
      <c r="B1438" s="1586" t="s">
        <v>342</v>
      </c>
      <c r="C1438" s="1015" t="str">
        <f t="shared" si="279"/>
        <v xml:space="preserve"> </v>
      </c>
      <c r="D1438" s="1544">
        <v>1</v>
      </c>
      <c r="E1438" s="1047" t="str">
        <f>VLOOKUP($B1438,DG!A:D,DG!$B$2,)</f>
        <v>04.3801</v>
      </c>
      <c r="F1438" s="1059" t="str">
        <f>VLOOKUP($B1438,DG!A:D,DG!$C$2,)</f>
        <v>Đế neo BTCT 400x1200</v>
      </c>
      <c r="G1438" s="1047" t="str">
        <f>VLOOKUP($B1438,DG!A:D,DG!$D$2,)</f>
        <v>cái</v>
      </c>
      <c r="H1438" s="1845">
        <f t="shared" si="284"/>
        <v>0</v>
      </c>
      <c r="I1438" s="1845">
        <f t="shared" si="284"/>
        <v>0</v>
      </c>
      <c r="J1438" s="1845">
        <f t="shared" si="284"/>
        <v>0</v>
      </c>
      <c r="K1438" s="1845">
        <f t="shared" si="284"/>
        <v>0</v>
      </c>
      <c r="L1438" s="1845">
        <f t="shared" si="284"/>
        <v>0</v>
      </c>
      <c r="M1438" s="1845">
        <f t="shared" si="284"/>
        <v>0</v>
      </c>
      <c r="N1438" s="1845">
        <f t="shared" si="284"/>
        <v>0</v>
      </c>
      <c r="O1438" s="1845"/>
      <c r="P1438" s="1845"/>
      <c r="Q1438" s="1056"/>
      <c r="R1438" s="1056"/>
      <c r="S1438" s="1056"/>
      <c r="T1438" s="2059">
        <f t="shared" si="277"/>
        <v>0</v>
      </c>
    </row>
    <row r="1439" spans="1:20" ht="22.15" hidden="1" customHeight="1">
      <c r="A1439" s="59"/>
      <c r="B1439" s="1586" t="s">
        <v>1066</v>
      </c>
      <c r="C1439" s="1015" t="str">
        <f t="shared" si="279"/>
        <v xml:space="preserve"> </v>
      </c>
      <c r="D1439" s="1554">
        <v>1.58</v>
      </c>
      <c r="E1439" s="1047" t="str">
        <f>VLOOKUP($B1439,DG!A:D,DG!$B$2,)</f>
        <v>04.9001</v>
      </c>
      <c r="F1439" s="1059" t="str">
        <f>VLOOKUP($B1439,DG!A:D,DG!$C$2,)</f>
        <v>Bitum</v>
      </c>
      <c r="G1439" s="1047" t="str">
        <f>VLOOKUP($B1439,DG!A:D,DG!$D$2,)</f>
        <v>m2</v>
      </c>
      <c r="H1439" s="1845">
        <f t="shared" si="284"/>
        <v>0</v>
      </c>
      <c r="I1439" s="1845">
        <f t="shared" si="284"/>
        <v>0</v>
      </c>
      <c r="J1439" s="1845">
        <f t="shared" si="284"/>
        <v>0</v>
      </c>
      <c r="K1439" s="1845">
        <f t="shared" si="284"/>
        <v>0</v>
      </c>
      <c r="L1439" s="1845">
        <f t="shared" si="284"/>
        <v>0</v>
      </c>
      <c r="M1439" s="1845">
        <f t="shared" si="284"/>
        <v>0</v>
      </c>
      <c r="N1439" s="1845">
        <f t="shared" si="284"/>
        <v>0</v>
      </c>
      <c r="O1439" s="1845"/>
      <c r="P1439" s="1845"/>
      <c r="Q1439" s="1056"/>
      <c r="R1439" s="1056"/>
      <c r="S1439" s="1056"/>
      <c r="T1439" s="2059">
        <f t="shared" si="277"/>
        <v>0</v>
      </c>
    </row>
    <row r="1440" spans="1:20" ht="22.15" hidden="1" customHeight="1">
      <c r="A1440" s="59"/>
      <c r="B1440" s="1586" t="s">
        <v>639</v>
      </c>
      <c r="C1440" s="1015" t="str">
        <f t="shared" si="279"/>
        <v xml:space="preserve"> </v>
      </c>
      <c r="D1440" s="1543">
        <v>9.39</v>
      </c>
      <c r="E1440" s="1047" t="str">
        <f>VLOOKUP($B1440,DG!A:D,DG!$B$2,)</f>
        <v>03.1013</v>
      </c>
      <c r="F1440" s="1052" t="str">
        <f>VLOOKUP($B1440,DG!A:D,DG!$C$2,)</f>
        <v>Đào hố móng đất cấp 3 sâu &gt;1m</v>
      </c>
      <c r="G1440" s="1047" t="str">
        <f>VLOOKUP($B1440,DG!A:D,DG!$D$2,)</f>
        <v>m3</v>
      </c>
      <c r="H1440" s="1845"/>
      <c r="I1440" s="1845"/>
      <c r="J1440" s="1845"/>
      <c r="K1440" s="1845"/>
      <c r="L1440" s="1845"/>
      <c r="M1440" s="1845"/>
      <c r="N1440" s="1845"/>
      <c r="O1440" s="1845"/>
      <c r="P1440" s="1845"/>
      <c r="Q1440" s="1056"/>
      <c r="R1440" s="1056"/>
      <c r="S1440" s="1056"/>
      <c r="T1440" s="2059">
        <f t="shared" si="277"/>
        <v>0</v>
      </c>
    </row>
    <row r="1441" spans="1:20" ht="22.15" hidden="1" customHeight="1">
      <c r="A1441" s="59"/>
      <c r="B1441" s="1586" t="s">
        <v>21</v>
      </c>
      <c r="C1441" s="1015" t="str">
        <f t="shared" si="279"/>
        <v xml:space="preserve"> </v>
      </c>
      <c r="D1441" s="1543">
        <v>10.7</v>
      </c>
      <c r="E1441" s="1047" t="str">
        <f>VLOOKUP($B1441,DG!A:D,DG!$B$2,)</f>
        <v>03.4113</v>
      </c>
      <c r="F1441" s="1052" t="str">
        <f>VLOOKUP($B1441,DG!A:D,DG!$C$2,)</f>
        <v>Đắp đất hố móng, độ chặt k=0,95</v>
      </c>
      <c r="G1441" s="1047" t="str">
        <f>VLOOKUP($B1441,DG!A:D,DG!$D$2,)</f>
        <v>m3</v>
      </c>
      <c r="H1441" s="1845"/>
      <c r="I1441" s="1845"/>
      <c r="J1441" s="1845"/>
      <c r="K1441" s="1845"/>
      <c r="L1441" s="1845"/>
      <c r="M1441" s="1845"/>
      <c r="N1441" s="1845"/>
      <c r="O1441" s="1845"/>
      <c r="P1441" s="1845"/>
      <c r="Q1441" s="1056"/>
      <c r="R1441" s="1056"/>
      <c r="S1441" s="1056"/>
      <c r="T1441" s="2059">
        <f t="shared" si="277"/>
        <v>0</v>
      </c>
    </row>
    <row r="1442" spans="1:20" ht="22.15" hidden="1" customHeight="1">
      <c r="A1442" s="59"/>
      <c r="B1442" s="1586" t="s">
        <v>637</v>
      </c>
      <c r="C1442" s="1015" t="str">
        <f t="shared" si="279"/>
        <v xml:space="preserve"> </v>
      </c>
      <c r="D1442" s="1543">
        <f>D1443</f>
        <v>0.17399999999999999</v>
      </c>
      <c r="E1442" s="1047" t="str">
        <f>VLOOKUP($B1442,DG!A:D,DG!$B$2,)</f>
        <v>02.1123</v>
      </c>
      <c r="F1442" s="1052" t="str">
        <f>VLOOKUP($B1442,DG!A:D,DG!$C$2,)</f>
        <v>Bốc dỡ đà cản, đế néo</v>
      </c>
      <c r="G1442" s="1047" t="str">
        <f>VLOOKUP($B1442,DG!A:D,DG!$D$2,)</f>
        <v>tấn</v>
      </c>
      <c r="H1442" s="1845"/>
      <c r="I1442" s="1845"/>
      <c r="J1442" s="1845"/>
      <c r="K1442" s="1845"/>
      <c r="L1442" s="1845"/>
      <c r="M1442" s="1845"/>
      <c r="N1442" s="1845"/>
      <c r="O1442" s="1845"/>
      <c r="P1442" s="1845"/>
      <c r="Q1442" s="1056"/>
      <c r="R1442" s="1056"/>
      <c r="S1442" s="1056"/>
      <c r="T1442" s="2059">
        <f t="shared" si="277"/>
        <v>0</v>
      </c>
    </row>
    <row r="1443" spans="1:20" ht="22.15" hidden="1" customHeight="1">
      <c r="A1443" s="59"/>
      <c r="B1443" s="1598" t="s">
        <v>605</v>
      </c>
      <c r="C1443" s="1015" t="str">
        <f t="shared" si="279"/>
        <v xml:space="preserve"> </v>
      </c>
      <c r="D1443" s="1543">
        <v>0.17399999999999999</v>
      </c>
      <c r="E1443" s="1047" t="str">
        <f>VLOOKUP($B1443,DG!A:C,2,)</f>
        <v>02.1451</v>
      </c>
      <c r="F1443" s="1052" t="str">
        <f>VLOOKUP($B1443,DG!A:C,3,)</f>
        <v>V/c đế néo vào vị trí (cự ly &lt;=100m)</v>
      </c>
      <c r="G1443" s="1047" t="str">
        <f>VLOOKUP($B1443,DG!A:D,4,0)</f>
        <v>tấn</v>
      </c>
      <c r="H1443" s="1845"/>
      <c r="I1443" s="1845"/>
      <c r="J1443" s="1845"/>
      <c r="K1443" s="1845"/>
      <c r="L1443" s="1845"/>
      <c r="M1443" s="1845"/>
      <c r="N1443" s="1845"/>
      <c r="O1443" s="1845"/>
      <c r="P1443" s="1845"/>
      <c r="Q1443" s="1061"/>
      <c r="R1443" s="1061"/>
      <c r="S1443" s="1061"/>
      <c r="T1443" s="2059">
        <f t="shared" si="277"/>
        <v>0</v>
      </c>
    </row>
    <row r="1444" spans="1:20" ht="22.15" hidden="1" customHeight="1">
      <c r="A1444" s="59"/>
      <c r="B1444" s="1598" t="s">
        <v>606</v>
      </c>
      <c r="C1444" s="1015" t="str">
        <f t="shared" si="279"/>
        <v xml:space="preserve"> </v>
      </c>
      <c r="D1444" s="1543">
        <v>0.05</v>
      </c>
      <c r="E1444" s="1047" t="str">
        <f>VLOOKUP($B1444,DG!A:C,2,)</f>
        <v>02.1482</v>
      </c>
      <c r="F1444" s="1052" t="str">
        <f>VLOOKUP($B1444,DG!A:C,3,)</f>
        <v>V/c dụng cụ thi công vào vị trí (cự ly &lt;=100m)</v>
      </c>
      <c r="G1444" s="1047" t="str">
        <f>VLOOKUP($B1444,DG!A:D,4,0)</f>
        <v>tấn</v>
      </c>
      <c r="H1444" s="1845"/>
      <c r="I1444" s="1845"/>
      <c r="J1444" s="1845"/>
      <c r="K1444" s="1845"/>
      <c r="L1444" s="1845"/>
      <c r="M1444" s="1845"/>
      <c r="N1444" s="1845"/>
      <c r="O1444" s="1845"/>
      <c r="P1444" s="1845"/>
      <c r="Q1444" s="1061"/>
      <c r="R1444" s="1061"/>
      <c r="S1444" s="1061"/>
      <c r="T1444" s="2059">
        <f t="shared" si="277"/>
        <v>0</v>
      </c>
    </row>
    <row r="1445" spans="1:20" ht="22.15" hidden="1" customHeight="1">
      <c r="A1445" s="967" t="s">
        <v>1094</v>
      </c>
      <c r="B1445" s="1583" t="s">
        <v>1094</v>
      </c>
      <c r="C1445" s="1015" t="str">
        <f t="shared" si="279"/>
        <v xml:space="preserve"> </v>
      </c>
      <c r="D1445" s="1541"/>
      <c r="E1445" s="1048"/>
      <c r="F1445" s="1396" t="s">
        <v>2503</v>
      </c>
      <c r="G1445" s="1049" t="s">
        <v>2394</v>
      </c>
      <c r="H1445" s="1843">
        <f>SUM(I1445:O1445)</f>
        <v>0</v>
      </c>
      <c r="I1445" s="1844"/>
      <c r="J1445" s="1844"/>
      <c r="K1445" s="1844">
        <f>IFERROR(HLOOKUP(B1445,pp3p1m!$1:$3,3,0),0)</f>
        <v>0</v>
      </c>
      <c r="L1445" s="1844">
        <f>IFERROR(HLOOKUP(chitiet!B1445,pp1p!$1:$3,3,0),0)</f>
        <v>0</v>
      </c>
      <c r="M1445" s="1844"/>
      <c r="N1445" s="1844"/>
      <c r="O1445" s="1844"/>
      <c r="P1445" s="1844">
        <f>H1445+Q1445-R1445</f>
        <v>0</v>
      </c>
      <c r="Q1445" s="1050"/>
      <c r="R1445" s="1050"/>
      <c r="S1445" s="1050"/>
      <c r="T1445" s="2059">
        <f>IFERROR(HLOOKUP(B1445,pp1p!$1:$3,3,0),0)+IFERROR(HLOOKUP(B1445,pp3p1m!$1:$3,3,0),0)</f>
        <v>0</v>
      </c>
    </row>
    <row r="1446" spans="1:20" ht="22.15" hidden="1" customHeight="1">
      <c r="A1446" s="59"/>
      <c r="B1446" s="1586" t="s">
        <v>2005</v>
      </c>
      <c r="C1446" s="1015" t="str">
        <f t="shared" si="279"/>
        <v xml:space="preserve"> </v>
      </c>
      <c r="D1446" s="1544">
        <v>1</v>
      </c>
      <c r="E1446" s="1047"/>
      <c r="F1446" s="1059" t="str">
        <f>VLOOKUP($B1446,DG!A:D,DG!$C$2,)</f>
        <v>Ty neo Ø22x3000</v>
      </c>
      <c r="G1446" s="1047" t="str">
        <f>VLOOKUP($B1446,DG!A:D,DG!$D$2,)</f>
        <v>cái</v>
      </c>
      <c r="H1446" s="1845">
        <f t="shared" ref="H1446:N1448" si="285">H$1445*$D1446</f>
        <v>0</v>
      </c>
      <c r="I1446" s="1845">
        <f t="shared" si="285"/>
        <v>0</v>
      </c>
      <c r="J1446" s="1845">
        <f t="shared" si="285"/>
        <v>0</v>
      </c>
      <c r="K1446" s="1845">
        <f t="shared" si="285"/>
        <v>0</v>
      </c>
      <c r="L1446" s="1845">
        <f t="shared" si="285"/>
        <v>0</v>
      </c>
      <c r="M1446" s="1845">
        <f t="shared" si="285"/>
        <v>0</v>
      </c>
      <c r="N1446" s="1845">
        <f t="shared" si="285"/>
        <v>0</v>
      </c>
      <c r="O1446" s="1845"/>
      <c r="P1446" s="1845"/>
      <c r="Q1446" s="1056"/>
      <c r="R1446" s="1056"/>
      <c r="S1446" s="1056"/>
      <c r="T1446" s="2059">
        <f t="shared" si="277"/>
        <v>0</v>
      </c>
    </row>
    <row r="1447" spans="1:20" ht="22.15" hidden="1" customHeight="1">
      <c r="A1447" s="59"/>
      <c r="B1447" s="1586" t="s">
        <v>342</v>
      </c>
      <c r="C1447" s="1015" t="str">
        <f t="shared" si="279"/>
        <v xml:space="preserve"> </v>
      </c>
      <c r="D1447" s="1544">
        <v>1</v>
      </c>
      <c r="E1447" s="1047" t="str">
        <f>VLOOKUP($B1447,DG!A:D,DG!$B$2,)</f>
        <v>04.3801</v>
      </c>
      <c r="F1447" s="1059" t="str">
        <f>VLOOKUP($B1447,DG!A:D,DG!$C$2,)</f>
        <v>Đế neo BTCT 400x1200</v>
      </c>
      <c r="G1447" s="1047" t="str">
        <f>VLOOKUP($B1447,DG!A:D,DG!$D$2,)</f>
        <v>cái</v>
      </c>
      <c r="H1447" s="1845">
        <f t="shared" si="285"/>
        <v>0</v>
      </c>
      <c r="I1447" s="1845">
        <f t="shared" si="285"/>
        <v>0</v>
      </c>
      <c r="J1447" s="1845">
        <f t="shared" si="285"/>
        <v>0</v>
      </c>
      <c r="K1447" s="1845">
        <f t="shared" si="285"/>
        <v>0</v>
      </c>
      <c r="L1447" s="1845">
        <f t="shared" si="285"/>
        <v>0</v>
      </c>
      <c r="M1447" s="1845">
        <f t="shared" si="285"/>
        <v>0</v>
      </c>
      <c r="N1447" s="1845">
        <f t="shared" si="285"/>
        <v>0</v>
      </c>
      <c r="O1447" s="1845"/>
      <c r="P1447" s="1845"/>
      <c r="Q1447" s="1056"/>
      <c r="R1447" s="1056"/>
      <c r="S1447" s="1056"/>
      <c r="T1447" s="2059">
        <f t="shared" si="277"/>
        <v>0</v>
      </c>
    </row>
    <row r="1448" spans="1:20" ht="22.15" hidden="1" customHeight="1">
      <c r="A1448" s="59"/>
      <c r="B1448" s="1586" t="s">
        <v>1066</v>
      </c>
      <c r="C1448" s="1015" t="str">
        <f t="shared" si="279"/>
        <v xml:space="preserve"> </v>
      </c>
      <c r="D1448" s="1554">
        <v>1.58</v>
      </c>
      <c r="E1448" s="1047" t="str">
        <f>VLOOKUP($B1448,DG!A:D,DG!$B$2,)</f>
        <v>04.9001</v>
      </c>
      <c r="F1448" s="1059" t="str">
        <f>VLOOKUP($B1448,DG!A:D,DG!$C$2,)</f>
        <v>Bitum</v>
      </c>
      <c r="G1448" s="1047" t="str">
        <f>VLOOKUP($B1448,DG!A:D,DG!$D$2,)</f>
        <v>m2</v>
      </c>
      <c r="H1448" s="1845">
        <f t="shared" si="285"/>
        <v>0</v>
      </c>
      <c r="I1448" s="1845">
        <f t="shared" si="285"/>
        <v>0</v>
      </c>
      <c r="J1448" s="1845">
        <f t="shared" si="285"/>
        <v>0</v>
      </c>
      <c r="K1448" s="1845">
        <f t="shared" si="285"/>
        <v>0</v>
      </c>
      <c r="L1448" s="1845">
        <f t="shared" si="285"/>
        <v>0</v>
      </c>
      <c r="M1448" s="1845">
        <f t="shared" si="285"/>
        <v>0</v>
      </c>
      <c r="N1448" s="1845">
        <f t="shared" si="285"/>
        <v>0</v>
      </c>
      <c r="O1448" s="1845"/>
      <c r="P1448" s="1845"/>
      <c r="Q1448" s="1056"/>
      <c r="R1448" s="1056"/>
      <c r="S1448" s="1056"/>
      <c r="T1448" s="2059">
        <f t="shared" si="277"/>
        <v>0</v>
      </c>
    </row>
    <row r="1449" spans="1:20" ht="22.15" hidden="1" customHeight="1">
      <c r="A1449" s="59"/>
      <c r="B1449" s="1586" t="s">
        <v>639</v>
      </c>
      <c r="C1449" s="1015" t="str">
        <f t="shared" si="279"/>
        <v xml:space="preserve"> </v>
      </c>
      <c r="D1449" s="1543">
        <v>8.23</v>
      </c>
      <c r="E1449" s="1047" t="str">
        <f>VLOOKUP($B1449,DG!A:D,DG!$B$2,)</f>
        <v>03.1013</v>
      </c>
      <c r="F1449" s="1052" t="str">
        <f>VLOOKUP($B1449,DG!A:D,DG!$C$2,)</f>
        <v>Đào hố móng đất cấp 3 sâu &gt;1m</v>
      </c>
      <c r="G1449" s="1047" t="str">
        <f>VLOOKUP($B1449,DG!A:D,DG!$D$2,)</f>
        <v>m3</v>
      </c>
      <c r="H1449" s="1845"/>
      <c r="I1449" s="1845"/>
      <c r="J1449" s="1845"/>
      <c r="K1449" s="1845"/>
      <c r="L1449" s="1845"/>
      <c r="M1449" s="1845"/>
      <c r="N1449" s="1845"/>
      <c r="O1449" s="1845"/>
      <c r="P1449" s="1845"/>
      <c r="Q1449" s="1056"/>
      <c r="R1449" s="1056"/>
      <c r="S1449" s="1056"/>
      <c r="T1449" s="2059">
        <f t="shared" si="277"/>
        <v>0</v>
      </c>
    </row>
    <row r="1450" spans="1:20" ht="22.15" hidden="1" customHeight="1">
      <c r="A1450" s="59"/>
      <c r="B1450" s="1586" t="s">
        <v>21</v>
      </c>
      <c r="C1450" s="1015" t="str">
        <f t="shared" si="279"/>
        <v xml:space="preserve"> </v>
      </c>
      <c r="D1450" s="1543">
        <v>9.2899999999999991</v>
      </c>
      <c r="E1450" s="1047" t="str">
        <f>VLOOKUP($B1450,DG!A:D,DG!$B$2,)</f>
        <v>03.4113</v>
      </c>
      <c r="F1450" s="1052" t="str">
        <f>VLOOKUP($B1450,DG!A:D,DG!$C$2,)</f>
        <v>Đắp đất hố móng, độ chặt k=0,95</v>
      </c>
      <c r="G1450" s="1047" t="str">
        <f>VLOOKUP($B1450,DG!A:D,DG!$D$2,)</f>
        <v>m3</v>
      </c>
      <c r="H1450" s="1845"/>
      <c r="I1450" s="1845"/>
      <c r="J1450" s="1845"/>
      <c r="K1450" s="1845"/>
      <c r="L1450" s="1845"/>
      <c r="M1450" s="1845"/>
      <c r="N1450" s="1845"/>
      <c r="O1450" s="1845"/>
      <c r="P1450" s="1845"/>
      <c r="Q1450" s="1056"/>
      <c r="R1450" s="1056"/>
      <c r="S1450" s="1056"/>
      <c r="T1450" s="2059">
        <f t="shared" si="277"/>
        <v>0</v>
      </c>
    </row>
    <row r="1451" spans="1:20" ht="22.15" hidden="1" customHeight="1">
      <c r="A1451" s="59"/>
      <c r="B1451" s="1586" t="s">
        <v>637</v>
      </c>
      <c r="C1451" s="1015" t="str">
        <f t="shared" si="279"/>
        <v xml:space="preserve"> </v>
      </c>
      <c r="D1451" s="1543">
        <f>D1452</f>
        <v>0.17399999999999999</v>
      </c>
      <c r="E1451" s="1047" t="str">
        <f>VLOOKUP($B1451,DG!A:D,DG!$B$2,)</f>
        <v>02.1123</v>
      </c>
      <c r="F1451" s="1052" t="str">
        <f>VLOOKUP($B1451,DG!A:D,DG!$C$2,)</f>
        <v>Bốc dỡ đà cản, đế néo</v>
      </c>
      <c r="G1451" s="1047" t="str">
        <f>VLOOKUP($B1451,DG!A:D,DG!$D$2,)</f>
        <v>tấn</v>
      </c>
      <c r="H1451" s="1845"/>
      <c r="I1451" s="1845"/>
      <c r="J1451" s="1845"/>
      <c r="K1451" s="1845"/>
      <c r="L1451" s="1845"/>
      <c r="M1451" s="1845"/>
      <c r="N1451" s="1845"/>
      <c r="O1451" s="1845"/>
      <c r="P1451" s="1845"/>
      <c r="Q1451" s="1056"/>
      <c r="R1451" s="1056"/>
      <c r="S1451" s="1056"/>
      <c r="T1451" s="2059">
        <f t="shared" ref="T1451:T1514" si="286">IFERROR(HLOOKUP(B1451,BangKeTru,3,0),0)</f>
        <v>0</v>
      </c>
    </row>
    <row r="1452" spans="1:20" ht="22.15" hidden="1" customHeight="1">
      <c r="A1452" s="59"/>
      <c r="B1452" s="1598" t="s">
        <v>605</v>
      </c>
      <c r="C1452" s="1015" t="str">
        <f t="shared" si="279"/>
        <v xml:space="preserve"> </v>
      </c>
      <c r="D1452" s="1543">
        <v>0.17399999999999999</v>
      </c>
      <c r="E1452" s="1047" t="str">
        <f>VLOOKUP($B1452,DG!A:C,2,)</f>
        <v>02.1451</v>
      </c>
      <c r="F1452" s="1052" t="str">
        <f>VLOOKUP($B1452,DG!A:C,3,)</f>
        <v>V/c đế néo vào vị trí (cự ly &lt;=100m)</v>
      </c>
      <c r="G1452" s="1047" t="str">
        <f>VLOOKUP($B1452,DG!A:D,4,0)</f>
        <v>tấn</v>
      </c>
      <c r="H1452" s="1845"/>
      <c r="I1452" s="1845"/>
      <c r="J1452" s="1845"/>
      <c r="K1452" s="1845"/>
      <c r="L1452" s="1845"/>
      <c r="M1452" s="1845"/>
      <c r="N1452" s="1845"/>
      <c r="O1452" s="1845"/>
      <c r="P1452" s="1845"/>
      <c r="Q1452" s="1061"/>
      <c r="R1452" s="1061"/>
      <c r="S1452" s="1061"/>
      <c r="T1452" s="2059">
        <f t="shared" si="286"/>
        <v>0</v>
      </c>
    </row>
    <row r="1453" spans="1:20" ht="22.15" hidden="1" customHeight="1">
      <c r="A1453" s="59"/>
      <c r="B1453" s="1598" t="s">
        <v>606</v>
      </c>
      <c r="C1453" s="1015" t="str">
        <f t="shared" si="279"/>
        <v xml:space="preserve"> </v>
      </c>
      <c r="D1453" s="1543">
        <v>0.05</v>
      </c>
      <c r="E1453" s="1047" t="str">
        <f>VLOOKUP($B1453,DG!A:C,2,)</f>
        <v>02.1482</v>
      </c>
      <c r="F1453" s="1052" t="str">
        <f>VLOOKUP($B1453,DG!A:C,3,)</f>
        <v>V/c dụng cụ thi công vào vị trí (cự ly &lt;=100m)</v>
      </c>
      <c r="G1453" s="1047" t="str">
        <f>VLOOKUP($B1453,DG!A:D,4,0)</f>
        <v>tấn</v>
      </c>
      <c r="H1453" s="1845"/>
      <c r="I1453" s="1845"/>
      <c r="J1453" s="1845"/>
      <c r="K1453" s="1845"/>
      <c r="L1453" s="1845"/>
      <c r="M1453" s="1845"/>
      <c r="N1453" s="1845"/>
      <c r="O1453" s="1845"/>
      <c r="P1453" s="1845"/>
      <c r="Q1453" s="1061"/>
      <c r="R1453" s="1061"/>
      <c r="S1453" s="1061"/>
      <c r="T1453" s="2059">
        <f t="shared" si="286"/>
        <v>0</v>
      </c>
    </row>
    <row r="1454" spans="1:20" ht="22.15" hidden="1" customHeight="1">
      <c r="A1454" s="621" t="s">
        <v>2155</v>
      </c>
      <c r="B1454" s="1583" t="s">
        <v>2155</v>
      </c>
      <c r="C1454" s="1015" t="str">
        <f t="shared" si="279"/>
        <v xml:space="preserve"> </v>
      </c>
      <c r="D1454" s="1541"/>
      <c r="E1454" s="1048"/>
      <c r="F1454" s="1396" t="s">
        <v>2504</v>
      </c>
      <c r="G1454" s="1049" t="s">
        <v>2394</v>
      </c>
      <c r="H1454" s="1843">
        <f>SUM(I1454:O1454)</f>
        <v>0</v>
      </c>
      <c r="I1454" s="1844"/>
      <c r="J1454" s="1844"/>
      <c r="K1454" s="1844">
        <f>IFERROR(HLOOKUP(B1454,pp3p1m!$1:$3,3,0),0)</f>
        <v>0</v>
      </c>
      <c r="L1454" s="1844">
        <f>IFERROR(HLOOKUP(chitiet!B1454,pp1p!$1:$3,3,0),0)</f>
        <v>0</v>
      </c>
      <c r="M1454" s="1844"/>
      <c r="N1454" s="1844"/>
      <c r="O1454" s="1844"/>
      <c r="P1454" s="1844">
        <f>H1454+Q1454-R1454</f>
        <v>0</v>
      </c>
      <c r="Q1454" s="1050"/>
      <c r="R1454" s="1050"/>
      <c r="S1454" s="1050"/>
      <c r="T1454" s="2059">
        <f>IFERROR(HLOOKUP(B1454,pp1p!$1:$3,3,0),0)+IFERROR(HLOOKUP(B1454,pp3p1m!$1:$3,3,0),0)</f>
        <v>0</v>
      </c>
    </row>
    <row r="1455" spans="1:20" ht="22.15" hidden="1" customHeight="1">
      <c r="A1455" s="59"/>
      <c r="B1455" s="1586" t="s">
        <v>113</v>
      </c>
      <c r="C1455" s="1015" t="str">
        <f t="shared" si="279"/>
        <v xml:space="preserve"> </v>
      </c>
      <c r="D1455" s="1544">
        <v>1</v>
      </c>
      <c r="E1455" s="1047"/>
      <c r="F1455" s="1059" t="str">
        <f>VLOOKUP($B1455,DG!A:D,DG!$C$2,)</f>
        <v>Ty neo Ø22x3700</v>
      </c>
      <c r="G1455" s="1047" t="str">
        <f>VLOOKUP($B1455,DG!A:D,DG!$D$2,)</f>
        <v>cái</v>
      </c>
      <c r="H1455" s="1845">
        <f t="shared" ref="H1455:N1457" si="287">H$1454*$D1455</f>
        <v>0</v>
      </c>
      <c r="I1455" s="1845">
        <f t="shared" si="287"/>
        <v>0</v>
      </c>
      <c r="J1455" s="1845">
        <f t="shared" si="287"/>
        <v>0</v>
      </c>
      <c r="K1455" s="1845">
        <f t="shared" si="287"/>
        <v>0</v>
      </c>
      <c r="L1455" s="1845">
        <f t="shared" si="287"/>
        <v>0</v>
      </c>
      <c r="M1455" s="1845">
        <f t="shared" si="287"/>
        <v>0</v>
      </c>
      <c r="N1455" s="1845">
        <f t="shared" si="287"/>
        <v>0</v>
      </c>
      <c r="O1455" s="1845"/>
      <c r="P1455" s="1845"/>
      <c r="Q1455" s="1056"/>
      <c r="R1455" s="1056"/>
      <c r="S1455" s="1056"/>
      <c r="T1455" s="2059">
        <f t="shared" si="286"/>
        <v>0</v>
      </c>
    </row>
    <row r="1456" spans="1:20" ht="22.15" hidden="1" customHeight="1">
      <c r="A1456" s="59"/>
      <c r="B1456" s="1586" t="s">
        <v>2138</v>
      </c>
      <c r="C1456" s="1015" t="str">
        <f t="shared" si="279"/>
        <v xml:space="preserve"> </v>
      </c>
      <c r="D1456" s="1544">
        <v>1</v>
      </c>
      <c r="E1456" s="1047" t="str">
        <f>VLOOKUP($B1456,DG!A:D,DG!$B$2,)</f>
        <v>04.3802</v>
      </c>
      <c r="F1456" s="1059" t="str">
        <f>VLOOKUP($B1456,DG!A:D,DG!$C$2,)</f>
        <v>Đế neo BTCT 400x1500</v>
      </c>
      <c r="G1456" s="1047" t="str">
        <f>VLOOKUP($B1456,DG!A:D,DG!$D$2,)</f>
        <v>cái</v>
      </c>
      <c r="H1456" s="1845">
        <f t="shared" si="287"/>
        <v>0</v>
      </c>
      <c r="I1456" s="1845">
        <f t="shared" si="287"/>
        <v>0</v>
      </c>
      <c r="J1456" s="1845">
        <f t="shared" si="287"/>
        <v>0</v>
      </c>
      <c r="K1456" s="1845">
        <f t="shared" si="287"/>
        <v>0</v>
      </c>
      <c r="L1456" s="1845">
        <f t="shared" si="287"/>
        <v>0</v>
      </c>
      <c r="M1456" s="1845">
        <f t="shared" si="287"/>
        <v>0</v>
      </c>
      <c r="N1456" s="1845">
        <f t="shared" si="287"/>
        <v>0</v>
      </c>
      <c r="O1456" s="1845"/>
      <c r="P1456" s="1845"/>
      <c r="Q1456" s="1056"/>
      <c r="R1456" s="1056"/>
      <c r="S1456" s="1056"/>
      <c r="T1456" s="2059">
        <f t="shared" si="286"/>
        <v>0</v>
      </c>
    </row>
    <row r="1457" spans="1:20" ht="22.15" hidden="1" customHeight="1">
      <c r="A1457" s="59"/>
      <c r="B1457" s="1586" t="s">
        <v>1066</v>
      </c>
      <c r="C1457" s="1015" t="str">
        <f t="shared" si="279"/>
        <v xml:space="preserve"> </v>
      </c>
      <c r="D1457" s="1554">
        <v>1.7</v>
      </c>
      <c r="E1457" s="1047" t="str">
        <f>VLOOKUP($B1457,DG!A:D,DG!$B$2,)</f>
        <v>04.9001</v>
      </c>
      <c r="F1457" s="1059" t="str">
        <f>VLOOKUP($B1457,DG!A:D,DG!$C$2,)</f>
        <v>Bitum</v>
      </c>
      <c r="G1457" s="1047" t="str">
        <f>VLOOKUP($B1457,DG!A:D,DG!$D$2,)</f>
        <v>m2</v>
      </c>
      <c r="H1457" s="1845">
        <f t="shared" si="287"/>
        <v>0</v>
      </c>
      <c r="I1457" s="1845">
        <f t="shared" si="287"/>
        <v>0</v>
      </c>
      <c r="J1457" s="1845">
        <f t="shared" si="287"/>
        <v>0</v>
      </c>
      <c r="K1457" s="1845">
        <f t="shared" si="287"/>
        <v>0</v>
      </c>
      <c r="L1457" s="1845">
        <f t="shared" si="287"/>
        <v>0</v>
      </c>
      <c r="M1457" s="1845">
        <f t="shared" si="287"/>
        <v>0</v>
      </c>
      <c r="N1457" s="1845">
        <f t="shared" si="287"/>
        <v>0</v>
      </c>
      <c r="O1457" s="1845"/>
      <c r="P1457" s="1845"/>
      <c r="Q1457" s="1056"/>
      <c r="R1457" s="1056"/>
      <c r="S1457" s="1056"/>
      <c r="T1457" s="2059">
        <f t="shared" si="286"/>
        <v>0</v>
      </c>
    </row>
    <row r="1458" spans="1:20" ht="22.15" hidden="1" customHeight="1">
      <c r="A1458" s="59"/>
      <c r="B1458" s="1586" t="s">
        <v>639</v>
      </c>
      <c r="C1458" s="1015" t="str">
        <f t="shared" si="279"/>
        <v xml:space="preserve"> </v>
      </c>
      <c r="D1458" s="1543">
        <v>10.5</v>
      </c>
      <c r="E1458" s="1047" t="str">
        <f>VLOOKUP($B1458,DG!A:D,DG!$B$2,)</f>
        <v>03.1013</v>
      </c>
      <c r="F1458" s="1052" t="str">
        <f>VLOOKUP($B1458,DG!A:D,DG!$C$2,)</f>
        <v>Đào hố móng đất cấp 3 sâu &gt;1m</v>
      </c>
      <c r="G1458" s="1047" t="str">
        <f>VLOOKUP($B1458,DG!A:D,DG!$D$2,)</f>
        <v>m3</v>
      </c>
      <c r="H1458" s="1845"/>
      <c r="I1458" s="1845"/>
      <c r="J1458" s="1845"/>
      <c r="K1458" s="1845"/>
      <c r="L1458" s="1845"/>
      <c r="M1458" s="1845"/>
      <c r="N1458" s="1845"/>
      <c r="O1458" s="1845"/>
      <c r="P1458" s="1845"/>
      <c r="Q1458" s="1056"/>
      <c r="R1458" s="1056"/>
      <c r="S1458" s="1056"/>
      <c r="T1458" s="2059">
        <f t="shared" si="286"/>
        <v>0</v>
      </c>
    </row>
    <row r="1459" spans="1:20" ht="22.15" hidden="1" customHeight="1">
      <c r="A1459" s="59"/>
      <c r="B1459" s="1586" t="s">
        <v>21</v>
      </c>
      <c r="C1459" s="1015" t="str">
        <f t="shared" ref="C1459:C1522" si="288">IF(OR(P1459&lt;&gt;0,H1459&lt;&gt;0),"x"," ")</f>
        <v xml:space="preserve"> </v>
      </c>
      <c r="D1459" s="1543">
        <v>11.95</v>
      </c>
      <c r="E1459" s="1047" t="str">
        <f>VLOOKUP($B1459,DG!A:D,DG!$B$2,)</f>
        <v>03.4113</v>
      </c>
      <c r="F1459" s="1052" t="str">
        <f>VLOOKUP($B1459,DG!A:D,DG!$C$2,)</f>
        <v>Đắp đất hố móng, độ chặt k=0,95</v>
      </c>
      <c r="G1459" s="1047" t="str">
        <f>VLOOKUP($B1459,DG!A:D,DG!$D$2,)</f>
        <v>m3</v>
      </c>
      <c r="H1459" s="1845"/>
      <c r="I1459" s="1845"/>
      <c r="J1459" s="1845"/>
      <c r="K1459" s="1845"/>
      <c r="L1459" s="1845"/>
      <c r="M1459" s="1845"/>
      <c r="N1459" s="1845"/>
      <c r="O1459" s="1845"/>
      <c r="P1459" s="1845"/>
      <c r="Q1459" s="1056"/>
      <c r="R1459" s="1056"/>
      <c r="S1459" s="1056"/>
      <c r="T1459" s="2059">
        <f t="shared" si="286"/>
        <v>0</v>
      </c>
    </row>
    <row r="1460" spans="1:20" ht="22.15" hidden="1" customHeight="1">
      <c r="A1460" s="59"/>
      <c r="B1460" s="1586" t="s">
        <v>637</v>
      </c>
      <c r="C1460" s="1015" t="str">
        <f t="shared" si="288"/>
        <v xml:space="preserve"> </v>
      </c>
      <c r="D1460" s="1543">
        <f>D1461</f>
        <v>0.193</v>
      </c>
      <c r="E1460" s="1047" t="str">
        <f>VLOOKUP($B1460,DG!A:D,DG!$B$2,)</f>
        <v>02.1123</v>
      </c>
      <c r="F1460" s="1052" t="str">
        <f>VLOOKUP($B1460,DG!A:D,DG!$C$2,)</f>
        <v>Bốc dỡ đà cản, đế néo</v>
      </c>
      <c r="G1460" s="1047" t="str">
        <f>VLOOKUP($B1460,DG!A:D,DG!$D$2,)</f>
        <v>tấn</v>
      </c>
      <c r="H1460" s="1845"/>
      <c r="I1460" s="1845"/>
      <c r="J1460" s="1845"/>
      <c r="K1460" s="1845"/>
      <c r="L1460" s="1845"/>
      <c r="M1460" s="1845"/>
      <c r="N1460" s="1845"/>
      <c r="O1460" s="1845"/>
      <c r="P1460" s="1845"/>
      <c r="Q1460" s="1056"/>
      <c r="R1460" s="1056"/>
      <c r="S1460" s="1056"/>
      <c r="T1460" s="2059">
        <f t="shared" si="286"/>
        <v>0</v>
      </c>
    </row>
    <row r="1461" spans="1:20" ht="22.15" hidden="1" customHeight="1">
      <c r="A1461" s="59"/>
      <c r="B1461" s="1598" t="s">
        <v>605</v>
      </c>
      <c r="C1461" s="1015" t="str">
        <f t="shared" si="288"/>
        <v xml:space="preserve"> </v>
      </c>
      <c r="D1461" s="1543">
        <v>0.193</v>
      </c>
      <c r="E1461" s="1047" t="str">
        <f>VLOOKUP($B1461,DG!A:C,2,)</f>
        <v>02.1451</v>
      </c>
      <c r="F1461" s="1052" t="str">
        <f>VLOOKUP($B1461,DG!A:C,3,)</f>
        <v>V/c đế néo vào vị trí (cự ly &lt;=100m)</v>
      </c>
      <c r="G1461" s="1047" t="str">
        <f>VLOOKUP($B1461,DG!A:D,4,0)</f>
        <v>tấn</v>
      </c>
      <c r="H1461" s="1845"/>
      <c r="I1461" s="1845"/>
      <c r="J1461" s="1845"/>
      <c r="K1461" s="1845"/>
      <c r="L1461" s="1845"/>
      <c r="M1461" s="1845"/>
      <c r="N1461" s="1845"/>
      <c r="O1461" s="1845"/>
      <c r="P1461" s="1845"/>
      <c r="Q1461" s="1061"/>
      <c r="R1461" s="1061"/>
      <c r="S1461" s="1061"/>
      <c r="T1461" s="2059">
        <f t="shared" si="286"/>
        <v>0</v>
      </c>
    </row>
    <row r="1462" spans="1:20" ht="22.15" hidden="1" customHeight="1">
      <c r="A1462" s="59"/>
      <c r="B1462" s="1598" t="s">
        <v>606</v>
      </c>
      <c r="C1462" s="1015" t="str">
        <f t="shared" si="288"/>
        <v xml:space="preserve"> </v>
      </c>
      <c r="D1462" s="1543">
        <v>0.05</v>
      </c>
      <c r="E1462" s="1047" t="str">
        <f>VLOOKUP($B1462,DG!A:C,2,)</f>
        <v>02.1482</v>
      </c>
      <c r="F1462" s="1052" t="str">
        <f>VLOOKUP($B1462,DG!A:C,3,)</f>
        <v>V/c dụng cụ thi công vào vị trí (cự ly &lt;=100m)</v>
      </c>
      <c r="G1462" s="1047" t="str">
        <f>VLOOKUP($B1462,DG!A:D,4,0)</f>
        <v>tấn</v>
      </c>
      <c r="H1462" s="1845"/>
      <c r="I1462" s="1845"/>
      <c r="J1462" s="1845"/>
      <c r="K1462" s="1845"/>
      <c r="L1462" s="1845"/>
      <c r="M1462" s="1845"/>
      <c r="N1462" s="1845"/>
      <c r="O1462" s="1845"/>
      <c r="P1462" s="1845"/>
      <c r="Q1462" s="1061"/>
      <c r="R1462" s="1061"/>
      <c r="S1462" s="1061"/>
      <c r="T1462" s="2059">
        <f t="shared" si="286"/>
        <v>0</v>
      </c>
    </row>
    <row r="1463" spans="1:20" ht="22.15" hidden="1" customHeight="1">
      <c r="A1463" s="56" t="s">
        <v>1095</v>
      </c>
      <c r="B1463" s="1583" t="s">
        <v>1095</v>
      </c>
      <c r="C1463" s="1015" t="str">
        <f t="shared" si="288"/>
        <v xml:space="preserve"> </v>
      </c>
      <c r="D1463" s="1541"/>
      <c r="E1463" s="1048"/>
      <c r="F1463" s="1396" t="s">
        <v>2505</v>
      </c>
      <c r="G1463" s="1049" t="s">
        <v>2394</v>
      </c>
      <c r="H1463" s="1843">
        <f>SUM(I1463:O1463)</f>
        <v>0</v>
      </c>
      <c r="I1463" s="1844"/>
      <c r="J1463" s="1844"/>
      <c r="K1463" s="1844">
        <f>IFERROR(HLOOKUP(B1463,pp3p1m!$1:$3,3,0),0)</f>
        <v>0</v>
      </c>
      <c r="L1463" s="1844">
        <f>IFERROR(HLOOKUP(chitiet!B1463,pp1p!$1:$3,3,0),0)</f>
        <v>0</v>
      </c>
      <c r="M1463" s="1844"/>
      <c r="N1463" s="1844"/>
      <c r="O1463" s="1844"/>
      <c r="P1463" s="1844">
        <f>H1463+Q1463-R1463</f>
        <v>0</v>
      </c>
      <c r="Q1463" s="1050"/>
      <c r="R1463" s="1050"/>
      <c r="S1463" s="1050"/>
      <c r="T1463" s="2059">
        <f>IFERROR(HLOOKUP(B1463,pp1p!$1:$3,3,0),0)+IFERROR(HLOOKUP(B1463,pp3p1m!$1:$3,3,0),0)</f>
        <v>0</v>
      </c>
    </row>
    <row r="1464" spans="1:20" ht="22.15" hidden="1" customHeight="1">
      <c r="A1464" s="59"/>
      <c r="B1464" s="1586" t="s">
        <v>2005</v>
      </c>
      <c r="C1464" s="1015" t="str">
        <f t="shared" si="288"/>
        <v xml:space="preserve"> </v>
      </c>
      <c r="D1464" s="1544">
        <v>1</v>
      </c>
      <c r="E1464" s="1047"/>
      <c r="F1464" s="1059" t="str">
        <f>VLOOKUP($B1464,DG!A:D,DG!$C$2,)</f>
        <v>Ty neo Ø22x3000</v>
      </c>
      <c r="G1464" s="1047" t="str">
        <f>VLOOKUP($B1464,DG!A:D,DG!$D$2,)</f>
        <v>cái</v>
      </c>
      <c r="H1464" s="1845">
        <f t="shared" ref="H1464:N1466" si="289">H$1463*$D1464</f>
        <v>0</v>
      </c>
      <c r="I1464" s="1845">
        <f t="shared" si="289"/>
        <v>0</v>
      </c>
      <c r="J1464" s="1845">
        <f t="shared" si="289"/>
        <v>0</v>
      </c>
      <c r="K1464" s="1845">
        <f t="shared" si="289"/>
        <v>0</v>
      </c>
      <c r="L1464" s="1845">
        <f t="shared" si="289"/>
        <v>0</v>
      </c>
      <c r="M1464" s="1845">
        <f t="shared" si="289"/>
        <v>0</v>
      </c>
      <c r="N1464" s="1845">
        <f t="shared" si="289"/>
        <v>0</v>
      </c>
      <c r="O1464" s="1845"/>
      <c r="P1464" s="1845"/>
      <c r="Q1464" s="1056"/>
      <c r="R1464" s="1056"/>
      <c r="S1464" s="1056"/>
      <c r="T1464" s="2059">
        <f t="shared" si="286"/>
        <v>0</v>
      </c>
    </row>
    <row r="1465" spans="1:20" ht="22.15" hidden="1" customHeight="1">
      <c r="A1465" s="59"/>
      <c r="B1465" s="1586" t="s">
        <v>2138</v>
      </c>
      <c r="C1465" s="1015" t="str">
        <f t="shared" si="288"/>
        <v xml:space="preserve"> </v>
      </c>
      <c r="D1465" s="1544">
        <v>1</v>
      </c>
      <c r="E1465" s="1047" t="str">
        <f>VLOOKUP($B1465,DG!A:D,DG!$B$2,)</f>
        <v>04.3802</v>
      </c>
      <c r="F1465" s="1059" t="str">
        <f>VLOOKUP($B1465,DG!A:D,DG!$C$2,)</f>
        <v>Đế neo BTCT 400x1500</v>
      </c>
      <c r="G1465" s="1047" t="str">
        <f>VLOOKUP($B1465,DG!A:D,DG!$D$2,)</f>
        <v>cái</v>
      </c>
      <c r="H1465" s="1845">
        <f t="shared" si="289"/>
        <v>0</v>
      </c>
      <c r="I1465" s="1845">
        <f t="shared" si="289"/>
        <v>0</v>
      </c>
      <c r="J1465" s="1845">
        <f t="shared" si="289"/>
        <v>0</v>
      </c>
      <c r="K1465" s="1845">
        <f t="shared" si="289"/>
        <v>0</v>
      </c>
      <c r="L1465" s="1845">
        <f t="shared" si="289"/>
        <v>0</v>
      </c>
      <c r="M1465" s="1845">
        <f t="shared" si="289"/>
        <v>0</v>
      </c>
      <c r="N1465" s="1845">
        <f t="shared" si="289"/>
        <v>0</v>
      </c>
      <c r="O1465" s="1845"/>
      <c r="P1465" s="1845"/>
      <c r="Q1465" s="1056"/>
      <c r="R1465" s="1056"/>
      <c r="S1465" s="1056"/>
      <c r="T1465" s="2059">
        <f t="shared" si="286"/>
        <v>0</v>
      </c>
    </row>
    <row r="1466" spans="1:20" ht="22.15" hidden="1" customHeight="1">
      <c r="A1466" s="59"/>
      <c r="B1466" s="1586" t="s">
        <v>1066</v>
      </c>
      <c r="C1466" s="1015" t="str">
        <f t="shared" si="288"/>
        <v xml:space="preserve"> </v>
      </c>
      <c r="D1466" s="1554">
        <v>1.7</v>
      </c>
      <c r="E1466" s="1047" t="str">
        <f>VLOOKUP($B1466,DG!A:D,DG!$B$2,)</f>
        <v>04.9001</v>
      </c>
      <c r="F1466" s="1059" t="str">
        <f>VLOOKUP($B1466,DG!A:D,DG!$C$2,)</f>
        <v>Bitum</v>
      </c>
      <c r="G1466" s="1047" t="str">
        <f>VLOOKUP($B1466,DG!A:D,DG!$D$2,)</f>
        <v>m2</v>
      </c>
      <c r="H1466" s="1845">
        <f t="shared" si="289"/>
        <v>0</v>
      </c>
      <c r="I1466" s="1845">
        <f t="shared" si="289"/>
        <v>0</v>
      </c>
      <c r="J1466" s="1845">
        <f t="shared" si="289"/>
        <v>0</v>
      </c>
      <c r="K1466" s="1845">
        <f t="shared" si="289"/>
        <v>0</v>
      </c>
      <c r="L1466" s="1845">
        <f t="shared" si="289"/>
        <v>0</v>
      </c>
      <c r="M1466" s="1845">
        <f t="shared" si="289"/>
        <v>0</v>
      </c>
      <c r="N1466" s="1845">
        <f t="shared" si="289"/>
        <v>0</v>
      </c>
      <c r="O1466" s="1845"/>
      <c r="P1466" s="1845"/>
      <c r="Q1466" s="1056"/>
      <c r="R1466" s="1056"/>
      <c r="S1466" s="1056"/>
      <c r="T1466" s="2059">
        <f t="shared" si="286"/>
        <v>0</v>
      </c>
    </row>
    <row r="1467" spans="1:20" ht="22.15" hidden="1" customHeight="1">
      <c r="A1467" s="59"/>
      <c r="B1467" s="1586" t="s">
        <v>639</v>
      </c>
      <c r="C1467" s="1015" t="str">
        <f t="shared" si="288"/>
        <v xml:space="preserve"> </v>
      </c>
      <c r="D1467" s="1543">
        <v>9.2799999999999994</v>
      </c>
      <c r="E1467" s="1047" t="str">
        <f>VLOOKUP($B1467,DG!A:D,DG!$B$2,)</f>
        <v>03.1013</v>
      </c>
      <c r="F1467" s="1052" t="str">
        <f>VLOOKUP($B1467,DG!A:D,DG!$C$2,)</f>
        <v>Đào hố móng đất cấp 3 sâu &gt;1m</v>
      </c>
      <c r="G1467" s="1047" t="str">
        <f>VLOOKUP($B1467,DG!A:D,DG!$D$2,)</f>
        <v>m3</v>
      </c>
      <c r="H1467" s="1845"/>
      <c r="I1467" s="1845"/>
      <c r="J1467" s="1845"/>
      <c r="K1467" s="1845"/>
      <c r="L1467" s="1845"/>
      <c r="M1467" s="1845"/>
      <c r="N1467" s="1845"/>
      <c r="O1467" s="1845"/>
      <c r="P1467" s="1845"/>
      <c r="Q1467" s="1056"/>
      <c r="R1467" s="1056"/>
      <c r="S1467" s="1056"/>
      <c r="T1467" s="2059">
        <f t="shared" si="286"/>
        <v>0</v>
      </c>
    </row>
    <row r="1468" spans="1:20" ht="22.15" hidden="1" customHeight="1">
      <c r="A1468" s="59"/>
      <c r="B1468" s="1586" t="s">
        <v>21</v>
      </c>
      <c r="C1468" s="1015" t="str">
        <f t="shared" si="288"/>
        <v xml:space="preserve"> </v>
      </c>
      <c r="D1468" s="1543">
        <v>9.76</v>
      </c>
      <c r="E1468" s="1047" t="str">
        <f>VLOOKUP($B1468,DG!A:D,DG!$B$2,)</f>
        <v>03.4113</v>
      </c>
      <c r="F1468" s="1052" t="str">
        <f>VLOOKUP($B1468,DG!A:D,DG!$C$2,)</f>
        <v>Đắp đất hố móng, độ chặt k=0,95</v>
      </c>
      <c r="G1468" s="1047" t="str">
        <f>VLOOKUP($B1468,DG!A:D,DG!$D$2,)</f>
        <v>m3</v>
      </c>
      <c r="H1468" s="1845"/>
      <c r="I1468" s="1845"/>
      <c r="J1468" s="1845"/>
      <c r="K1468" s="1845"/>
      <c r="L1468" s="1845"/>
      <c r="M1468" s="1845"/>
      <c r="N1468" s="1845"/>
      <c r="O1468" s="1845"/>
      <c r="P1468" s="1845"/>
      <c r="Q1468" s="1056"/>
      <c r="R1468" s="1056"/>
      <c r="S1468" s="1056"/>
      <c r="T1468" s="2059">
        <f t="shared" si="286"/>
        <v>0</v>
      </c>
    </row>
    <row r="1469" spans="1:20" ht="22.15" hidden="1" customHeight="1">
      <c r="A1469" s="59"/>
      <c r="B1469" s="1586" t="s">
        <v>637</v>
      </c>
      <c r="C1469" s="1015" t="str">
        <f t="shared" si="288"/>
        <v xml:space="preserve"> </v>
      </c>
      <c r="D1469" s="1543">
        <f>D1470</f>
        <v>0.193</v>
      </c>
      <c r="E1469" s="1047" t="str">
        <f>VLOOKUP($B1469,DG!A:D,DG!$B$2,)</f>
        <v>02.1123</v>
      </c>
      <c r="F1469" s="1052" t="str">
        <f>VLOOKUP($B1469,DG!A:D,DG!$C$2,)</f>
        <v>Bốc dỡ đà cản, đế néo</v>
      </c>
      <c r="G1469" s="1047" t="str">
        <f>VLOOKUP($B1469,DG!A:D,DG!$D$2,)</f>
        <v>tấn</v>
      </c>
      <c r="H1469" s="1845"/>
      <c r="I1469" s="1845"/>
      <c r="J1469" s="1845"/>
      <c r="K1469" s="1845"/>
      <c r="L1469" s="1845"/>
      <c r="M1469" s="1845"/>
      <c r="N1469" s="1845"/>
      <c r="O1469" s="1845"/>
      <c r="P1469" s="1845"/>
      <c r="Q1469" s="1056"/>
      <c r="R1469" s="1056"/>
      <c r="S1469" s="1056"/>
      <c r="T1469" s="2059">
        <f t="shared" si="286"/>
        <v>0</v>
      </c>
    </row>
    <row r="1470" spans="1:20" ht="22.15" hidden="1" customHeight="1">
      <c r="A1470" s="59"/>
      <c r="B1470" s="1598" t="s">
        <v>605</v>
      </c>
      <c r="C1470" s="1015" t="str">
        <f t="shared" si="288"/>
        <v xml:space="preserve"> </v>
      </c>
      <c r="D1470" s="1543">
        <v>0.193</v>
      </c>
      <c r="E1470" s="1047" t="str">
        <f>VLOOKUP($B1470,DG!A:C,2,)</f>
        <v>02.1451</v>
      </c>
      <c r="F1470" s="1052" t="str">
        <f>VLOOKUP($B1470,DG!A:C,3,)</f>
        <v>V/c đế néo vào vị trí (cự ly &lt;=100m)</v>
      </c>
      <c r="G1470" s="1047" t="str">
        <f>VLOOKUP($B1470,DG!A:D,4,0)</f>
        <v>tấn</v>
      </c>
      <c r="H1470" s="1845"/>
      <c r="I1470" s="1845"/>
      <c r="J1470" s="1845"/>
      <c r="K1470" s="1845"/>
      <c r="L1470" s="1845"/>
      <c r="M1470" s="1845"/>
      <c r="N1470" s="1845"/>
      <c r="O1470" s="1845"/>
      <c r="P1470" s="1845"/>
      <c r="Q1470" s="1061"/>
      <c r="R1470" s="1061"/>
      <c r="S1470" s="1061"/>
      <c r="T1470" s="2059">
        <f t="shared" si="286"/>
        <v>0</v>
      </c>
    </row>
    <row r="1471" spans="1:20" ht="22.15" hidden="1" customHeight="1">
      <c r="A1471" s="59"/>
      <c r="B1471" s="1598" t="s">
        <v>606</v>
      </c>
      <c r="C1471" s="1015" t="str">
        <f t="shared" si="288"/>
        <v xml:space="preserve"> </v>
      </c>
      <c r="D1471" s="1543">
        <v>0.05</v>
      </c>
      <c r="E1471" s="1047" t="str">
        <f>VLOOKUP($B1471,DG!A:C,2,)</f>
        <v>02.1482</v>
      </c>
      <c r="F1471" s="1052" t="str">
        <f>VLOOKUP($B1471,DG!A:C,3,)</f>
        <v>V/c dụng cụ thi công vào vị trí (cự ly &lt;=100m)</v>
      </c>
      <c r="G1471" s="1047" t="str">
        <f>VLOOKUP($B1471,DG!A:D,4,0)</f>
        <v>tấn</v>
      </c>
      <c r="H1471" s="1845"/>
      <c r="I1471" s="1845"/>
      <c r="J1471" s="1845"/>
      <c r="K1471" s="1845"/>
      <c r="L1471" s="1845"/>
      <c r="M1471" s="1845"/>
      <c r="N1471" s="1845"/>
      <c r="O1471" s="1845"/>
      <c r="P1471" s="1845"/>
      <c r="Q1471" s="1061"/>
      <c r="R1471" s="1061"/>
      <c r="S1471" s="1061"/>
      <c r="T1471" s="2059">
        <f t="shared" si="286"/>
        <v>0</v>
      </c>
    </row>
    <row r="1472" spans="1:20" ht="22.15" hidden="1" customHeight="1">
      <c r="A1472" s="972" t="s">
        <v>2052</v>
      </c>
      <c r="B1472" s="1583" t="s">
        <v>2052</v>
      </c>
      <c r="C1472" s="1015" t="str">
        <f t="shared" si="288"/>
        <v xml:space="preserve"> </v>
      </c>
      <c r="D1472" s="1541"/>
      <c r="E1472" s="1048"/>
      <c r="F1472" s="1396" t="s">
        <v>2506</v>
      </c>
      <c r="G1472" s="1049" t="s">
        <v>2394</v>
      </c>
      <c r="H1472" s="1843">
        <f>SUM(I1472:O1472)</f>
        <v>0</v>
      </c>
      <c r="I1472" s="1844"/>
      <c r="J1472" s="1844"/>
      <c r="K1472" s="1844">
        <f>IFERROR(HLOOKUP(B1472,pp3p1m!$1:$3,3,0),0)</f>
        <v>0</v>
      </c>
      <c r="L1472" s="1844">
        <f>IFERROR(HLOOKUP(chitiet!B1472,pp1p!$1:$3,3,0),0)</f>
        <v>0</v>
      </c>
      <c r="M1472" s="1844"/>
      <c r="N1472" s="1844"/>
      <c r="O1472" s="1844"/>
      <c r="P1472" s="1844">
        <f>H1472+Q1472-R1472</f>
        <v>0</v>
      </c>
      <c r="Q1472" s="1050"/>
      <c r="R1472" s="1050"/>
      <c r="S1472" s="1050"/>
      <c r="T1472" s="2059">
        <f>IFERROR(HLOOKUP(B1472,pp1p!$1:$3,3,0),0)+IFERROR(HLOOKUP(B1472,pp3p1m!$1:$3,3,0),0)</f>
        <v>0</v>
      </c>
    </row>
    <row r="1473" spans="1:20" ht="22.15" hidden="1" customHeight="1">
      <c r="A1473" s="59"/>
      <c r="B1473" s="1586" t="s">
        <v>113</v>
      </c>
      <c r="C1473" s="1015" t="str">
        <f t="shared" si="288"/>
        <v xml:space="preserve"> </v>
      </c>
      <c r="D1473" s="1544">
        <v>1</v>
      </c>
      <c r="E1473" s="1047"/>
      <c r="F1473" s="1059" t="str">
        <f>VLOOKUP($B1473,DG!A:D,DG!$C$2,)</f>
        <v>Ty neo Ø22x3700</v>
      </c>
      <c r="G1473" s="1047" t="str">
        <f>VLOOKUP($B1473,DG!A:D,DG!$D$2,)</f>
        <v>cái</v>
      </c>
      <c r="H1473" s="1845">
        <f t="shared" ref="H1473:N1475" si="290">H$1472*$D1473</f>
        <v>0</v>
      </c>
      <c r="I1473" s="1845">
        <f t="shared" si="290"/>
        <v>0</v>
      </c>
      <c r="J1473" s="1845">
        <f t="shared" si="290"/>
        <v>0</v>
      </c>
      <c r="K1473" s="1845">
        <f t="shared" si="290"/>
        <v>0</v>
      </c>
      <c r="L1473" s="1845">
        <f t="shared" si="290"/>
        <v>0</v>
      </c>
      <c r="M1473" s="1845">
        <f t="shared" si="290"/>
        <v>0</v>
      </c>
      <c r="N1473" s="1845">
        <f t="shared" si="290"/>
        <v>0</v>
      </c>
      <c r="O1473" s="1845"/>
      <c r="P1473" s="1845"/>
      <c r="Q1473" s="1056"/>
      <c r="R1473" s="1056"/>
      <c r="S1473" s="1056"/>
      <c r="T1473" s="2059">
        <f t="shared" si="286"/>
        <v>0</v>
      </c>
    </row>
    <row r="1474" spans="1:20" ht="22.15" hidden="1" customHeight="1">
      <c r="A1474" s="59"/>
      <c r="B1474" s="1586" t="s">
        <v>2139</v>
      </c>
      <c r="C1474" s="1015" t="str">
        <f t="shared" si="288"/>
        <v xml:space="preserve"> </v>
      </c>
      <c r="D1474" s="1544">
        <v>1</v>
      </c>
      <c r="E1474" s="1047" t="str">
        <f>VLOOKUP($B1474,DG!A:D,DG!$B$2,)</f>
        <v>04.3802</v>
      </c>
      <c r="F1474" s="1059" t="str">
        <f>VLOOKUP($B1474,DG!A:D,DG!$C$2,)</f>
        <v>Đế neo BTCT 600x1500</v>
      </c>
      <c r="G1474" s="1047" t="str">
        <f>VLOOKUP($B1474,DG!A:D,DG!$D$2,)</f>
        <v>cái</v>
      </c>
      <c r="H1474" s="1845">
        <f t="shared" si="290"/>
        <v>0</v>
      </c>
      <c r="I1474" s="1845">
        <f t="shared" si="290"/>
        <v>0</v>
      </c>
      <c r="J1474" s="1845">
        <f t="shared" si="290"/>
        <v>0</v>
      </c>
      <c r="K1474" s="1845">
        <f t="shared" si="290"/>
        <v>0</v>
      </c>
      <c r="L1474" s="1845">
        <f t="shared" si="290"/>
        <v>0</v>
      </c>
      <c r="M1474" s="1845">
        <f t="shared" si="290"/>
        <v>0</v>
      </c>
      <c r="N1474" s="1845">
        <f t="shared" si="290"/>
        <v>0</v>
      </c>
      <c r="O1474" s="1845"/>
      <c r="P1474" s="1845"/>
      <c r="Q1474" s="1056"/>
      <c r="R1474" s="1056"/>
      <c r="S1474" s="1056"/>
      <c r="T1474" s="2059">
        <f t="shared" si="286"/>
        <v>0</v>
      </c>
    </row>
    <row r="1475" spans="1:20" ht="22.15" hidden="1" customHeight="1">
      <c r="A1475" s="59"/>
      <c r="B1475" s="1586" t="s">
        <v>1066</v>
      </c>
      <c r="C1475" s="1015" t="str">
        <f t="shared" si="288"/>
        <v xml:space="preserve"> </v>
      </c>
      <c r="D1475" s="1554">
        <v>2</v>
      </c>
      <c r="E1475" s="1047" t="str">
        <f>VLOOKUP($B1475,DG!A:D,DG!$B$2,)</f>
        <v>04.9001</v>
      </c>
      <c r="F1475" s="1059" t="str">
        <f>VLOOKUP($B1475,DG!A:D,DG!$C$2,)</f>
        <v>Bitum</v>
      </c>
      <c r="G1475" s="1047" t="str">
        <f>VLOOKUP($B1475,DG!A:D,DG!$D$2,)</f>
        <v>m2</v>
      </c>
      <c r="H1475" s="1845">
        <f t="shared" si="290"/>
        <v>0</v>
      </c>
      <c r="I1475" s="1845">
        <f t="shared" si="290"/>
        <v>0</v>
      </c>
      <c r="J1475" s="1845">
        <f t="shared" si="290"/>
        <v>0</v>
      </c>
      <c r="K1475" s="1845">
        <f t="shared" si="290"/>
        <v>0</v>
      </c>
      <c r="L1475" s="1845">
        <f t="shared" si="290"/>
        <v>0</v>
      </c>
      <c r="M1475" s="1845">
        <f t="shared" si="290"/>
        <v>0</v>
      </c>
      <c r="N1475" s="1845">
        <f t="shared" si="290"/>
        <v>0</v>
      </c>
      <c r="O1475" s="1845"/>
      <c r="P1475" s="1845"/>
      <c r="Q1475" s="1056"/>
      <c r="R1475" s="1056"/>
      <c r="S1475" s="1056"/>
      <c r="T1475" s="2059">
        <f t="shared" si="286"/>
        <v>0</v>
      </c>
    </row>
    <row r="1476" spans="1:20" ht="22.15" hidden="1" customHeight="1">
      <c r="A1476" s="59"/>
      <c r="B1476" s="1586" t="s">
        <v>639</v>
      </c>
      <c r="C1476" s="1015" t="str">
        <f t="shared" si="288"/>
        <v xml:space="preserve"> </v>
      </c>
      <c r="D1476" s="1543">
        <v>11.01</v>
      </c>
      <c r="E1476" s="1047" t="str">
        <f>VLOOKUP($B1476,DG!A:D,DG!$B$2,)</f>
        <v>03.1013</v>
      </c>
      <c r="F1476" s="1052" t="str">
        <f>VLOOKUP($B1476,DG!A:D,DG!$C$2,)</f>
        <v>Đào hố móng đất cấp 3 sâu &gt;1m</v>
      </c>
      <c r="G1476" s="1047" t="str">
        <f>VLOOKUP($B1476,DG!A:D,DG!$D$2,)</f>
        <v>m3</v>
      </c>
      <c r="H1476" s="1845"/>
      <c r="I1476" s="1845"/>
      <c r="J1476" s="1845"/>
      <c r="K1476" s="1845"/>
      <c r="L1476" s="1845"/>
      <c r="M1476" s="1845"/>
      <c r="N1476" s="1845"/>
      <c r="O1476" s="1845"/>
      <c r="P1476" s="1845"/>
      <c r="Q1476" s="1056"/>
      <c r="R1476" s="1056"/>
      <c r="S1476" s="1056"/>
      <c r="T1476" s="2059">
        <f t="shared" si="286"/>
        <v>0</v>
      </c>
    </row>
    <row r="1477" spans="1:20" ht="22.15" hidden="1" customHeight="1">
      <c r="A1477" s="59"/>
      <c r="B1477" s="1586" t="s">
        <v>21</v>
      </c>
      <c r="C1477" s="1015" t="str">
        <f t="shared" si="288"/>
        <v xml:space="preserve"> </v>
      </c>
      <c r="D1477" s="1543">
        <v>12.48</v>
      </c>
      <c r="E1477" s="1047" t="str">
        <f>VLOOKUP($B1477,DG!A:D,DG!$B$2,)</f>
        <v>03.4113</v>
      </c>
      <c r="F1477" s="1052" t="str">
        <f>VLOOKUP($B1477,DG!A:D,DG!$C$2,)</f>
        <v>Đắp đất hố móng, độ chặt k=0,95</v>
      </c>
      <c r="G1477" s="1047" t="str">
        <f>VLOOKUP($B1477,DG!A:D,DG!$D$2,)</f>
        <v>m3</v>
      </c>
      <c r="H1477" s="1845"/>
      <c r="I1477" s="1845"/>
      <c r="J1477" s="1845"/>
      <c r="K1477" s="1845"/>
      <c r="L1477" s="1845"/>
      <c r="M1477" s="1845"/>
      <c r="N1477" s="1845"/>
      <c r="O1477" s="1845"/>
      <c r="P1477" s="1845"/>
      <c r="Q1477" s="1056"/>
      <c r="R1477" s="1056"/>
      <c r="S1477" s="1056"/>
      <c r="T1477" s="2059">
        <f t="shared" si="286"/>
        <v>0</v>
      </c>
    </row>
    <row r="1478" spans="1:20" ht="22.15" hidden="1" customHeight="1">
      <c r="A1478" s="59"/>
      <c r="B1478" s="1586" t="s">
        <v>637</v>
      </c>
      <c r="C1478" s="1015" t="str">
        <f t="shared" si="288"/>
        <v xml:space="preserve"> </v>
      </c>
      <c r="D1478" s="1543">
        <f>D1479</f>
        <v>0.28899999999999998</v>
      </c>
      <c r="E1478" s="1047" t="str">
        <f>VLOOKUP($B1478,DG!A:D,DG!$B$2,)</f>
        <v>02.1123</v>
      </c>
      <c r="F1478" s="1052" t="str">
        <f>VLOOKUP($B1478,DG!A:D,DG!$C$2,)</f>
        <v>Bốc dỡ đà cản, đế néo</v>
      </c>
      <c r="G1478" s="1047" t="str">
        <f>VLOOKUP($B1478,DG!A:D,DG!$D$2,)</f>
        <v>tấn</v>
      </c>
      <c r="H1478" s="1845"/>
      <c r="I1478" s="1845"/>
      <c r="J1478" s="1845"/>
      <c r="K1478" s="1845"/>
      <c r="L1478" s="1845"/>
      <c r="M1478" s="1845"/>
      <c r="N1478" s="1845"/>
      <c r="O1478" s="1845"/>
      <c r="P1478" s="1845"/>
      <c r="Q1478" s="1056"/>
      <c r="R1478" s="1056"/>
      <c r="S1478" s="1056"/>
      <c r="T1478" s="2059">
        <f t="shared" si="286"/>
        <v>0</v>
      </c>
    </row>
    <row r="1479" spans="1:20" ht="22.15" hidden="1" customHeight="1">
      <c r="A1479" s="59"/>
      <c r="B1479" s="1598" t="s">
        <v>605</v>
      </c>
      <c r="C1479" s="1015" t="str">
        <f t="shared" si="288"/>
        <v xml:space="preserve"> </v>
      </c>
      <c r="D1479" s="1543">
        <v>0.28899999999999998</v>
      </c>
      <c r="E1479" s="1047" t="str">
        <f>VLOOKUP($B1479,DG!A:C,2,)</f>
        <v>02.1451</v>
      </c>
      <c r="F1479" s="1052" t="str">
        <f>VLOOKUP($B1479,DG!A:C,3,)</f>
        <v>V/c đế néo vào vị trí (cự ly &lt;=100m)</v>
      </c>
      <c r="G1479" s="1047" t="str">
        <f>VLOOKUP($B1479,DG!A:D,4,0)</f>
        <v>tấn</v>
      </c>
      <c r="H1479" s="1845"/>
      <c r="I1479" s="1845"/>
      <c r="J1479" s="1845"/>
      <c r="K1479" s="1845"/>
      <c r="L1479" s="1845"/>
      <c r="M1479" s="1845"/>
      <c r="N1479" s="1845"/>
      <c r="O1479" s="1845"/>
      <c r="P1479" s="1845"/>
      <c r="Q1479" s="1061"/>
      <c r="R1479" s="1061"/>
      <c r="S1479" s="1061"/>
      <c r="T1479" s="2059">
        <f t="shared" si="286"/>
        <v>0</v>
      </c>
    </row>
    <row r="1480" spans="1:20" ht="22.15" hidden="1" customHeight="1">
      <c r="A1480" s="59"/>
      <c r="B1480" s="1598" t="s">
        <v>606</v>
      </c>
      <c r="C1480" s="1015" t="str">
        <f t="shared" si="288"/>
        <v xml:space="preserve"> </v>
      </c>
      <c r="D1480" s="1543">
        <v>0.05</v>
      </c>
      <c r="E1480" s="1047" t="str">
        <f>VLOOKUP($B1480,DG!A:C,2,)</f>
        <v>02.1482</v>
      </c>
      <c r="F1480" s="1052" t="str">
        <f>VLOOKUP($B1480,DG!A:C,3,)</f>
        <v>V/c dụng cụ thi công vào vị trí (cự ly &lt;=100m)</v>
      </c>
      <c r="G1480" s="1047" t="str">
        <f>VLOOKUP($B1480,DG!A:D,4,0)</f>
        <v>tấn</v>
      </c>
      <c r="H1480" s="1845"/>
      <c r="I1480" s="1845"/>
      <c r="J1480" s="1845"/>
      <c r="K1480" s="1845"/>
      <c r="L1480" s="1845"/>
      <c r="M1480" s="1845"/>
      <c r="N1480" s="1845"/>
      <c r="O1480" s="1845"/>
      <c r="P1480" s="1845"/>
      <c r="Q1480" s="1061"/>
      <c r="R1480" s="1061"/>
      <c r="S1480" s="1061"/>
      <c r="T1480" s="2059">
        <f t="shared" si="286"/>
        <v>0</v>
      </c>
    </row>
    <row r="1481" spans="1:20" ht="22.15" hidden="1" customHeight="1">
      <c r="A1481" s="972" t="s">
        <v>1096</v>
      </c>
      <c r="B1481" s="1583" t="s">
        <v>1096</v>
      </c>
      <c r="C1481" s="1015" t="str">
        <f t="shared" si="288"/>
        <v xml:space="preserve"> </v>
      </c>
      <c r="D1481" s="1541"/>
      <c r="E1481" s="1048"/>
      <c r="F1481" s="1396" t="s">
        <v>2507</v>
      </c>
      <c r="G1481" s="1049" t="s">
        <v>2394</v>
      </c>
      <c r="H1481" s="1843">
        <f>SUM(I1481:O1481)</f>
        <v>0</v>
      </c>
      <c r="I1481" s="1844"/>
      <c r="J1481" s="1844"/>
      <c r="K1481" s="1844">
        <f>IFERROR(HLOOKUP(B1481,pp3p1m!$1:$3,3,0),0)</f>
        <v>0</v>
      </c>
      <c r="L1481" s="1844">
        <f>IFERROR(HLOOKUP(chitiet!B1481,pp1p!$1:$3,3,0),0)</f>
        <v>0</v>
      </c>
      <c r="M1481" s="1844"/>
      <c r="N1481" s="1844"/>
      <c r="O1481" s="1844"/>
      <c r="P1481" s="1844">
        <f>H1481+Q1481-R1481</f>
        <v>0</v>
      </c>
      <c r="Q1481" s="1050"/>
      <c r="R1481" s="1050"/>
      <c r="S1481" s="1050"/>
      <c r="T1481" s="2059">
        <f>IFERROR(HLOOKUP(B1481,pp1p!$1:$3,3,0),0)+IFERROR(HLOOKUP(B1481,pp3p1m!$1:$3,3,0),0)</f>
        <v>0</v>
      </c>
    </row>
    <row r="1482" spans="1:20" ht="22.15" hidden="1" customHeight="1">
      <c r="A1482" s="59"/>
      <c r="B1482" s="1586" t="s">
        <v>2005</v>
      </c>
      <c r="C1482" s="1015" t="str">
        <f t="shared" si="288"/>
        <v xml:space="preserve"> </v>
      </c>
      <c r="D1482" s="1544">
        <v>1</v>
      </c>
      <c r="E1482" s="1047"/>
      <c r="F1482" s="1059" t="str">
        <f>VLOOKUP($B1482,DG!A:D,DG!$C$2,)</f>
        <v>Ty neo Ø22x3000</v>
      </c>
      <c r="G1482" s="1047" t="str">
        <f>VLOOKUP($B1482,DG!A:D,DG!$D$2,)</f>
        <v>cái</v>
      </c>
      <c r="H1482" s="1845">
        <f t="shared" ref="H1482:N1484" si="291">H$1481*$D1482</f>
        <v>0</v>
      </c>
      <c r="I1482" s="1845">
        <f t="shared" si="291"/>
        <v>0</v>
      </c>
      <c r="J1482" s="1845">
        <f t="shared" si="291"/>
        <v>0</v>
      </c>
      <c r="K1482" s="1845">
        <f t="shared" si="291"/>
        <v>0</v>
      </c>
      <c r="L1482" s="1845">
        <f t="shared" si="291"/>
        <v>0</v>
      </c>
      <c r="M1482" s="1845">
        <f t="shared" si="291"/>
        <v>0</v>
      </c>
      <c r="N1482" s="1845">
        <f t="shared" si="291"/>
        <v>0</v>
      </c>
      <c r="O1482" s="1845"/>
      <c r="P1482" s="1845"/>
      <c r="Q1482" s="1056"/>
      <c r="R1482" s="1056"/>
      <c r="S1482" s="1056"/>
      <c r="T1482" s="2059">
        <f t="shared" si="286"/>
        <v>0</v>
      </c>
    </row>
    <row r="1483" spans="1:20" ht="22.15" hidden="1" customHeight="1">
      <c r="A1483" s="59"/>
      <c r="B1483" s="1586" t="s">
        <v>2139</v>
      </c>
      <c r="C1483" s="1015" t="str">
        <f t="shared" si="288"/>
        <v xml:space="preserve"> </v>
      </c>
      <c r="D1483" s="1544">
        <v>1</v>
      </c>
      <c r="E1483" s="1047" t="str">
        <f>VLOOKUP($B1483,DG!A:D,DG!$B$2,)</f>
        <v>04.3802</v>
      </c>
      <c r="F1483" s="1059" t="str">
        <f>VLOOKUP($B1483,DG!A:D,DG!$C$2,)</f>
        <v>Đế neo BTCT 600x1500</v>
      </c>
      <c r="G1483" s="1047" t="str">
        <f>VLOOKUP($B1483,DG!A:D,DG!$D$2,)</f>
        <v>cái</v>
      </c>
      <c r="H1483" s="1845">
        <f t="shared" si="291"/>
        <v>0</v>
      </c>
      <c r="I1483" s="1845">
        <f t="shared" si="291"/>
        <v>0</v>
      </c>
      <c r="J1483" s="1845">
        <f t="shared" si="291"/>
        <v>0</v>
      </c>
      <c r="K1483" s="1845">
        <f t="shared" si="291"/>
        <v>0</v>
      </c>
      <c r="L1483" s="1845">
        <f t="shared" si="291"/>
        <v>0</v>
      </c>
      <c r="M1483" s="1845">
        <f t="shared" si="291"/>
        <v>0</v>
      </c>
      <c r="N1483" s="1845">
        <f t="shared" si="291"/>
        <v>0</v>
      </c>
      <c r="O1483" s="1845"/>
      <c r="P1483" s="1845"/>
      <c r="Q1483" s="1056"/>
      <c r="R1483" s="1056"/>
      <c r="S1483" s="1056"/>
      <c r="T1483" s="2059">
        <f t="shared" si="286"/>
        <v>0</v>
      </c>
    </row>
    <row r="1484" spans="1:20" ht="22.15" hidden="1" customHeight="1">
      <c r="A1484" s="59"/>
      <c r="B1484" s="1586" t="s">
        <v>1066</v>
      </c>
      <c r="C1484" s="1015" t="str">
        <f t="shared" si="288"/>
        <v xml:space="preserve"> </v>
      </c>
      <c r="D1484" s="1554">
        <v>2</v>
      </c>
      <c r="E1484" s="1047" t="str">
        <f>VLOOKUP($B1484,DG!A:D,DG!$B$2,)</f>
        <v>04.9001</v>
      </c>
      <c r="F1484" s="1059" t="str">
        <f>VLOOKUP($B1484,DG!A:D,DG!$C$2,)</f>
        <v>Bitum</v>
      </c>
      <c r="G1484" s="1047" t="str">
        <f>VLOOKUP($B1484,DG!A:D,DG!$D$2,)</f>
        <v>m2</v>
      </c>
      <c r="H1484" s="1845">
        <f t="shared" si="291"/>
        <v>0</v>
      </c>
      <c r="I1484" s="1845">
        <f t="shared" si="291"/>
        <v>0</v>
      </c>
      <c r="J1484" s="1845">
        <f t="shared" si="291"/>
        <v>0</v>
      </c>
      <c r="K1484" s="1845">
        <f t="shared" si="291"/>
        <v>0</v>
      </c>
      <c r="L1484" s="1845">
        <f t="shared" si="291"/>
        <v>0</v>
      </c>
      <c r="M1484" s="1845">
        <f t="shared" si="291"/>
        <v>0</v>
      </c>
      <c r="N1484" s="1845">
        <f t="shared" si="291"/>
        <v>0</v>
      </c>
      <c r="O1484" s="1845"/>
      <c r="P1484" s="1845"/>
      <c r="Q1484" s="1056"/>
      <c r="R1484" s="1056"/>
      <c r="S1484" s="1056"/>
      <c r="T1484" s="2059">
        <f t="shared" si="286"/>
        <v>0</v>
      </c>
    </row>
    <row r="1485" spans="1:20" ht="22.15" hidden="1" customHeight="1">
      <c r="A1485" s="59"/>
      <c r="B1485" s="1586" t="s">
        <v>639</v>
      </c>
      <c r="C1485" s="1015" t="str">
        <f t="shared" si="288"/>
        <v xml:space="preserve"> </v>
      </c>
      <c r="D1485" s="1543">
        <v>10.56</v>
      </c>
      <c r="E1485" s="1047" t="str">
        <f>VLOOKUP($B1485,DG!A:D,DG!$B$2,)</f>
        <v>03.1013</v>
      </c>
      <c r="F1485" s="1052" t="str">
        <f>VLOOKUP($B1485,DG!A:D,DG!$C$2,)</f>
        <v>Đào hố móng đất cấp 3 sâu &gt;1m</v>
      </c>
      <c r="G1485" s="1047" t="str">
        <f>VLOOKUP($B1485,DG!A:D,DG!$D$2,)</f>
        <v>m3</v>
      </c>
      <c r="H1485" s="1845"/>
      <c r="I1485" s="1845"/>
      <c r="J1485" s="1845"/>
      <c r="K1485" s="1845"/>
      <c r="L1485" s="1845"/>
      <c r="M1485" s="1845"/>
      <c r="N1485" s="1845"/>
      <c r="O1485" s="1845"/>
      <c r="P1485" s="1845"/>
      <c r="Q1485" s="1056"/>
      <c r="R1485" s="1056"/>
      <c r="S1485" s="1056"/>
      <c r="T1485" s="2059">
        <f t="shared" si="286"/>
        <v>0</v>
      </c>
    </row>
    <row r="1486" spans="1:20" ht="22.15" hidden="1" customHeight="1">
      <c r="A1486" s="59"/>
      <c r="B1486" s="1586" t="s">
        <v>21</v>
      </c>
      <c r="C1486" s="1015" t="str">
        <f t="shared" si="288"/>
        <v xml:space="preserve"> </v>
      </c>
      <c r="D1486" s="1543">
        <v>11.78</v>
      </c>
      <c r="E1486" s="1047" t="str">
        <f>VLOOKUP($B1486,DG!A:D,DG!$B$2,)</f>
        <v>03.4113</v>
      </c>
      <c r="F1486" s="1052" t="str">
        <f>VLOOKUP($B1486,DG!A:D,DG!$C$2,)</f>
        <v>Đắp đất hố móng, độ chặt k=0,95</v>
      </c>
      <c r="G1486" s="1047" t="str">
        <f>VLOOKUP($B1486,DG!A:D,DG!$D$2,)</f>
        <v>m3</v>
      </c>
      <c r="H1486" s="1845"/>
      <c r="I1486" s="1845"/>
      <c r="J1486" s="1845"/>
      <c r="K1486" s="1845"/>
      <c r="L1486" s="1845"/>
      <c r="M1486" s="1845"/>
      <c r="N1486" s="1845"/>
      <c r="O1486" s="1845"/>
      <c r="P1486" s="1845"/>
      <c r="Q1486" s="1056"/>
      <c r="R1486" s="1056"/>
      <c r="S1486" s="1056"/>
      <c r="T1486" s="2059">
        <f t="shared" si="286"/>
        <v>0</v>
      </c>
    </row>
    <row r="1487" spans="1:20" ht="22.15" hidden="1" customHeight="1">
      <c r="A1487" s="59"/>
      <c r="B1487" s="1586" t="s">
        <v>637</v>
      </c>
      <c r="C1487" s="1015" t="str">
        <f t="shared" si="288"/>
        <v xml:space="preserve"> </v>
      </c>
      <c r="D1487" s="1543">
        <f>D1488</f>
        <v>0.28899999999999998</v>
      </c>
      <c r="E1487" s="1047" t="str">
        <f>VLOOKUP($B1487,DG!A:D,DG!$B$2,)</f>
        <v>02.1123</v>
      </c>
      <c r="F1487" s="1052" t="str">
        <f>VLOOKUP($B1487,DG!A:D,DG!$C$2,)</f>
        <v>Bốc dỡ đà cản, đế néo</v>
      </c>
      <c r="G1487" s="1047" t="str">
        <f>VLOOKUP($B1487,DG!A:D,DG!$D$2,)</f>
        <v>tấn</v>
      </c>
      <c r="H1487" s="1845"/>
      <c r="I1487" s="1845"/>
      <c r="J1487" s="1845"/>
      <c r="K1487" s="1845"/>
      <c r="L1487" s="1845"/>
      <c r="M1487" s="1845"/>
      <c r="N1487" s="1845"/>
      <c r="O1487" s="1845"/>
      <c r="P1487" s="1845"/>
      <c r="Q1487" s="1056"/>
      <c r="R1487" s="1056"/>
      <c r="S1487" s="1056"/>
      <c r="T1487" s="2059">
        <f t="shared" si="286"/>
        <v>0</v>
      </c>
    </row>
    <row r="1488" spans="1:20" ht="22.15" hidden="1" customHeight="1">
      <c r="A1488" s="59"/>
      <c r="B1488" s="1598" t="s">
        <v>605</v>
      </c>
      <c r="C1488" s="1015" t="str">
        <f t="shared" si="288"/>
        <v xml:space="preserve"> </v>
      </c>
      <c r="D1488" s="1543">
        <v>0.28899999999999998</v>
      </c>
      <c r="E1488" s="1047" t="str">
        <f>VLOOKUP($B1488,DG!A:C,2,)</f>
        <v>02.1451</v>
      </c>
      <c r="F1488" s="1052" t="str">
        <f>VLOOKUP($B1488,DG!A:C,3,)</f>
        <v>V/c đế néo vào vị trí (cự ly &lt;=100m)</v>
      </c>
      <c r="G1488" s="1047" t="str">
        <f>VLOOKUP($B1488,DG!A:D,4,0)</f>
        <v>tấn</v>
      </c>
      <c r="H1488" s="1845"/>
      <c r="I1488" s="1845"/>
      <c r="J1488" s="1845"/>
      <c r="K1488" s="1845"/>
      <c r="L1488" s="1845"/>
      <c r="M1488" s="1845"/>
      <c r="N1488" s="1845"/>
      <c r="O1488" s="1845"/>
      <c r="P1488" s="1845"/>
      <c r="Q1488" s="1061"/>
      <c r="R1488" s="1061"/>
      <c r="S1488" s="1061"/>
      <c r="T1488" s="2059">
        <f t="shared" si="286"/>
        <v>0</v>
      </c>
    </row>
    <row r="1489" spans="1:20" ht="22.15" hidden="1" customHeight="1">
      <c r="A1489" s="59"/>
      <c r="B1489" s="1598" t="s">
        <v>606</v>
      </c>
      <c r="C1489" s="1015" t="str">
        <f t="shared" si="288"/>
        <v xml:space="preserve"> </v>
      </c>
      <c r="D1489" s="1543">
        <v>0.05</v>
      </c>
      <c r="E1489" s="1047" t="str">
        <f>VLOOKUP($B1489,DG!A:C,2,)</f>
        <v>02.1482</v>
      </c>
      <c r="F1489" s="1052" t="str">
        <f>VLOOKUP($B1489,DG!A:C,3,)</f>
        <v>V/c dụng cụ thi công vào vị trí (cự ly &lt;=100m)</v>
      </c>
      <c r="G1489" s="1047" t="str">
        <f>VLOOKUP($B1489,DG!A:D,4,0)</f>
        <v>tấn</v>
      </c>
      <c r="H1489" s="1845"/>
      <c r="I1489" s="1845"/>
      <c r="J1489" s="1845"/>
      <c r="K1489" s="1845"/>
      <c r="L1489" s="1845"/>
      <c r="M1489" s="1845"/>
      <c r="N1489" s="1845"/>
      <c r="O1489" s="1845"/>
      <c r="P1489" s="1845"/>
      <c r="Q1489" s="1061"/>
      <c r="R1489" s="1061"/>
      <c r="S1489" s="1061"/>
      <c r="T1489" s="2059">
        <f t="shared" si="286"/>
        <v>0</v>
      </c>
    </row>
    <row r="1490" spans="1:20" ht="22.15" customHeight="1">
      <c r="A1490" s="1581"/>
      <c r="B1490" s="1583">
        <v>0</v>
      </c>
      <c r="C1490" s="1854" t="s">
        <v>1962</v>
      </c>
      <c r="D1490" s="1556">
        <f>SUM(H1490:N1490)+S1490</f>
        <v>0</v>
      </c>
      <c r="E1490" s="1049" t="s">
        <v>1914</v>
      </c>
      <c r="F1490" s="1049" t="s">
        <v>2308</v>
      </c>
      <c r="G1490" s="1048"/>
      <c r="H1490" s="1843">
        <f t="shared" ref="H1490:H1491" si="292">SUM(I1490:O1490)</f>
        <v>0</v>
      </c>
      <c r="I1490" s="1838"/>
      <c r="J1490" s="1838"/>
      <c r="K1490" s="1838"/>
      <c r="L1490" s="1844">
        <f>IFERROR(HLOOKUP(chitiet!B1490,pp1p!$1:$3,3,0),0)</f>
        <v>0</v>
      </c>
      <c r="M1490" s="1838"/>
      <c r="N1490" s="1838"/>
      <c r="O1490" s="1838"/>
      <c r="P1490" s="1843">
        <f>H1490+Q1490-R1490</f>
        <v>0</v>
      </c>
      <c r="Q1490" s="1048"/>
      <c r="R1490" s="1048"/>
      <c r="S1490" s="1048"/>
      <c r="T1490" s="2059">
        <f t="shared" si="286"/>
        <v>0</v>
      </c>
    </row>
    <row r="1491" spans="1:20" ht="22.15" hidden="1" customHeight="1">
      <c r="A1491" s="1018" t="s">
        <v>28</v>
      </c>
      <c r="B1491" s="1583" t="s">
        <v>28</v>
      </c>
      <c r="C1491" s="1015" t="str">
        <f>IF(D1491&lt;&gt;0,"x"," ")</f>
        <v xml:space="preserve"> </v>
      </c>
      <c r="D1491" s="1541">
        <f>IF(SUM(D1492:D1510)&lt;&gt;0,1,0)</f>
        <v>0</v>
      </c>
      <c r="E1491" s="1049" t="s">
        <v>2178</v>
      </c>
      <c r="F1491" s="1396" t="s">
        <v>4440</v>
      </c>
      <c r="G1491" s="1049" t="s">
        <v>2309</v>
      </c>
      <c r="H1491" s="1843">
        <f t="shared" si="292"/>
        <v>0</v>
      </c>
      <c r="I1491" s="1844"/>
      <c r="J1491" s="1844"/>
      <c r="K1491" s="1844"/>
      <c r="L1491" s="1844">
        <f>IFERROR(HLOOKUP(chitiet!B1491,pp1p!$1:$3,3,0),0)</f>
        <v>0</v>
      </c>
      <c r="M1491" s="1844"/>
      <c r="N1491" s="1844"/>
      <c r="O1491" s="1844"/>
      <c r="P1491" s="1844">
        <f>H1491+Q1491-R1491</f>
        <v>0</v>
      </c>
      <c r="Q1491" s="1050"/>
      <c r="R1491" s="1050"/>
      <c r="S1491" s="1050"/>
      <c r="T1491" s="2059">
        <f t="shared" si="286"/>
        <v>0</v>
      </c>
    </row>
    <row r="1492" spans="1:20" ht="22.15" hidden="1" customHeight="1">
      <c r="A1492" s="59"/>
      <c r="B1492" s="1586" t="s">
        <v>730</v>
      </c>
      <c r="C1492" s="1015" t="str">
        <f t="shared" si="288"/>
        <v xml:space="preserve"> </v>
      </c>
      <c r="D1492" s="1554">
        <f>ROUND(E1492*1.02*0.952,2)</f>
        <v>0</v>
      </c>
      <c r="E1492" s="1064">
        <f>pp_NC!D186</f>
        <v>0</v>
      </c>
      <c r="F1492" s="1059" t="str">
        <f>VLOOKUP($B1492,DG!A:D,DG!$C$2,)</f>
        <v>Cáp nhôm lõi thép AC-240/39</v>
      </c>
      <c r="G1492" s="1047" t="str">
        <f>VLOOKUP($B1492,DG!A:D,DG!$D$2,)</f>
        <v>kg</v>
      </c>
      <c r="H1492" s="1845">
        <f t="shared" ref="H1492:H1523" si="293">$D1492</f>
        <v>0</v>
      </c>
      <c r="I1492" s="1845"/>
      <c r="J1492" s="1845">
        <f t="shared" ref="J1492:J1523" si="294">D1492</f>
        <v>0</v>
      </c>
      <c r="K1492" s="1845"/>
      <c r="L1492" s="1845"/>
      <c r="M1492" s="1845"/>
      <c r="N1492" s="1845"/>
      <c r="O1492" s="1845"/>
      <c r="P1492" s="1845">
        <f>H1492+Q1492-R1492</f>
        <v>0</v>
      </c>
      <c r="Q1492" s="1056"/>
      <c r="R1492" s="1056"/>
      <c r="S1492" s="1056"/>
      <c r="T1492" s="2059">
        <f t="shared" si="286"/>
        <v>0</v>
      </c>
    </row>
    <row r="1493" spans="1:20" ht="22.15" hidden="1" customHeight="1">
      <c r="A1493" s="59"/>
      <c r="B1493" s="1586" t="s">
        <v>731</v>
      </c>
      <c r="C1493" s="1015" t="str">
        <f t="shared" si="288"/>
        <v xml:space="preserve"> </v>
      </c>
      <c r="D1493" s="1554">
        <f>ROUND(E1493*1.02*0.727,2)</f>
        <v>0</v>
      </c>
      <c r="E1493" s="1064">
        <f>pp_NC!D187</f>
        <v>0</v>
      </c>
      <c r="F1493" s="1059" t="str">
        <f>VLOOKUP($B1493,DG!A:D,DG!$C$2,)</f>
        <v>Cáp nhôm lõi thép AC-185/29</v>
      </c>
      <c r="G1493" s="1047" t="str">
        <f>VLOOKUP($B1493,DG!A:D,DG!$D$2,)</f>
        <v>kg</v>
      </c>
      <c r="H1493" s="1845">
        <f t="shared" si="293"/>
        <v>0</v>
      </c>
      <c r="I1493" s="1845"/>
      <c r="J1493" s="1845">
        <f t="shared" si="294"/>
        <v>0</v>
      </c>
      <c r="K1493" s="1845"/>
      <c r="L1493" s="1845"/>
      <c r="M1493" s="1845"/>
      <c r="N1493" s="1845"/>
      <c r="O1493" s="1845"/>
      <c r="P1493" s="1845">
        <f t="shared" ref="P1493:P1556" si="295">H1493+Q1493-R1493</f>
        <v>0</v>
      </c>
      <c r="Q1493" s="1056"/>
      <c r="R1493" s="1056"/>
      <c r="S1493" s="1056"/>
      <c r="T1493" s="2059">
        <f t="shared" si="286"/>
        <v>0</v>
      </c>
    </row>
    <row r="1494" spans="1:20" ht="22.15" hidden="1" customHeight="1">
      <c r="A1494" s="59"/>
      <c r="B1494" s="1586" t="s">
        <v>843</v>
      </c>
      <c r="C1494" s="1015" t="str">
        <f t="shared" si="288"/>
        <v xml:space="preserve"> </v>
      </c>
      <c r="D1494" s="1554">
        <f>ROUND(E1494*1.02*0.6,2)</f>
        <v>0</v>
      </c>
      <c r="E1494" s="1064">
        <f>pp_NC!D188</f>
        <v>0</v>
      </c>
      <c r="F1494" s="1059" t="str">
        <f>VLOOKUP($B1494,DG!A:D,DG!$C$2,)</f>
        <v>Cáp nhôm lõi thép AC-150/24</v>
      </c>
      <c r="G1494" s="1047" t="str">
        <f>VLOOKUP($B1494,DG!A:D,DG!$D$2,)</f>
        <v>kg</v>
      </c>
      <c r="H1494" s="1845">
        <f t="shared" si="293"/>
        <v>0</v>
      </c>
      <c r="I1494" s="1845"/>
      <c r="J1494" s="1845">
        <f t="shared" si="294"/>
        <v>0</v>
      </c>
      <c r="K1494" s="1845"/>
      <c r="L1494" s="1845"/>
      <c r="M1494" s="1845"/>
      <c r="N1494" s="1845"/>
      <c r="O1494" s="1845"/>
      <c r="P1494" s="1845">
        <f t="shared" si="295"/>
        <v>0</v>
      </c>
      <c r="Q1494" s="1056"/>
      <c r="R1494" s="1056"/>
      <c r="S1494" s="1056"/>
      <c r="T1494" s="2059">
        <f t="shared" si="286"/>
        <v>0</v>
      </c>
    </row>
    <row r="1495" spans="1:20" ht="22.15" hidden="1" customHeight="1">
      <c r="A1495" s="59"/>
      <c r="B1495" s="1586" t="s">
        <v>539</v>
      </c>
      <c r="C1495" s="1015" t="str">
        <f t="shared" si="288"/>
        <v xml:space="preserve"> </v>
      </c>
      <c r="D1495" s="1554">
        <f>ROUND(E1495*1.02*0.471,2)</f>
        <v>0</v>
      </c>
      <c r="E1495" s="1064"/>
      <c r="F1495" s="1059" t="str">
        <f>VLOOKUP($B1495,DG!A:D,DG!$C$2,)</f>
        <v>Cáp nhôm lõi thép AC-120/19</v>
      </c>
      <c r="G1495" s="1047" t="str">
        <f>VLOOKUP($B1495,DG!A:D,DG!$D$2,)</f>
        <v>kg</v>
      </c>
      <c r="H1495" s="1845">
        <f t="shared" si="293"/>
        <v>0</v>
      </c>
      <c r="I1495" s="1845"/>
      <c r="J1495" s="1845">
        <f t="shared" si="294"/>
        <v>0</v>
      </c>
      <c r="K1495" s="1845"/>
      <c r="L1495" s="1845"/>
      <c r="M1495" s="1845"/>
      <c r="N1495" s="1845"/>
      <c r="O1495" s="1845"/>
      <c r="P1495" s="1845">
        <f t="shared" si="295"/>
        <v>0</v>
      </c>
      <c r="Q1495" s="1056"/>
      <c r="R1495" s="1056"/>
      <c r="S1495" s="1056"/>
      <c r="T1495" s="2059">
        <f t="shared" si="286"/>
        <v>0</v>
      </c>
    </row>
    <row r="1496" spans="1:20" ht="22.15" hidden="1" customHeight="1">
      <c r="A1496" s="59"/>
      <c r="B1496" s="1586" t="s">
        <v>269</v>
      </c>
      <c r="C1496" s="1015" t="str">
        <f t="shared" si="288"/>
        <v xml:space="preserve"> </v>
      </c>
      <c r="D1496" s="1554">
        <f>ROUND(E1496*1.02*0.384,2)</f>
        <v>0</v>
      </c>
      <c r="E1496" s="1064">
        <f>pp_NC!D190</f>
        <v>0</v>
      </c>
      <c r="F1496" s="1059" t="str">
        <f>VLOOKUP($B1496,DG!A:D,DG!$C$2,)</f>
        <v>Cáp nhôm lõi thép AC-95/16</v>
      </c>
      <c r="G1496" s="1047" t="str">
        <f>VLOOKUP($B1496,DG!A:D,DG!$D$2,)</f>
        <v>kg</v>
      </c>
      <c r="H1496" s="1845">
        <f t="shared" si="293"/>
        <v>0</v>
      </c>
      <c r="I1496" s="1845"/>
      <c r="J1496" s="1845">
        <f t="shared" si="294"/>
        <v>0</v>
      </c>
      <c r="K1496" s="1845"/>
      <c r="L1496" s="1845"/>
      <c r="M1496" s="1845"/>
      <c r="N1496" s="1845"/>
      <c r="O1496" s="1845"/>
      <c r="P1496" s="1845">
        <f t="shared" si="295"/>
        <v>0</v>
      </c>
      <c r="Q1496" s="1056"/>
      <c r="R1496" s="1056"/>
      <c r="S1496" s="1056"/>
      <c r="T1496" s="2059">
        <f t="shared" si="286"/>
        <v>0</v>
      </c>
    </row>
    <row r="1497" spans="1:20" ht="22.15" hidden="1" customHeight="1">
      <c r="A1497" s="59"/>
      <c r="B1497" s="1586" t="s">
        <v>1244</v>
      </c>
      <c r="C1497" s="1015" t="str">
        <f t="shared" si="288"/>
        <v xml:space="preserve"> </v>
      </c>
      <c r="D1497" s="1554">
        <f>ROUND(E1497*1.02*0.274,2)</f>
        <v>0</v>
      </c>
      <c r="E1497" s="1064">
        <f>pp_NC!D191</f>
        <v>0</v>
      </c>
      <c r="F1497" s="1059" t="str">
        <f>VLOOKUP($B1497,DG!A:D,DG!$C$2,)</f>
        <v>Cáp nhôm lõi thép AC-70/11</v>
      </c>
      <c r="G1497" s="1047" t="str">
        <f>VLOOKUP($B1497,DG!A:D,DG!$D$2,)</f>
        <v>kg</v>
      </c>
      <c r="H1497" s="1845">
        <f t="shared" si="293"/>
        <v>0</v>
      </c>
      <c r="I1497" s="1845"/>
      <c r="J1497" s="1845">
        <f t="shared" si="294"/>
        <v>0</v>
      </c>
      <c r="K1497" s="1845"/>
      <c r="L1497" s="1845"/>
      <c r="M1497" s="1845"/>
      <c r="N1497" s="1845"/>
      <c r="O1497" s="1845"/>
      <c r="P1497" s="1845">
        <f t="shared" si="295"/>
        <v>0</v>
      </c>
      <c r="Q1497" s="1056"/>
      <c r="R1497" s="1056"/>
      <c r="S1497" s="1056"/>
      <c r="T1497" s="2059">
        <f t="shared" si="286"/>
        <v>0</v>
      </c>
    </row>
    <row r="1498" spans="1:20" ht="22.15" hidden="1" customHeight="1">
      <c r="A1498" s="59"/>
      <c r="B1498" s="1586" t="s">
        <v>88</v>
      </c>
      <c r="C1498" s="1015" t="str">
        <f t="shared" si="288"/>
        <v xml:space="preserve"> </v>
      </c>
      <c r="D1498" s="1554">
        <f>ROUND(E1498*1.02*0.195,2)</f>
        <v>0</v>
      </c>
      <c r="E1498" s="1064"/>
      <c r="F1498" s="1059" t="str">
        <f>VLOOKUP($B1498,DG!A:D,DG!$C$2,)</f>
        <v>Cáp nhôm lõi thép AC-50/8</v>
      </c>
      <c r="G1498" s="1047" t="str">
        <f>VLOOKUP($B1498,DG!A:D,DG!$D$2,)</f>
        <v>kg</v>
      </c>
      <c r="H1498" s="1845">
        <f t="shared" si="293"/>
        <v>0</v>
      </c>
      <c r="I1498" s="1845"/>
      <c r="J1498" s="1845">
        <f t="shared" si="294"/>
        <v>0</v>
      </c>
      <c r="K1498" s="1845"/>
      <c r="L1498" s="1845"/>
      <c r="M1498" s="1845"/>
      <c r="N1498" s="1845"/>
      <c r="O1498" s="1845"/>
      <c r="P1498" s="1845">
        <f t="shared" si="295"/>
        <v>0</v>
      </c>
      <c r="Q1498" s="1056"/>
      <c r="R1498" s="1056"/>
      <c r="S1498" s="1056"/>
      <c r="T1498" s="2059">
        <f t="shared" si="286"/>
        <v>0</v>
      </c>
    </row>
    <row r="1499" spans="1:20" ht="22.15" hidden="1" customHeight="1">
      <c r="A1499" s="1017"/>
      <c r="B1499" s="1580" t="s">
        <v>360</v>
      </c>
      <c r="C1499" s="1015" t="str">
        <f t="shared" si="288"/>
        <v xml:space="preserve"> </v>
      </c>
      <c r="D1499" s="1554">
        <f>E1499*2.04</f>
        <v>0</v>
      </c>
      <c r="E1499" s="1064">
        <f>pp_NC!C199</f>
        <v>0</v>
      </c>
      <c r="F1499" s="1059" t="str">
        <f>VLOOKUP($B1499,DG!A:D,DG!$C$2,)</f>
        <v>Cáp 24KV ACX 50mm2</v>
      </c>
      <c r="G1499" s="1047" t="str">
        <f>VLOOKUP($B1499,DG!A:D,DG!$D$2,)</f>
        <v>mét</v>
      </c>
      <c r="H1499" s="1845">
        <f t="shared" si="293"/>
        <v>0</v>
      </c>
      <c r="I1499" s="1845"/>
      <c r="J1499" s="1845">
        <f t="shared" si="294"/>
        <v>0</v>
      </c>
      <c r="K1499" s="1845"/>
      <c r="L1499" s="1845"/>
      <c r="M1499" s="1845"/>
      <c r="N1499" s="1845"/>
      <c r="O1499" s="1845"/>
      <c r="P1499" s="1845">
        <f t="shared" si="295"/>
        <v>0</v>
      </c>
      <c r="Q1499" s="1056"/>
      <c r="R1499" s="1056"/>
      <c r="S1499" s="1056"/>
      <c r="T1499" s="2059">
        <f t="shared" si="286"/>
        <v>0</v>
      </c>
    </row>
    <row r="1500" spans="1:20" ht="22.15" hidden="1" customHeight="1">
      <c r="A1500" s="59"/>
      <c r="B1500" s="1586" t="s">
        <v>1800</v>
      </c>
      <c r="C1500" s="1015" t="str">
        <f t="shared" si="288"/>
        <v xml:space="preserve"> </v>
      </c>
      <c r="D1500" s="1544">
        <f t="shared" ref="D1500:D1505" si="296">ROUND(E1500*1.03,2)</f>
        <v>0</v>
      </c>
      <c r="E1500" s="1064">
        <f>pp_NC!D193</f>
        <v>0</v>
      </c>
      <c r="F1500" s="1059" t="str">
        <f>VLOOKUP($B1500,DG!A:D,DG!$C$2,)</f>
        <v>Cáp 24KV A/XLPE/PVC 240mm2</v>
      </c>
      <c r="G1500" s="1047" t="str">
        <f>VLOOKUP($B1500,DG!A:D,DG!$D$2,)</f>
        <v>mét</v>
      </c>
      <c r="H1500" s="1845">
        <f t="shared" si="293"/>
        <v>0</v>
      </c>
      <c r="I1500" s="1845"/>
      <c r="J1500" s="1845">
        <f t="shared" si="294"/>
        <v>0</v>
      </c>
      <c r="K1500" s="1845"/>
      <c r="L1500" s="1845"/>
      <c r="M1500" s="1845"/>
      <c r="N1500" s="1845"/>
      <c r="O1500" s="1845"/>
      <c r="P1500" s="1845">
        <f t="shared" si="295"/>
        <v>0</v>
      </c>
      <c r="Q1500" s="1056"/>
      <c r="R1500" s="1056"/>
      <c r="S1500" s="1056"/>
      <c r="T1500" s="2059">
        <f t="shared" si="286"/>
        <v>0</v>
      </c>
    </row>
    <row r="1501" spans="1:20" ht="22.15" hidden="1" customHeight="1">
      <c r="A1501" s="59"/>
      <c r="B1501" s="1586" t="s">
        <v>1033</v>
      </c>
      <c r="C1501" s="1015" t="str">
        <f t="shared" si="288"/>
        <v xml:space="preserve"> </v>
      </c>
      <c r="D1501" s="1544">
        <f t="shared" si="296"/>
        <v>0</v>
      </c>
      <c r="E1501" s="1064">
        <f>pp_NC!D194</f>
        <v>0</v>
      </c>
      <c r="F1501" s="1059" t="str">
        <f>VLOOKUP($B1501,DG!A:D,DG!$C$2,)</f>
        <v>Cáp 24KV A/XLPE/PVC 185mm2</v>
      </c>
      <c r="G1501" s="1047" t="str">
        <f>VLOOKUP($B1501,DG!A:D,DG!$D$2,)</f>
        <v>mét</v>
      </c>
      <c r="H1501" s="1845">
        <f t="shared" si="293"/>
        <v>0</v>
      </c>
      <c r="I1501" s="1845"/>
      <c r="J1501" s="1845">
        <f t="shared" si="294"/>
        <v>0</v>
      </c>
      <c r="K1501" s="1845"/>
      <c r="L1501" s="1845"/>
      <c r="M1501" s="1845"/>
      <c r="N1501" s="1845"/>
      <c r="O1501" s="1845"/>
      <c r="P1501" s="1845">
        <f t="shared" si="295"/>
        <v>0</v>
      </c>
      <c r="Q1501" s="1056"/>
      <c r="R1501" s="1056"/>
      <c r="S1501" s="1056"/>
      <c r="T1501" s="2059">
        <f t="shared" si="286"/>
        <v>0</v>
      </c>
    </row>
    <row r="1502" spans="1:20" ht="22.15" hidden="1" customHeight="1">
      <c r="A1502" s="59"/>
      <c r="B1502" s="1586" t="s">
        <v>1034</v>
      </c>
      <c r="C1502" s="1015" t="str">
        <f t="shared" si="288"/>
        <v xml:space="preserve"> </v>
      </c>
      <c r="D1502" s="1544">
        <f t="shared" si="296"/>
        <v>0</v>
      </c>
      <c r="E1502" s="1064">
        <f>pp_NC!D195</f>
        <v>0</v>
      </c>
      <c r="F1502" s="1059" t="str">
        <f>VLOOKUP($B1502,DG!A:D,DG!$C$2,)</f>
        <v>Cáp 24KV A/XLPE/PVC 150mm2</v>
      </c>
      <c r="G1502" s="1047" t="str">
        <f>VLOOKUP($B1502,DG!A:D,DG!$D$2,)</f>
        <v>mét</v>
      </c>
      <c r="H1502" s="1845">
        <f t="shared" si="293"/>
        <v>0</v>
      </c>
      <c r="I1502" s="1845"/>
      <c r="J1502" s="1845">
        <f t="shared" si="294"/>
        <v>0</v>
      </c>
      <c r="K1502" s="1845"/>
      <c r="L1502" s="1845"/>
      <c r="M1502" s="1845"/>
      <c r="N1502" s="1845"/>
      <c r="O1502" s="1845"/>
      <c r="P1502" s="1845">
        <f t="shared" si="295"/>
        <v>0</v>
      </c>
      <c r="Q1502" s="1056"/>
      <c r="R1502" s="1056"/>
      <c r="S1502" s="1056"/>
      <c r="T1502" s="2059">
        <f t="shared" si="286"/>
        <v>0</v>
      </c>
    </row>
    <row r="1503" spans="1:20" ht="22.15" hidden="1" customHeight="1">
      <c r="A1503" s="59"/>
      <c r="B1503" s="1586" t="s">
        <v>657</v>
      </c>
      <c r="C1503" s="1015" t="str">
        <f t="shared" si="288"/>
        <v xml:space="preserve"> </v>
      </c>
      <c r="D1503" s="1544">
        <f t="shared" si="296"/>
        <v>0</v>
      </c>
      <c r="E1503" s="1064">
        <f>pp_NC!D196</f>
        <v>0</v>
      </c>
      <c r="F1503" s="1059" t="str">
        <f>VLOOKUP($B1503,DG!A:D,DG!$C$2,)</f>
        <v>Cáp 24KV A/XLPE/PVC 120mm2</v>
      </c>
      <c r="G1503" s="1047" t="str">
        <f>VLOOKUP($B1503,DG!A:D,DG!$D$2,)</f>
        <v>mét</v>
      </c>
      <c r="H1503" s="1845">
        <f t="shared" si="293"/>
        <v>0</v>
      </c>
      <c r="I1503" s="1845"/>
      <c r="J1503" s="1845">
        <f t="shared" si="294"/>
        <v>0</v>
      </c>
      <c r="K1503" s="1845"/>
      <c r="L1503" s="1845"/>
      <c r="M1503" s="1845"/>
      <c r="N1503" s="1845"/>
      <c r="O1503" s="1845"/>
      <c r="P1503" s="1845">
        <f t="shared" si="295"/>
        <v>0</v>
      </c>
      <c r="Q1503" s="1056"/>
      <c r="R1503" s="1056"/>
      <c r="S1503" s="1056"/>
      <c r="T1503" s="2059">
        <f t="shared" si="286"/>
        <v>0</v>
      </c>
    </row>
    <row r="1504" spans="1:20" ht="22.15" hidden="1" customHeight="1">
      <c r="A1504" s="59"/>
      <c r="B1504" s="1586" t="s">
        <v>57</v>
      </c>
      <c r="C1504" s="1015" t="str">
        <f t="shared" si="288"/>
        <v xml:space="preserve"> </v>
      </c>
      <c r="D1504" s="1544">
        <f t="shared" si="296"/>
        <v>0</v>
      </c>
      <c r="E1504" s="1064">
        <f>pp_NC!D197</f>
        <v>0</v>
      </c>
      <c r="F1504" s="1059" t="str">
        <f>VLOOKUP($B1504,DG!A:D,DG!$C$2,)</f>
        <v>Cáp 24KV A/XLPE/PVC 95mm2</v>
      </c>
      <c r="G1504" s="1047" t="str">
        <f>VLOOKUP($B1504,DG!A:D,DG!$D$2,)</f>
        <v>mét</v>
      </c>
      <c r="H1504" s="1845">
        <f t="shared" si="293"/>
        <v>0</v>
      </c>
      <c r="I1504" s="1845"/>
      <c r="J1504" s="1845">
        <f t="shared" si="294"/>
        <v>0</v>
      </c>
      <c r="K1504" s="1845"/>
      <c r="L1504" s="1845"/>
      <c r="M1504" s="1845"/>
      <c r="N1504" s="1845"/>
      <c r="O1504" s="1845"/>
      <c r="P1504" s="1845">
        <f t="shared" si="295"/>
        <v>0</v>
      </c>
      <c r="Q1504" s="1056"/>
      <c r="R1504" s="1056"/>
      <c r="S1504" s="1056"/>
      <c r="T1504" s="2059">
        <f t="shared" si="286"/>
        <v>0</v>
      </c>
    </row>
    <row r="1505" spans="1:20" ht="22.15" hidden="1" customHeight="1">
      <c r="A1505" s="59"/>
      <c r="B1505" s="1586" t="s">
        <v>56</v>
      </c>
      <c r="C1505" s="1015" t="str">
        <f t="shared" si="288"/>
        <v xml:space="preserve"> </v>
      </c>
      <c r="D1505" s="1544">
        <f t="shared" si="296"/>
        <v>0</v>
      </c>
      <c r="E1505" s="1064">
        <f>pp_NC!D198</f>
        <v>0</v>
      </c>
      <c r="F1505" s="1059" t="str">
        <f>VLOOKUP($B1505,DG!A:D,DG!$C$2,)</f>
        <v>Cáp 24KV A/XLPE/PVC 70mm2</v>
      </c>
      <c r="G1505" s="1047" t="str">
        <f>VLOOKUP($B1505,DG!A:D,DG!$D$2,)</f>
        <v>mét</v>
      </c>
      <c r="H1505" s="1845">
        <f t="shared" si="293"/>
        <v>0</v>
      </c>
      <c r="I1505" s="1845"/>
      <c r="J1505" s="1845">
        <f t="shared" si="294"/>
        <v>0</v>
      </c>
      <c r="K1505" s="1845"/>
      <c r="L1505" s="1845"/>
      <c r="M1505" s="1845"/>
      <c r="N1505" s="1845"/>
      <c r="O1505" s="1845"/>
      <c r="P1505" s="1845">
        <f t="shared" si="295"/>
        <v>0</v>
      </c>
      <c r="Q1505" s="1056"/>
      <c r="R1505" s="1056"/>
      <c r="S1505" s="1056"/>
      <c r="T1505" s="2059">
        <f t="shared" si="286"/>
        <v>0</v>
      </c>
    </row>
    <row r="1506" spans="1:20" ht="22.15" hidden="1" customHeight="1">
      <c r="A1506" s="59"/>
      <c r="B1506" s="1606" t="s">
        <v>2508</v>
      </c>
      <c r="C1506" s="1015" t="str">
        <f t="shared" si="288"/>
        <v xml:space="preserve"> </v>
      </c>
      <c r="D1506" s="1544">
        <f>pp_NC!DK184</f>
        <v>0</v>
      </c>
      <c r="E1506" s="1047"/>
      <c r="F1506" s="1065" t="s">
        <v>2509</v>
      </c>
      <c r="G1506" s="1066" t="s">
        <v>2448</v>
      </c>
      <c r="H1506" s="1845">
        <f t="shared" si="293"/>
        <v>0</v>
      </c>
      <c r="I1506" s="1845"/>
      <c r="J1506" s="1845">
        <f t="shared" si="294"/>
        <v>0</v>
      </c>
      <c r="K1506" s="1845"/>
      <c r="L1506" s="1845"/>
      <c r="M1506" s="1845"/>
      <c r="N1506" s="1845"/>
      <c r="O1506" s="1845"/>
      <c r="P1506" s="1845">
        <f t="shared" si="295"/>
        <v>0</v>
      </c>
      <c r="Q1506" s="1056"/>
      <c r="R1506" s="1056"/>
      <c r="S1506" s="1056"/>
      <c r="T1506" s="2059">
        <f t="shared" si="286"/>
        <v>0</v>
      </c>
    </row>
    <row r="1507" spans="1:20" ht="22.15" hidden="1" customHeight="1">
      <c r="A1507" s="59"/>
      <c r="B1507" s="1586" t="s">
        <v>1915</v>
      </c>
      <c r="C1507" s="1015" t="str">
        <f t="shared" si="288"/>
        <v xml:space="preserve"> </v>
      </c>
      <c r="D1507" s="1544">
        <f>D1506</f>
        <v>0</v>
      </c>
      <c r="E1507" s="1047"/>
      <c r="F1507" s="1059" t="str">
        <f>VLOOKUP($B1507,DG!A:D,DG!$C$2,)</f>
        <v>Uclevis + sứ ống chỉ</v>
      </c>
      <c r="G1507" s="1047" t="str">
        <f>VLOOKUP($B1507,DG!A:D,DG!$D$2,)</f>
        <v>bộ</v>
      </c>
      <c r="H1507" s="1845">
        <f t="shared" si="293"/>
        <v>0</v>
      </c>
      <c r="I1507" s="1845"/>
      <c r="J1507" s="1845">
        <f t="shared" si="294"/>
        <v>0</v>
      </c>
      <c r="K1507" s="1845"/>
      <c r="L1507" s="1845"/>
      <c r="M1507" s="1845"/>
      <c r="N1507" s="1845"/>
      <c r="O1507" s="1845"/>
      <c r="P1507" s="1845">
        <f t="shared" si="295"/>
        <v>0</v>
      </c>
      <c r="Q1507" s="1056"/>
      <c r="R1507" s="1056"/>
      <c r="S1507" s="1056"/>
      <c r="T1507" s="2059">
        <f t="shared" si="286"/>
        <v>0</v>
      </c>
    </row>
    <row r="1508" spans="1:20" ht="22.15" hidden="1" customHeight="1">
      <c r="A1508" s="59"/>
      <c r="B1508" s="1586" t="s">
        <v>1615</v>
      </c>
      <c r="C1508" s="1015" t="str">
        <f t="shared" si="288"/>
        <v xml:space="preserve"> </v>
      </c>
      <c r="D1508" s="1544">
        <f>D1506</f>
        <v>0</v>
      </c>
      <c r="E1508" s="1047"/>
      <c r="F1508" s="1059" t="str">
        <f>VLOOKUP($B1508,DG!A:D,DG!$C$2,)</f>
        <v>Boulon 16x300+ 2 long đền vuông D18-50x50x3/Zn</v>
      </c>
      <c r="G1508" s="1047" t="str">
        <f>VLOOKUP($B1508,DG!A:D,DG!$D$2,)</f>
        <v>bộ</v>
      </c>
      <c r="H1508" s="1845">
        <f t="shared" si="293"/>
        <v>0</v>
      </c>
      <c r="I1508" s="1845"/>
      <c r="J1508" s="1845">
        <f t="shared" si="294"/>
        <v>0</v>
      </c>
      <c r="K1508" s="1845"/>
      <c r="L1508" s="1845"/>
      <c r="M1508" s="1845"/>
      <c r="N1508" s="1845"/>
      <c r="O1508" s="1845"/>
      <c r="P1508" s="1845">
        <f t="shared" si="295"/>
        <v>0</v>
      </c>
      <c r="Q1508" s="1056"/>
      <c r="R1508" s="1056"/>
      <c r="S1508" s="1056"/>
      <c r="T1508" s="2059">
        <f t="shared" si="286"/>
        <v>0</v>
      </c>
    </row>
    <row r="1509" spans="1:20" ht="22.15" hidden="1" customHeight="1">
      <c r="A1509" s="59"/>
      <c r="B1509" s="1606" t="s">
        <v>1626</v>
      </c>
      <c r="C1509" s="1015" t="str">
        <f t="shared" si="288"/>
        <v xml:space="preserve"> </v>
      </c>
      <c r="D1509" s="1544">
        <f>pp_NC!DM184</f>
        <v>0</v>
      </c>
      <c r="E1509" s="1047"/>
      <c r="F1509" s="1065" t="s">
        <v>2510</v>
      </c>
      <c r="G1509" s="1066" t="s">
        <v>2448</v>
      </c>
      <c r="H1509" s="1845">
        <f t="shared" si="293"/>
        <v>0</v>
      </c>
      <c r="I1509" s="1845"/>
      <c r="J1509" s="1845">
        <f t="shared" si="294"/>
        <v>0</v>
      </c>
      <c r="K1509" s="1845"/>
      <c r="L1509" s="1845"/>
      <c r="M1509" s="1845"/>
      <c r="N1509" s="1845"/>
      <c r="O1509" s="1845"/>
      <c r="P1509" s="1845">
        <f t="shared" si="295"/>
        <v>0</v>
      </c>
      <c r="Q1509" s="1056"/>
      <c r="R1509" s="1056"/>
      <c r="S1509" s="1056"/>
      <c r="T1509" s="2059">
        <f t="shared" si="286"/>
        <v>0</v>
      </c>
    </row>
    <row r="1510" spans="1:20" ht="22.15" hidden="1" customHeight="1">
      <c r="A1510" s="59"/>
      <c r="B1510" s="1586" t="s">
        <v>1915</v>
      </c>
      <c r="C1510" s="1015" t="str">
        <f t="shared" si="288"/>
        <v xml:space="preserve"> </v>
      </c>
      <c r="D1510" s="1544">
        <f>D1509</f>
        <v>0</v>
      </c>
      <c r="E1510" s="1047"/>
      <c r="F1510" s="1059" t="str">
        <f>VLOOKUP($B1510,DG!A:D,DG!$C$2,)</f>
        <v>Uclevis + sứ ống chỉ</v>
      </c>
      <c r="G1510" s="1047" t="str">
        <f>VLOOKUP($B1510,DG!A:D,DG!$D$2,)</f>
        <v>bộ</v>
      </c>
      <c r="H1510" s="1845">
        <f t="shared" si="293"/>
        <v>0</v>
      </c>
      <c r="I1510" s="1845"/>
      <c r="J1510" s="1845">
        <f t="shared" si="294"/>
        <v>0</v>
      </c>
      <c r="K1510" s="1845"/>
      <c r="L1510" s="1845"/>
      <c r="M1510" s="1845"/>
      <c r="N1510" s="1845"/>
      <c r="O1510" s="1845"/>
      <c r="P1510" s="1845">
        <f t="shared" si="295"/>
        <v>0</v>
      </c>
      <c r="Q1510" s="1056"/>
      <c r="R1510" s="1056"/>
      <c r="S1510" s="1056"/>
      <c r="T1510" s="2059">
        <f t="shared" si="286"/>
        <v>0</v>
      </c>
    </row>
    <row r="1511" spans="1:20" ht="22.15" hidden="1" customHeight="1">
      <c r="A1511" s="59"/>
      <c r="B1511" s="1586" t="s">
        <v>1615</v>
      </c>
      <c r="C1511" s="1015" t="str">
        <f t="shared" si="288"/>
        <v xml:space="preserve"> </v>
      </c>
      <c r="D1511" s="1544">
        <f>D1509</f>
        <v>0</v>
      </c>
      <c r="E1511" s="1047"/>
      <c r="F1511" s="1059" t="str">
        <f>VLOOKUP($B1511,DG!A:D,DG!$C$2,)</f>
        <v>Boulon 16x300+ 2 long đền vuông D18-50x50x3/Zn</v>
      </c>
      <c r="G1511" s="1047" t="str">
        <f>VLOOKUP($B1511,DG!A:D,DG!$D$2,)</f>
        <v>bộ</v>
      </c>
      <c r="H1511" s="1845">
        <f t="shared" si="293"/>
        <v>0</v>
      </c>
      <c r="I1511" s="1845"/>
      <c r="J1511" s="1845">
        <f t="shared" si="294"/>
        <v>0</v>
      </c>
      <c r="K1511" s="1845"/>
      <c r="L1511" s="1845"/>
      <c r="M1511" s="1845"/>
      <c r="N1511" s="1845"/>
      <c r="O1511" s="1845"/>
      <c r="P1511" s="1845">
        <f t="shared" si="295"/>
        <v>0</v>
      </c>
      <c r="Q1511" s="1056"/>
      <c r="R1511" s="1056"/>
      <c r="S1511" s="1056"/>
      <c r="T1511" s="2059">
        <f t="shared" si="286"/>
        <v>0</v>
      </c>
    </row>
    <row r="1512" spans="1:20" ht="22.15" hidden="1" customHeight="1">
      <c r="A1512" s="59"/>
      <c r="B1512" s="1586" t="s">
        <v>1857</v>
      </c>
      <c r="C1512" s="1015" t="str">
        <f t="shared" si="288"/>
        <v xml:space="preserve"> </v>
      </c>
      <c r="D1512" s="1544">
        <f>D1509*3</f>
        <v>0</v>
      </c>
      <c r="E1512" s="1047"/>
      <c r="F1512" s="1059" t="str">
        <f>VLOOKUP($B1512,DG!A:D,DG!$C$2,)</f>
        <v>Kẹp 2 rãnh (APC) cỡ dây 50mm2</v>
      </c>
      <c r="G1512" s="1047" t="str">
        <f>VLOOKUP($B1512,DG!A:D,DG!$D$2,)</f>
        <v>cái</v>
      </c>
      <c r="H1512" s="1845">
        <f t="shared" si="293"/>
        <v>0</v>
      </c>
      <c r="I1512" s="1845"/>
      <c r="J1512" s="1845">
        <f t="shared" si="294"/>
        <v>0</v>
      </c>
      <c r="K1512" s="1845"/>
      <c r="L1512" s="1845"/>
      <c r="M1512" s="1845"/>
      <c r="N1512" s="1845"/>
      <c r="O1512" s="1845"/>
      <c r="P1512" s="1845">
        <f t="shared" si="295"/>
        <v>0</v>
      </c>
      <c r="Q1512" s="1056"/>
      <c r="R1512" s="1056"/>
      <c r="S1512" s="1056"/>
      <c r="T1512" s="2059">
        <f t="shared" si="286"/>
        <v>0</v>
      </c>
    </row>
    <row r="1513" spans="1:20" ht="22.15" hidden="1" customHeight="1">
      <c r="A1513" s="59"/>
      <c r="B1513" s="1606" t="s">
        <v>1627</v>
      </c>
      <c r="C1513" s="1015" t="str">
        <f t="shared" si="288"/>
        <v xml:space="preserve"> </v>
      </c>
      <c r="D1513" s="1544">
        <f>pp_NC!DN184</f>
        <v>0</v>
      </c>
      <c r="E1513" s="1047"/>
      <c r="F1513" s="1065" t="s">
        <v>2511</v>
      </c>
      <c r="G1513" s="1066" t="s">
        <v>2448</v>
      </c>
      <c r="H1513" s="1845">
        <f t="shared" si="293"/>
        <v>0</v>
      </c>
      <c r="I1513" s="1845"/>
      <c r="J1513" s="1845">
        <f t="shared" si="294"/>
        <v>0</v>
      </c>
      <c r="K1513" s="1845"/>
      <c r="L1513" s="1845"/>
      <c r="M1513" s="1845"/>
      <c r="N1513" s="1845"/>
      <c r="O1513" s="1845"/>
      <c r="P1513" s="1845">
        <f t="shared" si="295"/>
        <v>0</v>
      </c>
      <c r="Q1513" s="1056"/>
      <c r="R1513" s="1056"/>
      <c r="S1513" s="1056"/>
      <c r="T1513" s="2059">
        <f t="shared" si="286"/>
        <v>0</v>
      </c>
    </row>
    <row r="1514" spans="1:20" ht="22.15" hidden="1" customHeight="1">
      <c r="A1514" s="59"/>
      <c r="B1514" s="1607" t="s">
        <v>906</v>
      </c>
      <c r="C1514" s="1015" t="str">
        <f t="shared" si="288"/>
        <v xml:space="preserve"> </v>
      </c>
      <c r="D1514" s="1544">
        <f>D1513</f>
        <v>0</v>
      </c>
      <c r="E1514" s="1047"/>
      <c r="F1514" s="1059" t="str">
        <f>VLOOKUP($B1514,DG!A:D,DG!$C$2,)</f>
        <v>Khóa néo dây cỡ dây 50</v>
      </c>
      <c r="G1514" s="1047" t="str">
        <f>VLOOKUP($B1514,DG!A:D,DG!$D$2,)</f>
        <v>cái</v>
      </c>
      <c r="H1514" s="1845">
        <f t="shared" si="293"/>
        <v>0</v>
      </c>
      <c r="I1514" s="1845"/>
      <c r="J1514" s="1845">
        <f t="shared" si="294"/>
        <v>0</v>
      </c>
      <c r="K1514" s="1845"/>
      <c r="L1514" s="1845"/>
      <c r="M1514" s="1845"/>
      <c r="N1514" s="1845"/>
      <c r="O1514" s="1845"/>
      <c r="P1514" s="1845">
        <f t="shared" si="295"/>
        <v>0</v>
      </c>
      <c r="Q1514" s="1056"/>
      <c r="R1514" s="1056"/>
      <c r="S1514" s="1056"/>
      <c r="T1514" s="2059">
        <f t="shared" si="286"/>
        <v>0</v>
      </c>
    </row>
    <row r="1515" spans="1:20" ht="22.15" hidden="1" customHeight="1">
      <c r="A1515" s="59"/>
      <c r="B1515" s="1586" t="s">
        <v>1491</v>
      </c>
      <c r="C1515" s="1015" t="str">
        <f t="shared" si="288"/>
        <v xml:space="preserve"> </v>
      </c>
      <c r="D1515" s="1544">
        <f>D1513*2</f>
        <v>0</v>
      </c>
      <c r="E1515" s="1047"/>
      <c r="F1515" s="1059" t="str">
        <f>VLOOKUP($B1515,DG!A:D,DG!$C$2,)</f>
        <v xml:space="preserve">Móc treo chữ U </v>
      </c>
      <c r="G1515" s="1047" t="str">
        <f>VLOOKUP($B1515,DG!A:D,DG!$D$2,)</f>
        <v>cái</v>
      </c>
      <c r="H1515" s="1845">
        <f t="shared" si="293"/>
        <v>0</v>
      </c>
      <c r="I1515" s="1845"/>
      <c r="J1515" s="1845">
        <f t="shared" si="294"/>
        <v>0</v>
      </c>
      <c r="K1515" s="1845"/>
      <c r="L1515" s="1845"/>
      <c r="M1515" s="1845"/>
      <c r="N1515" s="1845"/>
      <c r="O1515" s="1845"/>
      <c r="P1515" s="1845">
        <f t="shared" si="295"/>
        <v>0</v>
      </c>
      <c r="Q1515" s="1056"/>
      <c r="R1515" s="1056"/>
      <c r="S1515" s="1056"/>
      <c r="T1515" s="2059">
        <f t="shared" ref="T1515:T1578" si="297">IFERROR(HLOOKUP(B1515,BangKeTru,3,0),0)</f>
        <v>0</v>
      </c>
    </row>
    <row r="1516" spans="1:20" ht="22.15" hidden="1" customHeight="1">
      <c r="A1516" s="59"/>
      <c r="B1516" s="1586" t="s">
        <v>417</v>
      </c>
      <c r="C1516" s="1015" t="str">
        <f t="shared" si="288"/>
        <v xml:space="preserve"> </v>
      </c>
      <c r="D1516" s="1544">
        <f>D1514</f>
        <v>0</v>
      </c>
      <c r="E1516" s="1047"/>
      <c r="F1516" s="1059" t="str">
        <f>VLOOKUP($B1516,DG!A:D,DG!$C$2,)</f>
        <v>Boulon mắt 16x300+ 2 long đền vuông D18-50x50x3/Zn</v>
      </c>
      <c r="G1516" s="1047" t="str">
        <f>VLOOKUP($B1516,DG!A:D,DG!$D$2,)</f>
        <v>bộ</v>
      </c>
      <c r="H1516" s="1845">
        <f t="shared" si="293"/>
        <v>0</v>
      </c>
      <c r="I1516" s="1845"/>
      <c r="J1516" s="1845">
        <f t="shared" si="294"/>
        <v>0</v>
      </c>
      <c r="K1516" s="1845"/>
      <c r="L1516" s="1845"/>
      <c r="M1516" s="1845"/>
      <c r="N1516" s="1845"/>
      <c r="O1516" s="1845"/>
      <c r="P1516" s="1845">
        <f t="shared" si="295"/>
        <v>0</v>
      </c>
      <c r="Q1516" s="1056"/>
      <c r="R1516" s="1056"/>
      <c r="S1516" s="1056"/>
      <c r="T1516" s="2059">
        <f t="shared" si="297"/>
        <v>0</v>
      </c>
    </row>
    <row r="1517" spans="1:20" ht="22.15" hidden="1" customHeight="1">
      <c r="A1517" s="59"/>
      <c r="B1517" s="1586" t="s">
        <v>1584</v>
      </c>
      <c r="C1517" s="1015" t="str">
        <f t="shared" si="288"/>
        <v xml:space="preserve"> </v>
      </c>
      <c r="D1517" s="1544">
        <f>D1513</f>
        <v>0</v>
      </c>
      <c r="E1517" s="1047"/>
      <c r="F1517" s="1059" t="str">
        <f>VLOOKUP($B1517,DG!A:D,DG!$C$2,)</f>
        <v>Kẹp ép WR cỡ dây 50mm2</v>
      </c>
      <c r="G1517" s="1047" t="str">
        <f>VLOOKUP($B1517,DG!A:D,DG!$D$2,)</f>
        <v>cái</v>
      </c>
      <c r="H1517" s="1845">
        <f t="shared" si="293"/>
        <v>0</v>
      </c>
      <c r="I1517" s="1845"/>
      <c r="J1517" s="1845">
        <f t="shared" si="294"/>
        <v>0</v>
      </c>
      <c r="K1517" s="1845"/>
      <c r="L1517" s="1845"/>
      <c r="M1517" s="1845"/>
      <c r="N1517" s="1845"/>
      <c r="O1517" s="1845"/>
      <c r="P1517" s="1845">
        <f t="shared" si="295"/>
        <v>0</v>
      </c>
      <c r="Q1517" s="1056"/>
      <c r="R1517" s="1056"/>
      <c r="S1517" s="1056"/>
      <c r="T1517" s="2059">
        <f t="shared" si="297"/>
        <v>0</v>
      </c>
    </row>
    <row r="1518" spans="1:20" ht="22.15" hidden="1" customHeight="1">
      <c r="A1518" s="59"/>
      <c r="B1518" s="1606" t="s">
        <v>2168</v>
      </c>
      <c r="C1518" s="1015" t="str">
        <f t="shared" si="288"/>
        <v xml:space="preserve"> </v>
      </c>
      <c r="D1518" s="1544">
        <f>pp_NC!DO95</f>
        <v>0</v>
      </c>
      <c r="E1518" s="1047"/>
      <c r="F1518" s="1065" t="s">
        <v>2512</v>
      </c>
      <c r="G1518" s="1066" t="s">
        <v>2448</v>
      </c>
      <c r="H1518" s="1845">
        <f t="shared" si="293"/>
        <v>0</v>
      </c>
      <c r="I1518" s="1845"/>
      <c r="J1518" s="1845">
        <f t="shared" si="294"/>
        <v>0</v>
      </c>
      <c r="K1518" s="1845"/>
      <c r="L1518" s="1845"/>
      <c r="M1518" s="1845"/>
      <c r="N1518" s="1845"/>
      <c r="O1518" s="1845"/>
      <c r="P1518" s="1845">
        <f t="shared" si="295"/>
        <v>0</v>
      </c>
      <c r="Q1518" s="1056"/>
      <c r="R1518" s="1056"/>
      <c r="S1518" s="1056"/>
      <c r="T1518" s="2059">
        <f t="shared" si="297"/>
        <v>0</v>
      </c>
    </row>
    <row r="1519" spans="1:20" ht="22.15" hidden="1" customHeight="1">
      <c r="A1519" s="59"/>
      <c r="B1519" s="1607" t="s">
        <v>906</v>
      </c>
      <c r="C1519" s="1015" t="str">
        <f t="shared" si="288"/>
        <v xml:space="preserve"> </v>
      </c>
      <c r="D1519" s="1544">
        <f>D1518</f>
        <v>0</v>
      </c>
      <c r="E1519" s="1047"/>
      <c r="F1519" s="1059" t="str">
        <f>VLOOKUP($B1519,DG!A:D,DG!$C$2,)</f>
        <v>Khóa néo dây cỡ dây 50</v>
      </c>
      <c r="G1519" s="1047" t="str">
        <f>VLOOKUP($B1519,DG!A:D,DG!$D$2,)</f>
        <v>cái</v>
      </c>
      <c r="H1519" s="1845">
        <f t="shared" si="293"/>
        <v>0</v>
      </c>
      <c r="I1519" s="1845"/>
      <c r="J1519" s="1845">
        <f t="shared" si="294"/>
        <v>0</v>
      </c>
      <c r="K1519" s="1845"/>
      <c r="L1519" s="1845"/>
      <c r="M1519" s="1845"/>
      <c r="N1519" s="1845"/>
      <c r="O1519" s="1845"/>
      <c r="P1519" s="1845">
        <f t="shared" si="295"/>
        <v>0</v>
      </c>
      <c r="Q1519" s="1056"/>
      <c r="R1519" s="1056"/>
      <c r="S1519" s="1056"/>
      <c r="T1519" s="2059">
        <f t="shared" si="297"/>
        <v>0</v>
      </c>
    </row>
    <row r="1520" spans="1:20" ht="22.15" hidden="1" customHeight="1">
      <c r="A1520" s="59"/>
      <c r="B1520" s="1586" t="s">
        <v>1491</v>
      </c>
      <c r="C1520" s="1015" t="str">
        <f t="shared" si="288"/>
        <v xml:space="preserve"> </v>
      </c>
      <c r="D1520" s="1544">
        <f>D1518*2</f>
        <v>0</v>
      </c>
      <c r="E1520" s="1047"/>
      <c r="F1520" s="1059" t="str">
        <f>VLOOKUP($B1520,DG!A:D,DG!$C$2,)</f>
        <v xml:space="preserve">Móc treo chữ U </v>
      </c>
      <c r="G1520" s="1047" t="str">
        <f>VLOOKUP($B1520,DG!A:D,DG!$D$2,)</f>
        <v>cái</v>
      </c>
      <c r="H1520" s="1845">
        <f t="shared" si="293"/>
        <v>0</v>
      </c>
      <c r="I1520" s="1845"/>
      <c r="J1520" s="1845">
        <f t="shared" si="294"/>
        <v>0</v>
      </c>
      <c r="K1520" s="1845"/>
      <c r="L1520" s="1845"/>
      <c r="M1520" s="1845"/>
      <c r="N1520" s="1845"/>
      <c r="O1520" s="1845"/>
      <c r="P1520" s="1845">
        <f t="shared" si="295"/>
        <v>0</v>
      </c>
      <c r="Q1520" s="1056"/>
      <c r="R1520" s="1056"/>
      <c r="S1520" s="1056"/>
      <c r="T1520" s="2059">
        <f t="shared" si="297"/>
        <v>0</v>
      </c>
    </row>
    <row r="1521" spans="1:20" ht="22.15" hidden="1" customHeight="1">
      <c r="A1521" s="59"/>
      <c r="B1521" s="1586" t="s">
        <v>1584</v>
      </c>
      <c r="C1521" s="1015" t="str">
        <f t="shared" si="288"/>
        <v xml:space="preserve"> </v>
      </c>
      <c r="D1521" s="1544">
        <f>D1518*2</f>
        <v>0</v>
      </c>
      <c r="E1521" s="1047"/>
      <c r="F1521" s="1059" t="str">
        <f>VLOOKUP($B1521,DG!A:D,DG!$C$2,)</f>
        <v>Kẹp ép WR cỡ dây 50mm2</v>
      </c>
      <c r="G1521" s="1047" t="str">
        <f>VLOOKUP($B1521,DG!A:D,DG!$D$2,)</f>
        <v>cái</v>
      </c>
      <c r="H1521" s="1845">
        <f t="shared" si="293"/>
        <v>0</v>
      </c>
      <c r="I1521" s="1845"/>
      <c r="J1521" s="1845">
        <f t="shared" si="294"/>
        <v>0</v>
      </c>
      <c r="K1521" s="1845"/>
      <c r="L1521" s="1845"/>
      <c r="M1521" s="1845"/>
      <c r="N1521" s="1845"/>
      <c r="O1521" s="1845"/>
      <c r="P1521" s="1845">
        <f t="shared" si="295"/>
        <v>0</v>
      </c>
      <c r="Q1521" s="1056"/>
      <c r="R1521" s="1056"/>
      <c r="S1521" s="1056"/>
      <c r="T1521" s="2059">
        <f t="shared" si="297"/>
        <v>0</v>
      </c>
    </row>
    <row r="1522" spans="1:20" ht="22.15" hidden="1" customHeight="1">
      <c r="A1522" s="1017"/>
      <c r="B1522" s="1591" t="s">
        <v>2513</v>
      </c>
      <c r="C1522" s="1015" t="str">
        <f t="shared" si="288"/>
        <v xml:space="preserve"> </v>
      </c>
      <c r="D1522" s="1544">
        <f>pp_NC!DH184</f>
        <v>0</v>
      </c>
      <c r="E1522" s="1047"/>
      <c r="F1522" s="1065" t="s">
        <v>2514</v>
      </c>
      <c r="G1522" s="1066" t="s">
        <v>2448</v>
      </c>
      <c r="H1522" s="1845">
        <f t="shared" si="293"/>
        <v>0</v>
      </c>
      <c r="I1522" s="1845"/>
      <c r="J1522" s="1845">
        <f t="shared" si="294"/>
        <v>0</v>
      </c>
      <c r="K1522" s="1845"/>
      <c r="L1522" s="1845"/>
      <c r="M1522" s="1845"/>
      <c r="N1522" s="1845"/>
      <c r="O1522" s="1845"/>
      <c r="P1522" s="1845">
        <f t="shared" si="295"/>
        <v>0</v>
      </c>
      <c r="Q1522" s="1056"/>
      <c r="R1522" s="1056"/>
      <c r="S1522" s="1056"/>
      <c r="T1522" s="2059">
        <f t="shared" si="297"/>
        <v>0</v>
      </c>
    </row>
    <row r="1523" spans="1:20" ht="22.15" hidden="1" customHeight="1">
      <c r="A1523" s="1017"/>
      <c r="B1523" s="1580" t="s">
        <v>698</v>
      </c>
      <c r="C1523" s="1015" t="str">
        <f t="shared" ref="C1523:C1586" si="298">IF(OR(P1523&lt;&gt;0,H1523&lt;&gt;0),"x"," ")</f>
        <v xml:space="preserve"> </v>
      </c>
      <c r="D1523" s="1544">
        <f>D1522</f>
        <v>0</v>
      </c>
      <c r="E1523" s="1047"/>
      <c r="F1523" s="1059" t="str">
        <f>VLOOKUP($B1523,DG!A:D,DG!$C$2,)</f>
        <v xml:space="preserve">Sứ đứng 24KV </v>
      </c>
      <c r="G1523" s="1047" t="str">
        <f>VLOOKUP($B1523,DG!A:D,DG!$D$2,)</f>
        <v>cái</v>
      </c>
      <c r="H1523" s="1845">
        <f t="shared" si="293"/>
        <v>0</v>
      </c>
      <c r="I1523" s="1845"/>
      <c r="J1523" s="1845">
        <f t="shared" si="294"/>
        <v>0</v>
      </c>
      <c r="K1523" s="1845"/>
      <c r="L1523" s="1845"/>
      <c r="M1523" s="1845"/>
      <c r="N1523" s="1845"/>
      <c r="O1523" s="1845"/>
      <c r="P1523" s="1845">
        <f t="shared" si="295"/>
        <v>0</v>
      </c>
      <c r="Q1523" s="1056"/>
      <c r="R1523" s="1056"/>
      <c r="S1523" s="1056"/>
      <c r="T1523" s="2059">
        <f t="shared" si="297"/>
        <v>0</v>
      </c>
    </row>
    <row r="1524" spans="1:20" ht="22.15" hidden="1" customHeight="1">
      <c r="A1524" s="1017"/>
      <c r="B1524" s="1580" t="s">
        <v>1270</v>
      </c>
      <c r="C1524" s="1015" t="str">
        <f t="shared" si="298"/>
        <v xml:space="preserve"> </v>
      </c>
      <c r="D1524" s="1544">
        <f>D1522</f>
        <v>0</v>
      </c>
      <c r="E1524" s="1047"/>
      <c r="F1524" s="1059" t="str">
        <f>VLOOKUP($B1524,DG!A:D,DG!$C$2,)</f>
        <v>Chân sứ đứng D20</v>
      </c>
      <c r="G1524" s="1047" t="str">
        <f>VLOOKUP($B1524,DG!A:D,DG!$D$2,)</f>
        <v>cái</v>
      </c>
      <c r="H1524" s="1845">
        <f t="shared" ref="H1524:H1555" si="299">$D1524</f>
        <v>0</v>
      </c>
      <c r="I1524" s="1845"/>
      <c r="J1524" s="1845">
        <f t="shared" ref="J1524:J1555" si="300">D1524</f>
        <v>0</v>
      </c>
      <c r="K1524" s="1845"/>
      <c r="L1524" s="1845"/>
      <c r="M1524" s="1845"/>
      <c r="N1524" s="1845"/>
      <c r="O1524" s="1845"/>
      <c r="P1524" s="1845">
        <f t="shared" si="295"/>
        <v>0</v>
      </c>
      <c r="Q1524" s="1056"/>
      <c r="R1524" s="1056"/>
      <c r="S1524" s="1056"/>
      <c r="T1524" s="2059">
        <f t="shared" si="297"/>
        <v>0</v>
      </c>
    </row>
    <row r="1525" spans="1:20" ht="22.15" hidden="1" customHeight="1">
      <c r="A1525" s="59"/>
      <c r="B1525" s="1606" t="s">
        <v>2515</v>
      </c>
      <c r="C1525" s="1015" t="str">
        <f t="shared" si="298"/>
        <v xml:space="preserve"> </v>
      </c>
      <c r="D1525" s="1544">
        <f>pp_NC!DF184</f>
        <v>0</v>
      </c>
      <c r="E1525" s="1047"/>
      <c r="F1525" s="1065" t="s">
        <v>2516</v>
      </c>
      <c r="G1525" s="1066" t="s">
        <v>2448</v>
      </c>
      <c r="H1525" s="1845">
        <f t="shared" si="299"/>
        <v>0</v>
      </c>
      <c r="I1525" s="1845"/>
      <c r="J1525" s="1845">
        <f t="shared" si="300"/>
        <v>0</v>
      </c>
      <c r="K1525" s="1845"/>
      <c r="L1525" s="1845"/>
      <c r="M1525" s="1845"/>
      <c r="N1525" s="1845"/>
      <c r="O1525" s="1845"/>
      <c r="P1525" s="1845">
        <f t="shared" si="295"/>
        <v>0</v>
      </c>
      <c r="Q1525" s="1056"/>
      <c r="R1525" s="1056"/>
      <c r="S1525" s="1056"/>
      <c r="T1525" s="2059">
        <f t="shared" si="297"/>
        <v>0</v>
      </c>
    </row>
    <row r="1526" spans="1:20" ht="22.15" hidden="1" customHeight="1">
      <c r="A1526" s="59"/>
      <c r="B1526" s="1586" t="s">
        <v>698</v>
      </c>
      <c r="C1526" s="1015" t="str">
        <f t="shared" si="298"/>
        <v xml:space="preserve"> </v>
      </c>
      <c r="D1526" s="1544">
        <f>D1525</f>
        <v>0</v>
      </c>
      <c r="E1526" s="1047"/>
      <c r="F1526" s="1059" t="str">
        <f>VLOOKUP($B1526,DG!A:D,DG!$C$2,)</f>
        <v xml:space="preserve">Sứ đứng 24KV </v>
      </c>
      <c r="G1526" s="1047" t="str">
        <f>VLOOKUP($B1526,DG!A:D,DG!$D$2,)</f>
        <v>cái</v>
      </c>
      <c r="H1526" s="1845">
        <f t="shared" si="299"/>
        <v>0</v>
      </c>
      <c r="I1526" s="1845"/>
      <c r="J1526" s="1845">
        <f t="shared" si="300"/>
        <v>0</v>
      </c>
      <c r="K1526" s="1845"/>
      <c r="L1526" s="1845"/>
      <c r="M1526" s="1845"/>
      <c r="N1526" s="1845"/>
      <c r="O1526" s="1845"/>
      <c r="P1526" s="1845">
        <f t="shared" si="295"/>
        <v>0</v>
      </c>
      <c r="Q1526" s="1056"/>
      <c r="R1526" s="1056"/>
      <c r="S1526" s="1056"/>
      <c r="T1526" s="2059">
        <f t="shared" si="297"/>
        <v>0</v>
      </c>
    </row>
    <row r="1527" spans="1:20" ht="22.15" hidden="1" customHeight="1">
      <c r="A1527" s="59"/>
      <c r="B1527" s="1586" t="s">
        <v>1271</v>
      </c>
      <c r="C1527" s="1015" t="str">
        <f t="shared" si="298"/>
        <v xml:space="preserve"> </v>
      </c>
      <c r="D1527" s="1544">
        <f>D1525</f>
        <v>0</v>
      </c>
      <c r="E1527" s="1047"/>
      <c r="F1527" s="1059" t="str">
        <f>VLOOKUP($B1527,DG!A:D,DG!$C$2,)</f>
        <v>Chân sứ đỉnh thẳng dài 870mm</v>
      </c>
      <c r="G1527" s="1047" t="str">
        <f>VLOOKUP($B1527,DG!A:D,DG!$D$2,)</f>
        <v>cái</v>
      </c>
      <c r="H1527" s="1845">
        <f t="shared" si="299"/>
        <v>0</v>
      </c>
      <c r="I1527" s="1845"/>
      <c r="J1527" s="1845">
        <f t="shared" si="300"/>
        <v>0</v>
      </c>
      <c r="K1527" s="1845"/>
      <c r="L1527" s="1845"/>
      <c r="M1527" s="1845"/>
      <c r="N1527" s="1845"/>
      <c r="O1527" s="1845"/>
      <c r="P1527" s="1845">
        <f t="shared" si="295"/>
        <v>0</v>
      </c>
      <c r="Q1527" s="1056"/>
      <c r="R1527" s="1056"/>
      <c r="S1527" s="1056"/>
      <c r="T1527" s="2059">
        <f t="shared" si="297"/>
        <v>0</v>
      </c>
    </row>
    <row r="1528" spans="1:20" ht="22.15" hidden="1" customHeight="1">
      <c r="A1528" s="59"/>
      <c r="B1528" s="1586" t="s">
        <v>1615</v>
      </c>
      <c r="C1528" s="1015" t="str">
        <f t="shared" si="298"/>
        <v xml:space="preserve"> </v>
      </c>
      <c r="D1528" s="1544">
        <f>D1525*2</f>
        <v>0</v>
      </c>
      <c r="E1528" s="1047"/>
      <c r="F1528" s="1059" t="str">
        <f>VLOOKUP($B1528,DG!A:D,DG!$C$2,)</f>
        <v>Boulon 16x300+ 2 long đền vuông D18-50x50x3/Zn</v>
      </c>
      <c r="G1528" s="1047" t="str">
        <f>VLOOKUP($B1528,DG!A:D,DG!$D$2,)</f>
        <v>bộ</v>
      </c>
      <c r="H1528" s="1845">
        <f t="shared" si="299"/>
        <v>0</v>
      </c>
      <c r="I1528" s="1845"/>
      <c r="J1528" s="1845">
        <f t="shared" si="300"/>
        <v>0</v>
      </c>
      <c r="K1528" s="1845"/>
      <c r="L1528" s="1845"/>
      <c r="M1528" s="1845"/>
      <c r="N1528" s="1845"/>
      <c r="O1528" s="1845"/>
      <c r="P1528" s="1845">
        <f t="shared" si="295"/>
        <v>0</v>
      </c>
      <c r="Q1528" s="1056"/>
      <c r="R1528" s="1056"/>
      <c r="S1528" s="1056"/>
      <c r="T1528" s="2059">
        <f t="shared" si="297"/>
        <v>0</v>
      </c>
    </row>
    <row r="1529" spans="1:20" ht="22.15" hidden="1" customHeight="1">
      <c r="A1529" s="63"/>
      <c r="B1529" s="1608" t="s">
        <v>2517</v>
      </c>
      <c r="C1529" s="1015" t="str">
        <f t="shared" si="298"/>
        <v xml:space="preserve"> </v>
      </c>
      <c r="D1529" s="1547">
        <f>pp_NC!DG184</f>
        <v>0</v>
      </c>
      <c r="E1529" s="1051"/>
      <c r="F1529" s="1065" t="s">
        <v>2518</v>
      </c>
      <c r="G1529" s="1286" t="s">
        <v>2448</v>
      </c>
      <c r="H1529" s="1845">
        <f t="shared" si="299"/>
        <v>0</v>
      </c>
      <c r="I1529" s="1846"/>
      <c r="J1529" s="1845">
        <f t="shared" si="300"/>
        <v>0</v>
      </c>
      <c r="K1529" s="1846"/>
      <c r="L1529" s="1846"/>
      <c r="M1529" s="1846"/>
      <c r="N1529" s="1846"/>
      <c r="O1529" s="1846"/>
      <c r="P1529" s="1845">
        <f t="shared" si="295"/>
        <v>0</v>
      </c>
      <c r="Q1529" s="1056"/>
      <c r="R1529" s="1056"/>
      <c r="S1529" s="1056"/>
      <c r="T1529" s="2059">
        <f t="shared" si="297"/>
        <v>0</v>
      </c>
    </row>
    <row r="1530" spans="1:20" ht="22.15" hidden="1" customHeight="1">
      <c r="A1530" s="63"/>
      <c r="B1530" s="1586" t="s">
        <v>698</v>
      </c>
      <c r="C1530" s="1015" t="str">
        <f t="shared" si="298"/>
        <v xml:space="preserve"> </v>
      </c>
      <c r="D1530" s="1547">
        <f>D1529*2</f>
        <v>0</v>
      </c>
      <c r="E1530" s="1051"/>
      <c r="F1530" s="1059" t="str">
        <f>VLOOKUP($B1530,DG!A:D,DG!$C$2,)</f>
        <v xml:space="preserve">Sứ đứng 24KV </v>
      </c>
      <c r="G1530" s="1047" t="str">
        <f>VLOOKUP($B1530,DG!A:D,DG!$D$2,)</f>
        <v>cái</v>
      </c>
      <c r="H1530" s="1845">
        <f t="shared" si="299"/>
        <v>0</v>
      </c>
      <c r="I1530" s="1846"/>
      <c r="J1530" s="1845">
        <f t="shared" si="300"/>
        <v>0</v>
      </c>
      <c r="K1530" s="1846"/>
      <c r="L1530" s="1846"/>
      <c r="M1530" s="1846"/>
      <c r="N1530" s="1846"/>
      <c r="O1530" s="1846"/>
      <c r="P1530" s="1845">
        <f t="shared" si="295"/>
        <v>0</v>
      </c>
      <c r="Q1530" s="1056"/>
      <c r="R1530" s="1056"/>
      <c r="S1530" s="1056"/>
      <c r="T1530" s="2059">
        <f t="shared" si="297"/>
        <v>0</v>
      </c>
    </row>
    <row r="1531" spans="1:20" ht="22.15" hidden="1" customHeight="1">
      <c r="A1531" s="63"/>
      <c r="B1531" s="1586" t="s">
        <v>590</v>
      </c>
      <c r="C1531" s="1015" t="str">
        <f t="shared" si="298"/>
        <v xml:space="preserve"> </v>
      </c>
      <c r="D1531" s="1547">
        <f>D1529*2</f>
        <v>0</v>
      </c>
      <c r="E1531" s="1051"/>
      <c r="F1531" s="1059" t="str">
        <f>VLOOKUP($B1531,DG!A:D,DG!$C$2,)</f>
        <v>Chân sứ đỉnh đỡ góc dài 870mm</v>
      </c>
      <c r="G1531" s="1047" t="str">
        <f>VLOOKUP($B1531,DG!A:D,DG!$D$2,)</f>
        <v>cái</v>
      </c>
      <c r="H1531" s="1845">
        <f t="shared" si="299"/>
        <v>0</v>
      </c>
      <c r="I1531" s="1846"/>
      <c r="J1531" s="1845">
        <f t="shared" si="300"/>
        <v>0</v>
      </c>
      <c r="K1531" s="1846"/>
      <c r="L1531" s="1846"/>
      <c r="M1531" s="1846"/>
      <c r="N1531" s="1846"/>
      <c r="O1531" s="1846"/>
      <c r="P1531" s="1845">
        <f t="shared" si="295"/>
        <v>0</v>
      </c>
      <c r="Q1531" s="1056"/>
      <c r="R1531" s="1056"/>
      <c r="S1531" s="1056"/>
      <c r="T1531" s="2059">
        <f t="shared" si="297"/>
        <v>0</v>
      </c>
    </row>
    <row r="1532" spans="1:20" ht="22.15" hidden="1" customHeight="1">
      <c r="A1532" s="63"/>
      <c r="B1532" s="1586" t="s">
        <v>1615</v>
      </c>
      <c r="C1532" s="1015" t="str">
        <f t="shared" si="298"/>
        <v xml:space="preserve"> </v>
      </c>
      <c r="D1532" s="1547">
        <f>D1529*2</f>
        <v>0</v>
      </c>
      <c r="E1532" s="1051"/>
      <c r="F1532" s="1059" t="str">
        <f>VLOOKUP($B1532,DG!A:D,DG!$C$2,)</f>
        <v>Boulon 16x300+ 2 long đền vuông D18-50x50x3/Zn</v>
      </c>
      <c r="G1532" s="1047" t="str">
        <f>VLOOKUP($B1532,DG!A:D,DG!$D$2,)</f>
        <v>bộ</v>
      </c>
      <c r="H1532" s="1845">
        <f t="shared" si="299"/>
        <v>0</v>
      </c>
      <c r="I1532" s="1846"/>
      <c r="J1532" s="1845">
        <f t="shared" si="300"/>
        <v>0</v>
      </c>
      <c r="K1532" s="1846"/>
      <c r="L1532" s="1846"/>
      <c r="M1532" s="1846"/>
      <c r="N1532" s="1846"/>
      <c r="O1532" s="1846"/>
      <c r="P1532" s="1845">
        <f t="shared" si="295"/>
        <v>0</v>
      </c>
      <c r="Q1532" s="1056"/>
      <c r="R1532" s="1056"/>
      <c r="S1532" s="1056"/>
      <c r="T1532" s="2059">
        <f t="shared" si="297"/>
        <v>0</v>
      </c>
    </row>
    <row r="1533" spans="1:20" ht="22.15" hidden="1" customHeight="1">
      <c r="A1533" s="59"/>
      <c r="B1533" s="1606" t="s">
        <v>2519</v>
      </c>
      <c r="C1533" s="1015" t="str">
        <f t="shared" si="298"/>
        <v xml:space="preserve"> </v>
      </c>
      <c r="D1533" s="1544"/>
      <c r="E1533" s="1047"/>
      <c r="F1533" s="1065" t="s">
        <v>2520</v>
      </c>
      <c r="G1533" s="1066" t="s">
        <v>2521</v>
      </c>
      <c r="H1533" s="1845">
        <f t="shared" si="299"/>
        <v>0</v>
      </c>
      <c r="I1533" s="1845"/>
      <c r="J1533" s="1845">
        <f t="shared" si="300"/>
        <v>0</v>
      </c>
      <c r="K1533" s="1845"/>
      <c r="L1533" s="1845"/>
      <c r="M1533" s="1845"/>
      <c r="N1533" s="1845"/>
      <c r="O1533" s="1845"/>
      <c r="P1533" s="1845">
        <f t="shared" si="295"/>
        <v>0</v>
      </c>
      <c r="Q1533" s="1056"/>
      <c r="R1533" s="1056"/>
      <c r="S1533" s="1056"/>
      <c r="T1533" s="2059">
        <f t="shared" si="297"/>
        <v>0</v>
      </c>
    </row>
    <row r="1534" spans="1:20" ht="22.15" hidden="1" customHeight="1">
      <c r="A1534" s="59"/>
      <c r="B1534" s="1586" t="s">
        <v>1272</v>
      </c>
      <c r="C1534" s="1015" t="str">
        <f t="shared" si="298"/>
        <v xml:space="preserve"> </v>
      </c>
      <c r="D1534" s="1544">
        <f>D1533*2</f>
        <v>0</v>
      </c>
      <c r="E1534" s="1047"/>
      <c r="F1534" s="1059" t="str">
        <f>VLOOKUP($B1534,DG!A:D,DG!$C$2,)</f>
        <v>Sứ treo loại 70kN</v>
      </c>
      <c r="G1534" s="1047" t="str">
        <f>VLOOKUP($B1534,DG!A:D,DG!$D$2,)</f>
        <v>bát</v>
      </c>
      <c r="H1534" s="1845">
        <f t="shared" si="299"/>
        <v>0</v>
      </c>
      <c r="I1534" s="1845"/>
      <c r="J1534" s="1845">
        <f t="shared" si="300"/>
        <v>0</v>
      </c>
      <c r="K1534" s="1845"/>
      <c r="L1534" s="1845"/>
      <c r="M1534" s="1845"/>
      <c r="N1534" s="1845"/>
      <c r="O1534" s="1845"/>
      <c r="P1534" s="1845">
        <f t="shared" si="295"/>
        <v>0</v>
      </c>
      <c r="Q1534" s="1056"/>
      <c r="R1534" s="1056"/>
      <c r="S1534" s="1056"/>
      <c r="T1534" s="2059">
        <f t="shared" si="297"/>
        <v>0</v>
      </c>
    </row>
    <row r="1535" spans="1:20" ht="22.15" hidden="1" customHeight="1">
      <c r="A1535" s="59"/>
      <c r="B1535" s="1586" t="s">
        <v>1491</v>
      </c>
      <c r="C1535" s="1015" t="str">
        <f t="shared" si="298"/>
        <v xml:space="preserve"> </v>
      </c>
      <c r="D1535" s="1544">
        <f>D1533*2</f>
        <v>0</v>
      </c>
      <c r="E1535" s="1047"/>
      <c r="F1535" s="1059" t="str">
        <f>VLOOKUP($B1535,DG!A:D,DG!$C$2,)</f>
        <v xml:space="preserve">Móc treo chữ U </v>
      </c>
      <c r="G1535" s="1047" t="str">
        <f>VLOOKUP($B1535,DG!A:D,DG!$D$2,)</f>
        <v>cái</v>
      </c>
      <c r="H1535" s="1845">
        <f t="shared" si="299"/>
        <v>0</v>
      </c>
      <c r="I1535" s="1845"/>
      <c r="J1535" s="1845">
        <f t="shared" si="300"/>
        <v>0</v>
      </c>
      <c r="K1535" s="1845"/>
      <c r="L1535" s="1845"/>
      <c r="M1535" s="1845"/>
      <c r="N1535" s="1845"/>
      <c r="O1535" s="1845"/>
      <c r="P1535" s="1845">
        <f t="shared" si="295"/>
        <v>0</v>
      </c>
      <c r="Q1535" s="1056"/>
      <c r="R1535" s="1056"/>
      <c r="S1535" s="1056"/>
      <c r="T1535" s="2059">
        <f t="shared" si="297"/>
        <v>0</v>
      </c>
    </row>
    <row r="1536" spans="1:20" ht="22.15" hidden="1" customHeight="1">
      <c r="A1536" s="59"/>
      <c r="B1536" s="1586" t="s">
        <v>1574</v>
      </c>
      <c r="C1536" s="1015" t="str">
        <f t="shared" si="298"/>
        <v xml:space="preserve"> </v>
      </c>
      <c r="D1536" s="1544">
        <f>D1533</f>
        <v>0</v>
      </c>
      <c r="E1536" s="1047"/>
      <c r="F1536" s="1059" t="str">
        <f>VLOOKUP($B1536,DG!A:D,DG!$C$2,)</f>
        <v>Vòng treo đầu tròn</v>
      </c>
      <c r="G1536" s="1047" t="str">
        <f>VLOOKUP($B1536,DG!A:D,DG!$D$2,)</f>
        <v>cái</v>
      </c>
      <c r="H1536" s="1845">
        <f t="shared" si="299"/>
        <v>0</v>
      </c>
      <c r="I1536" s="1845"/>
      <c r="J1536" s="1845">
        <f t="shared" si="300"/>
        <v>0</v>
      </c>
      <c r="K1536" s="1845"/>
      <c r="L1536" s="1845"/>
      <c r="M1536" s="1845"/>
      <c r="N1536" s="1845"/>
      <c r="O1536" s="1845"/>
      <c r="P1536" s="1845">
        <f t="shared" si="295"/>
        <v>0</v>
      </c>
      <c r="Q1536" s="1056"/>
      <c r="R1536" s="1056"/>
      <c r="S1536" s="1056"/>
      <c r="T1536" s="2059">
        <f t="shared" si="297"/>
        <v>0</v>
      </c>
    </row>
    <row r="1537" spans="1:20" ht="22.15" hidden="1" customHeight="1">
      <c r="A1537" s="59"/>
      <c r="B1537" s="1586" t="s">
        <v>1489</v>
      </c>
      <c r="C1537" s="1015" t="str">
        <f t="shared" si="298"/>
        <v xml:space="preserve"> </v>
      </c>
      <c r="D1537" s="1544">
        <f>D1533</f>
        <v>0</v>
      </c>
      <c r="E1537" s="1047"/>
      <c r="F1537" s="1059" t="str">
        <f>VLOOKUP($B1537,DG!A:D,DG!$C$2,)</f>
        <v>Mắt nối đơn</v>
      </c>
      <c r="G1537" s="1047" t="str">
        <f>VLOOKUP($B1537,DG!A:D,DG!$D$2,)</f>
        <v>cái</v>
      </c>
      <c r="H1537" s="1845">
        <f t="shared" si="299"/>
        <v>0</v>
      </c>
      <c r="I1537" s="1845"/>
      <c r="J1537" s="1845">
        <f t="shared" si="300"/>
        <v>0</v>
      </c>
      <c r="K1537" s="1845"/>
      <c r="L1537" s="1845"/>
      <c r="M1537" s="1845"/>
      <c r="N1537" s="1845"/>
      <c r="O1537" s="1845"/>
      <c r="P1537" s="1845">
        <f t="shared" si="295"/>
        <v>0</v>
      </c>
      <c r="Q1537" s="1056"/>
      <c r="R1537" s="1056"/>
      <c r="S1537" s="1056"/>
      <c r="T1537" s="2059">
        <f t="shared" si="297"/>
        <v>0</v>
      </c>
    </row>
    <row r="1538" spans="1:20" ht="22.15" hidden="1" customHeight="1">
      <c r="A1538" s="59"/>
      <c r="B1538" s="1586" t="s">
        <v>1273</v>
      </c>
      <c r="C1538" s="1015" t="str">
        <f t="shared" si="298"/>
        <v xml:space="preserve"> </v>
      </c>
      <c r="D1538" s="1544">
        <f>D1533</f>
        <v>0</v>
      </c>
      <c r="E1538" s="1047"/>
      <c r="F1538" s="1059" t="str">
        <f>VLOOKUP($B1538,DG!A:D,DG!$C$2,)</f>
        <v>Boulon mắt 16x300+ 2 long đền vuông D18-50x50x3/Zn</v>
      </c>
      <c r="G1538" s="1047" t="str">
        <f>VLOOKUP($B1538,DG!A:D,DG!$D$2,)</f>
        <v>bộ</v>
      </c>
      <c r="H1538" s="1845">
        <f t="shared" si="299"/>
        <v>0</v>
      </c>
      <c r="I1538" s="1845"/>
      <c r="J1538" s="1845">
        <f t="shared" si="300"/>
        <v>0</v>
      </c>
      <c r="K1538" s="1845"/>
      <c r="L1538" s="1845"/>
      <c r="M1538" s="1845"/>
      <c r="N1538" s="1845"/>
      <c r="O1538" s="1845"/>
      <c r="P1538" s="1845">
        <f t="shared" si="295"/>
        <v>0</v>
      </c>
      <c r="Q1538" s="1056"/>
      <c r="R1538" s="1056"/>
      <c r="S1538" s="1056"/>
      <c r="T1538" s="2059">
        <f t="shared" si="297"/>
        <v>0</v>
      </c>
    </row>
    <row r="1539" spans="1:20" ht="22.15" hidden="1" customHeight="1">
      <c r="A1539" s="59"/>
      <c r="B1539" s="1606" t="s">
        <v>2522</v>
      </c>
      <c r="C1539" s="1015" t="str">
        <f t="shared" si="298"/>
        <v xml:space="preserve"> </v>
      </c>
      <c r="D1539" s="1544"/>
      <c r="E1539" s="1047"/>
      <c r="F1539" s="1407" t="s">
        <v>2523</v>
      </c>
      <c r="G1539" s="1066" t="s">
        <v>2521</v>
      </c>
      <c r="H1539" s="1845">
        <f t="shared" si="299"/>
        <v>0</v>
      </c>
      <c r="I1539" s="1845"/>
      <c r="J1539" s="1845">
        <f t="shared" si="300"/>
        <v>0</v>
      </c>
      <c r="K1539" s="1845"/>
      <c r="L1539" s="1845"/>
      <c r="M1539" s="1845"/>
      <c r="N1539" s="1845"/>
      <c r="O1539" s="1845"/>
      <c r="P1539" s="1845">
        <f t="shared" si="295"/>
        <v>0</v>
      </c>
      <c r="Q1539" s="1056"/>
      <c r="R1539" s="1056"/>
      <c r="S1539" s="1056"/>
      <c r="T1539" s="2059">
        <f t="shared" si="297"/>
        <v>0</v>
      </c>
    </row>
    <row r="1540" spans="1:20" ht="22.15" hidden="1" customHeight="1">
      <c r="A1540" s="59"/>
      <c r="B1540" s="1586" t="s">
        <v>112</v>
      </c>
      <c r="C1540" s="1015" t="str">
        <f t="shared" si="298"/>
        <v xml:space="preserve"> </v>
      </c>
      <c r="D1540" s="1544">
        <f>D1539*0</f>
        <v>0</v>
      </c>
      <c r="E1540" s="1047"/>
      <c r="F1540" s="1059" t="str">
        <f>VLOOKUP($B1540,DG!A:D,DG!$C$2,)</f>
        <v>Sứ treo loại 70kN</v>
      </c>
      <c r="G1540" s="1047" t="str">
        <f>VLOOKUP($B1540,DG!A:D,DG!$D$2,)</f>
        <v>bát</v>
      </c>
      <c r="H1540" s="1845">
        <f t="shared" si="299"/>
        <v>0</v>
      </c>
      <c r="I1540" s="1845"/>
      <c r="J1540" s="1845">
        <f t="shared" si="300"/>
        <v>0</v>
      </c>
      <c r="K1540" s="1845"/>
      <c r="L1540" s="1845"/>
      <c r="M1540" s="1845"/>
      <c r="N1540" s="1845"/>
      <c r="O1540" s="1845"/>
      <c r="P1540" s="1845">
        <f t="shared" si="295"/>
        <v>0</v>
      </c>
      <c r="Q1540" s="1056"/>
      <c r="R1540" s="1056"/>
      <c r="S1540" s="1056"/>
      <c r="T1540" s="2059">
        <f t="shared" si="297"/>
        <v>0</v>
      </c>
    </row>
    <row r="1541" spans="1:20" ht="22.15" hidden="1" customHeight="1">
      <c r="A1541" s="59"/>
      <c r="B1541" s="1586" t="s">
        <v>1491</v>
      </c>
      <c r="C1541" s="1015" t="str">
        <f t="shared" si="298"/>
        <v xml:space="preserve"> </v>
      </c>
      <c r="D1541" s="1544">
        <f>D1539*2</f>
        <v>0</v>
      </c>
      <c r="E1541" s="1047"/>
      <c r="F1541" s="1059" t="str">
        <f>VLOOKUP($B1541,DG!A:D,DG!$C$2,)</f>
        <v xml:space="preserve">Móc treo chữ U </v>
      </c>
      <c r="G1541" s="1047" t="str">
        <f>VLOOKUP($B1541,DG!A:D,DG!$D$2,)</f>
        <v>cái</v>
      </c>
      <c r="H1541" s="1845">
        <f t="shared" si="299"/>
        <v>0</v>
      </c>
      <c r="I1541" s="1845"/>
      <c r="J1541" s="1845">
        <f t="shared" si="300"/>
        <v>0</v>
      </c>
      <c r="K1541" s="1845"/>
      <c r="L1541" s="1845"/>
      <c r="M1541" s="1845"/>
      <c r="N1541" s="1845"/>
      <c r="O1541" s="1845"/>
      <c r="P1541" s="1845">
        <f t="shared" si="295"/>
        <v>0</v>
      </c>
      <c r="Q1541" s="1056"/>
      <c r="R1541" s="1056"/>
      <c r="S1541" s="1056"/>
      <c r="T1541" s="2059">
        <f t="shared" si="297"/>
        <v>0</v>
      </c>
    </row>
    <row r="1542" spans="1:20" ht="22.15" hidden="1" customHeight="1">
      <c r="A1542" s="59"/>
      <c r="B1542" s="1586" t="s">
        <v>1574</v>
      </c>
      <c r="C1542" s="1015" t="str">
        <f t="shared" si="298"/>
        <v xml:space="preserve"> </v>
      </c>
      <c r="D1542" s="1544">
        <f>D1539</f>
        <v>0</v>
      </c>
      <c r="E1542" s="1047"/>
      <c r="F1542" s="1059" t="str">
        <f>VLOOKUP($B1542,DG!A:D,DG!$C$2,)</f>
        <v>Vòng treo đầu tròn</v>
      </c>
      <c r="G1542" s="1047" t="str">
        <f>VLOOKUP($B1542,DG!A:D,DG!$D$2,)</f>
        <v>cái</v>
      </c>
      <c r="H1542" s="1845">
        <f t="shared" si="299"/>
        <v>0</v>
      </c>
      <c r="I1542" s="1845"/>
      <c r="J1542" s="1845">
        <f t="shared" si="300"/>
        <v>0</v>
      </c>
      <c r="K1542" s="1845"/>
      <c r="L1542" s="1845"/>
      <c r="M1542" s="1845"/>
      <c r="N1542" s="1845"/>
      <c r="O1542" s="1845"/>
      <c r="P1542" s="1845">
        <f t="shared" si="295"/>
        <v>0</v>
      </c>
      <c r="Q1542" s="1056"/>
      <c r="R1542" s="1056"/>
      <c r="S1542" s="1056"/>
      <c r="T1542" s="2059">
        <f t="shared" si="297"/>
        <v>0</v>
      </c>
    </row>
    <row r="1543" spans="1:20" ht="22.15" hidden="1" customHeight="1">
      <c r="A1543" s="59"/>
      <c r="B1543" s="1586" t="s">
        <v>1489</v>
      </c>
      <c r="C1543" s="1015" t="str">
        <f t="shared" si="298"/>
        <v xml:space="preserve"> </v>
      </c>
      <c r="D1543" s="1544">
        <f>D1539</f>
        <v>0</v>
      </c>
      <c r="E1543" s="1047"/>
      <c r="F1543" s="1059" t="str">
        <f>VLOOKUP($B1543,DG!A:D,DG!$C$2,)</f>
        <v>Mắt nối đơn</v>
      </c>
      <c r="G1543" s="1047" t="str">
        <f>VLOOKUP($B1543,DG!A:D,DG!$D$2,)</f>
        <v>cái</v>
      </c>
      <c r="H1543" s="1845">
        <f t="shared" si="299"/>
        <v>0</v>
      </c>
      <c r="I1543" s="1845"/>
      <c r="J1543" s="1845">
        <f t="shared" si="300"/>
        <v>0</v>
      </c>
      <c r="K1543" s="1845"/>
      <c r="L1543" s="1845"/>
      <c r="M1543" s="1845"/>
      <c r="N1543" s="1845"/>
      <c r="O1543" s="1845"/>
      <c r="P1543" s="1845">
        <f t="shared" si="295"/>
        <v>0</v>
      </c>
      <c r="Q1543" s="1056"/>
      <c r="R1543" s="1056"/>
      <c r="S1543" s="1056"/>
      <c r="T1543" s="2059">
        <f t="shared" si="297"/>
        <v>0</v>
      </c>
    </row>
    <row r="1544" spans="1:20" ht="22.15" hidden="1" customHeight="1">
      <c r="A1544" s="1017"/>
      <c r="B1544" s="1591" t="s">
        <v>2524</v>
      </c>
      <c r="C1544" s="1015" t="str">
        <f t="shared" si="298"/>
        <v xml:space="preserve"> </v>
      </c>
      <c r="D1544" s="1544">
        <f>pp_NC!DJ95</f>
        <v>0</v>
      </c>
      <c r="E1544" s="1047"/>
      <c r="F1544" s="1065" t="s">
        <v>2525</v>
      </c>
      <c r="G1544" s="1066" t="s">
        <v>2521</v>
      </c>
      <c r="H1544" s="1845">
        <f t="shared" si="299"/>
        <v>0</v>
      </c>
      <c r="I1544" s="1845"/>
      <c r="J1544" s="1845">
        <f t="shared" si="300"/>
        <v>0</v>
      </c>
      <c r="K1544" s="1845"/>
      <c r="L1544" s="1845"/>
      <c r="M1544" s="1845"/>
      <c r="N1544" s="1845"/>
      <c r="O1544" s="1845"/>
      <c r="P1544" s="1845">
        <f t="shared" si="295"/>
        <v>0</v>
      </c>
      <c r="Q1544" s="1056"/>
      <c r="R1544" s="1056"/>
      <c r="S1544" s="1056"/>
      <c r="T1544" s="2059">
        <f t="shared" si="297"/>
        <v>0</v>
      </c>
    </row>
    <row r="1545" spans="1:20" ht="22.15" hidden="1" customHeight="1">
      <c r="A1545" s="1017"/>
      <c r="B1545" s="1580" t="s">
        <v>1511</v>
      </c>
      <c r="C1545" s="1015" t="str">
        <f t="shared" si="298"/>
        <v xml:space="preserve"> </v>
      </c>
      <c r="D1545" s="1544">
        <f>D1544</f>
        <v>0</v>
      </c>
      <c r="E1545" s="1047"/>
      <c r="F1545" s="1059" t="str">
        <f>VLOOKUP($B1545,DG!A:D,DG!$C$2,)</f>
        <v>Sứ treo polymer</v>
      </c>
      <c r="G1545" s="1047" t="str">
        <f>VLOOKUP($B1545,DG!A:D,DG!$D$2,)</f>
        <v>chuỗi</v>
      </c>
      <c r="H1545" s="1845">
        <f t="shared" si="299"/>
        <v>0</v>
      </c>
      <c r="I1545" s="1845"/>
      <c r="J1545" s="1845">
        <f t="shared" si="300"/>
        <v>0</v>
      </c>
      <c r="K1545" s="1845"/>
      <c r="L1545" s="1845"/>
      <c r="M1545" s="1845"/>
      <c r="N1545" s="1845"/>
      <c r="O1545" s="1845"/>
      <c r="P1545" s="1845">
        <f t="shared" si="295"/>
        <v>0</v>
      </c>
      <c r="Q1545" s="1056"/>
      <c r="R1545" s="1056"/>
      <c r="S1545" s="1056"/>
      <c r="T1545" s="2059">
        <f t="shared" si="297"/>
        <v>0</v>
      </c>
    </row>
    <row r="1546" spans="1:20" ht="22.15" hidden="1" customHeight="1">
      <c r="A1546" s="1017"/>
      <c r="B1546" s="1580" t="s">
        <v>1491</v>
      </c>
      <c r="C1546" s="1015" t="str">
        <f t="shared" si="298"/>
        <v xml:space="preserve"> </v>
      </c>
      <c r="D1546" s="1544">
        <f>D1544*2</f>
        <v>0</v>
      </c>
      <c r="E1546" s="1047"/>
      <c r="F1546" s="1059" t="str">
        <f>VLOOKUP($B1546,DG!A:D,DG!$C$2,)</f>
        <v xml:space="preserve">Móc treo chữ U </v>
      </c>
      <c r="G1546" s="1047" t="str">
        <f>VLOOKUP($B1546,DG!A:D,DG!$D$2,)</f>
        <v>cái</v>
      </c>
      <c r="H1546" s="1845">
        <f t="shared" si="299"/>
        <v>0</v>
      </c>
      <c r="I1546" s="1845"/>
      <c r="J1546" s="1845">
        <f t="shared" si="300"/>
        <v>0</v>
      </c>
      <c r="K1546" s="1845"/>
      <c r="L1546" s="1845"/>
      <c r="M1546" s="1845"/>
      <c r="N1546" s="1845"/>
      <c r="O1546" s="1845"/>
      <c r="P1546" s="1845">
        <f t="shared" si="295"/>
        <v>0</v>
      </c>
      <c r="Q1546" s="1056"/>
      <c r="R1546" s="1056"/>
      <c r="S1546" s="1056"/>
      <c r="T1546" s="2059">
        <f t="shared" si="297"/>
        <v>0</v>
      </c>
    </row>
    <row r="1547" spans="1:20" ht="22.15" hidden="1" customHeight="1">
      <c r="A1547" s="1017"/>
      <c r="B1547" s="1580" t="s">
        <v>906</v>
      </c>
      <c r="C1547" s="1015" t="str">
        <f t="shared" si="298"/>
        <v xml:space="preserve"> </v>
      </c>
      <c r="D1547" s="1544">
        <f>D1544</f>
        <v>0</v>
      </c>
      <c r="E1547" s="1047"/>
      <c r="F1547" s="1059" t="str">
        <f>VLOOKUP($B1547,DG!A:D,DG!$C$2,)</f>
        <v>Khóa néo dây cỡ dây 50</v>
      </c>
      <c r="G1547" s="1047" t="str">
        <f>VLOOKUP($B1547,DG!A:D,DG!$D$2,)</f>
        <v>cái</v>
      </c>
      <c r="H1547" s="1845">
        <f t="shared" si="299"/>
        <v>0</v>
      </c>
      <c r="I1547" s="1845"/>
      <c r="J1547" s="1845">
        <f t="shared" si="300"/>
        <v>0</v>
      </c>
      <c r="K1547" s="1845"/>
      <c r="L1547" s="1845"/>
      <c r="M1547" s="1845"/>
      <c r="N1547" s="1845"/>
      <c r="O1547" s="1845"/>
      <c r="P1547" s="1845">
        <f t="shared" si="295"/>
        <v>0</v>
      </c>
      <c r="Q1547" s="1056"/>
      <c r="R1547" s="1056"/>
      <c r="S1547" s="1056"/>
      <c r="T1547" s="2059">
        <f t="shared" si="297"/>
        <v>0</v>
      </c>
    </row>
    <row r="1548" spans="1:20" ht="22.15" hidden="1" customHeight="1">
      <c r="A1548" s="59"/>
      <c r="B1548" s="1586" t="s">
        <v>1574</v>
      </c>
      <c r="C1548" s="1015" t="str">
        <f t="shared" si="298"/>
        <v xml:space="preserve"> </v>
      </c>
      <c r="D1548" s="1544"/>
      <c r="E1548" s="1047"/>
      <c r="F1548" s="1059" t="str">
        <f>VLOOKUP($B1548,DG!A:D,DG!$C$2,)</f>
        <v>Vòng treo đầu tròn</v>
      </c>
      <c r="G1548" s="1047" t="str">
        <f>VLOOKUP($B1548,DG!A:D,DG!$D$2,)</f>
        <v>cái</v>
      </c>
      <c r="H1548" s="1845">
        <f t="shared" si="299"/>
        <v>0</v>
      </c>
      <c r="I1548" s="1845"/>
      <c r="J1548" s="1845">
        <f t="shared" si="300"/>
        <v>0</v>
      </c>
      <c r="K1548" s="1845"/>
      <c r="L1548" s="1845"/>
      <c r="M1548" s="1845"/>
      <c r="N1548" s="1845"/>
      <c r="O1548" s="1845"/>
      <c r="P1548" s="1845">
        <f t="shared" si="295"/>
        <v>0</v>
      </c>
      <c r="Q1548" s="1056"/>
      <c r="R1548" s="1056"/>
      <c r="S1548" s="1056"/>
      <c r="T1548" s="2059">
        <f t="shared" si="297"/>
        <v>0</v>
      </c>
    </row>
    <row r="1549" spans="1:20" ht="22.15" hidden="1" customHeight="1">
      <c r="A1549" s="59"/>
      <c r="B1549" s="1586" t="s">
        <v>1489</v>
      </c>
      <c r="C1549" s="1015" t="str">
        <f t="shared" si="298"/>
        <v xml:space="preserve"> </v>
      </c>
      <c r="D1549" s="1544"/>
      <c r="E1549" s="1047"/>
      <c r="F1549" s="1059" t="str">
        <f>VLOOKUP($B1549,DG!A:D,DG!$C$2,)</f>
        <v>Mắt nối đơn</v>
      </c>
      <c r="G1549" s="1047" t="str">
        <f>VLOOKUP($B1549,DG!A:D,DG!$D$2,)</f>
        <v>cái</v>
      </c>
      <c r="H1549" s="1845">
        <f t="shared" si="299"/>
        <v>0</v>
      </c>
      <c r="I1549" s="1845"/>
      <c r="J1549" s="1845">
        <f t="shared" si="300"/>
        <v>0</v>
      </c>
      <c r="K1549" s="1845"/>
      <c r="L1549" s="1845"/>
      <c r="M1549" s="1845"/>
      <c r="N1549" s="1845"/>
      <c r="O1549" s="1845"/>
      <c r="P1549" s="1845">
        <f t="shared" si="295"/>
        <v>0</v>
      </c>
      <c r="Q1549" s="1056"/>
      <c r="R1549" s="1056"/>
      <c r="S1549" s="1056"/>
      <c r="T1549" s="2059">
        <f t="shared" si="297"/>
        <v>0</v>
      </c>
    </row>
    <row r="1550" spans="1:20" ht="22.15" hidden="1" customHeight="1">
      <c r="A1550" s="59"/>
      <c r="B1550" s="1593"/>
      <c r="C1550" s="1015" t="str">
        <f t="shared" si="298"/>
        <v xml:space="preserve"> </v>
      </c>
      <c r="D1550" s="1544"/>
      <c r="E1550" s="1047"/>
      <c r="F1550" s="1397" t="s">
        <v>2526</v>
      </c>
      <c r="G1550" s="1047"/>
      <c r="H1550" s="1845">
        <f t="shared" si="299"/>
        <v>0</v>
      </c>
      <c r="I1550" s="1845"/>
      <c r="J1550" s="1845">
        <f t="shared" si="300"/>
        <v>0</v>
      </c>
      <c r="K1550" s="1845"/>
      <c r="L1550" s="1845"/>
      <c r="M1550" s="1845"/>
      <c r="N1550" s="1845"/>
      <c r="O1550" s="1845"/>
      <c r="P1550" s="1845">
        <f t="shared" si="295"/>
        <v>0</v>
      </c>
      <c r="Q1550" s="1056"/>
      <c r="R1550" s="1056"/>
      <c r="S1550" s="1056"/>
      <c r="T1550" s="2059">
        <f t="shared" si="297"/>
        <v>0</v>
      </c>
    </row>
    <row r="1551" spans="1:20" ht="22.15" hidden="1" customHeight="1">
      <c r="A1551" s="973"/>
      <c r="B1551" s="1593" t="s">
        <v>1146</v>
      </c>
      <c r="C1551" s="1015" t="str">
        <f t="shared" si="298"/>
        <v xml:space="preserve"> </v>
      </c>
      <c r="D1551" s="1557"/>
      <c r="E1551" s="1047"/>
      <c r="F1551" s="1059" t="str">
        <f>VLOOKUP($B1551,DG!A:D,DG!$C$2,)</f>
        <v>Khóa đỡ dây cỡ dây 240</v>
      </c>
      <c r="G1551" s="1047" t="str">
        <f>VLOOKUP($B1551,DG!A:D,DG!$D$2,)</f>
        <v>cái</v>
      </c>
      <c r="H1551" s="1845">
        <f t="shared" si="299"/>
        <v>0</v>
      </c>
      <c r="I1551" s="1845"/>
      <c r="J1551" s="1845">
        <f t="shared" si="300"/>
        <v>0</v>
      </c>
      <c r="K1551" s="1845"/>
      <c r="L1551" s="1845"/>
      <c r="M1551" s="1845"/>
      <c r="N1551" s="1845"/>
      <c r="O1551" s="1845"/>
      <c r="P1551" s="1845">
        <f t="shared" si="295"/>
        <v>0</v>
      </c>
      <c r="Q1551" s="1056"/>
      <c r="R1551" s="1056"/>
      <c r="S1551" s="1056"/>
      <c r="T1551" s="2059">
        <f t="shared" si="297"/>
        <v>0</v>
      </c>
    </row>
    <row r="1552" spans="1:20" ht="22.15" hidden="1" customHeight="1">
      <c r="A1552" s="59"/>
      <c r="B1552" s="1593" t="s">
        <v>1145</v>
      </c>
      <c r="C1552" s="1015" t="str">
        <f t="shared" si="298"/>
        <v xml:space="preserve"> </v>
      </c>
      <c r="D1552" s="1557"/>
      <c r="E1552" s="1047"/>
      <c r="F1552" s="1059" t="str">
        <f>VLOOKUP($B1552,DG!A:D,DG!$C$2,)</f>
        <v>Khóa đỡ dây cỡ dây 185</v>
      </c>
      <c r="G1552" s="1047" t="str">
        <f>VLOOKUP($B1552,DG!A:D,DG!$D$2,)</f>
        <v>cái</v>
      </c>
      <c r="H1552" s="1845">
        <f t="shared" si="299"/>
        <v>0</v>
      </c>
      <c r="I1552" s="1845"/>
      <c r="J1552" s="1845">
        <f t="shared" si="300"/>
        <v>0</v>
      </c>
      <c r="K1552" s="1845"/>
      <c r="L1552" s="1845"/>
      <c r="M1552" s="1845"/>
      <c r="N1552" s="1845"/>
      <c r="O1552" s="1845"/>
      <c r="P1552" s="1845">
        <f t="shared" si="295"/>
        <v>0</v>
      </c>
      <c r="Q1552" s="1056"/>
      <c r="R1552" s="1056"/>
      <c r="S1552" s="1056"/>
      <c r="T1552" s="2059">
        <f t="shared" si="297"/>
        <v>0</v>
      </c>
    </row>
    <row r="1553" spans="1:20" ht="22.15" hidden="1" customHeight="1">
      <c r="A1553" s="59"/>
      <c r="B1553" s="1593" t="s">
        <v>1144</v>
      </c>
      <c r="C1553" s="1015" t="str">
        <f t="shared" si="298"/>
        <v xml:space="preserve"> </v>
      </c>
      <c r="D1553" s="1557"/>
      <c r="E1553" s="1047"/>
      <c r="F1553" s="1059" t="str">
        <f>VLOOKUP($B1553,DG!A:D,DG!$C$2,)</f>
        <v>Khóa đỡ dây cỡ dây 150</v>
      </c>
      <c r="G1553" s="1047" t="str">
        <f>VLOOKUP($B1553,DG!A:D,DG!$D$2,)</f>
        <v>cái</v>
      </c>
      <c r="H1553" s="1845">
        <f t="shared" si="299"/>
        <v>0</v>
      </c>
      <c r="I1553" s="1845"/>
      <c r="J1553" s="1845">
        <f t="shared" si="300"/>
        <v>0</v>
      </c>
      <c r="K1553" s="1845"/>
      <c r="L1553" s="1845"/>
      <c r="M1553" s="1845"/>
      <c r="N1553" s="1845"/>
      <c r="O1553" s="1845"/>
      <c r="P1553" s="1845">
        <f t="shared" si="295"/>
        <v>0</v>
      </c>
      <c r="Q1553" s="1056"/>
      <c r="R1553" s="1056"/>
      <c r="S1553" s="1056"/>
      <c r="T1553" s="2059">
        <f t="shared" si="297"/>
        <v>0</v>
      </c>
    </row>
    <row r="1554" spans="1:20" ht="22.15" hidden="1" customHeight="1">
      <c r="A1554" s="59"/>
      <c r="B1554" s="1593" t="s">
        <v>1143</v>
      </c>
      <c r="C1554" s="1015" t="str">
        <f t="shared" si="298"/>
        <v xml:space="preserve"> </v>
      </c>
      <c r="D1554" s="1557"/>
      <c r="E1554" s="1047"/>
      <c r="F1554" s="1059" t="str">
        <f>VLOOKUP($B1554,DG!A:D,DG!$C$2,)</f>
        <v>Khóa đỡ dây cỡ dây 120</v>
      </c>
      <c r="G1554" s="1047" t="str">
        <f>VLOOKUP($B1554,DG!A:D,DG!$D$2,)</f>
        <v>cái</v>
      </c>
      <c r="H1554" s="1845">
        <f t="shared" si="299"/>
        <v>0</v>
      </c>
      <c r="I1554" s="1845"/>
      <c r="J1554" s="1845">
        <f t="shared" si="300"/>
        <v>0</v>
      </c>
      <c r="K1554" s="1845"/>
      <c r="L1554" s="1845"/>
      <c r="M1554" s="1845"/>
      <c r="N1554" s="1845"/>
      <c r="O1554" s="1845"/>
      <c r="P1554" s="1845">
        <f t="shared" si="295"/>
        <v>0</v>
      </c>
      <c r="Q1554" s="1056"/>
      <c r="R1554" s="1056"/>
      <c r="S1554" s="1056"/>
      <c r="T1554" s="2059">
        <f t="shared" si="297"/>
        <v>0</v>
      </c>
    </row>
    <row r="1555" spans="1:20" ht="22.15" hidden="1" customHeight="1">
      <c r="A1555" s="59"/>
      <c r="B1555" s="1593" t="s">
        <v>101</v>
      </c>
      <c r="C1555" s="1015" t="str">
        <f t="shared" si="298"/>
        <v xml:space="preserve"> </v>
      </c>
      <c r="D1555" s="1557"/>
      <c r="E1555" s="1047"/>
      <c r="F1555" s="1059" t="str">
        <f>VLOOKUP($B1555,DG!A:D,DG!$C$2,)</f>
        <v>Khóa đỡ dây cỡ dây 95</v>
      </c>
      <c r="G1555" s="1047" t="str">
        <f>VLOOKUP($B1555,DG!A:D,DG!$D$2,)</f>
        <v>cái</v>
      </c>
      <c r="H1555" s="1845">
        <f t="shared" si="299"/>
        <v>0</v>
      </c>
      <c r="I1555" s="1845"/>
      <c r="J1555" s="1845">
        <f t="shared" si="300"/>
        <v>0</v>
      </c>
      <c r="K1555" s="1845"/>
      <c r="L1555" s="1845"/>
      <c r="M1555" s="1845"/>
      <c r="N1555" s="1845"/>
      <c r="O1555" s="1845"/>
      <c r="P1555" s="1845">
        <f t="shared" si="295"/>
        <v>0</v>
      </c>
      <c r="Q1555" s="1056"/>
      <c r="R1555" s="1056"/>
      <c r="S1555" s="1056"/>
      <c r="T1555" s="2059">
        <f t="shared" si="297"/>
        <v>0</v>
      </c>
    </row>
    <row r="1556" spans="1:20" ht="22.15" hidden="1" customHeight="1">
      <c r="A1556" s="59"/>
      <c r="B1556" s="1593" t="s">
        <v>1486</v>
      </c>
      <c r="C1556" s="1015" t="str">
        <f t="shared" si="298"/>
        <v xml:space="preserve"> </v>
      </c>
      <c r="D1556" s="1557"/>
      <c r="E1556" s="1047"/>
      <c r="F1556" s="1059" t="str">
        <f>VLOOKUP($B1556,DG!A:D,DG!$C$2,)</f>
        <v>Khóa đỡ dây cỡ dây 70</v>
      </c>
      <c r="G1556" s="1047" t="str">
        <f>VLOOKUP($B1556,DG!A:D,DG!$D$2,)</f>
        <v>cái</v>
      </c>
      <c r="H1556" s="1845">
        <f t="shared" ref="H1556:H1587" si="301">$D1556</f>
        <v>0</v>
      </c>
      <c r="I1556" s="1845"/>
      <c r="J1556" s="1845">
        <f t="shared" ref="J1556:J1587" si="302">D1556</f>
        <v>0</v>
      </c>
      <c r="K1556" s="1845"/>
      <c r="L1556" s="1845"/>
      <c r="M1556" s="1845"/>
      <c r="N1556" s="1845"/>
      <c r="O1556" s="1845"/>
      <c r="P1556" s="1845">
        <f t="shared" si="295"/>
        <v>0</v>
      </c>
      <c r="Q1556" s="1056"/>
      <c r="R1556" s="1056"/>
      <c r="S1556" s="1056"/>
      <c r="T1556" s="2059">
        <f t="shared" si="297"/>
        <v>0</v>
      </c>
    </row>
    <row r="1557" spans="1:20" ht="22.15" hidden="1" customHeight="1">
      <c r="A1557" s="59"/>
      <c r="B1557" s="1593" t="s">
        <v>1177</v>
      </c>
      <c r="C1557" s="1015" t="str">
        <f t="shared" si="298"/>
        <v xml:space="preserve"> </v>
      </c>
      <c r="D1557" s="1557"/>
      <c r="E1557" s="1047"/>
      <c r="F1557" s="1059" t="str">
        <f>VLOOKUP($B1557,DG!A:D,DG!$C$2,)</f>
        <v>Khóa đỡ dây cỡ dây 50</v>
      </c>
      <c r="G1557" s="1047" t="str">
        <f>VLOOKUP($B1557,DG!A:D,DG!$D$2,)</f>
        <v>cái</v>
      </c>
      <c r="H1557" s="1845">
        <f t="shared" si="301"/>
        <v>0</v>
      </c>
      <c r="I1557" s="1845"/>
      <c r="J1557" s="1845">
        <f t="shared" si="302"/>
        <v>0</v>
      </c>
      <c r="K1557" s="1845"/>
      <c r="L1557" s="1845"/>
      <c r="M1557" s="1845"/>
      <c r="N1557" s="1845"/>
      <c r="O1557" s="1845"/>
      <c r="P1557" s="1845">
        <f t="shared" ref="P1557:P1620" si="303">H1557+Q1557-R1557</f>
        <v>0</v>
      </c>
      <c r="Q1557" s="1056"/>
      <c r="R1557" s="1056"/>
      <c r="S1557" s="1056"/>
      <c r="T1557" s="2059">
        <f t="shared" si="297"/>
        <v>0</v>
      </c>
    </row>
    <row r="1558" spans="1:20" ht="22.15" hidden="1" customHeight="1">
      <c r="A1558" s="59"/>
      <c r="B1558" s="1593" t="s">
        <v>1747</v>
      </c>
      <c r="C1558" s="1015" t="str">
        <f t="shared" si="298"/>
        <v xml:space="preserve"> </v>
      </c>
      <c r="D1558" s="1541"/>
      <c r="E1558" s="1047"/>
      <c r="F1558" s="1059" t="str">
        <f>VLOOKUP($B1558,DG!A:D,DG!$C$2,)</f>
        <v>Khóa néo dây cỡ dây 240</v>
      </c>
      <c r="G1558" s="1047" t="str">
        <f>VLOOKUP($B1558,DG!A:D,DG!$D$2,)</f>
        <v>cái</v>
      </c>
      <c r="H1558" s="1845">
        <f t="shared" si="301"/>
        <v>0</v>
      </c>
      <c r="I1558" s="1845"/>
      <c r="J1558" s="1845">
        <f t="shared" si="302"/>
        <v>0</v>
      </c>
      <c r="K1558" s="1845"/>
      <c r="L1558" s="1845"/>
      <c r="M1558" s="1845"/>
      <c r="N1558" s="1845"/>
      <c r="O1558" s="1845"/>
      <c r="P1558" s="1845">
        <f t="shared" si="303"/>
        <v>0</v>
      </c>
      <c r="Q1558" s="1056"/>
      <c r="R1558" s="1056"/>
      <c r="S1558" s="1056"/>
      <c r="T1558" s="2059">
        <f t="shared" si="297"/>
        <v>0</v>
      </c>
    </row>
    <row r="1559" spans="1:20" ht="22.15" hidden="1" customHeight="1">
      <c r="A1559" s="59"/>
      <c r="B1559" s="1594" t="s">
        <v>1748</v>
      </c>
      <c r="C1559" s="1015" t="str">
        <f t="shared" si="298"/>
        <v xml:space="preserve"> </v>
      </c>
      <c r="D1559" s="1541"/>
      <c r="E1559" s="1047"/>
      <c r="F1559" s="1059" t="str">
        <f>VLOOKUP($B1559,DG!A:D,DG!$C$2,)</f>
        <v>Khóa néo dây cỡ dây 185</v>
      </c>
      <c r="G1559" s="1047" t="str">
        <f>VLOOKUP($B1559,DG!A:D,DG!$D$2,)</f>
        <v>cái</v>
      </c>
      <c r="H1559" s="1845">
        <f t="shared" si="301"/>
        <v>0</v>
      </c>
      <c r="I1559" s="1845"/>
      <c r="J1559" s="1845">
        <f t="shared" si="302"/>
        <v>0</v>
      </c>
      <c r="K1559" s="1845"/>
      <c r="L1559" s="1845"/>
      <c r="M1559" s="1845"/>
      <c r="N1559" s="1845"/>
      <c r="O1559" s="1845"/>
      <c r="P1559" s="1845">
        <f t="shared" si="303"/>
        <v>0</v>
      </c>
      <c r="Q1559" s="1056"/>
      <c r="R1559" s="1056"/>
      <c r="S1559" s="1056"/>
      <c r="T1559" s="2059">
        <f t="shared" si="297"/>
        <v>0</v>
      </c>
    </row>
    <row r="1560" spans="1:20" ht="22.15" hidden="1" customHeight="1">
      <c r="A1560" s="59"/>
      <c r="B1560" s="1593" t="s">
        <v>2117</v>
      </c>
      <c r="C1560" s="1015" t="str">
        <f t="shared" si="298"/>
        <v xml:space="preserve"> </v>
      </c>
      <c r="D1560" s="1541"/>
      <c r="E1560" s="1047"/>
      <c r="F1560" s="1059" t="str">
        <f>VLOOKUP($B1560,DG!A:D,DG!$C$2,)</f>
        <v>Khóa néo dây cỡ dây 150</v>
      </c>
      <c r="G1560" s="1047" t="str">
        <f>VLOOKUP($B1560,DG!A:D,DG!$D$2,)</f>
        <v>cái</v>
      </c>
      <c r="H1560" s="1845">
        <f t="shared" si="301"/>
        <v>0</v>
      </c>
      <c r="I1560" s="1845"/>
      <c r="J1560" s="1845">
        <f t="shared" si="302"/>
        <v>0</v>
      </c>
      <c r="K1560" s="1845"/>
      <c r="L1560" s="1845"/>
      <c r="M1560" s="1845"/>
      <c r="N1560" s="1845"/>
      <c r="O1560" s="1845"/>
      <c r="P1560" s="1845">
        <f t="shared" si="303"/>
        <v>0</v>
      </c>
      <c r="Q1560" s="1056"/>
      <c r="R1560" s="1056"/>
      <c r="S1560" s="1056"/>
      <c r="T1560" s="2059">
        <f t="shared" si="297"/>
        <v>0</v>
      </c>
    </row>
    <row r="1561" spans="1:20" ht="22.15" hidden="1" customHeight="1">
      <c r="A1561" s="59"/>
      <c r="B1561" s="1594" t="s">
        <v>431</v>
      </c>
      <c r="C1561" s="1015" t="str">
        <f t="shared" si="298"/>
        <v xml:space="preserve"> </v>
      </c>
      <c r="D1561" s="1541"/>
      <c r="E1561" s="1047"/>
      <c r="F1561" s="1059" t="str">
        <f>VLOOKUP($B1561,DG!A:D,DG!$C$2,)</f>
        <v>Khóa néo dây cỡ dây 120</v>
      </c>
      <c r="G1561" s="1047" t="str">
        <f>VLOOKUP($B1561,DG!A:D,DG!$D$2,)</f>
        <v>cái</v>
      </c>
      <c r="H1561" s="1845">
        <f t="shared" si="301"/>
        <v>0</v>
      </c>
      <c r="I1561" s="1845"/>
      <c r="J1561" s="1845">
        <f t="shared" si="302"/>
        <v>0</v>
      </c>
      <c r="K1561" s="1845"/>
      <c r="L1561" s="1845"/>
      <c r="M1561" s="1845"/>
      <c r="N1561" s="1845"/>
      <c r="O1561" s="1845"/>
      <c r="P1561" s="1845">
        <f t="shared" si="303"/>
        <v>0</v>
      </c>
      <c r="Q1561" s="1056"/>
      <c r="R1561" s="1056"/>
      <c r="S1561" s="1056"/>
      <c r="T1561" s="2059">
        <f t="shared" si="297"/>
        <v>0</v>
      </c>
    </row>
    <row r="1562" spans="1:20" ht="22.15" hidden="1" customHeight="1">
      <c r="A1562" s="59"/>
      <c r="B1562" s="1593" t="s">
        <v>1262</v>
      </c>
      <c r="C1562" s="1015" t="str">
        <f t="shared" si="298"/>
        <v xml:space="preserve"> </v>
      </c>
      <c r="D1562" s="1544"/>
      <c r="E1562" s="1047"/>
      <c r="F1562" s="1059" t="str">
        <f>VLOOKUP($B1562,DG!A:D,DG!$C$2,)</f>
        <v>Khóa néo dây cỡ dây 95</v>
      </c>
      <c r="G1562" s="1047" t="str">
        <f>VLOOKUP($B1562,DG!A:D,DG!$D$2,)</f>
        <v>cái</v>
      </c>
      <c r="H1562" s="1845">
        <f t="shared" si="301"/>
        <v>0</v>
      </c>
      <c r="I1562" s="1845"/>
      <c r="J1562" s="1845">
        <f t="shared" si="302"/>
        <v>0</v>
      </c>
      <c r="K1562" s="1845"/>
      <c r="L1562" s="1845"/>
      <c r="M1562" s="1845"/>
      <c r="N1562" s="1845"/>
      <c r="O1562" s="1845"/>
      <c r="P1562" s="1845">
        <f t="shared" si="303"/>
        <v>0</v>
      </c>
      <c r="Q1562" s="1056"/>
      <c r="R1562" s="1056"/>
      <c r="S1562" s="1056"/>
      <c r="T1562" s="2059">
        <f t="shared" si="297"/>
        <v>0</v>
      </c>
    </row>
    <row r="1563" spans="1:20" ht="22.15" hidden="1" customHeight="1">
      <c r="A1563" s="59"/>
      <c r="B1563" s="1594" t="s">
        <v>2239</v>
      </c>
      <c r="C1563" s="1015" t="str">
        <f t="shared" si="298"/>
        <v xml:space="preserve"> </v>
      </c>
      <c r="D1563" s="1541"/>
      <c r="E1563" s="1047"/>
      <c r="F1563" s="1059" t="str">
        <f>VLOOKUP($B1563,DG!A:D,DG!$C$2,)</f>
        <v>Khóa néo dây cỡ dây 70</v>
      </c>
      <c r="G1563" s="1047" t="str">
        <f>VLOOKUP($B1563,DG!A:D,DG!$D$2,)</f>
        <v>cái</v>
      </c>
      <c r="H1563" s="1845">
        <f t="shared" si="301"/>
        <v>0</v>
      </c>
      <c r="I1563" s="1845"/>
      <c r="J1563" s="1845">
        <f t="shared" si="302"/>
        <v>0</v>
      </c>
      <c r="K1563" s="1845"/>
      <c r="L1563" s="1845"/>
      <c r="M1563" s="1845"/>
      <c r="N1563" s="1845"/>
      <c r="O1563" s="1845"/>
      <c r="P1563" s="1845">
        <f t="shared" si="303"/>
        <v>0</v>
      </c>
      <c r="Q1563" s="1056"/>
      <c r="R1563" s="1056"/>
      <c r="S1563" s="1056"/>
      <c r="T1563" s="2059">
        <f t="shared" si="297"/>
        <v>0</v>
      </c>
    </row>
    <row r="1564" spans="1:20" ht="22.15" hidden="1" customHeight="1">
      <c r="A1564" s="59"/>
      <c r="B1564" s="1594" t="s">
        <v>1487</v>
      </c>
      <c r="C1564" s="1015" t="str">
        <f t="shared" si="298"/>
        <v xml:space="preserve"> </v>
      </c>
      <c r="D1564" s="1541"/>
      <c r="E1564" s="1047"/>
      <c r="F1564" s="1059" t="str">
        <f>VLOOKUP($B1564,DG!A:D,DG!$C$2,)</f>
        <v>Khóa néo dây cỡ dây 50</v>
      </c>
      <c r="G1564" s="1047" t="str">
        <f>VLOOKUP($B1564,DG!A:D,DG!$D$2,)</f>
        <v>cái</v>
      </c>
      <c r="H1564" s="1845">
        <f t="shared" si="301"/>
        <v>0</v>
      </c>
      <c r="I1564" s="1845"/>
      <c r="J1564" s="1845">
        <f t="shared" si="302"/>
        <v>0</v>
      </c>
      <c r="K1564" s="1845"/>
      <c r="L1564" s="1845"/>
      <c r="M1564" s="1845"/>
      <c r="N1564" s="1845"/>
      <c r="O1564" s="1845"/>
      <c r="P1564" s="1845">
        <f t="shared" si="303"/>
        <v>0</v>
      </c>
      <c r="Q1564" s="1056"/>
      <c r="R1564" s="1056"/>
      <c r="S1564" s="1056"/>
      <c r="T1564" s="2059">
        <f t="shared" si="297"/>
        <v>0</v>
      </c>
    </row>
    <row r="1565" spans="1:20" ht="22.15" hidden="1" customHeight="1">
      <c r="A1565" s="59"/>
      <c r="B1565" s="1593" t="s">
        <v>1587</v>
      </c>
      <c r="C1565" s="1015" t="str">
        <f t="shared" si="298"/>
        <v xml:space="preserve"> </v>
      </c>
      <c r="D1565" s="1557"/>
      <c r="E1565" s="1047"/>
      <c r="F1565" s="1059" t="str">
        <f>VLOOKUP($B1565,DG!A:D,DG!$C$2,)</f>
        <v>Kẹp 2 rãnh (APC) cỡ dây 50mm2</v>
      </c>
      <c r="G1565" s="1047" t="str">
        <f>VLOOKUP($B1565,DG!A:D,DG!$D$2,)</f>
        <v>cái</v>
      </c>
      <c r="H1565" s="1845">
        <f t="shared" si="301"/>
        <v>0</v>
      </c>
      <c r="I1565" s="1845"/>
      <c r="J1565" s="1845">
        <f t="shared" si="302"/>
        <v>0</v>
      </c>
      <c r="K1565" s="1845"/>
      <c r="L1565" s="1845"/>
      <c r="M1565" s="1845"/>
      <c r="N1565" s="1845"/>
      <c r="O1565" s="1845"/>
      <c r="P1565" s="1845">
        <f t="shared" si="303"/>
        <v>0</v>
      </c>
      <c r="Q1565" s="1056"/>
      <c r="R1565" s="1056"/>
      <c r="S1565" s="1056"/>
      <c r="T1565" s="2059">
        <f t="shared" si="297"/>
        <v>0</v>
      </c>
    </row>
    <row r="1566" spans="1:20" ht="22.15" hidden="1" customHeight="1">
      <c r="A1566" s="59"/>
      <c r="B1566" s="1593" t="s">
        <v>1586</v>
      </c>
      <c r="C1566" s="1015" t="str">
        <f t="shared" si="298"/>
        <v xml:space="preserve"> </v>
      </c>
      <c r="D1566" s="1557"/>
      <c r="E1566" s="1047"/>
      <c r="F1566" s="1059" t="str">
        <f>VLOOKUP($B1566,DG!A:D,DG!$C$2,)</f>
        <v>Kẹp 2 rãnh (APC) cỡ dây 70mm2</v>
      </c>
      <c r="G1566" s="1047" t="str">
        <f>VLOOKUP($B1566,DG!A:D,DG!$D$2,)</f>
        <v>cái</v>
      </c>
      <c r="H1566" s="1845">
        <f t="shared" si="301"/>
        <v>0</v>
      </c>
      <c r="I1566" s="1845"/>
      <c r="J1566" s="1845">
        <f t="shared" si="302"/>
        <v>0</v>
      </c>
      <c r="K1566" s="1845"/>
      <c r="L1566" s="1845"/>
      <c r="M1566" s="1845"/>
      <c r="N1566" s="1845"/>
      <c r="O1566" s="1845"/>
      <c r="P1566" s="1845">
        <f t="shared" si="303"/>
        <v>0</v>
      </c>
      <c r="Q1566" s="1056"/>
      <c r="R1566" s="1056"/>
      <c r="S1566" s="1056"/>
      <c r="T1566" s="2059">
        <f t="shared" si="297"/>
        <v>0</v>
      </c>
    </row>
    <row r="1567" spans="1:20" ht="22.15" hidden="1" customHeight="1">
      <c r="A1567" s="59"/>
      <c r="B1567" s="1593" t="s">
        <v>1024</v>
      </c>
      <c r="C1567" s="1015" t="str">
        <f t="shared" si="298"/>
        <v xml:space="preserve"> </v>
      </c>
      <c r="D1567" s="1557"/>
      <c r="E1567" s="1047"/>
      <c r="F1567" s="1059" t="str">
        <f>VLOOKUP($B1567,DG!A:D,DG!$C$2,)</f>
        <v>Kẹp 2 rãnh (APC) cỡ dây 95mm2</v>
      </c>
      <c r="G1567" s="1047" t="str">
        <f>VLOOKUP($B1567,DG!A:D,DG!$D$2,)</f>
        <v>cái</v>
      </c>
      <c r="H1567" s="1845">
        <f t="shared" si="301"/>
        <v>0</v>
      </c>
      <c r="I1567" s="1845"/>
      <c r="J1567" s="1845">
        <f t="shared" si="302"/>
        <v>0</v>
      </c>
      <c r="K1567" s="1845"/>
      <c r="L1567" s="1845"/>
      <c r="M1567" s="1845"/>
      <c r="N1567" s="1845"/>
      <c r="O1567" s="1845"/>
      <c r="P1567" s="1845">
        <f t="shared" si="303"/>
        <v>0</v>
      </c>
      <c r="Q1567" s="1056"/>
      <c r="R1567" s="1056"/>
      <c r="S1567" s="1056"/>
      <c r="T1567" s="2059">
        <f t="shared" si="297"/>
        <v>0</v>
      </c>
    </row>
    <row r="1568" spans="1:20" ht="22.15" hidden="1" customHeight="1">
      <c r="A1568" s="1017"/>
      <c r="B1568" s="1592" t="s">
        <v>1484</v>
      </c>
      <c r="C1568" s="1015" t="str">
        <f t="shared" si="298"/>
        <v xml:space="preserve"> </v>
      </c>
      <c r="D1568" s="1557">
        <f>pp_NC!DP95</f>
        <v>0</v>
      </c>
      <c r="E1568" s="1047"/>
      <c r="F1568" s="1059" t="str">
        <f>VLOOKUP($B1568,DG!A:D,DG!$C$2,)</f>
        <v>Kẹp quai 2/0</v>
      </c>
      <c r="G1568" s="1047" t="str">
        <f>VLOOKUP($B1568,DG!A:D,DG!$D$2,)</f>
        <v>cái</v>
      </c>
      <c r="H1568" s="1845">
        <f t="shared" si="301"/>
        <v>0</v>
      </c>
      <c r="I1568" s="1845"/>
      <c r="J1568" s="1845">
        <f t="shared" si="302"/>
        <v>0</v>
      </c>
      <c r="K1568" s="1845"/>
      <c r="L1568" s="1845"/>
      <c r="M1568" s="1845"/>
      <c r="N1568" s="1845"/>
      <c r="O1568" s="1845"/>
      <c r="P1568" s="1845">
        <f t="shared" si="303"/>
        <v>0</v>
      </c>
      <c r="Q1568" s="1056"/>
      <c r="R1568" s="1056"/>
      <c r="S1568" s="1056"/>
      <c r="T1568" s="2059">
        <f t="shared" si="297"/>
        <v>0</v>
      </c>
    </row>
    <row r="1569" spans="1:20" ht="22.15" hidden="1" customHeight="1">
      <c r="A1569" s="1017"/>
      <c r="B1569" s="1592" t="s">
        <v>1482</v>
      </c>
      <c r="C1569" s="1015" t="str">
        <f t="shared" si="298"/>
        <v xml:space="preserve"> </v>
      </c>
      <c r="D1569" s="1557">
        <f>pp_NC!DQ95</f>
        <v>0</v>
      </c>
      <c r="E1569" s="1047"/>
      <c r="F1569" s="1059" t="str">
        <f>VLOOKUP($B1569,DG!A:D,DG!$C$2,)</f>
        <v>Kẹp hotline 2/0</v>
      </c>
      <c r="G1569" s="1047" t="str">
        <f>VLOOKUP($B1569,DG!A:D,DG!$D$2,)</f>
        <v>cái</v>
      </c>
      <c r="H1569" s="1845">
        <f t="shared" si="301"/>
        <v>0</v>
      </c>
      <c r="I1569" s="1845"/>
      <c r="J1569" s="1845">
        <f t="shared" si="302"/>
        <v>0</v>
      </c>
      <c r="K1569" s="1845"/>
      <c r="L1569" s="1845"/>
      <c r="M1569" s="1845"/>
      <c r="N1569" s="1845"/>
      <c r="O1569" s="1845"/>
      <c r="P1569" s="1845">
        <f t="shared" si="303"/>
        <v>0</v>
      </c>
      <c r="Q1569" s="1056"/>
      <c r="R1569" s="1056"/>
      <c r="S1569" s="1056"/>
      <c r="T1569" s="2059">
        <f t="shared" si="297"/>
        <v>0</v>
      </c>
    </row>
    <row r="1570" spans="1:20" ht="22.15" hidden="1" customHeight="1">
      <c r="A1570" s="1017"/>
      <c r="B1570" s="1592" t="s">
        <v>907</v>
      </c>
      <c r="C1570" s="1015" t="str">
        <f t="shared" si="298"/>
        <v xml:space="preserve"> </v>
      </c>
      <c r="D1570" s="1557">
        <f>pp_NC!DR95</f>
        <v>0</v>
      </c>
      <c r="E1570" s="1047"/>
      <c r="F1570" s="1059" t="str">
        <f>VLOOKUP($B1570,DG!A:D,DG!$C$2,)</f>
        <v>Kẹp ép WR cỡ dây 50mm2</v>
      </c>
      <c r="G1570" s="1047" t="str">
        <f>VLOOKUP($B1570,DG!A:D,DG!$D$2,)</f>
        <v>cái</v>
      </c>
      <c r="H1570" s="1845">
        <f t="shared" si="301"/>
        <v>0</v>
      </c>
      <c r="I1570" s="1845"/>
      <c r="J1570" s="1845">
        <f t="shared" si="302"/>
        <v>0</v>
      </c>
      <c r="K1570" s="1845"/>
      <c r="L1570" s="1845"/>
      <c r="M1570" s="1845"/>
      <c r="N1570" s="1845"/>
      <c r="O1570" s="1845"/>
      <c r="P1570" s="1845">
        <f t="shared" si="303"/>
        <v>0</v>
      </c>
      <c r="Q1570" s="1056"/>
      <c r="R1570" s="1056"/>
      <c r="S1570" s="1056"/>
      <c r="T1570" s="2059">
        <f t="shared" si="297"/>
        <v>0</v>
      </c>
    </row>
    <row r="1571" spans="1:20" ht="22.15" hidden="1" customHeight="1">
      <c r="A1571" s="1017"/>
      <c r="B1571" s="1592" t="s">
        <v>36</v>
      </c>
      <c r="C1571" s="1015" t="str">
        <f t="shared" si="298"/>
        <v xml:space="preserve"> </v>
      </c>
      <c r="D1571" s="1557">
        <f>pp_NC!DS95</f>
        <v>0</v>
      </c>
      <c r="E1571" s="1047"/>
      <c r="F1571" s="1059" t="str">
        <f>VLOOKUP($B1571,DG!A:D,DG!$C$2,)</f>
        <v>Kẹp ép WR cỡ dây 95mm2</v>
      </c>
      <c r="G1571" s="1047" t="str">
        <f>VLOOKUP($B1571,DG!A:D,DG!$D$2,)</f>
        <v>cái</v>
      </c>
      <c r="H1571" s="1845">
        <f t="shared" si="301"/>
        <v>0</v>
      </c>
      <c r="I1571" s="1845"/>
      <c r="J1571" s="1845">
        <f t="shared" si="302"/>
        <v>0</v>
      </c>
      <c r="K1571" s="1845"/>
      <c r="L1571" s="1845"/>
      <c r="M1571" s="1845"/>
      <c r="N1571" s="1845"/>
      <c r="O1571" s="1845"/>
      <c r="P1571" s="1845">
        <f t="shared" si="303"/>
        <v>0</v>
      </c>
      <c r="Q1571" s="1056"/>
      <c r="R1571" s="1056"/>
      <c r="S1571" s="1056"/>
      <c r="T1571" s="2059">
        <f t="shared" si="297"/>
        <v>0</v>
      </c>
    </row>
    <row r="1572" spans="1:20" ht="22.15" hidden="1" customHeight="1">
      <c r="A1572" s="59"/>
      <c r="B1572" s="1593" t="s">
        <v>1069</v>
      </c>
      <c r="C1572" s="1015" t="str">
        <f t="shared" si="298"/>
        <v xml:space="preserve"> </v>
      </c>
      <c r="D1572" s="1557">
        <f>pp_NC!DU95</f>
        <v>0</v>
      </c>
      <c r="E1572" s="1047"/>
      <c r="F1572" s="1059" t="str">
        <f>VLOOKUP($B1572,DG!A:D,DG!$C$2,)</f>
        <v>Kẹp ép WR cỡ dây 150mm2</v>
      </c>
      <c r="G1572" s="1047" t="str">
        <f>VLOOKUP($B1572,DG!A:D,DG!$D$2,)</f>
        <v>cái</v>
      </c>
      <c r="H1572" s="1845">
        <f t="shared" si="301"/>
        <v>0</v>
      </c>
      <c r="I1572" s="1845"/>
      <c r="J1572" s="1845">
        <f t="shared" si="302"/>
        <v>0</v>
      </c>
      <c r="K1572" s="1845"/>
      <c r="L1572" s="1845"/>
      <c r="M1572" s="1845"/>
      <c r="N1572" s="1845"/>
      <c r="O1572" s="1845"/>
      <c r="P1572" s="1845">
        <f t="shared" si="303"/>
        <v>0</v>
      </c>
      <c r="Q1572" s="1056"/>
      <c r="R1572" s="1056"/>
      <c r="S1572" s="1056"/>
      <c r="T1572" s="2059">
        <f t="shared" si="297"/>
        <v>0</v>
      </c>
    </row>
    <row r="1573" spans="1:20" ht="22.15" hidden="1" customHeight="1">
      <c r="A1573" s="59"/>
      <c r="B1573" s="1593" t="s">
        <v>14</v>
      </c>
      <c r="C1573" s="1015" t="str">
        <f t="shared" si="298"/>
        <v xml:space="preserve"> </v>
      </c>
      <c r="D1573" s="1557"/>
      <c r="E1573" s="1047"/>
      <c r="F1573" s="1059" t="str">
        <f>VLOOKUP($B1573,DG!A:D,DG!$C$2,)</f>
        <v>Kẹp ép WR cỡ dây 185mm2</v>
      </c>
      <c r="G1573" s="1047" t="str">
        <f>VLOOKUP($B1573,DG!A:D,DG!$D$2,)</f>
        <v>cái</v>
      </c>
      <c r="H1573" s="1845">
        <f t="shared" si="301"/>
        <v>0</v>
      </c>
      <c r="I1573" s="1845"/>
      <c r="J1573" s="1845">
        <f t="shared" si="302"/>
        <v>0</v>
      </c>
      <c r="K1573" s="1845"/>
      <c r="L1573" s="1845"/>
      <c r="M1573" s="1845"/>
      <c r="N1573" s="1845"/>
      <c r="O1573" s="1845"/>
      <c r="P1573" s="1845">
        <f t="shared" si="303"/>
        <v>0</v>
      </c>
      <c r="Q1573" s="1056"/>
      <c r="R1573" s="1056"/>
      <c r="S1573" s="1056"/>
      <c r="T1573" s="2059">
        <f t="shared" si="297"/>
        <v>0</v>
      </c>
    </row>
    <row r="1574" spans="1:20" ht="22.15" hidden="1" customHeight="1">
      <c r="A1574" s="59"/>
      <c r="B1574" s="1593" t="s">
        <v>1070</v>
      </c>
      <c r="C1574" s="1015" t="str">
        <f t="shared" si="298"/>
        <v xml:space="preserve"> </v>
      </c>
      <c r="D1574" s="1557">
        <f>pp_NC!DV95</f>
        <v>0</v>
      </c>
      <c r="E1574" s="1047"/>
      <c r="F1574" s="1059" t="str">
        <f>VLOOKUP($B1574,DG!A:D,DG!$C$2,)</f>
        <v>Kẹp ép WR cỡ dây 240mm2</v>
      </c>
      <c r="G1574" s="1047" t="str">
        <f>VLOOKUP($B1574,DG!A:D,DG!$D$2,)</f>
        <v>cái</v>
      </c>
      <c r="H1574" s="1845">
        <f t="shared" si="301"/>
        <v>0</v>
      </c>
      <c r="I1574" s="1845"/>
      <c r="J1574" s="1845">
        <f t="shared" si="302"/>
        <v>0</v>
      </c>
      <c r="K1574" s="1845"/>
      <c r="L1574" s="1845"/>
      <c r="M1574" s="1845"/>
      <c r="N1574" s="1845"/>
      <c r="O1574" s="1845"/>
      <c r="P1574" s="1845">
        <f t="shared" si="303"/>
        <v>0</v>
      </c>
      <c r="Q1574" s="1056"/>
      <c r="R1574" s="1056"/>
      <c r="S1574" s="1056"/>
      <c r="T1574" s="2059">
        <f t="shared" si="297"/>
        <v>0</v>
      </c>
    </row>
    <row r="1575" spans="1:20" ht="22.15" hidden="1" customHeight="1">
      <c r="A1575" s="59"/>
      <c r="B1575" s="1593" t="s">
        <v>1893</v>
      </c>
      <c r="C1575" s="1015" t="str">
        <f t="shared" si="298"/>
        <v xml:space="preserve"> </v>
      </c>
      <c r="D1575" s="1557">
        <f>pp_NC!DW184</f>
        <v>0</v>
      </c>
      <c r="E1575" s="1047" t="str">
        <f>VLOOKUP($B1575,DG!A:D,DG!$B$2,)</f>
        <v>03.4003</v>
      </c>
      <c r="F1575" s="1059" t="str">
        <f>VLOOKUP($B1575,DG!A:D,DG!$C$2,)</f>
        <v>Đầu cosse ép Cu-Al 70mm2</v>
      </c>
      <c r="G1575" s="1047" t="str">
        <f>VLOOKUP($B1575,DG!A:D,DG!$D$2,)</f>
        <v>cái</v>
      </c>
      <c r="H1575" s="1845">
        <f t="shared" si="301"/>
        <v>0</v>
      </c>
      <c r="I1575" s="1845"/>
      <c r="J1575" s="1845">
        <f t="shared" si="302"/>
        <v>0</v>
      </c>
      <c r="K1575" s="1845"/>
      <c r="L1575" s="1845"/>
      <c r="M1575" s="1845"/>
      <c r="N1575" s="1845"/>
      <c r="O1575" s="1845"/>
      <c r="P1575" s="1845">
        <f t="shared" si="303"/>
        <v>0</v>
      </c>
      <c r="Q1575" s="1056"/>
      <c r="R1575" s="1056"/>
      <c r="S1575" s="1056"/>
      <c r="T1575" s="2059">
        <f t="shared" si="297"/>
        <v>0</v>
      </c>
    </row>
    <row r="1576" spans="1:20" ht="22.15" hidden="1" customHeight="1">
      <c r="A1576" s="59"/>
      <c r="B1576" s="1593" t="s">
        <v>1894</v>
      </c>
      <c r="C1576" s="1015" t="str">
        <f t="shared" si="298"/>
        <v xml:space="preserve"> </v>
      </c>
      <c r="D1576" s="1557">
        <f>pp_NC!DY184</f>
        <v>0</v>
      </c>
      <c r="E1576" s="1047" t="str">
        <f>VLOOKUP($B1576,DG!A:D,DG!$B$2,)</f>
        <v>03.4004</v>
      </c>
      <c r="F1576" s="1059" t="str">
        <f>VLOOKUP($B1576,DG!A:D,DG!$C$2,)</f>
        <v>Đầu cosse ép Cu-Al 95mm2</v>
      </c>
      <c r="G1576" s="1047" t="str">
        <f>VLOOKUP($B1576,DG!A:D,DG!$D$2,)</f>
        <v>cái</v>
      </c>
      <c r="H1576" s="1845">
        <f t="shared" si="301"/>
        <v>0</v>
      </c>
      <c r="I1576" s="1845"/>
      <c r="J1576" s="1845">
        <f t="shared" si="302"/>
        <v>0</v>
      </c>
      <c r="K1576" s="1845"/>
      <c r="L1576" s="1845"/>
      <c r="M1576" s="1845"/>
      <c r="N1576" s="1845"/>
      <c r="O1576" s="1845"/>
      <c r="P1576" s="1845">
        <f t="shared" si="303"/>
        <v>0</v>
      </c>
      <c r="Q1576" s="1056"/>
      <c r="R1576" s="1056"/>
      <c r="S1576" s="1056"/>
      <c r="T1576" s="2059">
        <f t="shared" si="297"/>
        <v>0</v>
      </c>
    </row>
    <row r="1577" spans="1:20" ht="22.15" hidden="1" customHeight="1">
      <c r="A1577" s="59"/>
      <c r="B1577" s="1593" t="s">
        <v>1895</v>
      </c>
      <c r="C1577" s="1015" t="str">
        <f t="shared" si="298"/>
        <v xml:space="preserve"> </v>
      </c>
      <c r="D1577" s="1557">
        <f>pp_NC!DZ184</f>
        <v>0</v>
      </c>
      <c r="E1577" s="1047" t="str">
        <f>VLOOKUP($B1577,DG!A:D,DG!$B$2,)</f>
        <v>03.4005</v>
      </c>
      <c r="F1577" s="1059" t="str">
        <f>VLOOKUP($B1577,DG!A:D,DG!$C$2,)</f>
        <v>Đầu cosse ép Cu-Al 120mm2</v>
      </c>
      <c r="G1577" s="1047" t="str">
        <f>VLOOKUP($B1577,DG!A:D,DG!$D$2,)</f>
        <v>cái</v>
      </c>
      <c r="H1577" s="1845">
        <f t="shared" si="301"/>
        <v>0</v>
      </c>
      <c r="I1577" s="1845"/>
      <c r="J1577" s="1845">
        <f t="shared" si="302"/>
        <v>0</v>
      </c>
      <c r="K1577" s="1845"/>
      <c r="L1577" s="1845"/>
      <c r="M1577" s="1845"/>
      <c r="N1577" s="1845"/>
      <c r="O1577" s="1845"/>
      <c r="P1577" s="1845">
        <f t="shared" si="303"/>
        <v>0</v>
      </c>
      <c r="Q1577" s="1056"/>
      <c r="R1577" s="1056"/>
      <c r="S1577" s="1056"/>
      <c r="T1577" s="2059">
        <f t="shared" si="297"/>
        <v>0</v>
      </c>
    </row>
    <row r="1578" spans="1:20" ht="22.15" hidden="1" customHeight="1">
      <c r="A1578" s="59"/>
      <c r="B1578" s="1593" t="s">
        <v>1021</v>
      </c>
      <c r="C1578" s="1015" t="str">
        <f t="shared" si="298"/>
        <v xml:space="preserve"> </v>
      </c>
      <c r="D1578" s="1557">
        <f>pp_NC!EA184</f>
        <v>0</v>
      </c>
      <c r="E1578" s="1047" t="str">
        <f>VLOOKUP($B1578,DG!A:D,DG!$B$2,)</f>
        <v>03.4006</v>
      </c>
      <c r="F1578" s="1059" t="str">
        <f>VLOOKUP($B1578,DG!A:D,DG!$C$2,)</f>
        <v>Đầu cosse ép Cu-Al 150mm2</v>
      </c>
      <c r="G1578" s="1047" t="str">
        <f>VLOOKUP($B1578,DG!A:D,DG!$D$2,)</f>
        <v>cái</v>
      </c>
      <c r="H1578" s="1845">
        <f t="shared" si="301"/>
        <v>0</v>
      </c>
      <c r="I1578" s="1845"/>
      <c r="J1578" s="1845">
        <f t="shared" si="302"/>
        <v>0</v>
      </c>
      <c r="K1578" s="1845"/>
      <c r="L1578" s="1845"/>
      <c r="M1578" s="1845"/>
      <c r="N1578" s="1845"/>
      <c r="O1578" s="1845"/>
      <c r="P1578" s="1845">
        <f t="shared" si="303"/>
        <v>0</v>
      </c>
      <c r="Q1578" s="1056"/>
      <c r="R1578" s="1056"/>
      <c r="S1578" s="1056"/>
      <c r="T1578" s="2059">
        <f t="shared" si="297"/>
        <v>0</v>
      </c>
    </row>
    <row r="1579" spans="1:20" ht="22.15" hidden="1" customHeight="1">
      <c r="A1579" s="59"/>
      <c r="B1579" s="1593" t="s">
        <v>1022</v>
      </c>
      <c r="C1579" s="1015" t="str">
        <f t="shared" si="298"/>
        <v xml:space="preserve"> </v>
      </c>
      <c r="D1579" s="1557"/>
      <c r="E1579" s="1047" t="str">
        <f>VLOOKUP($B1579,DG!A:D,DG!$B$2,)</f>
        <v>03.4007</v>
      </c>
      <c r="F1579" s="1059" t="str">
        <f>VLOOKUP($B1579,DG!A:D,DG!$C$2,)</f>
        <v>Đầu cosse ép Cu-Al 185mm2</v>
      </c>
      <c r="G1579" s="1047" t="str">
        <f>VLOOKUP($B1579,DG!A:D,DG!$D$2,)</f>
        <v>cái</v>
      </c>
      <c r="H1579" s="1845">
        <f t="shared" si="301"/>
        <v>0</v>
      </c>
      <c r="I1579" s="1845"/>
      <c r="J1579" s="1845">
        <f t="shared" si="302"/>
        <v>0</v>
      </c>
      <c r="K1579" s="1845"/>
      <c r="L1579" s="1845"/>
      <c r="M1579" s="1845"/>
      <c r="N1579" s="1845"/>
      <c r="O1579" s="1845"/>
      <c r="P1579" s="1845">
        <f t="shared" si="303"/>
        <v>0</v>
      </c>
      <c r="Q1579" s="1056"/>
      <c r="R1579" s="1056"/>
      <c r="S1579" s="1056"/>
      <c r="T1579" s="2059">
        <f t="shared" ref="T1579:T1642" si="304">IFERROR(HLOOKUP(B1579,BangKeTru,3,0),0)</f>
        <v>0</v>
      </c>
    </row>
    <row r="1580" spans="1:20" ht="22.15" hidden="1" customHeight="1">
      <c r="A1580" s="59"/>
      <c r="B1580" s="1593" t="s">
        <v>1837</v>
      </c>
      <c r="C1580" s="1015" t="str">
        <f t="shared" si="298"/>
        <v xml:space="preserve"> </v>
      </c>
      <c r="D1580" s="1557">
        <f>pp_NC!EC95</f>
        <v>0</v>
      </c>
      <c r="E1580" s="1047" t="str">
        <f>VLOOKUP($B1580,DG!A:D,DG!$B$2,)</f>
        <v>03.4008</v>
      </c>
      <c r="F1580" s="1059" t="str">
        <f>VLOOKUP($B1580,DG!A:D,DG!$C$2,)</f>
        <v>Đầu cosse ép Cu-Al 240mm2</v>
      </c>
      <c r="G1580" s="1047" t="str">
        <f>VLOOKUP($B1580,DG!A:D,DG!$D$2,)</f>
        <v>cái</v>
      </c>
      <c r="H1580" s="1845">
        <f t="shared" si="301"/>
        <v>0</v>
      </c>
      <c r="I1580" s="1845"/>
      <c r="J1580" s="1845">
        <f t="shared" si="302"/>
        <v>0</v>
      </c>
      <c r="K1580" s="1845"/>
      <c r="L1580" s="1845"/>
      <c r="M1580" s="1845"/>
      <c r="N1580" s="1845"/>
      <c r="O1580" s="1845"/>
      <c r="P1580" s="1845">
        <f t="shared" si="303"/>
        <v>0</v>
      </c>
      <c r="Q1580" s="1056"/>
      <c r="R1580" s="1056"/>
      <c r="S1580" s="1056"/>
      <c r="T1580" s="2059">
        <f t="shared" si="304"/>
        <v>0</v>
      </c>
    </row>
    <row r="1581" spans="1:20" ht="22.15" hidden="1" customHeight="1">
      <c r="A1581" s="59"/>
      <c r="B1581" s="1593" t="s">
        <v>437</v>
      </c>
      <c r="C1581" s="1015" t="str">
        <f t="shared" si="298"/>
        <v xml:space="preserve"> </v>
      </c>
      <c r="D1581" s="1557">
        <f>SUM(D1575:D1580)*2</f>
        <v>0</v>
      </c>
      <c r="E1581" s="1047">
        <f>VLOOKUP($B1581,DG!A:D,DG!$B$2,)</f>
        <v>0</v>
      </c>
      <c r="F1581" s="1059" t="str">
        <f>VLOOKUP($B1581,DG!A:D,DG!$C$2,)</f>
        <v>Boulon 12x30+ 2 long đền vuông D14-50x50x3/Zn</v>
      </c>
      <c r="G1581" s="1047" t="str">
        <f>VLOOKUP($B1581,DG!A:D,DG!$D$2,)</f>
        <v>bộ</v>
      </c>
      <c r="H1581" s="1845">
        <f t="shared" si="301"/>
        <v>0</v>
      </c>
      <c r="I1581" s="1845"/>
      <c r="J1581" s="1845">
        <f t="shared" si="302"/>
        <v>0</v>
      </c>
      <c r="K1581" s="1845"/>
      <c r="L1581" s="1845"/>
      <c r="M1581" s="1845"/>
      <c r="N1581" s="1845"/>
      <c r="O1581" s="1845"/>
      <c r="P1581" s="1845">
        <f t="shared" si="303"/>
        <v>0</v>
      </c>
      <c r="Q1581" s="1056"/>
      <c r="R1581" s="1056"/>
      <c r="S1581" s="1056"/>
      <c r="T1581" s="2059">
        <f t="shared" si="304"/>
        <v>0</v>
      </c>
    </row>
    <row r="1582" spans="1:20" ht="22.15" hidden="1" customHeight="1">
      <c r="A1582" s="59"/>
      <c r="B1582" s="1593" t="s">
        <v>1484</v>
      </c>
      <c r="C1582" s="1015" t="str">
        <f t="shared" si="298"/>
        <v xml:space="preserve"> </v>
      </c>
      <c r="D1582" s="1557"/>
      <c r="E1582" s="1047" t="str">
        <f>VLOOKUP($B1582,DG!A:D,DG!$B$2,)</f>
        <v>04.3007</v>
      </c>
      <c r="F1582" s="1059" t="str">
        <f>VLOOKUP($B1582,DG!A:D,DG!$C$2,)</f>
        <v>Kẹp quai 2/0</v>
      </c>
      <c r="G1582" s="1047" t="str">
        <f>VLOOKUP($B1582,DG!A:D,DG!$D$2,)</f>
        <v>cái</v>
      </c>
      <c r="H1582" s="1845">
        <f t="shared" si="301"/>
        <v>0</v>
      </c>
      <c r="I1582" s="1845"/>
      <c r="J1582" s="1845">
        <f t="shared" si="302"/>
        <v>0</v>
      </c>
      <c r="K1582" s="1845"/>
      <c r="L1582" s="1845"/>
      <c r="M1582" s="1845"/>
      <c r="N1582" s="1845"/>
      <c r="O1582" s="1845"/>
      <c r="P1582" s="1845">
        <f t="shared" si="303"/>
        <v>0</v>
      </c>
      <c r="Q1582" s="1056"/>
      <c r="R1582" s="1056"/>
      <c r="S1582" s="1056"/>
      <c r="T1582" s="2059">
        <f t="shared" si="304"/>
        <v>0</v>
      </c>
    </row>
    <row r="1583" spans="1:20" ht="22.15" hidden="1" customHeight="1">
      <c r="A1583" s="59"/>
      <c r="B1583" s="1593" t="s">
        <v>236</v>
      </c>
      <c r="C1583" s="1015" t="str">
        <f t="shared" si="298"/>
        <v xml:space="preserve"> </v>
      </c>
      <c r="D1583" s="1544">
        <f>D1582</f>
        <v>0</v>
      </c>
      <c r="E1583" s="1047" t="str">
        <f>VLOOKUP($B1583,DG!A:D,DG!$B$2,)</f>
        <v>04.3007</v>
      </c>
      <c r="F1583" s="1059" t="str">
        <f>VLOOKUP($B1583,DG!A:D,DG!$C$2,)</f>
        <v>Kẹp quai 4/0</v>
      </c>
      <c r="G1583" s="1047" t="str">
        <f>VLOOKUP($B1583,DG!A:D,DG!$D$2,)</f>
        <v>cái</v>
      </c>
      <c r="H1583" s="1845">
        <f t="shared" si="301"/>
        <v>0</v>
      </c>
      <c r="I1583" s="1845"/>
      <c r="J1583" s="1845">
        <f t="shared" si="302"/>
        <v>0</v>
      </c>
      <c r="K1583" s="1845"/>
      <c r="L1583" s="1845"/>
      <c r="M1583" s="1845"/>
      <c r="N1583" s="1845"/>
      <c r="O1583" s="1845"/>
      <c r="P1583" s="1845">
        <f t="shared" si="303"/>
        <v>0</v>
      </c>
      <c r="Q1583" s="1056"/>
      <c r="R1583" s="1056"/>
      <c r="S1583" s="1056"/>
      <c r="T1583" s="2059">
        <f t="shared" si="304"/>
        <v>0</v>
      </c>
    </row>
    <row r="1584" spans="1:20" ht="22.15" hidden="1" customHeight="1">
      <c r="A1584" s="59"/>
      <c r="B1584" s="1609" t="s">
        <v>1482</v>
      </c>
      <c r="C1584" s="1015" t="str">
        <f t="shared" si="298"/>
        <v xml:space="preserve"> </v>
      </c>
      <c r="D1584" s="1544">
        <f>D1582*3/2</f>
        <v>0</v>
      </c>
      <c r="E1584" s="1047"/>
      <c r="F1584" s="1059" t="str">
        <f>VLOOKUP($B1584,DG!A:D,DG!$C$2,)</f>
        <v>Kẹp hotline 2/0</v>
      </c>
      <c r="G1584" s="1047" t="str">
        <f>VLOOKUP($B1584,DG!A:D,DG!$D$2,)</f>
        <v>cái</v>
      </c>
      <c r="H1584" s="1845">
        <f t="shared" si="301"/>
        <v>0</v>
      </c>
      <c r="I1584" s="1845"/>
      <c r="J1584" s="1845">
        <f t="shared" si="302"/>
        <v>0</v>
      </c>
      <c r="K1584" s="1845"/>
      <c r="L1584" s="1845"/>
      <c r="M1584" s="1845"/>
      <c r="N1584" s="1845"/>
      <c r="O1584" s="1845"/>
      <c r="P1584" s="1845">
        <f t="shared" si="303"/>
        <v>0</v>
      </c>
      <c r="Q1584" s="1056"/>
      <c r="R1584" s="1056"/>
      <c r="S1584" s="1056"/>
      <c r="T1584" s="2059">
        <f t="shared" si="304"/>
        <v>0</v>
      </c>
    </row>
    <row r="1585" spans="1:20" ht="22.15" hidden="1" customHeight="1">
      <c r="A1585" s="59"/>
      <c r="B1585" s="1609" t="s">
        <v>1051</v>
      </c>
      <c r="C1585" s="1015" t="str">
        <f t="shared" si="298"/>
        <v xml:space="preserve"> </v>
      </c>
      <c r="D1585" s="1557">
        <f>pp_NC!BP184</f>
        <v>0</v>
      </c>
      <c r="E1585" s="1047"/>
      <c r="F1585" s="1059" t="str">
        <f>VLOOKUP($B1585,DG!A:D,DG!$C$2,)</f>
        <v>Kẹp hotline 4/0</v>
      </c>
      <c r="G1585" s="1047" t="str">
        <f>VLOOKUP($B1585,DG!A:D,DG!$D$2,)</f>
        <v>cái</v>
      </c>
      <c r="H1585" s="1845">
        <f t="shared" si="301"/>
        <v>0</v>
      </c>
      <c r="I1585" s="1845"/>
      <c r="J1585" s="1845">
        <f t="shared" si="302"/>
        <v>0</v>
      </c>
      <c r="K1585" s="1845"/>
      <c r="L1585" s="1845"/>
      <c r="M1585" s="1845"/>
      <c r="N1585" s="1845"/>
      <c r="O1585" s="1845"/>
      <c r="P1585" s="1845">
        <f t="shared" si="303"/>
        <v>0</v>
      </c>
      <c r="Q1585" s="1056"/>
      <c r="R1585" s="1056"/>
      <c r="S1585" s="1056"/>
      <c r="T1585" s="2059">
        <f t="shared" si="304"/>
        <v>0</v>
      </c>
    </row>
    <row r="1586" spans="1:20" ht="22.15" hidden="1" customHeight="1">
      <c r="A1586" s="59"/>
      <c r="B1586" s="1593" t="s">
        <v>1492</v>
      </c>
      <c r="C1586" s="1015" t="str">
        <f t="shared" si="298"/>
        <v xml:space="preserve"> </v>
      </c>
      <c r="D1586" s="1544">
        <f>ROUND((E1498)*1.03/1500,0)</f>
        <v>0</v>
      </c>
      <c r="E1586" s="1047"/>
      <c r="F1586" s="1059" t="str">
        <f>VLOOKUP($B1586,DG!A:D,DG!$C$2,)</f>
        <v>Ống nối dây cỡ 50mm2</v>
      </c>
      <c r="G1586" s="1047" t="str">
        <f>VLOOKUP($B1586,DG!A:D,DG!$D$2,)</f>
        <v>cái</v>
      </c>
      <c r="H1586" s="1845">
        <f t="shared" si="301"/>
        <v>0</v>
      </c>
      <c r="I1586" s="1845"/>
      <c r="J1586" s="1845">
        <f t="shared" si="302"/>
        <v>0</v>
      </c>
      <c r="K1586" s="1845"/>
      <c r="L1586" s="1845"/>
      <c r="M1586" s="1845"/>
      <c r="N1586" s="1845"/>
      <c r="O1586" s="1845"/>
      <c r="P1586" s="1845">
        <f t="shared" si="303"/>
        <v>0</v>
      </c>
      <c r="Q1586" s="1056"/>
      <c r="R1586" s="1056"/>
      <c r="S1586" s="1056"/>
      <c r="T1586" s="2059">
        <f t="shared" si="304"/>
        <v>0</v>
      </c>
    </row>
    <row r="1587" spans="1:20" ht="22.15" hidden="1" customHeight="1">
      <c r="A1587" s="59"/>
      <c r="B1587" s="1593" t="s">
        <v>1493</v>
      </c>
      <c r="C1587" s="1015" t="str">
        <f t="shared" ref="C1587:C1650" si="305">IF(OR(P1587&lt;&gt;0,H1587&lt;&gt;0),"x"," ")</f>
        <v xml:space="preserve"> </v>
      </c>
      <c r="D1587" s="1544">
        <f>ROUND((E1497+E1505)*1.03/1400,0)</f>
        <v>0</v>
      </c>
      <c r="E1587" s="1047"/>
      <c r="F1587" s="1059" t="str">
        <f>VLOOKUP($B1587,DG!A:D,DG!$C$2,)</f>
        <v>Ống nối dây cỡ 70mm2</v>
      </c>
      <c r="G1587" s="1047" t="str">
        <f>VLOOKUP($B1587,DG!A:D,DG!$D$2,)</f>
        <v>cái</v>
      </c>
      <c r="H1587" s="1845">
        <f t="shared" si="301"/>
        <v>0</v>
      </c>
      <c r="I1587" s="1845"/>
      <c r="J1587" s="1845">
        <f t="shared" si="302"/>
        <v>0</v>
      </c>
      <c r="K1587" s="1845"/>
      <c r="L1587" s="1845"/>
      <c r="M1587" s="1845"/>
      <c r="N1587" s="1845"/>
      <c r="O1587" s="1845"/>
      <c r="P1587" s="1845">
        <f t="shared" si="303"/>
        <v>0</v>
      </c>
      <c r="Q1587" s="1056"/>
      <c r="R1587" s="1056"/>
      <c r="S1587" s="1056"/>
      <c r="T1587" s="2059">
        <f t="shared" si="304"/>
        <v>0</v>
      </c>
    </row>
    <row r="1588" spans="1:20" ht="22.15" hidden="1" customHeight="1">
      <c r="A1588" s="59"/>
      <c r="B1588" s="1593" t="s">
        <v>432</v>
      </c>
      <c r="C1588" s="1015" t="str">
        <f t="shared" si="305"/>
        <v xml:space="preserve"> </v>
      </c>
      <c r="D1588" s="1544">
        <f>ROUND((E1496+E1504)*1.03/1200,0)</f>
        <v>0</v>
      </c>
      <c r="E1588" s="1047"/>
      <c r="F1588" s="1059" t="str">
        <f>VLOOKUP($B1588,DG!A:D,DG!$C$2,)</f>
        <v>Ống nối dây cỡ 95mm2</v>
      </c>
      <c r="G1588" s="1047" t="str">
        <f>VLOOKUP($B1588,DG!A:D,DG!$D$2,)</f>
        <v>cái</v>
      </c>
      <c r="H1588" s="1845">
        <f t="shared" ref="H1588:H1594" si="306">$D1588</f>
        <v>0</v>
      </c>
      <c r="I1588" s="1845"/>
      <c r="J1588" s="1845">
        <f t="shared" ref="J1588:J1594" si="307">D1588</f>
        <v>0</v>
      </c>
      <c r="K1588" s="1845"/>
      <c r="L1588" s="1845"/>
      <c r="M1588" s="1845"/>
      <c r="N1588" s="1845"/>
      <c r="O1588" s="1845"/>
      <c r="P1588" s="1845">
        <f t="shared" si="303"/>
        <v>0</v>
      </c>
      <c r="Q1588" s="1056"/>
      <c r="R1588" s="1056"/>
      <c r="S1588" s="1056"/>
      <c r="T1588" s="2059">
        <f t="shared" si="304"/>
        <v>0</v>
      </c>
    </row>
    <row r="1589" spans="1:20" ht="22.15" hidden="1" customHeight="1">
      <c r="A1589" s="59"/>
      <c r="B1589" s="1593" t="s">
        <v>573</v>
      </c>
      <c r="C1589" s="1015" t="str">
        <f t="shared" si="305"/>
        <v xml:space="preserve"> </v>
      </c>
      <c r="D1589" s="1544">
        <f>ROUND((E1495+E1503)*1.03/1200,0)</f>
        <v>0</v>
      </c>
      <c r="E1589" s="1047"/>
      <c r="F1589" s="1059" t="str">
        <f>VLOOKUP($B1589,DG!A:D,DG!$C$2,)</f>
        <v>Ống nối dây cỡ 120mm2</v>
      </c>
      <c r="G1589" s="1047" t="str">
        <f>VLOOKUP($B1589,DG!A:D,DG!$D$2,)</f>
        <v>cái</v>
      </c>
      <c r="H1589" s="1845">
        <f t="shared" si="306"/>
        <v>0</v>
      </c>
      <c r="I1589" s="1845"/>
      <c r="J1589" s="1845">
        <f t="shared" si="307"/>
        <v>0</v>
      </c>
      <c r="K1589" s="1845"/>
      <c r="L1589" s="1845"/>
      <c r="M1589" s="1845"/>
      <c r="N1589" s="1845"/>
      <c r="O1589" s="1845"/>
      <c r="P1589" s="1845">
        <f t="shared" si="303"/>
        <v>0</v>
      </c>
      <c r="Q1589" s="1056"/>
      <c r="R1589" s="1056"/>
      <c r="S1589" s="1056"/>
      <c r="T1589" s="2059">
        <f t="shared" si="304"/>
        <v>0</v>
      </c>
    </row>
    <row r="1590" spans="1:20" ht="22.15" hidden="1" customHeight="1">
      <c r="A1590" s="59"/>
      <c r="B1590" s="1593" t="s">
        <v>939</v>
      </c>
      <c r="C1590" s="1015" t="str">
        <f t="shared" si="305"/>
        <v xml:space="preserve"> </v>
      </c>
      <c r="D1590" s="1544">
        <f>ROUND((E1494+E1502)*1.03/1200,0)</f>
        <v>0</v>
      </c>
      <c r="E1590" s="1047"/>
      <c r="F1590" s="1059" t="str">
        <f>VLOOKUP($B1590,DG!A:D,DG!$C$2,)</f>
        <v>Ống nối dây cỡ 150mm2</v>
      </c>
      <c r="G1590" s="1047" t="str">
        <f>VLOOKUP($B1590,DG!A:D,DG!$D$2,)</f>
        <v>cái</v>
      </c>
      <c r="H1590" s="1845">
        <f t="shared" si="306"/>
        <v>0</v>
      </c>
      <c r="I1590" s="1845"/>
      <c r="J1590" s="1845">
        <f t="shared" si="307"/>
        <v>0</v>
      </c>
      <c r="K1590" s="1845"/>
      <c r="L1590" s="1845"/>
      <c r="M1590" s="1845"/>
      <c r="N1590" s="1845"/>
      <c r="O1590" s="1845"/>
      <c r="P1590" s="1845">
        <f t="shared" si="303"/>
        <v>0</v>
      </c>
      <c r="Q1590" s="1056"/>
      <c r="R1590" s="1056"/>
      <c r="S1590" s="1056"/>
      <c r="T1590" s="2059">
        <f t="shared" si="304"/>
        <v>0</v>
      </c>
    </row>
    <row r="1591" spans="1:20" ht="22.15" hidden="1" customHeight="1">
      <c r="A1591" s="59"/>
      <c r="B1591" s="1593" t="s">
        <v>572</v>
      </c>
      <c r="C1591" s="1015" t="str">
        <f t="shared" si="305"/>
        <v xml:space="preserve"> </v>
      </c>
      <c r="D1591" s="1544">
        <f>ROUND((E1493+E1501)*1.03/1200,0)</f>
        <v>0</v>
      </c>
      <c r="E1591" s="1047"/>
      <c r="F1591" s="1059" t="str">
        <f>VLOOKUP($B1591,DG!A:D,DG!$C$2,)</f>
        <v>Ống nối dây cỡ 185mm2</v>
      </c>
      <c r="G1591" s="1047" t="str">
        <f>VLOOKUP($B1591,DG!A:D,DG!$D$2,)</f>
        <v>cái</v>
      </c>
      <c r="H1591" s="1845">
        <f t="shared" si="306"/>
        <v>0</v>
      </c>
      <c r="I1591" s="1845"/>
      <c r="J1591" s="1845">
        <f t="shared" si="307"/>
        <v>0</v>
      </c>
      <c r="K1591" s="1845"/>
      <c r="L1591" s="1845"/>
      <c r="M1591" s="1845"/>
      <c r="N1591" s="1845"/>
      <c r="O1591" s="1845"/>
      <c r="P1591" s="1845">
        <f t="shared" si="303"/>
        <v>0</v>
      </c>
      <c r="Q1591" s="1056"/>
      <c r="R1591" s="1056"/>
      <c r="S1591" s="1056"/>
      <c r="T1591" s="2059">
        <f t="shared" si="304"/>
        <v>0</v>
      </c>
    </row>
    <row r="1592" spans="1:20" ht="22.15" hidden="1" customHeight="1">
      <c r="A1592" s="59"/>
      <c r="B1592" s="1593" t="s">
        <v>571</v>
      </c>
      <c r="C1592" s="1015" t="str">
        <f t="shared" si="305"/>
        <v xml:space="preserve"> </v>
      </c>
      <c r="D1592" s="1544">
        <f>ROUND((E1492+E1500)*1.03/1200,0)</f>
        <v>0</v>
      </c>
      <c r="E1592" s="1047"/>
      <c r="F1592" s="1059" t="str">
        <f>VLOOKUP($B1592,DG!A:D,DG!$C$2,)</f>
        <v>Ống nối dây cỡ 240mm2</v>
      </c>
      <c r="G1592" s="1047" t="str">
        <f>VLOOKUP($B1592,DG!A:D,DG!$D$2,)</f>
        <v>cái</v>
      </c>
      <c r="H1592" s="1845">
        <f t="shared" si="306"/>
        <v>0</v>
      </c>
      <c r="I1592" s="1845"/>
      <c r="J1592" s="1845">
        <f t="shared" si="307"/>
        <v>0</v>
      </c>
      <c r="K1592" s="1845"/>
      <c r="L1592" s="1845"/>
      <c r="M1592" s="1845"/>
      <c r="N1592" s="1845"/>
      <c r="O1592" s="1845"/>
      <c r="P1592" s="1845">
        <f t="shared" si="303"/>
        <v>0</v>
      </c>
      <c r="Q1592" s="1056"/>
      <c r="R1592" s="1056"/>
      <c r="S1592" s="1056"/>
      <c r="T1592" s="2059">
        <f t="shared" si="304"/>
        <v>0</v>
      </c>
    </row>
    <row r="1593" spans="1:20" ht="22.15" hidden="1" customHeight="1">
      <c r="A1593" s="1017"/>
      <c r="B1593" s="1592" t="s">
        <v>229</v>
      </c>
      <c r="C1593" s="1015" t="str">
        <f t="shared" si="305"/>
        <v xml:space="preserve"> </v>
      </c>
      <c r="D1593" s="1544"/>
      <c r="E1593" s="1047"/>
      <c r="F1593" s="1059" t="str">
        <f>VLOOKUP($B1593,DG!A:D,DG!$C$2,)</f>
        <v xml:space="preserve">Dây nhôm buộc </v>
      </c>
      <c r="G1593" s="1047" t="str">
        <f>VLOOKUP($B1593,DG!A:D,DG!$D$2,)</f>
        <v>kg</v>
      </c>
      <c r="H1593" s="1845">
        <f t="shared" si="306"/>
        <v>0</v>
      </c>
      <c r="I1593" s="1845"/>
      <c r="J1593" s="1845">
        <f t="shared" si="307"/>
        <v>0</v>
      </c>
      <c r="K1593" s="1845"/>
      <c r="L1593" s="1845"/>
      <c r="M1593" s="1845"/>
      <c r="N1593" s="1845"/>
      <c r="O1593" s="1845"/>
      <c r="P1593" s="1845">
        <f>H1593+Q1593-R1593</f>
        <v>0</v>
      </c>
      <c r="Q1593" s="1056"/>
      <c r="R1593" s="1056"/>
      <c r="S1593" s="1056"/>
      <c r="T1593" s="2059">
        <f t="shared" si="304"/>
        <v>0</v>
      </c>
    </row>
    <row r="1594" spans="1:20" ht="22.15" hidden="1" customHeight="1">
      <c r="A1594" s="59"/>
      <c r="B1594" s="1593" t="s">
        <v>1575</v>
      </c>
      <c r="C1594" s="1015" t="str">
        <f t="shared" si="305"/>
        <v xml:space="preserve"> </v>
      </c>
      <c r="D1594" s="1544"/>
      <c r="E1594" s="1047"/>
      <c r="F1594" s="1059" t="str">
        <f>VLOOKUP($B1594,DG!A:D,DG!$C$2,)</f>
        <v>Biển số - Bảng nguy hiểm</v>
      </c>
      <c r="G1594" s="1047" t="str">
        <f>VLOOKUP($B1594,DG!A:D,DG!$D$2,)</f>
        <v>cái</v>
      </c>
      <c r="H1594" s="1845">
        <f t="shared" si="306"/>
        <v>0</v>
      </c>
      <c r="I1594" s="1845"/>
      <c r="J1594" s="1845">
        <f t="shared" si="307"/>
        <v>0</v>
      </c>
      <c r="K1594" s="1845"/>
      <c r="L1594" s="1845"/>
      <c r="M1594" s="1845"/>
      <c r="N1594" s="1845"/>
      <c r="O1594" s="1845"/>
      <c r="P1594" s="1845">
        <f t="shared" si="303"/>
        <v>0</v>
      </c>
      <c r="Q1594" s="1056"/>
      <c r="R1594" s="1056"/>
      <c r="S1594" s="1056"/>
      <c r="T1594" s="2059">
        <f t="shared" si="304"/>
        <v>0</v>
      </c>
    </row>
    <row r="1595" spans="1:20" ht="22.15" hidden="1" customHeight="1">
      <c r="A1595" s="59"/>
      <c r="B1595" s="1593" t="s">
        <v>1274</v>
      </c>
      <c r="C1595" s="1015" t="str">
        <f t="shared" si="305"/>
        <v xml:space="preserve"> </v>
      </c>
      <c r="D1595" s="1542"/>
      <c r="E1595" s="1047" t="str">
        <f>VLOOKUP($B1595,DG!A:D,DG!$B$2,)</f>
        <v>06.6114</v>
      </c>
      <c r="F1595" s="1059" t="s">
        <v>2527</v>
      </c>
      <c r="G1595" s="1047" t="str">
        <f>VLOOKUP($B1595,DG!A:D,DG!$D$2,)</f>
        <v>km</v>
      </c>
      <c r="H1595" s="1845"/>
      <c r="I1595" s="1845"/>
      <c r="J1595" s="1845"/>
      <c r="K1595" s="1845"/>
      <c r="L1595" s="1845"/>
      <c r="M1595" s="1845"/>
      <c r="N1595" s="1845"/>
      <c r="O1595" s="1845"/>
      <c r="P1595" s="1845">
        <f t="shared" si="303"/>
        <v>0</v>
      </c>
      <c r="Q1595" s="1056"/>
      <c r="R1595" s="1056"/>
      <c r="S1595" s="1056"/>
      <c r="T1595" s="2059">
        <f t="shared" si="304"/>
        <v>0</v>
      </c>
    </row>
    <row r="1596" spans="1:20" ht="22.15" hidden="1" customHeight="1">
      <c r="A1596" s="59"/>
      <c r="B1596" s="1593" t="s">
        <v>1419</v>
      </c>
      <c r="C1596" s="1015" t="str">
        <f t="shared" si="305"/>
        <v xml:space="preserve"> </v>
      </c>
      <c r="D1596" s="1542">
        <f>(E1497)/1000</f>
        <v>0</v>
      </c>
      <c r="E1596" s="1047" t="str">
        <f>VLOOKUP($B1596,DG!A:D,DG!$B$2,)</f>
        <v>06.6105</v>
      </c>
      <c r="F1596" s="1052" t="str">
        <f>VLOOKUP($B1596,DG!A:D,DG!$C$2,)</f>
        <v>Kéo dây nhôm lõi thép cỡ dây 70mm2</v>
      </c>
      <c r="G1596" s="1047" t="str">
        <f>VLOOKUP($B1596,DG!A:D,DG!$D$2,)</f>
        <v>km</v>
      </c>
      <c r="H1596" s="1845"/>
      <c r="I1596" s="1845"/>
      <c r="J1596" s="1845"/>
      <c r="K1596" s="1845"/>
      <c r="L1596" s="1845"/>
      <c r="M1596" s="1845"/>
      <c r="N1596" s="1845"/>
      <c r="O1596" s="1845"/>
      <c r="P1596" s="1845">
        <f t="shared" si="303"/>
        <v>0</v>
      </c>
      <c r="Q1596" s="1056"/>
      <c r="R1596" s="1056"/>
      <c r="S1596" s="1056"/>
      <c r="T1596" s="2059">
        <f t="shared" si="304"/>
        <v>0</v>
      </c>
    </row>
    <row r="1597" spans="1:20" ht="22.15" hidden="1" customHeight="1">
      <c r="A1597" s="59"/>
      <c r="B1597" s="1593" t="s">
        <v>1529</v>
      </c>
      <c r="C1597" s="1015" t="str">
        <f t="shared" si="305"/>
        <v xml:space="preserve"> </v>
      </c>
      <c r="D1597" s="1542">
        <f>(E1496)/1000</f>
        <v>0</v>
      </c>
      <c r="E1597" s="1047" t="str">
        <f>VLOOKUP($B1597,DG!A:D,DG!$B$2,)</f>
        <v>06.6106</v>
      </c>
      <c r="F1597" s="1052" t="str">
        <f>VLOOKUP($B1597,DG!A:D,DG!$C$2,)</f>
        <v>Kéo dây nhôm lõi thép cỡ dây 95mm2</v>
      </c>
      <c r="G1597" s="1047" t="str">
        <f>VLOOKUP($B1597,DG!A:D,DG!$D$2,)</f>
        <v>km</v>
      </c>
      <c r="H1597" s="1845"/>
      <c r="I1597" s="1845"/>
      <c r="J1597" s="1845"/>
      <c r="K1597" s="1845"/>
      <c r="L1597" s="1845"/>
      <c r="M1597" s="1845"/>
      <c r="N1597" s="1845"/>
      <c r="O1597" s="1845"/>
      <c r="P1597" s="1845">
        <f t="shared" si="303"/>
        <v>0</v>
      </c>
      <c r="Q1597" s="1056"/>
      <c r="R1597" s="1056"/>
      <c r="S1597" s="1056"/>
      <c r="T1597" s="2059">
        <f t="shared" si="304"/>
        <v>0</v>
      </c>
    </row>
    <row r="1598" spans="1:20" ht="22.15" hidden="1" customHeight="1">
      <c r="A1598" s="59"/>
      <c r="B1598" s="1593" t="s">
        <v>139</v>
      </c>
      <c r="C1598" s="1015" t="str">
        <f t="shared" si="305"/>
        <v xml:space="preserve"> </v>
      </c>
      <c r="D1598" s="1542">
        <f>(E1495)/1000</f>
        <v>0</v>
      </c>
      <c r="E1598" s="1047" t="str">
        <f>VLOOKUP($B1598,DG!A:D,DG!$B$2,)</f>
        <v>06.6107</v>
      </c>
      <c r="F1598" s="1052" t="str">
        <f>VLOOKUP($B1598,DG!A:D,DG!$C$2,)</f>
        <v>Kéo dây nhôm lõi thép cỡ dây 120mm2</v>
      </c>
      <c r="G1598" s="1047" t="str">
        <f>VLOOKUP($B1598,DG!A:D,DG!$D$2,)</f>
        <v>km</v>
      </c>
      <c r="H1598" s="1845"/>
      <c r="I1598" s="1845"/>
      <c r="J1598" s="1845"/>
      <c r="K1598" s="1845"/>
      <c r="L1598" s="1845"/>
      <c r="M1598" s="1845"/>
      <c r="N1598" s="1845"/>
      <c r="O1598" s="1845"/>
      <c r="P1598" s="1845">
        <f t="shared" si="303"/>
        <v>0</v>
      </c>
      <c r="Q1598" s="1056"/>
      <c r="R1598" s="1056"/>
      <c r="S1598" s="1056"/>
      <c r="T1598" s="2059">
        <f t="shared" si="304"/>
        <v>0</v>
      </c>
    </row>
    <row r="1599" spans="1:20" ht="22.15" hidden="1" customHeight="1">
      <c r="A1599" s="59"/>
      <c r="B1599" s="1593" t="s">
        <v>793</v>
      </c>
      <c r="C1599" s="1015" t="str">
        <f t="shared" si="305"/>
        <v xml:space="preserve"> </v>
      </c>
      <c r="D1599" s="1542">
        <f>(E1494)/1000</f>
        <v>0</v>
      </c>
      <c r="E1599" s="1047" t="str">
        <f>VLOOKUP($B1599,DG!A:D,DG!$B$2,)</f>
        <v>06.6108</v>
      </c>
      <c r="F1599" s="1052" t="str">
        <f>VLOOKUP($B1599,DG!A:D,DG!$C$2,)</f>
        <v>Kéo dây nhôm lõi thép cỡ dây 150mm2</v>
      </c>
      <c r="G1599" s="1047" t="str">
        <f>VLOOKUP($B1599,DG!A:D,DG!$D$2,)</f>
        <v>km</v>
      </c>
      <c r="H1599" s="1845"/>
      <c r="I1599" s="1845"/>
      <c r="J1599" s="1845"/>
      <c r="K1599" s="1845"/>
      <c r="L1599" s="1845"/>
      <c r="M1599" s="1845"/>
      <c r="N1599" s="1845"/>
      <c r="O1599" s="1845"/>
      <c r="P1599" s="1845">
        <f t="shared" si="303"/>
        <v>0</v>
      </c>
      <c r="Q1599" s="1056"/>
      <c r="R1599" s="1056"/>
      <c r="S1599" s="1056"/>
      <c r="T1599" s="2059">
        <f t="shared" si="304"/>
        <v>0</v>
      </c>
    </row>
    <row r="1600" spans="1:20" ht="22.15" hidden="1" customHeight="1">
      <c r="A1600" s="1017"/>
      <c r="B1600" s="1592" t="s">
        <v>366</v>
      </c>
      <c r="C1600" s="1015" t="str">
        <f t="shared" si="305"/>
        <v xml:space="preserve"> </v>
      </c>
      <c r="D1600" s="1542"/>
      <c r="E1600" s="1047" t="str">
        <f>VLOOKUP($B1600,DG!A:D,DG!$B$2,)</f>
        <v>06.6114</v>
      </c>
      <c r="F1600" s="1052" t="str">
        <f>VLOOKUP($B1600,DG!A:D,DG!$C$2,)</f>
        <v>Kéo dây nhôm bọc cỡ dây 50mm2</v>
      </c>
      <c r="G1600" s="1047" t="str">
        <f>VLOOKUP($B1600,DG!A:D,DG!$D$2,)</f>
        <v>km</v>
      </c>
      <c r="H1600" s="1845">
        <f>$D1600</f>
        <v>0</v>
      </c>
      <c r="I1600" s="1845"/>
      <c r="J1600" s="1845"/>
      <c r="K1600" s="1845"/>
      <c r="L1600" s="1845"/>
      <c r="M1600" s="1845"/>
      <c r="N1600" s="1845"/>
      <c r="O1600" s="1845"/>
      <c r="P1600" s="1845">
        <f t="shared" si="303"/>
        <v>0</v>
      </c>
      <c r="Q1600" s="1056"/>
      <c r="R1600" s="1056"/>
      <c r="S1600" s="1056"/>
      <c r="T1600" s="2059">
        <f t="shared" si="304"/>
        <v>0</v>
      </c>
    </row>
    <row r="1601" spans="1:20" ht="22.15" hidden="1" customHeight="1">
      <c r="A1601" s="59"/>
      <c r="B1601" s="1593" t="s">
        <v>140</v>
      </c>
      <c r="C1601" s="1015" t="str">
        <f t="shared" si="305"/>
        <v xml:space="preserve"> </v>
      </c>
      <c r="D1601" s="1542">
        <f>(E1493)/1000</f>
        <v>0</v>
      </c>
      <c r="E1601" s="1047" t="str">
        <f>VLOOKUP($B1601,DG!A:D,DG!$B$2,)</f>
        <v>06.6109</v>
      </c>
      <c r="F1601" s="1052" t="str">
        <f>VLOOKUP($B1601,DG!A:D,DG!$C$2,)</f>
        <v>Kéo dây nhôm lõi thép cỡ dây 185mm2</v>
      </c>
      <c r="G1601" s="1047" t="str">
        <f>VLOOKUP($B1601,DG!A:D,DG!$D$2,)</f>
        <v>km</v>
      </c>
      <c r="H1601" s="1845"/>
      <c r="I1601" s="1845"/>
      <c r="J1601" s="1845"/>
      <c r="K1601" s="1845"/>
      <c r="L1601" s="1845"/>
      <c r="M1601" s="1845"/>
      <c r="N1601" s="1845"/>
      <c r="O1601" s="1845"/>
      <c r="P1601" s="1845">
        <f t="shared" si="303"/>
        <v>0</v>
      </c>
      <c r="Q1601" s="1056"/>
      <c r="R1601" s="1056"/>
      <c r="S1601" s="1056"/>
      <c r="T1601" s="2059">
        <f t="shared" si="304"/>
        <v>0</v>
      </c>
    </row>
    <row r="1602" spans="1:20" ht="22.15" hidden="1" customHeight="1">
      <c r="A1602" s="59"/>
      <c r="B1602" s="1593" t="s">
        <v>713</v>
      </c>
      <c r="C1602" s="1015" t="str">
        <f t="shared" si="305"/>
        <v xml:space="preserve"> </v>
      </c>
      <c r="D1602" s="1542">
        <f>(E1492)/1000</f>
        <v>0</v>
      </c>
      <c r="E1602" s="1047" t="str">
        <f>VLOOKUP($B1602,DG!A:D,DG!$B$2,)</f>
        <v>06.6110</v>
      </c>
      <c r="F1602" s="1052" t="str">
        <f>VLOOKUP($B1602,DG!A:D,DG!$C$2,)</f>
        <v>Kéo dây nhôm lõi thép cỡ dây 240mm2</v>
      </c>
      <c r="G1602" s="1047" t="str">
        <f>VLOOKUP($B1602,DG!A:D,DG!$D$2,)</f>
        <v>km</v>
      </c>
      <c r="H1602" s="1845"/>
      <c r="I1602" s="1845"/>
      <c r="J1602" s="1845"/>
      <c r="K1602" s="1845"/>
      <c r="L1602" s="1845"/>
      <c r="M1602" s="1845"/>
      <c r="N1602" s="1845"/>
      <c r="O1602" s="1845"/>
      <c r="P1602" s="1845">
        <f t="shared" si="303"/>
        <v>0</v>
      </c>
      <c r="Q1602" s="1056"/>
      <c r="R1602" s="1056"/>
      <c r="S1602" s="1056"/>
      <c r="T1602" s="2059">
        <f t="shared" si="304"/>
        <v>0</v>
      </c>
    </row>
    <row r="1603" spans="1:20" ht="22.15" hidden="1" customHeight="1">
      <c r="A1603" s="59"/>
      <c r="B1603" s="1593" t="s">
        <v>79</v>
      </c>
      <c r="C1603" s="1015" t="str">
        <f t="shared" si="305"/>
        <v xml:space="preserve"> </v>
      </c>
      <c r="D1603" s="1542">
        <f>E1505/1000</f>
        <v>0</v>
      </c>
      <c r="E1603" s="1047" t="str">
        <f>VLOOKUP($B1603,DG!A:D,DG!$B$2,)</f>
        <v>06.6105</v>
      </c>
      <c r="F1603" s="1052" t="str">
        <f>VLOOKUP($B1603,DG!A:D,DG!$C$2,)</f>
        <v>Kéo dây nhôm bọc 70mm2</v>
      </c>
      <c r="G1603" s="1047" t="str">
        <f>VLOOKUP($B1603,DG!A:D,DG!$D$2,)</f>
        <v>km</v>
      </c>
      <c r="H1603" s="1845"/>
      <c r="I1603" s="1845"/>
      <c r="J1603" s="1845"/>
      <c r="K1603" s="1845"/>
      <c r="L1603" s="1845"/>
      <c r="M1603" s="1845"/>
      <c r="N1603" s="1845"/>
      <c r="O1603" s="1845"/>
      <c r="P1603" s="1845">
        <f t="shared" si="303"/>
        <v>0</v>
      </c>
      <c r="Q1603" s="1056"/>
      <c r="R1603" s="1056"/>
      <c r="S1603" s="1056"/>
      <c r="T1603" s="2059">
        <f t="shared" si="304"/>
        <v>0</v>
      </c>
    </row>
    <row r="1604" spans="1:20" ht="22.15" hidden="1" customHeight="1">
      <c r="A1604" s="59"/>
      <c r="B1604" s="1593" t="s">
        <v>1514</v>
      </c>
      <c r="C1604" s="1015" t="str">
        <f t="shared" si="305"/>
        <v xml:space="preserve"> </v>
      </c>
      <c r="D1604" s="1542">
        <f>E1504/1000</f>
        <v>0</v>
      </c>
      <c r="E1604" s="1047" t="str">
        <f>VLOOKUP($B1604,DG!A:D,DG!$B$2,)</f>
        <v>06.6106</v>
      </c>
      <c r="F1604" s="1052" t="str">
        <f>VLOOKUP($B1604,DG!A:D,DG!$C$2,)</f>
        <v>Kéo dây nhôm bọc 95mm2</v>
      </c>
      <c r="G1604" s="1047" t="str">
        <f>VLOOKUP($B1604,DG!A:D,DG!$D$2,)</f>
        <v>km</v>
      </c>
      <c r="H1604" s="1845"/>
      <c r="I1604" s="1845"/>
      <c r="J1604" s="1845"/>
      <c r="K1604" s="1845"/>
      <c r="L1604" s="1845"/>
      <c r="M1604" s="1845"/>
      <c r="N1604" s="1845"/>
      <c r="O1604" s="1845"/>
      <c r="P1604" s="1845">
        <f t="shared" si="303"/>
        <v>0</v>
      </c>
      <c r="Q1604" s="1056"/>
      <c r="R1604" s="1056"/>
      <c r="S1604" s="1056"/>
      <c r="T1604" s="2059">
        <f t="shared" si="304"/>
        <v>0</v>
      </c>
    </row>
    <row r="1605" spans="1:20" ht="22.15" hidden="1" customHeight="1">
      <c r="A1605" s="59"/>
      <c r="B1605" s="1593" t="s">
        <v>1176</v>
      </c>
      <c r="C1605" s="1015" t="str">
        <f t="shared" si="305"/>
        <v xml:space="preserve"> </v>
      </c>
      <c r="D1605" s="1542">
        <f>E1503/1000</f>
        <v>0</v>
      </c>
      <c r="E1605" s="1047" t="str">
        <f>VLOOKUP($B1605,DG!A:D,DG!$B$2,)</f>
        <v>06.6107</v>
      </c>
      <c r="F1605" s="1052" t="str">
        <f>VLOOKUP($B1605,DG!A:D,DG!$C$2,)</f>
        <v>Kéo dây nhôm bọc 120mm2</v>
      </c>
      <c r="G1605" s="1047" t="str">
        <f>VLOOKUP($B1605,DG!A:D,DG!$D$2,)</f>
        <v>km</v>
      </c>
      <c r="H1605" s="1845"/>
      <c r="I1605" s="1845"/>
      <c r="J1605" s="1845"/>
      <c r="K1605" s="1845"/>
      <c r="L1605" s="1845"/>
      <c r="M1605" s="1845"/>
      <c r="N1605" s="1845"/>
      <c r="O1605" s="1845"/>
      <c r="P1605" s="1845">
        <f t="shared" si="303"/>
        <v>0</v>
      </c>
      <c r="Q1605" s="1056"/>
      <c r="R1605" s="1056"/>
      <c r="S1605" s="1056"/>
      <c r="T1605" s="2059">
        <f t="shared" si="304"/>
        <v>0</v>
      </c>
    </row>
    <row r="1606" spans="1:20" ht="22.15" hidden="1" customHeight="1">
      <c r="A1606" s="59"/>
      <c r="B1606" s="1593" t="s">
        <v>926</v>
      </c>
      <c r="C1606" s="1015" t="str">
        <f t="shared" si="305"/>
        <v xml:space="preserve"> </v>
      </c>
      <c r="D1606" s="1542">
        <f>E1502/1000</f>
        <v>0</v>
      </c>
      <c r="E1606" s="1047" t="str">
        <f>VLOOKUP($B1606,DG!A:D,DG!$B$2,)</f>
        <v>06.6108</v>
      </c>
      <c r="F1606" s="1052" t="str">
        <f>VLOOKUP($B1606,DG!A:D,DG!$C$2,)</f>
        <v>Kéo dây nhôm bọc 150mm2</v>
      </c>
      <c r="G1606" s="1047" t="str">
        <f>VLOOKUP($B1606,DG!A:D,DG!$D$2,)</f>
        <v>km</v>
      </c>
      <c r="H1606" s="1845"/>
      <c r="I1606" s="1845"/>
      <c r="J1606" s="1845"/>
      <c r="K1606" s="1845"/>
      <c r="L1606" s="1845"/>
      <c r="M1606" s="1845"/>
      <c r="N1606" s="1845"/>
      <c r="O1606" s="1845"/>
      <c r="P1606" s="1845">
        <f t="shared" si="303"/>
        <v>0</v>
      </c>
      <c r="Q1606" s="1056"/>
      <c r="R1606" s="1056"/>
      <c r="S1606" s="1056"/>
      <c r="T1606" s="2059">
        <f t="shared" si="304"/>
        <v>0</v>
      </c>
    </row>
    <row r="1607" spans="1:20" ht="22.15" hidden="1" customHeight="1">
      <c r="A1607" s="59"/>
      <c r="B1607" s="1593" t="s">
        <v>927</v>
      </c>
      <c r="C1607" s="1015" t="str">
        <f t="shared" si="305"/>
        <v xml:space="preserve"> </v>
      </c>
      <c r="D1607" s="1542">
        <f>E1501/1000</f>
        <v>0</v>
      </c>
      <c r="E1607" s="1047" t="str">
        <f>VLOOKUP($B1607,DG!A:D,DG!$B$2,)</f>
        <v>06.6109</v>
      </c>
      <c r="F1607" s="1052" t="str">
        <f>VLOOKUP($B1607,DG!A:D,DG!$C$2,)</f>
        <v>Kéo dây nhôm bọc 185mm2</v>
      </c>
      <c r="G1607" s="1047" t="str">
        <f>VLOOKUP($B1607,DG!A:D,DG!$D$2,)</f>
        <v>km</v>
      </c>
      <c r="H1607" s="1845"/>
      <c r="I1607" s="1845"/>
      <c r="J1607" s="1845"/>
      <c r="K1607" s="1845"/>
      <c r="L1607" s="1845"/>
      <c r="M1607" s="1845"/>
      <c r="N1607" s="1845"/>
      <c r="O1607" s="1845"/>
      <c r="P1607" s="1845">
        <f t="shared" si="303"/>
        <v>0</v>
      </c>
      <c r="Q1607" s="1056"/>
      <c r="R1607" s="1056"/>
      <c r="S1607" s="1056"/>
      <c r="T1607" s="2059">
        <f t="shared" si="304"/>
        <v>0</v>
      </c>
    </row>
    <row r="1608" spans="1:20" ht="22.15" hidden="1" customHeight="1">
      <c r="A1608" s="59"/>
      <c r="B1608" s="1593" t="s">
        <v>1446</v>
      </c>
      <c r="C1608" s="1015" t="str">
        <f t="shared" si="305"/>
        <v xml:space="preserve"> </v>
      </c>
      <c r="D1608" s="1542">
        <f>E1500/1000</f>
        <v>0</v>
      </c>
      <c r="E1608" s="1047" t="str">
        <f>VLOOKUP($B1608,DG!A:D,DG!$B$2,)</f>
        <v>06.6110</v>
      </c>
      <c r="F1608" s="1052" t="str">
        <f>VLOOKUP($B1608,DG!A:D,DG!$C$2,)</f>
        <v>Kéo dây nhôm bọc 240mm2</v>
      </c>
      <c r="G1608" s="1047" t="str">
        <f>VLOOKUP($B1608,DG!A:D,DG!$D$2,)</f>
        <v>km</v>
      </c>
      <c r="H1608" s="1845"/>
      <c r="I1608" s="1845"/>
      <c r="J1608" s="1845"/>
      <c r="K1608" s="1845"/>
      <c r="L1608" s="1845"/>
      <c r="M1608" s="1845"/>
      <c r="N1608" s="1845"/>
      <c r="O1608" s="1845"/>
      <c r="P1608" s="1845">
        <f t="shared" si="303"/>
        <v>0</v>
      </c>
      <c r="Q1608" s="1056"/>
      <c r="R1608" s="1056"/>
      <c r="S1608" s="1056"/>
      <c r="T1608" s="2059">
        <f t="shared" si="304"/>
        <v>0</v>
      </c>
    </row>
    <row r="1609" spans="1:20" ht="22.15" hidden="1" customHeight="1">
      <c r="A1609" s="59"/>
      <c r="B1609" s="1593" t="s">
        <v>349</v>
      </c>
      <c r="C1609" s="1015" t="str">
        <f t="shared" si="305"/>
        <v xml:space="preserve"> </v>
      </c>
      <c r="D1609" s="1544">
        <f>SUM(D1551:D1552)</f>
        <v>0</v>
      </c>
      <c r="E1609" s="1047" t="str">
        <f>VLOOKUP($B1609,DG!A:D,DG!$B$2,)</f>
        <v>06.1410</v>
      </c>
      <c r="F1609" s="1052" t="str">
        <f>VLOOKUP($B1609,DG!A:D,DG!$C$2,)</f>
        <v>Lắp chuỗi sứ đỡ 2 bát/chuỗi</v>
      </c>
      <c r="G1609" s="1047" t="str">
        <f>VLOOKUP($B1609,DG!A:D,DG!$D$2,)</f>
        <v>chuỗi</v>
      </c>
      <c r="H1609" s="1845"/>
      <c r="I1609" s="1845"/>
      <c r="J1609" s="1845"/>
      <c r="K1609" s="1845"/>
      <c r="L1609" s="1845"/>
      <c r="M1609" s="1845"/>
      <c r="N1609" s="1845"/>
      <c r="O1609" s="1845"/>
      <c r="P1609" s="1845">
        <f t="shared" si="303"/>
        <v>0</v>
      </c>
      <c r="Q1609" s="1061"/>
      <c r="R1609" s="1061"/>
      <c r="S1609" s="1061"/>
      <c r="T1609" s="2059">
        <f t="shared" si="304"/>
        <v>0</v>
      </c>
    </row>
    <row r="1610" spans="1:20" ht="22.15" hidden="1" customHeight="1">
      <c r="A1610" s="59"/>
      <c r="B1610" s="1593" t="s">
        <v>350</v>
      </c>
      <c r="C1610" s="1015" t="str">
        <f t="shared" si="305"/>
        <v xml:space="preserve"> </v>
      </c>
      <c r="D1610" s="1544">
        <f>+D1533+D1539-D1609</f>
        <v>0</v>
      </c>
      <c r="E1610" s="1047" t="str">
        <f>VLOOKUP($B1610,DG!A:D,DG!$B$2,)</f>
        <v>06.1511</v>
      </c>
      <c r="F1610" s="1052" t="str">
        <f>VLOOKUP($B1610,DG!A:D,DG!$C$2,)</f>
        <v>Lắp chuỗi sứ néo 2 bát/chuỗi</v>
      </c>
      <c r="G1610" s="1047" t="str">
        <f>VLOOKUP($B1610,DG!A:D,DG!$D$2,)</f>
        <v>chuỗi</v>
      </c>
      <c r="H1610" s="1845"/>
      <c r="I1610" s="1845"/>
      <c r="J1610" s="1845"/>
      <c r="K1610" s="1845"/>
      <c r="L1610" s="1845"/>
      <c r="M1610" s="1845"/>
      <c r="N1610" s="1845"/>
      <c r="O1610" s="1845"/>
      <c r="P1610" s="1845">
        <f t="shared" si="303"/>
        <v>0</v>
      </c>
      <c r="Q1610" s="1061"/>
      <c r="R1610" s="1061"/>
      <c r="S1610" s="1061"/>
      <c r="T1610" s="2059">
        <f t="shared" si="304"/>
        <v>0</v>
      </c>
    </row>
    <row r="1611" spans="1:20" ht="22.15" hidden="1" customHeight="1">
      <c r="A1611" s="59"/>
      <c r="B1611" s="1593" t="s">
        <v>1512</v>
      </c>
      <c r="C1611" s="1015" t="str">
        <f t="shared" si="305"/>
        <v xml:space="preserve"> </v>
      </c>
      <c r="D1611" s="1544"/>
      <c r="E1611" s="1047" t="str">
        <f>VLOOKUP($B1611,DG!A:D,DG!$B$2,)</f>
        <v>06.2201</v>
      </c>
      <c r="F1611" s="1052" t="s">
        <v>2528</v>
      </c>
      <c r="G1611" s="1047" t="str">
        <f>VLOOKUP($B1611,DG!A:D,DG!$D$2,)</f>
        <v>chuỗi</v>
      </c>
      <c r="H1611" s="1845"/>
      <c r="I1611" s="1845"/>
      <c r="J1611" s="1845"/>
      <c r="K1611" s="1845"/>
      <c r="L1611" s="1845"/>
      <c r="M1611" s="1845"/>
      <c r="N1611" s="1845"/>
      <c r="O1611" s="1845"/>
      <c r="P1611" s="1845">
        <f t="shared" si="303"/>
        <v>0</v>
      </c>
      <c r="Q1611" s="1061"/>
      <c r="R1611" s="1061"/>
      <c r="S1611" s="1061"/>
      <c r="T1611" s="2059">
        <f t="shared" si="304"/>
        <v>0</v>
      </c>
    </row>
    <row r="1612" spans="1:20" ht="22.15" hidden="1" customHeight="1">
      <c r="A1612" s="1017"/>
      <c r="B1612" s="1592" t="s">
        <v>1512</v>
      </c>
      <c r="C1612" s="1015" t="str">
        <f t="shared" si="305"/>
        <v xml:space="preserve"> </v>
      </c>
      <c r="D1612" s="1544">
        <f>SUM(I1612:O1612)</f>
        <v>0</v>
      </c>
      <c r="E1612" s="1047" t="str">
        <f>VLOOKUP($B1612,DG!A:D,DG!$B$2,)</f>
        <v>06.2201</v>
      </c>
      <c r="F1612" s="1052" t="str">
        <f>VLOOKUP($B1612,DG!A:D,DG!$C$2,)</f>
        <v>Lắp chuỗi sứ néo Polymer</v>
      </c>
      <c r="G1612" s="1047" t="str">
        <f>VLOOKUP($B1612,DG!A:D,DG!$D$2,)</f>
        <v>chuỗi</v>
      </c>
      <c r="H1612" s="1845">
        <f>$D1612</f>
        <v>0</v>
      </c>
      <c r="I1612" s="1845"/>
      <c r="J1612" s="1845"/>
      <c r="K1612" s="1845">
        <f>pp_NC!DJ184</f>
        <v>0</v>
      </c>
      <c r="L1612" s="1845"/>
      <c r="M1612" s="1845"/>
      <c r="N1612" s="1845"/>
      <c r="O1612" s="1845"/>
      <c r="P1612" s="1845">
        <f t="shared" si="303"/>
        <v>0</v>
      </c>
      <c r="Q1612" s="1061"/>
      <c r="R1612" s="1061"/>
      <c r="S1612" s="1061"/>
      <c r="T1612" s="2059">
        <f t="shared" si="304"/>
        <v>0</v>
      </c>
    </row>
    <row r="1613" spans="1:20" ht="22.15" hidden="1" customHeight="1">
      <c r="A1613" s="1017"/>
      <c r="B1613" s="1592" t="s">
        <v>1570</v>
      </c>
      <c r="C1613" s="1015" t="str">
        <f t="shared" si="305"/>
        <v xml:space="preserve"> </v>
      </c>
      <c r="D1613" s="1544">
        <f>D1522</f>
        <v>0</v>
      </c>
      <c r="E1613" s="1047" t="str">
        <f>VLOOKUP($B1613,DG!A:D,DG!$B$2,)</f>
        <v>06.1115</v>
      </c>
      <c r="F1613" s="1052" t="s">
        <v>3292</v>
      </c>
      <c r="G1613" s="1047" t="str">
        <f>VLOOKUP($B1613,DG!A:D,DG!$D$2,)</f>
        <v>bộ</v>
      </c>
      <c r="H1613" s="1845">
        <f>$D1613</f>
        <v>0</v>
      </c>
      <c r="I1613" s="1845"/>
      <c r="J1613" s="1845"/>
      <c r="K1613" s="1845"/>
      <c r="L1613" s="1845"/>
      <c r="M1613" s="1845"/>
      <c r="N1613" s="1845"/>
      <c r="O1613" s="1845"/>
      <c r="P1613" s="1845">
        <f t="shared" si="303"/>
        <v>0</v>
      </c>
      <c r="Q1613" s="1061"/>
      <c r="R1613" s="1061"/>
      <c r="S1613" s="1061"/>
      <c r="T1613" s="2059">
        <f t="shared" si="304"/>
        <v>0</v>
      </c>
    </row>
    <row r="1614" spans="1:20" ht="22.15" hidden="1" customHeight="1">
      <c r="A1614" s="59"/>
      <c r="B1614" s="1593" t="s">
        <v>351</v>
      </c>
      <c r="C1614" s="1015" t="str">
        <f t="shared" si="305"/>
        <v xml:space="preserve"> </v>
      </c>
      <c r="D1614" s="1544"/>
      <c r="E1614" s="1047" t="str">
        <f>VLOOKUP($B1614,DG!A:D,DG!$B$2,)</f>
        <v>06.1211</v>
      </c>
      <c r="F1614" s="1052" t="s">
        <v>2529</v>
      </c>
      <c r="G1614" s="1047" t="str">
        <f>VLOOKUP($B1614,DG!A:D,DG!$D$2,)</f>
        <v>bộ</v>
      </c>
      <c r="H1614" s="1845"/>
      <c r="I1614" s="1845"/>
      <c r="J1614" s="1845"/>
      <c r="K1614" s="1845"/>
      <c r="L1614" s="1845"/>
      <c r="M1614" s="1845"/>
      <c r="N1614" s="1845"/>
      <c r="O1614" s="1845"/>
      <c r="P1614" s="1845">
        <f t="shared" si="303"/>
        <v>0</v>
      </c>
      <c r="Q1614" s="1056"/>
      <c r="R1614" s="1056"/>
      <c r="S1614" s="1056"/>
      <c r="T1614" s="2059">
        <f t="shared" si="304"/>
        <v>0</v>
      </c>
    </row>
    <row r="1615" spans="1:20" ht="22.15" hidden="1" customHeight="1">
      <c r="A1615" s="59"/>
      <c r="B1615" s="1593" t="s">
        <v>452</v>
      </c>
      <c r="C1615" s="1015" t="str">
        <f t="shared" si="305"/>
        <v xml:space="preserve"> </v>
      </c>
      <c r="D1615" s="1544"/>
      <c r="E1615" s="1047" t="str">
        <f>VLOOKUP($B1615,DG!A:D,DG!$B$2,)</f>
        <v>06.1214</v>
      </c>
      <c r="F1615" s="1052" t="s">
        <v>2530</v>
      </c>
      <c r="G1615" s="1047" t="str">
        <f>VLOOKUP($B1615,DG!A:D,DG!$D$2,)</f>
        <v>bộ</v>
      </c>
      <c r="H1615" s="1845"/>
      <c r="I1615" s="1845"/>
      <c r="J1615" s="1845"/>
      <c r="K1615" s="1845"/>
      <c r="L1615" s="1845"/>
      <c r="M1615" s="1845"/>
      <c r="N1615" s="1845"/>
      <c r="O1615" s="1845"/>
      <c r="P1615" s="1845">
        <f t="shared" si="303"/>
        <v>0</v>
      </c>
      <c r="Q1615" s="1056"/>
      <c r="R1615" s="1056"/>
      <c r="S1615" s="1056"/>
      <c r="T1615" s="2059">
        <f t="shared" si="304"/>
        <v>0</v>
      </c>
    </row>
    <row r="1616" spans="1:20" ht="22.15" hidden="1" customHeight="1">
      <c r="A1616" s="59"/>
      <c r="B1616" s="1593" t="s">
        <v>833</v>
      </c>
      <c r="C1616" s="1015" t="str">
        <f t="shared" si="305"/>
        <v xml:space="preserve"> </v>
      </c>
      <c r="D1616" s="1544"/>
      <c r="E1616" s="1047" t="str">
        <f>VLOOKUP($B1616,DG!A:D,DG!$B$2,)</f>
        <v>02.3505</v>
      </c>
      <c r="F1616" s="1052" t="s">
        <v>2531</v>
      </c>
      <c r="G1616" s="1047" t="str">
        <f>VLOOKUP($B1616,DG!A:D,DG!$D$2,)</f>
        <v>cái</v>
      </c>
      <c r="H1616" s="1845"/>
      <c r="I1616" s="1845"/>
      <c r="J1616" s="1845"/>
      <c r="K1616" s="1845"/>
      <c r="L1616" s="1845"/>
      <c r="M1616" s="1845"/>
      <c r="N1616" s="1845"/>
      <c r="O1616" s="1845"/>
      <c r="P1616" s="1845">
        <f t="shared" si="303"/>
        <v>0</v>
      </c>
      <c r="Q1616" s="1056"/>
      <c r="R1616" s="1056"/>
      <c r="S1616" s="1056"/>
      <c r="T1616" s="2059">
        <f t="shared" si="304"/>
        <v>0</v>
      </c>
    </row>
    <row r="1617" spans="1:20" ht="22.15" hidden="1" customHeight="1">
      <c r="A1617" s="59"/>
      <c r="B1617" s="1593" t="s">
        <v>833</v>
      </c>
      <c r="C1617" s="1015" t="str">
        <f t="shared" si="305"/>
        <v xml:space="preserve"> </v>
      </c>
      <c r="D1617" s="1544"/>
      <c r="E1617" s="1047" t="str">
        <f>VLOOKUP($B1617,DG!A:D,DG!$B$2,)</f>
        <v>02.3505</v>
      </c>
      <c r="F1617" s="1052" t="str">
        <f>VLOOKUP($B1617,DG!A:D,DG!$C$2,)</f>
        <v>Lắp FCO 24KV</v>
      </c>
      <c r="G1617" s="1047" t="str">
        <f>VLOOKUP($B1617,DG!A:D,DG!$D$2,)</f>
        <v>cái</v>
      </c>
      <c r="H1617" s="1845"/>
      <c r="I1617" s="1845"/>
      <c r="J1617" s="1845"/>
      <c r="K1617" s="1845"/>
      <c r="L1617" s="1845"/>
      <c r="M1617" s="1845"/>
      <c r="N1617" s="1845"/>
      <c r="O1617" s="1845"/>
      <c r="P1617" s="1845">
        <f t="shared" si="303"/>
        <v>0</v>
      </c>
      <c r="Q1617" s="1056"/>
      <c r="R1617" s="1056"/>
      <c r="S1617" s="1056"/>
      <c r="T1617" s="2059">
        <f t="shared" si="304"/>
        <v>0</v>
      </c>
    </row>
    <row r="1618" spans="1:20" ht="22.15" hidden="1" customHeight="1">
      <c r="A1618" s="59"/>
      <c r="B1618" s="1593" t="s">
        <v>1378</v>
      </c>
      <c r="C1618" s="1015" t="str">
        <f t="shared" si="305"/>
        <v xml:space="preserve"> </v>
      </c>
      <c r="D1618" s="1544"/>
      <c r="E1618" s="1047" t="str">
        <f>VLOOKUP($B1618,DG!A:D,DG!$B$2,)</f>
        <v>02.5114</v>
      </c>
      <c r="F1618" s="1052" t="s">
        <v>2532</v>
      </c>
      <c r="G1618" s="1047" t="str">
        <f>VLOOKUP($B1618,DG!A:D,DG!$D$2,)</f>
        <v>cái</v>
      </c>
      <c r="H1618" s="1845"/>
      <c r="I1618" s="1845"/>
      <c r="J1618" s="1845"/>
      <c r="K1618" s="1845"/>
      <c r="L1618" s="1845"/>
      <c r="M1618" s="1845"/>
      <c r="N1618" s="1845"/>
      <c r="O1618" s="1845"/>
      <c r="P1618" s="1845">
        <f t="shared" si="303"/>
        <v>0</v>
      </c>
      <c r="Q1618" s="1056"/>
      <c r="R1618" s="1056"/>
      <c r="S1618" s="1056"/>
      <c r="T1618" s="2059">
        <f t="shared" si="304"/>
        <v>0</v>
      </c>
    </row>
    <row r="1619" spans="1:20" ht="22.15" hidden="1" customHeight="1">
      <c r="A1619" s="59"/>
      <c r="B1619" s="1593" t="s">
        <v>1378</v>
      </c>
      <c r="C1619" s="1015" t="str">
        <f t="shared" si="305"/>
        <v xml:space="preserve"> </v>
      </c>
      <c r="D1619" s="1544"/>
      <c r="E1619" s="1047" t="str">
        <f>VLOOKUP($B1619,DG!A:D,DG!$B$2,)</f>
        <v>02.5114</v>
      </c>
      <c r="F1619" s="1052" t="s">
        <v>2533</v>
      </c>
      <c r="G1619" s="1047" t="str">
        <f>VLOOKUP($B1619,DG!A:D,DG!$D$2,)</f>
        <v>cái</v>
      </c>
      <c r="H1619" s="1845"/>
      <c r="I1619" s="1845"/>
      <c r="J1619" s="1845"/>
      <c r="K1619" s="1845"/>
      <c r="L1619" s="1845"/>
      <c r="M1619" s="1845"/>
      <c r="N1619" s="1845"/>
      <c r="O1619" s="1845"/>
      <c r="P1619" s="1845">
        <f t="shared" si="303"/>
        <v>0</v>
      </c>
      <c r="Q1619" s="1056"/>
      <c r="R1619" s="1056"/>
      <c r="S1619" s="1056"/>
      <c r="T1619" s="2059">
        <f t="shared" si="304"/>
        <v>0</v>
      </c>
    </row>
    <row r="1620" spans="1:20" ht="22.15" hidden="1" customHeight="1">
      <c r="A1620" s="59"/>
      <c r="B1620" s="1593" t="s">
        <v>1404</v>
      </c>
      <c r="C1620" s="1015" t="str">
        <f t="shared" si="305"/>
        <v xml:space="preserve"> </v>
      </c>
      <c r="D1620" s="1544"/>
      <c r="E1620" s="1047" t="str">
        <f>VLOOKUP($B1620,DG!A:D,DG!$B$2,)</f>
        <v>06.2110</v>
      </c>
      <c r="F1620" s="1052" t="s">
        <v>2534</v>
      </c>
      <c r="G1620" s="1047" t="str">
        <f>VLOOKUP($B1620,DG!A:D,DG!$D$2,)</f>
        <v>bộ</v>
      </c>
      <c r="H1620" s="1845"/>
      <c r="I1620" s="1845"/>
      <c r="J1620" s="1845"/>
      <c r="K1620" s="1845"/>
      <c r="L1620" s="1845"/>
      <c r="M1620" s="1845"/>
      <c r="N1620" s="1845"/>
      <c r="O1620" s="1845"/>
      <c r="P1620" s="1845">
        <f t="shared" si="303"/>
        <v>0</v>
      </c>
      <c r="Q1620" s="1056"/>
      <c r="R1620" s="1056"/>
      <c r="S1620" s="1056"/>
      <c r="T1620" s="2059">
        <f t="shared" si="304"/>
        <v>0</v>
      </c>
    </row>
    <row r="1621" spans="1:20" ht="22.15" hidden="1" customHeight="1">
      <c r="A1621" s="59"/>
      <c r="B1621" s="1593" t="s">
        <v>1404</v>
      </c>
      <c r="C1621" s="1015" t="str">
        <f t="shared" si="305"/>
        <v xml:space="preserve"> </v>
      </c>
      <c r="D1621" s="1544"/>
      <c r="E1621" s="1047" t="str">
        <f>VLOOKUP($B1621,DG!A:D,DG!$B$2,)</f>
        <v>06.2110</v>
      </c>
      <c r="F1621" s="1052" t="s">
        <v>2535</v>
      </c>
      <c r="G1621" s="1047" t="str">
        <f>VLOOKUP($B1621,DG!A:D,DG!$D$2,)</f>
        <v>bộ</v>
      </c>
      <c r="H1621" s="1845"/>
      <c r="I1621" s="1845"/>
      <c r="J1621" s="1845"/>
      <c r="K1621" s="1845"/>
      <c r="L1621" s="1845"/>
      <c r="M1621" s="1845"/>
      <c r="N1621" s="1845"/>
      <c r="O1621" s="1845"/>
      <c r="P1621" s="1845">
        <f t="shared" ref="P1621:P1684" si="308">H1621+Q1621-R1621</f>
        <v>0</v>
      </c>
      <c r="Q1621" s="1056"/>
      <c r="R1621" s="1056"/>
      <c r="S1621" s="1056"/>
      <c r="T1621" s="2059">
        <f t="shared" si="304"/>
        <v>0</v>
      </c>
    </row>
    <row r="1622" spans="1:20" ht="22.15" hidden="1" customHeight="1">
      <c r="A1622" s="59"/>
      <c r="B1622" s="1593" t="s">
        <v>353</v>
      </c>
      <c r="C1622" s="1015" t="str">
        <f t="shared" si="305"/>
        <v xml:space="preserve"> </v>
      </c>
      <c r="D1622" s="1544">
        <f>P1622</f>
        <v>0</v>
      </c>
      <c r="E1622" s="1047" t="str">
        <f>VLOOKUP($B1622,DG!A:D,DG!$B$2,)</f>
        <v>06.5072</v>
      </c>
      <c r="F1622" s="1052" t="str">
        <f>VLOOKUP($B1622,DG!A:D,DG!$C$2,)</f>
        <v xml:space="preserve">Kéo dây qua vị trí bẻ góc dây </v>
      </c>
      <c r="G1622" s="1047" t="str">
        <f>VLOOKUP($B1622,DG!A:D,DG!$D$2,)</f>
        <v>vị trí</v>
      </c>
      <c r="H1622" s="1845"/>
      <c r="I1622" s="1845"/>
      <c r="J1622" s="1845"/>
      <c r="K1622" s="1845"/>
      <c r="L1622" s="1845"/>
      <c r="M1622" s="1845"/>
      <c r="N1622" s="1845"/>
      <c r="O1622" s="1845"/>
      <c r="P1622" s="1845">
        <f t="shared" si="308"/>
        <v>0</v>
      </c>
      <c r="Q1622" s="1061"/>
      <c r="R1622" s="1061"/>
      <c r="S1622" s="1061"/>
      <c r="T1622" s="2059">
        <f t="shared" si="304"/>
        <v>0</v>
      </c>
    </row>
    <row r="1623" spans="1:20" ht="22.15" hidden="1" customHeight="1">
      <c r="A1623" s="59"/>
      <c r="B1623" s="1593" t="s">
        <v>354</v>
      </c>
      <c r="C1623" s="1015" t="str">
        <f t="shared" si="305"/>
        <v xml:space="preserve"> </v>
      </c>
      <c r="D1623" s="1541">
        <f>pp_NC!GT184</f>
        <v>0</v>
      </c>
      <c r="E1623" s="1047" t="str">
        <f>VLOOKUP($B1623,DG!A:D,DG!$B$2,)</f>
        <v>06.5082</v>
      </c>
      <c r="F1623" s="1052" t="str">
        <f>VLOOKUP($B1623,DG!A:D,DG!$C$2,)</f>
        <v>Kéo dây qua sông ( S&lt;=300)</v>
      </c>
      <c r="G1623" s="1047" t="str">
        <f>VLOOKUP($B1623,DG!A:D,DG!$D$2,)</f>
        <v>vị trí</v>
      </c>
      <c r="H1623" s="1845"/>
      <c r="I1623" s="1845"/>
      <c r="J1623" s="1845"/>
      <c r="K1623" s="1845"/>
      <c r="L1623" s="1845"/>
      <c r="M1623" s="1845"/>
      <c r="N1623" s="1845"/>
      <c r="O1623" s="1845"/>
      <c r="P1623" s="1845">
        <f t="shared" si="308"/>
        <v>0</v>
      </c>
      <c r="Q1623" s="1061"/>
      <c r="R1623" s="1061"/>
      <c r="S1623" s="1061"/>
      <c r="T1623" s="2059">
        <f t="shared" si="304"/>
        <v>0</v>
      </c>
    </row>
    <row r="1624" spans="1:20" ht="22.15" hidden="1" customHeight="1">
      <c r="A1624" s="1017"/>
      <c r="B1624" s="1592" t="s">
        <v>355</v>
      </c>
      <c r="C1624" s="1015" t="str">
        <f t="shared" si="305"/>
        <v xml:space="preserve"> </v>
      </c>
      <c r="D1624" s="1543"/>
      <c r="E1624" s="1047" t="str">
        <f>VLOOKUP($B1624,DG!A:D,DG!$B$2,)</f>
        <v>02.1122</v>
      </c>
      <c r="F1624" s="1052" t="str">
        <f>VLOOKUP($B1624,DG!A:D,DG!$C$2,)</f>
        <v>Bốc dỡ dây</v>
      </c>
      <c r="G1624" s="1047" t="str">
        <f>VLOOKUP($B1624,DG!A:D,DG!$D$2,)</f>
        <v>tấn</v>
      </c>
      <c r="H1624" s="1845">
        <f>D1624</f>
        <v>0</v>
      </c>
      <c r="I1624" s="1845"/>
      <c r="J1624" s="1845"/>
      <c r="K1624" s="1845"/>
      <c r="L1624" s="1845"/>
      <c r="M1624" s="1845"/>
      <c r="N1624" s="1845"/>
      <c r="O1624" s="1845"/>
      <c r="P1624" s="1845">
        <f t="shared" si="308"/>
        <v>0</v>
      </c>
      <c r="Q1624" s="1061"/>
      <c r="R1624" s="1061"/>
      <c r="S1624" s="1061"/>
      <c r="T1624" s="2059">
        <f t="shared" si="304"/>
        <v>0</v>
      </c>
    </row>
    <row r="1625" spans="1:20" ht="22.15" hidden="1" customHeight="1">
      <c r="A1625" s="1017"/>
      <c r="B1625" s="1592" t="s">
        <v>1908</v>
      </c>
      <c r="C1625" s="1015" t="str">
        <f t="shared" si="305"/>
        <v xml:space="preserve"> </v>
      </c>
      <c r="D1625" s="1543"/>
      <c r="E1625" s="1047" t="str">
        <f>VLOOKUP($B1625,DG!A:D,DG!$B$2,)</f>
        <v>02.1120</v>
      </c>
      <c r="F1625" s="1052" t="str">
        <f>VLOOKUP($B1625,DG!A:D,DG!$C$2,)</f>
        <v>Bốc dỡ phụ kiện</v>
      </c>
      <c r="G1625" s="1047" t="str">
        <f>VLOOKUP($B1625,DG!A:D,DG!$D$2,)</f>
        <v>tấn</v>
      </c>
      <c r="H1625" s="1845">
        <f>D1625</f>
        <v>0</v>
      </c>
      <c r="I1625" s="1845"/>
      <c r="J1625" s="1845"/>
      <c r="K1625" s="1845"/>
      <c r="L1625" s="1845"/>
      <c r="M1625" s="1845"/>
      <c r="N1625" s="1845"/>
      <c r="O1625" s="1845"/>
      <c r="P1625" s="1845">
        <f t="shared" si="308"/>
        <v>0</v>
      </c>
      <c r="Q1625" s="1061"/>
      <c r="R1625" s="1061"/>
      <c r="S1625" s="1061"/>
      <c r="T1625" s="2059">
        <f t="shared" si="304"/>
        <v>0</v>
      </c>
    </row>
    <row r="1626" spans="1:20" ht="22.15" hidden="1" customHeight="1">
      <c r="A1626" s="1017"/>
      <c r="B1626" s="1592" t="s">
        <v>356</v>
      </c>
      <c r="C1626" s="1015" t="str">
        <f t="shared" si="305"/>
        <v xml:space="preserve"> </v>
      </c>
      <c r="D1626" s="1543"/>
      <c r="E1626" s="1047" t="str">
        <f>VLOOKUP($B1626,DG!A:D,DG!$B$2,)</f>
        <v>02.1421</v>
      </c>
      <c r="F1626" s="1052" t="str">
        <f>VLOOKUP($B1626,DG!A:D,DG!$C$2,)</f>
        <v>V/c phụ kiện vào vị trí (cự ly &lt;=100m)</v>
      </c>
      <c r="G1626" s="1047" t="str">
        <f>VLOOKUP($B1626,DG!A:D,DG!$D$2,)</f>
        <v>tấn</v>
      </c>
      <c r="H1626" s="1845">
        <f>D1626</f>
        <v>0</v>
      </c>
      <c r="I1626" s="1845"/>
      <c r="J1626" s="1845"/>
      <c r="K1626" s="1845"/>
      <c r="L1626" s="1845"/>
      <c r="M1626" s="1845"/>
      <c r="N1626" s="1845"/>
      <c r="O1626" s="1845"/>
      <c r="P1626" s="1845">
        <f t="shared" si="308"/>
        <v>0</v>
      </c>
      <c r="Q1626" s="1061"/>
      <c r="R1626" s="1061"/>
      <c r="S1626" s="1061"/>
      <c r="T1626" s="2059">
        <f t="shared" si="304"/>
        <v>0</v>
      </c>
    </row>
    <row r="1627" spans="1:20" ht="22.15" hidden="1" customHeight="1">
      <c r="A1627" s="1017"/>
      <c r="B1627" s="1592" t="s">
        <v>357</v>
      </c>
      <c r="C1627" s="1015" t="str">
        <f t="shared" si="305"/>
        <v xml:space="preserve"> </v>
      </c>
      <c r="D1627" s="1543"/>
      <c r="E1627" s="1047" t="str">
        <f>VLOOKUP($B1627,DG!A:D,DG!$B$2,)</f>
        <v>02.1441</v>
      </c>
      <c r="F1627" s="1052" t="str">
        <f>VLOOKUP($B1627,DG!A:D,DG!$C$2,)</f>
        <v>V/c dây vào vị trí (cự ly &lt;=100m)</v>
      </c>
      <c r="G1627" s="1047" t="str">
        <f>VLOOKUP($B1627,DG!A:D,DG!$D$2,)</f>
        <v>tấn</v>
      </c>
      <c r="H1627" s="1845">
        <f>D1627</f>
        <v>0</v>
      </c>
      <c r="I1627" s="1845"/>
      <c r="J1627" s="1845"/>
      <c r="K1627" s="1845"/>
      <c r="L1627" s="1845"/>
      <c r="M1627" s="1845"/>
      <c r="N1627" s="1845"/>
      <c r="O1627" s="1845"/>
      <c r="P1627" s="1845">
        <f t="shared" si="308"/>
        <v>0</v>
      </c>
      <c r="Q1627" s="1061"/>
      <c r="R1627" s="1061"/>
      <c r="S1627" s="1061"/>
      <c r="T1627" s="2059">
        <f t="shared" si="304"/>
        <v>0</v>
      </c>
    </row>
    <row r="1628" spans="1:20" ht="22.15" hidden="1" customHeight="1">
      <c r="A1628" s="1017"/>
      <c r="B1628" s="1610" t="s">
        <v>606</v>
      </c>
      <c r="C1628" s="1015" t="str">
        <f t="shared" si="305"/>
        <v xml:space="preserve"> </v>
      </c>
      <c r="D1628" s="1543"/>
      <c r="E1628" s="1047" t="str">
        <f>VLOOKUP($B1628,DG!A:D,DG!$B$2,)</f>
        <v>02.1482</v>
      </c>
      <c r="F1628" s="1052" t="str">
        <f>VLOOKUP($B1628,DG!A:D,DG!$C$2,)</f>
        <v>V/c dụng cụ thi công vào vị trí (cự ly &lt;=100m)</v>
      </c>
      <c r="G1628" s="1047" t="str">
        <f>VLOOKUP($B1628,DG!A:D,DG!$D$2,)</f>
        <v>tấn</v>
      </c>
      <c r="H1628" s="1845">
        <f>D1628</f>
        <v>0</v>
      </c>
      <c r="I1628" s="1845"/>
      <c r="J1628" s="1845"/>
      <c r="K1628" s="1845"/>
      <c r="L1628" s="1845"/>
      <c r="M1628" s="1845"/>
      <c r="N1628" s="1845"/>
      <c r="O1628" s="1845"/>
      <c r="P1628" s="1845">
        <f t="shared" si="308"/>
        <v>0</v>
      </c>
      <c r="Q1628" s="1061"/>
      <c r="R1628" s="1061"/>
      <c r="S1628" s="1061"/>
      <c r="T1628" s="2059">
        <f t="shared" si="304"/>
        <v>0</v>
      </c>
    </row>
    <row r="1629" spans="1:20" ht="22.15" hidden="1" customHeight="1">
      <c r="A1629" s="56" t="s">
        <v>744</v>
      </c>
      <c r="B1629" s="1583" t="s">
        <v>744</v>
      </c>
      <c r="C1629" s="1015" t="str">
        <f>IF(D1629&lt;&gt;0,"x"," ")</f>
        <v xml:space="preserve"> </v>
      </c>
      <c r="D1629" s="1541"/>
      <c r="E1629" s="1049" t="s">
        <v>358</v>
      </c>
      <c r="F1629" s="1396" t="s">
        <v>2536</v>
      </c>
      <c r="G1629" s="1049" t="s">
        <v>2309</v>
      </c>
      <c r="H1629" s="1843">
        <f>SUM(I1629:O1629)</f>
        <v>0</v>
      </c>
      <c r="I1629" s="1844"/>
      <c r="J1629" s="1844"/>
      <c r="K1629" s="1844"/>
      <c r="L1629" s="1844">
        <f>IFERROR(HLOOKUP(chitiet!B1629,pp1p!$1:$3,3,0),0)</f>
        <v>0</v>
      </c>
      <c r="M1629" s="1844"/>
      <c r="N1629" s="1844"/>
      <c r="O1629" s="1844"/>
      <c r="P1629" s="1844"/>
      <c r="Q1629" s="1050"/>
      <c r="R1629" s="1050"/>
      <c r="S1629" s="1050"/>
      <c r="T1629" s="2059">
        <f t="shared" si="304"/>
        <v>0</v>
      </c>
    </row>
    <row r="1630" spans="1:20" ht="22.15" hidden="1" customHeight="1">
      <c r="A1630" s="59"/>
      <c r="B1630" s="1586" t="s">
        <v>88</v>
      </c>
      <c r="C1630" s="1015" t="str">
        <f t="shared" si="305"/>
        <v xml:space="preserve"> </v>
      </c>
      <c r="D1630" s="1547">
        <f>ROUND(E1630*1.02*0.195,2)</f>
        <v>0</v>
      </c>
      <c r="E1630" s="1064">
        <f>'pp3p2m '!C90</f>
        <v>0</v>
      </c>
      <c r="F1630" s="1059" t="str">
        <f>VLOOKUP($B1630,DG!A:D,DG!$C$2,)</f>
        <v>Cáp nhôm lõi thép AC-50/8</v>
      </c>
      <c r="G1630" s="1047" t="str">
        <f>VLOOKUP($B1630,DG!A:D,DG!$D$2,)</f>
        <v>kg</v>
      </c>
      <c r="H1630" s="1845">
        <f t="shared" ref="H1630:H1661" si="309">$D1630</f>
        <v>0</v>
      </c>
      <c r="I1630" s="1845">
        <f t="shared" ref="I1630:I1661" si="310">D1630</f>
        <v>0</v>
      </c>
      <c r="J1630" s="1845"/>
      <c r="K1630" s="1845"/>
      <c r="L1630" s="1845"/>
      <c r="M1630" s="1845"/>
      <c r="N1630" s="1845"/>
      <c r="O1630" s="1845"/>
      <c r="P1630" s="1845">
        <f t="shared" si="308"/>
        <v>0</v>
      </c>
      <c r="Q1630" s="1056"/>
      <c r="R1630" s="1056"/>
      <c r="S1630" s="1056"/>
      <c r="T1630" s="2059">
        <f t="shared" si="304"/>
        <v>0</v>
      </c>
    </row>
    <row r="1631" spans="1:20" ht="22.15" hidden="1" customHeight="1">
      <c r="A1631" s="59"/>
      <c r="B1631" s="1586" t="s">
        <v>1244</v>
      </c>
      <c r="C1631" s="1015" t="str">
        <f t="shared" si="305"/>
        <v xml:space="preserve"> </v>
      </c>
      <c r="D1631" s="1547">
        <f>ROUND(E1631*1.02*0.276,2)</f>
        <v>0</v>
      </c>
      <c r="E1631" s="1064">
        <f>'pp3p2m '!C89</f>
        <v>0</v>
      </c>
      <c r="F1631" s="1059" t="str">
        <f>VLOOKUP($B1631,DG!A:D,DG!$C$2,)</f>
        <v>Cáp nhôm lõi thép AC-70/11</v>
      </c>
      <c r="G1631" s="1047" t="str">
        <f>VLOOKUP($B1631,DG!A:D,DG!$D$2,)</f>
        <v>kg</v>
      </c>
      <c r="H1631" s="1845">
        <f t="shared" si="309"/>
        <v>0</v>
      </c>
      <c r="I1631" s="1845">
        <f t="shared" si="310"/>
        <v>0</v>
      </c>
      <c r="J1631" s="1845"/>
      <c r="K1631" s="1845"/>
      <c r="L1631" s="1845"/>
      <c r="M1631" s="1845"/>
      <c r="N1631" s="1845"/>
      <c r="O1631" s="1845"/>
      <c r="P1631" s="1845">
        <f t="shared" si="308"/>
        <v>0</v>
      </c>
      <c r="Q1631" s="1056"/>
      <c r="R1631" s="1056"/>
      <c r="S1631" s="1056"/>
      <c r="T1631" s="2059">
        <f t="shared" si="304"/>
        <v>0</v>
      </c>
    </row>
    <row r="1632" spans="1:20" ht="22.15" hidden="1" customHeight="1">
      <c r="A1632" s="59"/>
      <c r="B1632" s="1586" t="s">
        <v>269</v>
      </c>
      <c r="C1632" s="1015" t="str">
        <f t="shared" si="305"/>
        <v xml:space="preserve"> </v>
      </c>
      <c r="D1632" s="1547">
        <f>ROUND(E1632*1.02*0.385,2)</f>
        <v>0</v>
      </c>
      <c r="E1632" s="1064">
        <f>'pp3p2m '!C88</f>
        <v>0</v>
      </c>
      <c r="F1632" s="1059" t="str">
        <f>VLOOKUP($B1632,DG!A:D,DG!$C$2,)</f>
        <v>Cáp nhôm lõi thép AC-95/16</v>
      </c>
      <c r="G1632" s="1047" t="str">
        <f>VLOOKUP($B1632,DG!A:D,DG!$D$2,)</f>
        <v>kg</v>
      </c>
      <c r="H1632" s="1845">
        <f t="shared" si="309"/>
        <v>0</v>
      </c>
      <c r="I1632" s="1845">
        <f t="shared" si="310"/>
        <v>0</v>
      </c>
      <c r="J1632" s="1845"/>
      <c r="K1632" s="1845"/>
      <c r="L1632" s="1845"/>
      <c r="M1632" s="1845"/>
      <c r="N1632" s="1845"/>
      <c r="O1632" s="1845"/>
      <c r="P1632" s="1845">
        <f t="shared" si="308"/>
        <v>0</v>
      </c>
      <c r="Q1632" s="1056"/>
      <c r="R1632" s="1056"/>
      <c r="S1632" s="1056"/>
      <c r="T1632" s="2059">
        <f t="shared" si="304"/>
        <v>0</v>
      </c>
    </row>
    <row r="1633" spans="1:20" ht="22.15" hidden="1" customHeight="1">
      <c r="A1633" s="59"/>
      <c r="B1633" s="1586" t="s">
        <v>539</v>
      </c>
      <c r="C1633" s="1015" t="str">
        <f t="shared" si="305"/>
        <v xml:space="preserve"> </v>
      </c>
      <c r="D1633" s="1547">
        <f>ROUND(E1633*1.02*0.471,2)</f>
        <v>0</v>
      </c>
      <c r="E1633" s="1064">
        <f>'pp3p2m '!C87</f>
        <v>0</v>
      </c>
      <c r="F1633" s="1059" t="str">
        <f>VLOOKUP($B1633,DG!A:D,DG!$C$2,)</f>
        <v>Cáp nhôm lõi thép AC-120/19</v>
      </c>
      <c r="G1633" s="1047" t="str">
        <f>VLOOKUP($B1633,DG!A:D,DG!$D$2,)</f>
        <v>kg</v>
      </c>
      <c r="H1633" s="1845">
        <f t="shared" si="309"/>
        <v>0</v>
      </c>
      <c r="I1633" s="1845">
        <f t="shared" si="310"/>
        <v>0</v>
      </c>
      <c r="J1633" s="1845"/>
      <c r="K1633" s="1845"/>
      <c r="L1633" s="1845"/>
      <c r="M1633" s="1845"/>
      <c r="N1633" s="1845"/>
      <c r="O1633" s="1845"/>
      <c r="P1633" s="1845">
        <f t="shared" si="308"/>
        <v>0</v>
      </c>
      <c r="Q1633" s="1056"/>
      <c r="R1633" s="1056"/>
      <c r="S1633" s="1056"/>
      <c r="T1633" s="2059">
        <f t="shared" si="304"/>
        <v>0</v>
      </c>
    </row>
    <row r="1634" spans="1:20" ht="22.15" hidden="1" customHeight="1">
      <c r="A1634" s="59"/>
      <c r="B1634" s="1586" t="s">
        <v>843</v>
      </c>
      <c r="C1634" s="1015" t="str">
        <f t="shared" si="305"/>
        <v xml:space="preserve"> </v>
      </c>
      <c r="D1634" s="1547">
        <f>ROUND(E1634*1.02*0.599,2)</f>
        <v>0</v>
      </c>
      <c r="E1634" s="1064">
        <f>'pp3p2m '!C86</f>
        <v>0</v>
      </c>
      <c r="F1634" s="1059" t="str">
        <f>VLOOKUP($B1634,DG!A:D,DG!$C$2,)</f>
        <v>Cáp nhôm lõi thép AC-150/24</v>
      </c>
      <c r="G1634" s="1047" t="str">
        <f>VLOOKUP($B1634,DG!A:D,DG!$D$2,)</f>
        <v>kg</v>
      </c>
      <c r="H1634" s="1845">
        <f t="shared" si="309"/>
        <v>0</v>
      </c>
      <c r="I1634" s="1845">
        <f t="shared" si="310"/>
        <v>0</v>
      </c>
      <c r="J1634" s="1845"/>
      <c r="K1634" s="1845"/>
      <c r="L1634" s="1845"/>
      <c r="M1634" s="1845"/>
      <c r="N1634" s="1845"/>
      <c r="O1634" s="1845"/>
      <c r="P1634" s="1845">
        <f t="shared" si="308"/>
        <v>0</v>
      </c>
      <c r="Q1634" s="1056"/>
      <c r="R1634" s="1056"/>
      <c r="S1634" s="1056"/>
      <c r="T1634" s="2059">
        <f t="shared" si="304"/>
        <v>0</v>
      </c>
    </row>
    <row r="1635" spans="1:20" ht="22.15" hidden="1" customHeight="1">
      <c r="A1635" s="59"/>
      <c r="B1635" s="1586" t="s">
        <v>731</v>
      </c>
      <c r="C1635" s="1015" t="str">
        <f t="shared" si="305"/>
        <v xml:space="preserve"> </v>
      </c>
      <c r="D1635" s="1547">
        <f>ROUND(E1635*1.02*0.728,2)</f>
        <v>0</v>
      </c>
      <c r="E1635" s="1064">
        <f>'pp3p2m '!C85</f>
        <v>0</v>
      </c>
      <c r="F1635" s="1059" t="str">
        <f>VLOOKUP($B1635,DG!A:D,DG!$C$2,)</f>
        <v>Cáp nhôm lõi thép AC-185/29</v>
      </c>
      <c r="G1635" s="1047" t="str">
        <f>VLOOKUP($B1635,DG!A:D,DG!$D$2,)</f>
        <v>kg</v>
      </c>
      <c r="H1635" s="1845">
        <f t="shared" si="309"/>
        <v>0</v>
      </c>
      <c r="I1635" s="1845">
        <f t="shared" si="310"/>
        <v>0</v>
      </c>
      <c r="J1635" s="1845"/>
      <c r="K1635" s="1845"/>
      <c r="L1635" s="1845"/>
      <c r="M1635" s="1845"/>
      <c r="N1635" s="1845"/>
      <c r="O1635" s="1845"/>
      <c r="P1635" s="1845">
        <f t="shared" si="308"/>
        <v>0</v>
      </c>
      <c r="Q1635" s="1056"/>
      <c r="R1635" s="1056"/>
      <c r="S1635" s="1056"/>
      <c r="T1635" s="2059">
        <f t="shared" si="304"/>
        <v>0</v>
      </c>
    </row>
    <row r="1636" spans="1:20" ht="22.15" hidden="1" customHeight="1">
      <c r="A1636" s="59"/>
      <c r="B1636" s="1586" t="s">
        <v>730</v>
      </c>
      <c r="C1636" s="1015" t="str">
        <f t="shared" si="305"/>
        <v xml:space="preserve"> </v>
      </c>
      <c r="D1636" s="1547">
        <f>ROUND(E1636*1.02*0.921,2)</f>
        <v>0</v>
      </c>
      <c r="E1636" s="1064">
        <f>'pp3p2m '!C84</f>
        <v>0</v>
      </c>
      <c r="F1636" s="1059" t="str">
        <f>VLOOKUP($B1636,DG!A:D,DG!$C$2,)</f>
        <v>Cáp nhôm lõi thép AC-240/39</v>
      </c>
      <c r="G1636" s="1047" t="str">
        <f>VLOOKUP($B1636,DG!A:D,DG!$D$2,)</f>
        <v>kg</v>
      </c>
      <c r="H1636" s="1845">
        <f t="shared" si="309"/>
        <v>0</v>
      </c>
      <c r="I1636" s="1845">
        <f t="shared" si="310"/>
        <v>0</v>
      </c>
      <c r="J1636" s="1845"/>
      <c r="K1636" s="1845"/>
      <c r="L1636" s="1845"/>
      <c r="M1636" s="1845"/>
      <c r="N1636" s="1845"/>
      <c r="O1636" s="1845"/>
      <c r="P1636" s="1845">
        <f t="shared" si="308"/>
        <v>0</v>
      </c>
      <c r="Q1636" s="1056"/>
      <c r="R1636" s="1056"/>
      <c r="S1636" s="1056"/>
      <c r="T1636" s="2059">
        <f t="shared" si="304"/>
        <v>0</v>
      </c>
    </row>
    <row r="1637" spans="1:20" ht="22.15" hidden="1" customHeight="1">
      <c r="A1637" s="59"/>
      <c r="B1637" s="1586" t="s">
        <v>1800</v>
      </c>
      <c r="C1637" s="1015" t="str">
        <f t="shared" si="305"/>
        <v xml:space="preserve"> </v>
      </c>
      <c r="D1637" s="1544">
        <f>ROUND(E1637*1.03,2)</f>
        <v>0</v>
      </c>
      <c r="E1637" s="1064">
        <f>'pp3p2m '!C98</f>
        <v>0</v>
      </c>
      <c r="F1637" s="1059" t="str">
        <f>VLOOKUP($B1637,DG!A:D,DG!$C$2,)</f>
        <v>Cáp 24KV A/XLPE/PVC 240mm2</v>
      </c>
      <c r="G1637" s="1047" t="str">
        <f>VLOOKUP($B1637,DG!A:D,DG!$D$2,)</f>
        <v>mét</v>
      </c>
      <c r="H1637" s="1845">
        <f t="shared" si="309"/>
        <v>0</v>
      </c>
      <c r="I1637" s="1845">
        <f t="shared" si="310"/>
        <v>0</v>
      </c>
      <c r="J1637" s="1845"/>
      <c r="K1637" s="1845"/>
      <c r="L1637" s="1845"/>
      <c r="M1637" s="1845"/>
      <c r="N1637" s="1845"/>
      <c r="O1637" s="1845"/>
      <c r="P1637" s="1845">
        <f t="shared" si="308"/>
        <v>0</v>
      </c>
      <c r="Q1637" s="1056"/>
      <c r="R1637" s="1056"/>
      <c r="S1637" s="1056"/>
      <c r="T1637" s="2059">
        <f t="shared" si="304"/>
        <v>0</v>
      </c>
    </row>
    <row r="1638" spans="1:20" ht="22.15" hidden="1" customHeight="1">
      <c r="A1638" s="59"/>
      <c r="B1638" s="1586" t="s">
        <v>1033</v>
      </c>
      <c r="C1638" s="1015" t="str">
        <f t="shared" si="305"/>
        <v xml:space="preserve"> </v>
      </c>
      <c r="D1638" s="1544">
        <f>ROUND(E1638*1.02,2)</f>
        <v>0</v>
      </c>
      <c r="E1638" s="1064"/>
      <c r="F1638" s="1059" t="str">
        <f>VLOOKUP($B1638,DG!A:D,DG!$C$2,)</f>
        <v>Cáp 24KV A/XLPE/PVC 185mm2</v>
      </c>
      <c r="G1638" s="1047" t="str">
        <f>VLOOKUP($B1638,DG!A:D,DG!$D$2,)</f>
        <v>mét</v>
      </c>
      <c r="H1638" s="1845">
        <f t="shared" si="309"/>
        <v>0</v>
      </c>
      <c r="I1638" s="1845">
        <f t="shared" si="310"/>
        <v>0</v>
      </c>
      <c r="J1638" s="1845"/>
      <c r="K1638" s="1845"/>
      <c r="L1638" s="1845"/>
      <c r="M1638" s="1845"/>
      <c r="N1638" s="1845"/>
      <c r="O1638" s="1845"/>
      <c r="P1638" s="1845">
        <f t="shared" si="308"/>
        <v>0</v>
      </c>
      <c r="Q1638" s="1056"/>
      <c r="R1638" s="1056"/>
      <c r="S1638" s="1056"/>
      <c r="T1638" s="2059">
        <f t="shared" si="304"/>
        <v>0</v>
      </c>
    </row>
    <row r="1639" spans="1:20" ht="22.15" hidden="1" customHeight="1">
      <c r="A1639" s="59"/>
      <c r="B1639" s="1586" t="s">
        <v>1034</v>
      </c>
      <c r="C1639" s="1015" t="str">
        <f t="shared" si="305"/>
        <v xml:space="preserve"> </v>
      </c>
      <c r="D1639" s="1544">
        <f>ROUND(E1639*1.03,2)</f>
        <v>0</v>
      </c>
      <c r="E1639" s="1064">
        <f>'pp3p2m '!C100</f>
        <v>0</v>
      </c>
      <c r="F1639" s="1059" t="str">
        <f>VLOOKUP($B1639,DG!A:D,DG!$C$2,)</f>
        <v>Cáp 24KV A/XLPE/PVC 150mm2</v>
      </c>
      <c r="G1639" s="1047" t="str">
        <f>VLOOKUP($B1639,DG!A:D,DG!$D$2,)</f>
        <v>mét</v>
      </c>
      <c r="H1639" s="1845">
        <f t="shared" si="309"/>
        <v>0</v>
      </c>
      <c r="I1639" s="1845">
        <f t="shared" si="310"/>
        <v>0</v>
      </c>
      <c r="J1639" s="1845"/>
      <c r="K1639" s="1845"/>
      <c r="L1639" s="1845"/>
      <c r="M1639" s="1845"/>
      <c r="N1639" s="1845"/>
      <c r="O1639" s="1845"/>
      <c r="P1639" s="1845">
        <f t="shared" si="308"/>
        <v>0</v>
      </c>
      <c r="Q1639" s="1056"/>
      <c r="R1639" s="1056"/>
      <c r="S1639" s="1056"/>
      <c r="T1639" s="2059">
        <f t="shared" si="304"/>
        <v>0</v>
      </c>
    </row>
    <row r="1640" spans="1:20" ht="22.15" hidden="1" customHeight="1">
      <c r="A1640" s="59"/>
      <c r="B1640" s="1586" t="s">
        <v>657</v>
      </c>
      <c r="C1640" s="1015" t="str">
        <f t="shared" si="305"/>
        <v xml:space="preserve"> </v>
      </c>
      <c r="D1640" s="1544">
        <f>ROUND(E1640*1.03,2)</f>
        <v>0</v>
      </c>
      <c r="E1640" s="1064">
        <f>'pp3p2m '!C101</f>
        <v>0</v>
      </c>
      <c r="F1640" s="1059" t="str">
        <f>VLOOKUP($B1640,DG!A:D,DG!$C$2,)</f>
        <v>Cáp 24KV A/XLPE/PVC 120mm2</v>
      </c>
      <c r="G1640" s="1047" t="str">
        <f>VLOOKUP($B1640,DG!A:D,DG!$D$2,)</f>
        <v>mét</v>
      </c>
      <c r="H1640" s="1845">
        <f t="shared" si="309"/>
        <v>0</v>
      </c>
      <c r="I1640" s="1845">
        <f t="shared" si="310"/>
        <v>0</v>
      </c>
      <c r="J1640" s="1845"/>
      <c r="K1640" s="1845"/>
      <c r="L1640" s="1845"/>
      <c r="M1640" s="1845"/>
      <c r="N1640" s="1845"/>
      <c r="O1640" s="1845"/>
      <c r="P1640" s="1845">
        <f t="shared" si="308"/>
        <v>0</v>
      </c>
      <c r="Q1640" s="1056"/>
      <c r="R1640" s="1056"/>
      <c r="S1640" s="1056"/>
      <c r="T1640" s="2059">
        <f t="shared" si="304"/>
        <v>0</v>
      </c>
    </row>
    <row r="1641" spans="1:20" ht="22.15" hidden="1" customHeight="1">
      <c r="A1641" s="59"/>
      <c r="B1641" s="1586" t="s">
        <v>57</v>
      </c>
      <c r="C1641" s="1015" t="str">
        <f t="shared" si="305"/>
        <v xml:space="preserve"> </v>
      </c>
      <c r="D1641" s="1544">
        <f>ROUND(E1641*1.03,2)</f>
        <v>0</v>
      </c>
      <c r="E1641" s="1064">
        <f>'pp3p2m '!C102</f>
        <v>0</v>
      </c>
      <c r="F1641" s="1059" t="str">
        <f>VLOOKUP($B1641,DG!A:D,DG!$C$2,)</f>
        <v>Cáp 24KV A/XLPE/PVC 95mm2</v>
      </c>
      <c r="G1641" s="1047" t="str">
        <f>VLOOKUP($B1641,DG!A:D,DG!$D$2,)</f>
        <v>mét</v>
      </c>
      <c r="H1641" s="1845">
        <f t="shared" si="309"/>
        <v>0</v>
      </c>
      <c r="I1641" s="1845">
        <f t="shared" si="310"/>
        <v>0</v>
      </c>
      <c r="J1641" s="1845"/>
      <c r="K1641" s="1845"/>
      <c r="L1641" s="1845"/>
      <c r="M1641" s="1845"/>
      <c r="N1641" s="1845"/>
      <c r="O1641" s="1845"/>
      <c r="P1641" s="1845">
        <f t="shared" si="308"/>
        <v>0</v>
      </c>
      <c r="Q1641" s="1056"/>
      <c r="R1641" s="1056"/>
      <c r="S1641" s="1056"/>
      <c r="T1641" s="2059">
        <f t="shared" si="304"/>
        <v>0</v>
      </c>
    </row>
    <row r="1642" spans="1:20" ht="22.15" hidden="1" customHeight="1">
      <c r="A1642" s="59"/>
      <c r="B1642" s="1586" t="s">
        <v>56</v>
      </c>
      <c r="C1642" s="1015" t="str">
        <f t="shared" si="305"/>
        <v xml:space="preserve"> </v>
      </c>
      <c r="D1642" s="1544">
        <f>ROUND(E1642*1.03,2)</f>
        <v>0</v>
      </c>
      <c r="E1642" s="1064">
        <f>'pp3p2m '!C103</f>
        <v>0</v>
      </c>
      <c r="F1642" s="1059" t="str">
        <f>VLOOKUP($B1642,DG!A:D,DG!$C$2,)</f>
        <v>Cáp 24KV A/XLPE/PVC 70mm2</v>
      </c>
      <c r="G1642" s="1047" t="str">
        <f>VLOOKUP($B1642,DG!A:D,DG!$D$2,)</f>
        <v>mét</v>
      </c>
      <c r="H1642" s="1845">
        <f t="shared" si="309"/>
        <v>0</v>
      </c>
      <c r="I1642" s="1845">
        <f t="shared" si="310"/>
        <v>0</v>
      </c>
      <c r="J1642" s="1845"/>
      <c r="K1642" s="1845"/>
      <c r="L1642" s="1845"/>
      <c r="M1642" s="1845"/>
      <c r="N1642" s="1845"/>
      <c r="O1642" s="1845"/>
      <c r="P1642" s="1845">
        <f t="shared" si="308"/>
        <v>0</v>
      </c>
      <c r="Q1642" s="1056"/>
      <c r="R1642" s="1056"/>
      <c r="S1642" s="1056"/>
      <c r="T1642" s="2059">
        <f t="shared" si="304"/>
        <v>0</v>
      </c>
    </row>
    <row r="1643" spans="1:20" ht="22.15" hidden="1" customHeight="1">
      <c r="A1643" s="59"/>
      <c r="B1643" s="1606" t="s">
        <v>2508</v>
      </c>
      <c r="C1643" s="1015" t="str">
        <f t="shared" si="305"/>
        <v xml:space="preserve"> </v>
      </c>
      <c r="D1643" s="1557">
        <f>'pp3p2m '!CU82</f>
        <v>0</v>
      </c>
      <c r="E1643" s="1047"/>
      <c r="F1643" s="1065" t="s">
        <v>2509</v>
      </c>
      <c r="G1643" s="1066" t="s">
        <v>2448</v>
      </c>
      <c r="H1643" s="1845">
        <f t="shared" si="309"/>
        <v>0</v>
      </c>
      <c r="I1643" s="1845">
        <f t="shared" si="310"/>
        <v>0</v>
      </c>
      <c r="J1643" s="1845"/>
      <c r="K1643" s="1845"/>
      <c r="L1643" s="1845"/>
      <c r="M1643" s="1845"/>
      <c r="N1643" s="1845"/>
      <c r="O1643" s="1845"/>
      <c r="P1643" s="1845">
        <f t="shared" si="308"/>
        <v>0</v>
      </c>
      <c r="Q1643" s="1056"/>
      <c r="R1643" s="1056"/>
      <c r="S1643" s="1056"/>
      <c r="T1643" s="2059">
        <f t="shared" ref="T1643:T1706" si="311">IFERROR(HLOOKUP(B1643,BangKeTru,3,0),0)</f>
        <v>0</v>
      </c>
    </row>
    <row r="1644" spans="1:20" ht="22.15" hidden="1" customHeight="1">
      <c r="A1644" s="59"/>
      <c r="B1644" s="1586" t="s">
        <v>1915</v>
      </c>
      <c r="C1644" s="1015" t="str">
        <f t="shared" si="305"/>
        <v xml:space="preserve"> </v>
      </c>
      <c r="D1644" s="1544">
        <f>D1643</f>
        <v>0</v>
      </c>
      <c r="E1644" s="1047"/>
      <c r="F1644" s="1059" t="str">
        <f>VLOOKUP($B1644,DG!A:D,DG!$C$2,)</f>
        <v>Uclevis + sứ ống chỉ</v>
      </c>
      <c r="G1644" s="1047" t="str">
        <f>VLOOKUP($B1644,DG!A:D,DG!$D$2,)</f>
        <v>bộ</v>
      </c>
      <c r="H1644" s="1845">
        <f t="shared" si="309"/>
        <v>0</v>
      </c>
      <c r="I1644" s="1845">
        <f t="shared" si="310"/>
        <v>0</v>
      </c>
      <c r="J1644" s="1845"/>
      <c r="K1644" s="1845"/>
      <c r="L1644" s="1845"/>
      <c r="M1644" s="1845"/>
      <c r="N1644" s="1845"/>
      <c r="O1644" s="1845"/>
      <c r="P1644" s="1845">
        <f t="shared" si="308"/>
        <v>0</v>
      </c>
      <c r="Q1644" s="1056"/>
      <c r="R1644" s="1056"/>
      <c r="S1644" s="1056"/>
      <c r="T1644" s="2059">
        <f t="shared" si="311"/>
        <v>0</v>
      </c>
    </row>
    <row r="1645" spans="1:20" ht="22.15" hidden="1" customHeight="1">
      <c r="A1645" s="59"/>
      <c r="B1645" s="1586" t="s">
        <v>1615</v>
      </c>
      <c r="C1645" s="1015" t="str">
        <f t="shared" si="305"/>
        <v xml:space="preserve"> </v>
      </c>
      <c r="D1645" s="1544">
        <f>D1643</f>
        <v>0</v>
      </c>
      <c r="E1645" s="1047"/>
      <c r="F1645" s="1059" t="str">
        <f>VLOOKUP($B1645,DG!A:D,DG!$C$2,)</f>
        <v>Boulon 16x300+ 2 long đền vuông D18-50x50x3/Zn</v>
      </c>
      <c r="G1645" s="1047" t="str">
        <f>VLOOKUP($B1645,DG!A:D,DG!$D$2,)</f>
        <v>bộ</v>
      </c>
      <c r="H1645" s="1845">
        <f t="shared" si="309"/>
        <v>0</v>
      </c>
      <c r="I1645" s="1845">
        <f t="shared" si="310"/>
        <v>0</v>
      </c>
      <c r="J1645" s="1845"/>
      <c r="K1645" s="1845"/>
      <c r="L1645" s="1845"/>
      <c r="M1645" s="1845"/>
      <c r="N1645" s="1845"/>
      <c r="O1645" s="1845"/>
      <c r="P1645" s="1845">
        <f t="shared" si="308"/>
        <v>0</v>
      </c>
      <c r="Q1645" s="1056"/>
      <c r="R1645" s="1056"/>
      <c r="S1645" s="1056"/>
      <c r="T1645" s="2059">
        <f t="shared" si="311"/>
        <v>0</v>
      </c>
    </row>
    <row r="1646" spans="1:20" ht="22.15" hidden="1" customHeight="1">
      <c r="A1646" s="59"/>
      <c r="B1646" s="1606" t="s">
        <v>1626</v>
      </c>
      <c r="C1646" s="1015" t="str">
        <f t="shared" si="305"/>
        <v xml:space="preserve"> </v>
      </c>
      <c r="D1646" s="1557">
        <f>'pp3p2m '!CW82</f>
        <v>0</v>
      </c>
      <c r="E1646" s="1047"/>
      <c r="F1646" s="1065" t="s">
        <v>2510</v>
      </c>
      <c r="G1646" s="1066" t="s">
        <v>2448</v>
      </c>
      <c r="H1646" s="1845">
        <f t="shared" si="309"/>
        <v>0</v>
      </c>
      <c r="I1646" s="1845">
        <f t="shared" si="310"/>
        <v>0</v>
      </c>
      <c r="J1646" s="1845"/>
      <c r="K1646" s="1845"/>
      <c r="L1646" s="1845"/>
      <c r="M1646" s="1845"/>
      <c r="N1646" s="1845"/>
      <c r="O1646" s="1845"/>
      <c r="P1646" s="1845">
        <f t="shared" si="308"/>
        <v>0</v>
      </c>
      <c r="Q1646" s="1056"/>
      <c r="R1646" s="1056"/>
      <c r="S1646" s="1056"/>
      <c r="T1646" s="2059">
        <f t="shared" si="311"/>
        <v>0</v>
      </c>
    </row>
    <row r="1647" spans="1:20" ht="22.15" hidden="1" customHeight="1">
      <c r="A1647" s="59"/>
      <c r="B1647" s="1586" t="s">
        <v>1915</v>
      </c>
      <c r="C1647" s="1015" t="str">
        <f t="shared" si="305"/>
        <v xml:space="preserve"> </v>
      </c>
      <c r="D1647" s="1544">
        <f>D1646</f>
        <v>0</v>
      </c>
      <c r="E1647" s="1047"/>
      <c r="F1647" s="1059" t="str">
        <f>VLOOKUP($B1647,DG!A:D,DG!$C$2,)</f>
        <v>Uclevis + sứ ống chỉ</v>
      </c>
      <c r="G1647" s="1047" t="str">
        <f>VLOOKUP($B1647,DG!A:D,DG!$D$2,)</f>
        <v>bộ</v>
      </c>
      <c r="H1647" s="1845">
        <f t="shared" si="309"/>
        <v>0</v>
      </c>
      <c r="I1647" s="1845">
        <f t="shared" si="310"/>
        <v>0</v>
      </c>
      <c r="J1647" s="1845"/>
      <c r="K1647" s="1845"/>
      <c r="L1647" s="1845"/>
      <c r="M1647" s="1845"/>
      <c r="N1647" s="1845"/>
      <c r="O1647" s="1845"/>
      <c r="P1647" s="1845">
        <f t="shared" si="308"/>
        <v>0</v>
      </c>
      <c r="Q1647" s="1056"/>
      <c r="R1647" s="1056"/>
      <c r="S1647" s="1056"/>
      <c r="T1647" s="2059">
        <f t="shared" si="311"/>
        <v>0</v>
      </c>
    </row>
    <row r="1648" spans="1:20" ht="22.15" hidden="1" customHeight="1">
      <c r="A1648" s="59"/>
      <c r="B1648" s="1586" t="s">
        <v>1615</v>
      </c>
      <c r="C1648" s="1015" t="str">
        <f t="shared" si="305"/>
        <v xml:space="preserve"> </v>
      </c>
      <c r="D1648" s="1544">
        <f>D1646</f>
        <v>0</v>
      </c>
      <c r="E1648" s="1047"/>
      <c r="F1648" s="1059" t="str">
        <f>VLOOKUP($B1648,DG!A:D,DG!$C$2,)</f>
        <v>Boulon 16x300+ 2 long đền vuông D18-50x50x3/Zn</v>
      </c>
      <c r="G1648" s="1047" t="str">
        <f>VLOOKUP($B1648,DG!A:D,DG!$D$2,)</f>
        <v>bộ</v>
      </c>
      <c r="H1648" s="1845">
        <f t="shared" si="309"/>
        <v>0</v>
      </c>
      <c r="I1648" s="1845">
        <f t="shared" si="310"/>
        <v>0</v>
      </c>
      <c r="J1648" s="1845"/>
      <c r="K1648" s="1845"/>
      <c r="L1648" s="1845"/>
      <c r="M1648" s="1845"/>
      <c r="N1648" s="1845"/>
      <c r="O1648" s="1845"/>
      <c r="P1648" s="1845">
        <f t="shared" si="308"/>
        <v>0</v>
      </c>
      <c r="Q1648" s="1056"/>
      <c r="R1648" s="1056"/>
      <c r="S1648" s="1056"/>
      <c r="T1648" s="2059">
        <f t="shared" si="311"/>
        <v>0</v>
      </c>
    </row>
    <row r="1649" spans="1:20" ht="22.15" hidden="1" customHeight="1">
      <c r="A1649" s="59"/>
      <c r="B1649" s="1586" t="s">
        <v>1857</v>
      </c>
      <c r="C1649" s="1015" t="str">
        <f t="shared" si="305"/>
        <v xml:space="preserve"> </v>
      </c>
      <c r="D1649" s="1544">
        <f>D1646*6</f>
        <v>0</v>
      </c>
      <c r="E1649" s="1047"/>
      <c r="F1649" s="1059" t="str">
        <f>VLOOKUP($B1649,DG!A:D,DG!$C$2,)</f>
        <v>Kẹp 2 rãnh (APC) cỡ dây 50mm2</v>
      </c>
      <c r="G1649" s="1047" t="str">
        <f>VLOOKUP($B1649,DG!A:D,DG!$D$2,)</f>
        <v>cái</v>
      </c>
      <c r="H1649" s="1845">
        <f t="shared" si="309"/>
        <v>0</v>
      </c>
      <c r="I1649" s="1845">
        <f t="shared" si="310"/>
        <v>0</v>
      </c>
      <c r="J1649" s="1845"/>
      <c r="K1649" s="1845"/>
      <c r="L1649" s="1845"/>
      <c r="M1649" s="1845"/>
      <c r="N1649" s="1845"/>
      <c r="O1649" s="1845"/>
      <c r="P1649" s="1845">
        <f t="shared" si="308"/>
        <v>0</v>
      </c>
      <c r="Q1649" s="1056"/>
      <c r="R1649" s="1056"/>
      <c r="S1649" s="1056"/>
      <c r="T1649" s="2059">
        <f t="shared" si="311"/>
        <v>0</v>
      </c>
    </row>
    <row r="1650" spans="1:20" ht="22.15" hidden="1" customHeight="1">
      <c r="A1650" s="59"/>
      <c r="B1650" s="1606" t="s">
        <v>1627</v>
      </c>
      <c r="C1650" s="1015" t="str">
        <f t="shared" si="305"/>
        <v xml:space="preserve"> </v>
      </c>
      <c r="D1650" s="1557">
        <f>'pp3p2m '!CX82</f>
        <v>0</v>
      </c>
      <c r="E1650" s="1047"/>
      <c r="F1650" s="1065" t="s">
        <v>2511</v>
      </c>
      <c r="G1650" s="1066" t="s">
        <v>2448</v>
      </c>
      <c r="H1650" s="1845">
        <f t="shared" si="309"/>
        <v>0</v>
      </c>
      <c r="I1650" s="1845">
        <f t="shared" si="310"/>
        <v>0</v>
      </c>
      <c r="J1650" s="1845"/>
      <c r="K1650" s="1845"/>
      <c r="L1650" s="1845"/>
      <c r="M1650" s="1845"/>
      <c r="N1650" s="1845"/>
      <c r="O1650" s="1845"/>
      <c r="P1650" s="1845">
        <f t="shared" si="308"/>
        <v>0</v>
      </c>
      <c r="Q1650" s="1056"/>
      <c r="R1650" s="1056"/>
      <c r="S1650" s="1056"/>
      <c r="T1650" s="2059">
        <f t="shared" si="311"/>
        <v>0</v>
      </c>
    </row>
    <row r="1651" spans="1:20" ht="22.15" hidden="1" customHeight="1">
      <c r="A1651" s="59"/>
      <c r="B1651" s="1607" t="s">
        <v>1926</v>
      </c>
      <c r="C1651" s="1015" t="str">
        <f t="shared" ref="C1651:C1714" si="312">IF(OR(P1651&lt;&gt;0,H1651&lt;&gt;0),"x"," ")</f>
        <v xml:space="preserve"> </v>
      </c>
      <c r="D1651" s="1544">
        <f>D1650</f>
        <v>0</v>
      </c>
      <c r="E1651" s="1047"/>
      <c r="F1651" s="1057" t="str">
        <f>VLOOKUP($B1651,DG!A:D,DG!$C$2,)</f>
        <v>Khóa néo dây cỡ dây 120</v>
      </c>
      <c r="G1651" s="1047" t="str">
        <f>VLOOKUP($B1651,DG!A:D,DG!$D$2,)</f>
        <v>cái</v>
      </c>
      <c r="H1651" s="1845">
        <f t="shared" si="309"/>
        <v>0</v>
      </c>
      <c r="I1651" s="1845">
        <f t="shared" si="310"/>
        <v>0</v>
      </c>
      <c r="J1651" s="1845"/>
      <c r="K1651" s="1845"/>
      <c r="L1651" s="1845"/>
      <c r="M1651" s="1845"/>
      <c r="N1651" s="1845"/>
      <c r="O1651" s="1845"/>
      <c r="P1651" s="1845">
        <f t="shared" si="308"/>
        <v>0</v>
      </c>
      <c r="Q1651" s="1056"/>
      <c r="R1651" s="1056"/>
      <c r="S1651" s="1056"/>
      <c r="T1651" s="2059">
        <f t="shared" si="311"/>
        <v>0</v>
      </c>
    </row>
    <row r="1652" spans="1:20" ht="22.15" hidden="1" customHeight="1">
      <c r="A1652" s="59"/>
      <c r="B1652" s="1586" t="s">
        <v>1491</v>
      </c>
      <c r="C1652" s="1015" t="str">
        <f t="shared" si="312"/>
        <v xml:space="preserve"> </v>
      </c>
      <c r="D1652" s="1544">
        <f>D1650*2</f>
        <v>0</v>
      </c>
      <c r="E1652" s="1047"/>
      <c r="F1652" s="1057" t="str">
        <f>VLOOKUP($B1652,DG!A:D,DG!$C$2,)</f>
        <v xml:space="preserve">Móc treo chữ U </v>
      </c>
      <c r="G1652" s="1047" t="str">
        <f>VLOOKUP($B1652,DG!A:D,DG!$D$2,)</f>
        <v>cái</v>
      </c>
      <c r="H1652" s="1845">
        <f t="shared" si="309"/>
        <v>0</v>
      </c>
      <c r="I1652" s="1845">
        <f t="shared" si="310"/>
        <v>0</v>
      </c>
      <c r="J1652" s="1845"/>
      <c r="K1652" s="1845"/>
      <c r="L1652" s="1845"/>
      <c r="M1652" s="1845"/>
      <c r="N1652" s="1845"/>
      <c r="O1652" s="1845"/>
      <c r="P1652" s="1845">
        <f t="shared" si="308"/>
        <v>0</v>
      </c>
      <c r="Q1652" s="1056"/>
      <c r="R1652" s="1056"/>
      <c r="S1652" s="1056"/>
      <c r="T1652" s="2059">
        <f t="shared" si="311"/>
        <v>0</v>
      </c>
    </row>
    <row r="1653" spans="1:20" ht="22.15" hidden="1" customHeight="1">
      <c r="A1653" s="59"/>
      <c r="B1653" s="1586" t="s">
        <v>417</v>
      </c>
      <c r="C1653" s="1015" t="str">
        <f t="shared" si="312"/>
        <v xml:space="preserve"> </v>
      </c>
      <c r="D1653" s="1544">
        <f>D1651</f>
        <v>0</v>
      </c>
      <c r="E1653" s="1047"/>
      <c r="F1653" s="1057" t="str">
        <f>VLOOKUP($B1653,DG!A:D,DG!$C$2,)</f>
        <v>Boulon mắt 16x300+ 2 long đền vuông D18-50x50x3/Zn</v>
      </c>
      <c r="G1653" s="1047" t="str">
        <f>VLOOKUP($B1653,DG!A:D,DG!$D$2,)</f>
        <v>bộ</v>
      </c>
      <c r="H1653" s="1845">
        <f t="shared" si="309"/>
        <v>0</v>
      </c>
      <c r="I1653" s="1845">
        <f t="shared" si="310"/>
        <v>0</v>
      </c>
      <c r="J1653" s="1845"/>
      <c r="K1653" s="1845"/>
      <c r="L1653" s="1845"/>
      <c r="M1653" s="1845"/>
      <c r="N1653" s="1845"/>
      <c r="O1653" s="1845"/>
      <c r="P1653" s="1845">
        <f t="shared" si="308"/>
        <v>0</v>
      </c>
      <c r="Q1653" s="1056"/>
      <c r="R1653" s="1056"/>
      <c r="S1653" s="1056"/>
      <c r="T1653" s="2059">
        <f t="shared" si="311"/>
        <v>0</v>
      </c>
    </row>
    <row r="1654" spans="1:20" ht="22.15" hidden="1" customHeight="1">
      <c r="A1654" s="59"/>
      <c r="B1654" s="1586" t="s">
        <v>241</v>
      </c>
      <c r="C1654" s="1015" t="str">
        <f t="shared" si="312"/>
        <v xml:space="preserve"> </v>
      </c>
      <c r="D1654" s="1544">
        <f>D1650</f>
        <v>0</v>
      </c>
      <c r="E1654" s="1047"/>
      <c r="F1654" s="1057" t="str">
        <f>VLOOKUP($B1654,DG!A:D,DG!$C$2,)</f>
        <v>Kẹp ép WR cỡ dây 120mm2</v>
      </c>
      <c r="G1654" s="1047" t="str">
        <f>VLOOKUP($B1654,DG!A:D,DG!$D$2,)</f>
        <v>cái</v>
      </c>
      <c r="H1654" s="1845">
        <f t="shared" si="309"/>
        <v>0</v>
      </c>
      <c r="I1654" s="1845">
        <f t="shared" si="310"/>
        <v>0</v>
      </c>
      <c r="J1654" s="1845"/>
      <c r="K1654" s="1845"/>
      <c r="L1654" s="1845"/>
      <c r="M1654" s="1845"/>
      <c r="N1654" s="1845"/>
      <c r="O1654" s="1845"/>
      <c r="P1654" s="1845">
        <f t="shared" si="308"/>
        <v>0</v>
      </c>
      <c r="Q1654" s="1056"/>
      <c r="R1654" s="1056"/>
      <c r="S1654" s="1056"/>
      <c r="T1654" s="2059">
        <f t="shared" si="311"/>
        <v>0</v>
      </c>
    </row>
    <row r="1655" spans="1:20" ht="22.15" hidden="1" customHeight="1">
      <c r="A1655" s="59"/>
      <c r="B1655" s="1606" t="s">
        <v>2513</v>
      </c>
      <c r="C1655" s="1015" t="str">
        <f t="shared" si="312"/>
        <v xml:space="preserve"> </v>
      </c>
      <c r="D1655" s="1557">
        <f>'pp3p2m '!CP82</f>
        <v>0</v>
      </c>
      <c r="E1655" s="1047"/>
      <c r="F1655" s="1065" t="s">
        <v>2514</v>
      </c>
      <c r="G1655" s="1066" t="s">
        <v>2448</v>
      </c>
      <c r="H1655" s="1845">
        <f t="shared" si="309"/>
        <v>0</v>
      </c>
      <c r="I1655" s="1845">
        <f t="shared" si="310"/>
        <v>0</v>
      </c>
      <c r="J1655" s="1845"/>
      <c r="K1655" s="1845"/>
      <c r="L1655" s="1845"/>
      <c r="M1655" s="1845"/>
      <c r="N1655" s="1845"/>
      <c r="O1655" s="1845"/>
      <c r="P1655" s="1845">
        <f t="shared" si="308"/>
        <v>0</v>
      </c>
      <c r="Q1655" s="1056"/>
      <c r="R1655" s="1056"/>
      <c r="S1655" s="1056"/>
      <c r="T1655" s="2059">
        <f t="shared" si="311"/>
        <v>0</v>
      </c>
    </row>
    <row r="1656" spans="1:20" ht="22.15" hidden="1" customHeight="1">
      <c r="A1656" s="59"/>
      <c r="B1656" s="1586" t="s">
        <v>698</v>
      </c>
      <c r="C1656" s="1015" t="str">
        <f t="shared" si="312"/>
        <v xml:space="preserve"> </v>
      </c>
      <c r="D1656" s="1544">
        <f>D1655</f>
        <v>0</v>
      </c>
      <c r="E1656" s="1047"/>
      <c r="F1656" s="1059" t="str">
        <f>VLOOKUP($B1656,DG!A:D,DG!$C$2,)</f>
        <v xml:space="preserve">Sứ đứng 24KV </v>
      </c>
      <c r="G1656" s="1047" t="str">
        <f>VLOOKUP($B1656,DG!A:D,DG!$D$2,)</f>
        <v>cái</v>
      </c>
      <c r="H1656" s="1845">
        <f t="shared" si="309"/>
        <v>0</v>
      </c>
      <c r="I1656" s="1845">
        <f t="shared" si="310"/>
        <v>0</v>
      </c>
      <c r="J1656" s="1845"/>
      <c r="K1656" s="1845"/>
      <c r="L1656" s="1845"/>
      <c r="M1656" s="1845"/>
      <c r="N1656" s="1845"/>
      <c r="O1656" s="1845"/>
      <c r="P1656" s="1845">
        <f t="shared" si="308"/>
        <v>0</v>
      </c>
      <c r="Q1656" s="1056"/>
      <c r="R1656" s="1056"/>
      <c r="S1656" s="1056"/>
      <c r="T1656" s="2059">
        <f t="shared" si="311"/>
        <v>0</v>
      </c>
    </row>
    <row r="1657" spans="1:20" ht="22.15" hidden="1" customHeight="1">
      <c r="A1657" s="59"/>
      <c r="B1657" s="1586" t="s">
        <v>1270</v>
      </c>
      <c r="C1657" s="1015" t="str">
        <f t="shared" si="312"/>
        <v xml:space="preserve"> </v>
      </c>
      <c r="D1657" s="1544">
        <f>D1655</f>
        <v>0</v>
      </c>
      <c r="E1657" s="1047"/>
      <c r="F1657" s="1059" t="str">
        <f>VLOOKUP($B1657,DG!A:D,DG!$C$2,)</f>
        <v>Chân sứ đứng D20</v>
      </c>
      <c r="G1657" s="1047" t="str">
        <f>VLOOKUP($B1657,DG!A:D,DG!$D$2,)</f>
        <v>cái</v>
      </c>
      <c r="H1657" s="1845">
        <f t="shared" si="309"/>
        <v>0</v>
      </c>
      <c r="I1657" s="1845">
        <f t="shared" si="310"/>
        <v>0</v>
      </c>
      <c r="J1657" s="1845"/>
      <c r="K1657" s="1845"/>
      <c r="L1657" s="1845"/>
      <c r="M1657" s="1845"/>
      <c r="N1657" s="1845"/>
      <c r="O1657" s="1845"/>
      <c r="P1657" s="1845">
        <f t="shared" si="308"/>
        <v>0</v>
      </c>
      <c r="Q1657" s="1056"/>
      <c r="R1657" s="1056"/>
      <c r="S1657" s="1056"/>
      <c r="T1657" s="2059">
        <f t="shared" si="311"/>
        <v>0</v>
      </c>
    </row>
    <row r="1658" spans="1:20" ht="22.15" hidden="1" customHeight="1">
      <c r="A1658" s="59"/>
      <c r="B1658" s="1606" t="s">
        <v>2515</v>
      </c>
      <c r="C1658" s="1015" t="str">
        <f t="shared" si="312"/>
        <v xml:space="preserve"> </v>
      </c>
      <c r="D1658" s="1557">
        <f>'pp3p2m '!CN82</f>
        <v>0</v>
      </c>
      <c r="E1658" s="1047"/>
      <c r="F1658" s="1065" t="s">
        <v>2516</v>
      </c>
      <c r="G1658" s="1066" t="s">
        <v>2448</v>
      </c>
      <c r="H1658" s="1845">
        <f t="shared" si="309"/>
        <v>0</v>
      </c>
      <c r="I1658" s="1845">
        <f t="shared" si="310"/>
        <v>0</v>
      </c>
      <c r="J1658" s="1845"/>
      <c r="K1658" s="1845"/>
      <c r="L1658" s="1845"/>
      <c r="M1658" s="1845"/>
      <c r="N1658" s="1845"/>
      <c r="O1658" s="1845"/>
      <c r="P1658" s="1845">
        <f t="shared" si="308"/>
        <v>0</v>
      </c>
      <c r="Q1658" s="1056"/>
      <c r="R1658" s="1056"/>
      <c r="S1658" s="1056"/>
      <c r="T1658" s="2059">
        <f t="shared" si="311"/>
        <v>0</v>
      </c>
    </row>
    <row r="1659" spans="1:20" ht="22.15" hidden="1" customHeight="1">
      <c r="A1659" s="59"/>
      <c r="B1659" s="1586" t="s">
        <v>698</v>
      </c>
      <c r="C1659" s="1015" t="str">
        <f t="shared" si="312"/>
        <v xml:space="preserve"> </v>
      </c>
      <c r="D1659" s="1544">
        <f>D1658</f>
        <v>0</v>
      </c>
      <c r="E1659" s="1047"/>
      <c r="F1659" s="1059" t="str">
        <f>VLOOKUP($B1659,DG!A:D,DG!$C$2,)</f>
        <v xml:space="preserve">Sứ đứng 24KV </v>
      </c>
      <c r="G1659" s="1047" t="str">
        <f>VLOOKUP($B1659,DG!A:D,DG!$D$2,)</f>
        <v>cái</v>
      </c>
      <c r="H1659" s="1845">
        <f t="shared" si="309"/>
        <v>0</v>
      </c>
      <c r="I1659" s="1845">
        <f t="shared" si="310"/>
        <v>0</v>
      </c>
      <c r="J1659" s="1845"/>
      <c r="K1659" s="1845"/>
      <c r="L1659" s="1845"/>
      <c r="M1659" s="1845"/>
      <c r="N1659" s="1845"/>
      <c r="O1659" s="1845"/>
      <c r="P1659" s="1845">
        <f t="shared" si="308"/>
        <v>0</v>
      </c>
      <c r="Q1659" s="1056"/>
      <c r="R1659" s="1056"/>
      <c r="S1659" s="1056"/>
      <c r="T1659" s="2059">
        <f t="shared" si="311"/>
        <v>0</v>
      </c>
    </row>
    <row r="1660" spans="1:20" ht="22.15" hidden="1" customHeight="1">
      <c r="A1660" s="59"/>
      <c r="B1660" s="1586" t="s">
        <v>1271</v>
      </c>
      <c r="C1660" s="1015" t="str">
        <f t="shared" si="312"/>
        <v xml:space="preserve"> </v>
      </c>
      <c r="D1660" s="1544">
        <f>D1658</f>
        <v>0</v>
      </c>
      <c r="E1660" s="1047"/>
      <c r="F1660" s="1059" t="str">
        <f>VLOOKUP($B1660,DG!A:D,DG!$C$2,)</f>
        <v>Chân sứ đỉnh thẳng dài 870mm</v>
      </c>
      <c r="G1660" s="1047" t="str">
        <f>VLOOKUP($B1660,DG!A:D,DG!$D$2,)</f>
        <v>cái</v>
      </c>
      <c r="H1660" s="1845">
        <f t="shared" si="309"/>
        <v>0</v>
      </c>
      <c r="I1660" s="1845">
        <f t="shared" si="310"/>
        <v>0</v>
      </c>
      <c r="J1660" s="1845"/>
      <c r="K1660" s="1845"/>
      <c r="L1660" s="1845"/>
      <c r="M1660" s="1845"/>
      <c r="N1660" s="1845"/>
      <c r="O1660" s="1845"/>
      <c r="P1660" s="1845">
        <f t="shared" si="308"/>
        <v>0</v>
      </c>
      <c r="Q1660" s="1056"/>
      <c r="R1660" s="1056"/>
      <c r="S1660" s="1056"/>
      <c r="T1660" s="2059">
        <f t="shared" si="311"/>
        <v>0</v>
      </c>
    </row>
    <row r="1661" spans="1:20" ht="22.15" hidden="1" customHeight="1">
      <c r="A1661" s="59"/>
      <c r="B1661" s="1586" t="s">
        <v>1615</v>
      </c>
      <c r="C1661" s="1015" t="str">
        <f t="shared" si="312"/>
        <v xml:space="preserve"> </v>
      </c>
      <c r="D1661" s="1544">
        <f>D1658*2</f>
        <v>0</v>
      </c>
      <c r="E1661" s="1047"/>
      <c r="F1661" s="1059" t="str">
        <f>VLOOKUP($B1661,DG!A:D,DG!$C$2,)</f>
        <v>Boulon 16x300+ 2 long đền vuông D18-50x50x3/Zn</v>
      </c>
      <c r="G1661" s="1047" t="str">
        <f>VLOOKUP($B1661,DG!A:D,DG!$D$2,)</f>
        <v>bộ</v>
      </c>
      <c r="H1661" s="1845">
        <f t="shared" si="309"/>
        <v>0</v>
      </c>
      <c r="I1661" s="1845">
        <f t="shared" si="310"/>
        <v>0</v>
      </c>
      <c r="J1661" s="1845"/>
      <c r="K1661" s="1845"/>
      <c r="L1661" s="1845"/>
      <c r="M1661" s="1845"/>
      <c r="N1661" s="1845"/>
      <c r="O1661" s="1845"/>
      <c r="P1661" s="1845">
        <f t="shared" si="308"/>
        <v>0</v>
      </c>
      <c r="Q1661" s="1056"/>
      <c r="R1661" s="1056"/>
      <c r="S1661" s="1056"/>
      <c r="T1661" s="2059">
        <f t="shared" si="311"/>
        <v>0</v>
      </c>
    </row>
    <row r="1662" spans="1:20" ht="22.15" hidden="1" customHeight="1">
      <c r="A1662" s="63"/>
      <c r="B1662" s="1608" t="s">
        <v>2517</v>
      </c>
      <c r="C1662" s="1015" t="str">
        <f t="shared" si="312"/>
        <v xml:space="preserve"> </v>
      </c>
      <c r="D1662" s="1558">
        <f>'pp3p2m '!CO82</f>
        <v>0</v>
      </c>
      <c r="E1662" s="1051"/>
      <c r="F1662" s="1065" t="s">
        <v>2518</v>
      </c>
      <c r="G1662" s="1286" t="s">
        <v>2448</v>
      </c>
      <c r="H1662" s="1845">
        <f t="shared" ref="H1662:H1693" si="313">$D1662</f>
        <v>0</v>
      </c>
      <c r="I1662" s="1846">
        <f t="shared" ref="I1662:I1693" si="314">D1662</f>
        <v>0</v>
      </c>
      <c r="J1662" s="1846"/>
      <c r="K1662" s="1846"/>
      <c r="L1662" s="1846"/>
      <c r="M1662" s="1846"/>
      <c r="N1662" s="1846"/>
      <c r="O1662" s="1846"/>
      <c r="P1662" s="1845">
        <f t="shared" si="308"/>
        <v>0</v>
      </c>
      <c r="Q1662" s="1056"/>
      <c r="R1662" s="1056"/>
      <c r="S1662" s="1056"/>
      <c r="T1662" s="2059">
        <f t="shared" si="311"/>
        <v>0</v>
      </c>
    </row>
    <row r="1663" spans="1:20" ht="22.15" hidden="1" customHeight="1">
      <c r="A1663" s="63"/>
      <c r="B1663" s="1586" t="s">
        <v>698</v>
      </c>
      <c r="C1663" s="1015" t="str">
        <f t="shared" si="312"/>
        <v xml:space="preserve"> </v>
      </c>
      <c r="D1663" s="1547">
        <f>D1662*2</f>
        <v>0</v>
      </c>
      <c r="E1663" s="1051"/>
      <c r="F1663" s="1059" t="str">
        <f>VLOOKUP($B1663,DG!A:D,DG!$C$2,)</f>
        <v xml:space="preserve">Sứ đứng 24KV </v>
      </c>
      <c r="G1663" s="1047" t="str">
        <f>VLOOKUP($B1663,DG!A:D,DG!$D$2,)</f>
        <v>cái</v>
      </c>
      <c r="H1663" s="1845">
        <f t="shared" si="313"/>
        <v>0</v>
      </c>
      <c r="I1663" s="1846">
        <f t="shared" si="314"/>
        <v>0</v>
      </c>
      <c r="J1663" s="1846"/>
      <c r="K1663" s="1846"/>
      <c r="L1663" s="1846"/>
      <c r="M1663" s="1846"/>
      <c r="N1663" s="1846"/>
      <c r="O1663" s="1846"/>
      <c r="P1663" s="1845">
        <f t="shared" si="308"/>
        <v>0</v>
      </c>
      <c r="Q1663" s="1056"/>
      <c r="R1663" s="1056"/>
      <c r="S1663" s="1056"/>
      <c r="T1663" s="2059">
        <f t="shared" si="311"/>
        <v>0</v>
      </c>
    </row>
    <row r="1664" spans="1:20" ht="22.15" hidden="1" customHeight="1">
      <c r="A1664" s="63"/>
      <c r="B1664" s="1586" t="s">
        <v>590</v>
      </c>
      <c r="C1664" s="1015" t="str">
        <f t="shared" si="312"/>
        <v xml:space="preserve"> </v>
      </c>
      <c r="D1664" s="1547">
        <f>D1662*2</f>
        <v>0</v>
      </c>
      <c r="E1664" s="1051"/>
      <c r="F1664" s="1059" t="str">
        <f>VLOOKUP($B1664,DG!A:D,DG!$C$2,)</f>
        <v>Chân sứ đỉnh đỡ góc dài 870mm</v>
      </c>
      <c r="G1664" s="1047" t="str">
        <f>VLOOKUP($B1664,DG!A:D,DG!$D$2,)</f>
        <v>cái</v>
      </c>
      <c r="H1664" s="1845">
        <f t="shared" si="313"/>
        <v>0</v>
      </c>
      <c r="I1664" s="1846">
        <f t="shared" si="314"/>
        <v>0</v>
      </c>
      <c r="J1664" s="1846"/>
      <c r="K1664" s="1846"/>
      <c r="L1664" s="1846"/>
      <c r="M1664" s="1846"/>
      <c r="N1664" s="1846"/>
      <c r="O1664" s="1846"/>
      <c r="P1664" s="1845">
        <f t="shared" si="308"/>
        <v>0</v>
      </c>
      <c r="Q1664" s="1056"/>
      <c r="R1664" s="1056"/>
      <c r="S1664" s="1056"/>
      <c r="T1664" s="2059">
        <f t="shared" si="311"/>
        <v>0</v>
      </c>
    </row>
    <row r="1665" spans="1:20" ht="22.15" hidden="1" customHeight="1">
      <c r="A1665" s="63"/>
      <c r="B1665" s="1586" t="s">
        <v>1615</v>
      </c>
      <c r="C1665" s="1015" t="str">
        <f t="shared" si="312"/>
        <v xml:space="preserve"> </v>
      </c>
      <c r="D1665" s="1547">
        <f>D1662*2</f>
        <v>0</v>
      </c>
      <c r="E1665" s="1051"/>
      <c r="F1665" s="1059" t="str">
        <f>VLOOKUP($B1665,DG!A:D,DG!$C$2,)</f>
        <v>Boulon 16x300+ 2 long đền vuông D18-50x50x3/Zn</v>
      </c>
      <c r="G1665" s="1047" t="str">
        <f>VLOOKUP($B1665,DG!A:D,DG!$D$2,)</f>
        <v>bộ</v>
      </c>
      <c r="H1665" s="1845">
        <f t="shared" si="313"/>
        <v>0</v>
      </c>
      <c r="I1665" s="1846">
        <f t="shared" si="314"/>
        <v>0</v>
      </c>
      <c r="J1665" s="1846"/>
      <c r="K1665" s="1846"/>
      <c r="L1665" s="1846"/>
      <c r="M1665" s="1846"/>
      <c r="N1665" s="1846"/>
      <c r="O1665" s="1846"/>
      <c r="P1665" s="1845">
        <f t="shared" si="308"/>
        <v>0</v>
      </c>
      <c r="Q1665" s="1056"/>
      <c r="R1665" s="1056"/>
      <c r="S1665" s="1056"/>
      <c r="T1665" s="2059">
        <f t="shared" si="311"/>
        <v>0</v>
      </c>
    </row>
    <row r="1666" spans="1:20" ht="22.15" hidden="1" customHeight="1">
      <c r="A1666" s="59"/>
      <c r="B1666" s="1606" t="s">
        <v>2519</v>
      </c>
      <c r="C1666" s="1015" t="str">
        <f t="shared" si="312"/>
        <v xml:space="preserve"> </v>
      </c>
      <c r="D1666" s="1557"/>
      <c r="E1666" s="1047"/>
      <c r="F1666" s="1065" t="s">
        <v>2537</v>
      </c>
      <c r="G1666" s="1066" t="s">
        <v>2521</v>
      </c>
      <c r="H1666" s="1845">
        <f t="shared" si="313"/>
        <v>0</v>
      </c>
      <c r="I1666" s="1845">
        <f t="shared" si="314"/>
        <v>0</v>
      </c>
      <c r="J1666" s="1845"/>
      <c r="K1666" s="1845"/>
      <c r="L1666" s="1845"/>
      <c r="M1666" s="1845"/>
      <c r="N1666" s="1845"/>
      <c r="O1666" s="1845"/>
      <c r="P1666" s="1845">
        <f t="shared" si="308"/>
        <v>0</v>
      </c>
      <c r="Q1666" s="1056"/>
      <c r="R1666" s="1056"/>
      <c r="S1666" s="1056"/>
      <c r="T1666" s="2059">
        <f t="shared" si="311"/>
        <v>0</v>
      </c>
    </row>
    <row r="1667" spans="1:20" ht="22.15" hidden="1" customHeight="1">
      <c r="A1667" s="59"/>
      <c r="B1667" s="1586" t="s">
        <v>1272</v>
      </c>
      <c r="C1667" s="1015" t="str">
        <f t="shared" si="312"/>
        <v xml:space="preserve"> </v>
      </c>
      <c r="D1667" s="1544">
        <f>D1666*2</f>
        <v>0</v>
      </c>
      <c r="E1667" s="1047"/>
      <c r="F1667" s="1059" t="str">
        <f>VLOOKUP($B1667,DG!A:D,DG!$C$2,)</f>
        <v>Sứ treo loại 70kN</v>
      </c>
      <c r="G1667" s="1047" t="str">
        <f>VLOOKUP($B1667,DG!A:D,DG!$D$2,)</f>
        <v>bát</v>
      </c>
      <c r="H1667" s="1845">
        <f t="shared" si="313"/>
        <v>0</v>
      </c>
      <c r="I1667" s="1845">
        <f t="shared" si="314"/>
        <v>0</v>
      </c>
      <c r="J1667" s="1845"/>
      <c r="K1667" s="1845"/>
      <c r="L1667" s="1845"/>
      <c r="M1667" s="1845"/>
      <c r="N1667" s="1845"/>
      <c r="O1667" s="1845"/>
      <c r="P1667" s="1845">
        <f t="shared" si="308"/>
        <v>0</v>
      </c>
      <c r="Q1667" s="1056"/>
      <c r="R1667" s="1056"/>
      <c r="S1667" s="1056"/>
      <c r="T1667" s="2059">
        <f t="shared" si="311"/>
        <v>0</v>
      </c>
    </row>
    <row r="1668" spans="1:20" ht="22.15" hidden="1" customHeight="1">
      <c r="A1668" s="59"/>
      <c r="B1668" s="1586" t="s">
        <v>1491</v>
      </c>
      <c r="C1668" s="1015" t="str">
        <f t="shared" si="312"/>
        <v xml:space="preserve"> </v>
      </c>
      <c r="D1668" s="1544">
        <f>D1666*2</f>
        <v>0</v>
      </c>
      <c r="E1668" s="1047"/>
      <c r="F1668" s="1059" t="str">
        <f>VLOOKUP($B1668,DG!A:D,DG!$C$2,)</f>
        <v xml:space="preserve">Móc treo chữ U </v>
      </c>
      <c r="G1668" s="1047" t="str">
        <f>VLOOKUP($B1668,DG!A:D,DG!$D$2,)</f>
        <v>cái</v>
      </c>
      <c r="H1668" s="1845">
        <f t="shared" si="313"/>
        <v>0</v>
      </c>
      <c r="I1668" s="1845">
        <f t="shared" si="314"/>
        <v>0</v>
      </c>
      <c r="J1668" s="1845"/>
      <c r="K1668" s="1845"/>
      <c r="L1668" s="1845"/>
      <c r="M1668" s="1845"/>
      <c r="N1668" s="1845"/>
      <c r="O1668" s="1845"/>
      <c r="P1668" s="1845">
        <f t="shared" si="308"/>
        <v>0</v>
      </c>
      <c r="Q1668" s="1056"/>
      <c r="R1668" s="1056"/>
      <c r="S1668" s="1056"/>
      <c r="T1668" s="2059">
        <f t="shared" si="311"/>
        <v>0</v>
      </c>
    </row>
    <row r="1669" spans="1:20" ht="22.15" hidden="1" customHeight="1">
      <c r="A1669" s="59"/>
      <c r="B1669" s="1586" t="s">
        <v>1574</v>
      </c>
      <c r="C1669" s="1015" t="str">
        <f t="shared" si="312"/>
        <v xml:space="preserve"> </v>
      </c>
      <c r="D1669" s="1544">
        <f>D1666</f>
        <v>0</v>
      </c>
      <c r="E1669" s="1047"/>
      <c r="F1669" s="1059" t="str">
        <f>VLOOKUP($B1669,DG!A:D,DG!$C$2,)</f>
        <v>Vòng treo đầu tròn</v>
      </c>
      <c r="G1669" s="1047" t="str">
        <f>VLOOKUP($B1669,DG!A:D,DG!$D$2,)</f>
        <v>cái</v>
      </c>
      <c r="H1669" s="1845">
        <f t="shared" si="313"/>
        <v>0</v>
      </c>
      <c r="I1669" s="1845">
        <f t="shared" si="314"/>
        <v>0</v>
      </c>
      <c r="J1669" s="1845"/>
      <c r="K1669" s="1845"/>
      <c r="L1669" s="1845"/>
      <c r="M1669" s="1845"/>
      <c r="N1669" s="1845"/>
      <c r="O1669" s="1845"/>
      <c r="P1669" s="1845">
        <f t="shared" si="308"/>
        <v>0</v>
      </c>
      <c r="Q1669" s="1056"/>
      <c r="R1669" s="1056"/>
      <c r="S1669" s="1056"/>
      <c r="T1669" s="2059">
        <f t="shared" si="311"/>
        <v>0</v>
      </c>
    </row>
    <row r="1670" spans="1:20" ht="22.15" hidden="1" customHeight="1">
      <c r="A1670" s="59"/>
      <c r="B1670" s="1586" t="s">
        <v>1489</v>
      </c>
      <c r="C1670" s="1015" t="str">
        <f t="shared" si="312"/>
        <v xml:space="preserve"> </v>
      </c>
      <c r="D1670" s="1544">
        <f>D1666</f>
        <v>0</v>
      </c>
      <c r="E1670" s="1047"/>
      <c r="F1670" s="1059" t="str">
        <f>VLOOKUP($B1670,DG!A:D,DG!$C$2,)</f>
        <v>Mắt nối đơn</v>
      </c>
      <c r="G1670" s="1047" t="str">
        <f>VLOOKUP($B1670,DG!A:D,DG!$D$2,)</f>
        <v>cái</v>
      </c>
      <c r="H1670" s="1845">
        <f t="shared" si="313"/>
        <v>0</v>
      </c>
      <c r="I1670" s="1845">
        <f t="shared" si="314"/>
        <v>0</v>
      </c>
      <c r="J1670" s="1845"/>
      <c r="K1670" s="1845"/>
      <c r="L1670" s="1845"/>
      <c r="M1670" s="1845"/>
      <c r="N1670" s="1845"/>
      <c r="O1670" s="1845"/>
      <c r="P1670" s="1845">
        <f t="shared" si="308"/>
        <v>0</v>
      </c>
      <c r="Q1670" s="1056"/>
      <c r="R1670" s="1056"/>
      <c r="S1670" s="1056"/>
      <c r="T1670" s="2059">
        <f t="shared" si="311"/>
        <v>0</v>
      </c>
    </row>
    <row r="1671" spans="1:20" ht="22.15" hidden="1" customHeight="1">
      <c r="A1671" s="59"/>
      <c r="B1671" s="1586" t="s">
        <v>1273</v>
      </c>
      <c r="C1671" s="1015" t="str">
        <f t="shared" si="312"/>
        <v xml:space="preserve"> </v>
      </c>
      <c r="D1671" s="1544">
        <f>D1666</f>
        <v>0</v>
      </c>
      <c r="E1671" s="1047"/>
      <c r="F1671" s="1059" t="str">
        <f>VLOOKUP($B1671,DG!A:D,DG!$C$2,)</f>
        <v>Boulon mắt 16x300+ 2 long đền vuông D18-50x50x3/Zn</v>
      </c>
      <c r="G1671" s="1047" t="str">
        <f>VLOOKUP($B1671,DG!A:D,DG!$D$2,)</f>
        <v>bộ</v>
      </c>
      <c r="H1671" s="1845">
        <f t="shared" si="313"/>
        <v>0</v>
      </c>
      <c r="I1671" s="1845">
        <f t="shared" si="314"/>
        <v>0</v>
      </c>
      <c r="J1671" s="1845"/>
      <c r="K1671" s="1845"/>
      <c r="L1671" s="1845"/>
      <c r="M1671" s="1845"/>
      <c r="N1671" s="1845"/>
      <c r="O1671" s="1845"/>
      <c r="P1671" s="1845">
        <f t="shared" si="308"/>
        <v>0</v>
      </c>
      <c r="Q1671" s="1056"/>
      <c r="R1671" s="1056"/>
      <c r="S1671" s="1056"/>
      <c r="T1671" s="2059">
        <f t="shared" si="311"/>
        <v>0</v>
      </c>
    </row>
    <row r="1672" spans="1:20" ht="22.15" hidden="1" customHeight="1">
      <c r="A1672" s="59"/>
      <c r="B1672" s="1606" t="s">
        <v>2538</v>
      </c>
      <c r="C1672" s="1015" t="str">
        <f t="shared" si="312"/>
        <v xml:space="preserve"> </v>
      </c>
      <c r="D1672" s="1557"/>
      <c r="E1672" s="1408"/>
      <c r="F1672" s="1065" t="s">
        <v>2539</v>
      </c>
      <c r="G1672" s="1066" t="s">
        <v>2521</v>
      </c>
      <c r="H1672" s="1845">
        <f t="shared" si="313"/>
        <v>0</v>
      </c>
      <c r="I1672" s="1845">
        <f t="shared" si="314"/>
        <v>0</v>
      </c>
      <c r="J1672" s="1845"/>
      <c r="K1672" s="1845"/>
      <c r="L1672" s="1845"/>
      <c r="M1672" s="1845"/>
      <c r="N1672" s="1845"/>
      <c r="O1672" s="1845"/>
      <c r="P1672" s="1845">
        <f t="shared" si="308"/>
        <v>0</v>
      </c>
      <c r="Q1672" s="1056"/>
      <c r="R1672" s="1056"/>
      <c r="S1672" s="1056"/>
      <c r="T1672" s="2059">
        <f t="shared" si="311"/>
        <v>0</v>
      </c>
    </row>
    <row r="1673" spans="1:20" ht="22.15" hidden="1" customHeight="1">
      <c r="A1673" s="59"/>
      <c r="B1673" s="1586" t="s">
        <v>112</v>
      </c>
      <c r="C1673" s="1015" t="str">
        <f t="shared" si="312"/>
        <v xml:space="preserve"> </v>
      </c>
      <c r="D1673" s="1544">
        <f>D1672*2</f>
        <v>0</v>
      </c>
      <c r="E1673" s="1047"/>
      <c r="F1673" s="1059" t="str">
        <f>VLOOKUP($B1673,DG!A:D,DG!$C$2,)</f>
        <v>Sứ treo loại 70kN</v>
      </c>
      <c r="G1673" s="1047" t="str">
        <f>VLOOKUP($B1673,DG!A:D,DG!$D$2,)</f>
        <v>bát</v>
      </c>
      <c r="H1673" s="1845">
        <f t="shared" si="313"/>
        <v>0</v>
      </c>
      <c r="I1673" s="1845">
        <f t="shared" si="314"/>
        <v>0</v>
      </c>
      <c r="J1673" s="1845"/>
      <c r="K1673" s="1845"/>
      <c r="L1673" s="1845"/>
      <c r="M1673" s="1845"/>
      <c r="N1673" s="1845"/>
      <c r="O1673" s="1845"/>
      <c r="P1673" s="1845">
        <f t="shared" si="308"/>
        <v>0</v>
      </c>
      <c r="Q1673" s="1056"/>
      <c r="R1673" s="1056"/>
      <c r="S1673" s="1056"/>
      <c r="T1673" s="2059">
        <f t="shared" si="311"/>
        <v>0</v>
      </c>
    </row>
    <row r="1674" spans="1:20" ht="22.15" hidden="1" customHeight="1">
      <c r="A1674" s="59"/>
      <c r="B1674" s="1586" t="s">
        <v>1491</v>
      </c>
      <c r="C1674" s="1015" t="str">
        <f t="shared" si="312"/>
        <v xml:space="preserve"> </v>
      </c>
      <c r="D1674" s="1544">
        <f>D1672*2</f>
        <v>0</v>
      </c>
      <c r="E1674" s="1047"/>
      <c r="F1674" s="1059" t="str">
        <f>VLOOKUP($B1674,DG!A:D,DG!$C$2,)</f>
        <v xml:space="preserve">Móc treo chữ U </v>
      </c>
      <c r="G1674" s="1047" t="str">
        <f>VLOOKUP($B1674,DG!A:D,DG!$D$2,)</f>
        <v>cái</v>
      </c>
      <c r="H1674" s="1845">
        <f t="shared" si="313"/>
        <v>0</v>
      </c>
      <c r="I1674" s="1845">
        <f t="shared" si="314"/>
        <v>0</v>
      </c>
      <c r="J1674" s="1845"/>
      <c r="K1674" s="1845"/>
      <c r="L1674" s="1845"/>
      <c r="M1674" s="1845"/>
      <c r="N1674" s="1845"/>
      <c r="O1674" s="1845"/>
      <c r="P1674" s="1845">
        <f t="shared" si="308"/>
        <v>0</v>
      </c>
      <c r="Q1674" s="1056"/>
      <c r="R1674" s="1056"/>
      <c r="S1674" s="1056"/>
      <c r="T1674" s="2059">
        <f t="shared" si="311"/>
        <v>0</v>
      </c>
    </row>
    <row r="1675" spans="1:20" ht="22.15" hidden="1" customHeight="1">
      <c r="A1675" s="59"/>
      <c r="B1675" s="1606" t="s">
        <v>2522</v>
      </c>
      <c r="C1675" s="1015" t="str">
        <f t="shared" si="312"/>
        <v xml:space="preserve"> </v>
      </c>
      <c r="D1675" s="1557">
        <f>'pp3p2m '!CQ82</f>
        <v>0</v>
      </c>
      <c r="E1675" s="1047"/>
      <c r="F1675" s="1065" t="s">
        <v>2540</v>
      </c>
      <c r="G1675" s="1066" t="s">
        <v>2521</v>
      </c>
      <c r="H1675" s="1845">
        <f t="shared" si="313"/>
        <v>0</v>
      </c>
      <c r="I1675" s="1845">
        <f t="shared" si="314"/>
        <v>0</v>
      </c>
      <c r="J1675" s="1845"/>
      <c r="K1675" s="1845"/>
      <c r="L1675" s="1845"/>
      <c r="M1675" s="1845"/>
      <c r="N1675" s="1845"/>
      <c r="O1675" s="1845"/>
      <c r="P1675" s="1845">
        <f t="shared" si="308"/>
        <v>0</v>
      </c>
      <c r="Q1675" s="1056"/>
      <c r="R1675" s="1056"/>
      <c r="S1675" s="1056"/>
      <c r="T1675" s="2059">
        <f t="shared" si="311"/>
        <v>0</v>
      </c>
    </row>
    <row r="1676" spans="1:20" ht="22.15" hidden="1" customHeight="1">
      <c r="A1676" s="59"/>
      <c r="B1676" s="1586" t="s">
        <v>1511</v>
      </c>
      <c r="C1676" s="1015" t="str">
        <f t="shared" si="312"/>
        <v xml:space="preserve"> </v>
      </c>
      <c r="D1676" s="1544">
        <f>D1675</f>
        <v>0</v>
      </c>
      <c r="E1676" s="1047"/>
      <c r="F1676" s="1059" t="str">
        <f>VLOOKUP($B1676,DG!A:D,DG!$C$2,)</f>
        <v>Sứ treo polymer</v>
      </c>
      <c r="G1676" s="1047" t="str">
        <f>VLOOKUP($B1676,DG!A:D,DG!$D$2,)</f>
        <v>chuỗi</v>
      </c>
      <c r="H1676" s="1845">
        <f t="shared" si="313"/>
        <v>0</v>
      </c>
      <c r="I1676" s="1845">
        <f t="shared" si="314"/>
        <v>0</v>
      </c>
      <c r="J1676" s="1845"/>
      <c r="K1676" s="1845"/>
      <c r="L1676" s="1845"/>
      <c r="M1676" s="1845"/>
      <c r="N1676" s="1845"/>
      <c r="O1676" s="1845"/>
      <c r="P1676" s="1845">
        <f t="shared" si="308"/>
        <v>0</v>
      </c>
      <c r="Q1676" s="1056"/>
      <c r="R1676" s="1056"/>
      <c r="S1676" s="1056"/>
      <c r="T1676" s="2059">
        <f t="shared" si="311"/>
        <v>0</v>
      </c>
    </row>
    <row r="1677" spans="1:20" ht="22.15" hidden="1" customHeight="1">
      <c r="A1677" s="59"/>
      <c r="B1677" s="1586" t="s">
        <v>1491</v>
      </c>
      <c r="C1677" s="1015" t="str">
        <f t="shared" si="312"/>
        <v xml:space="preserve"> </v>
      </c>
      <c r="D1677" s="1544">
        <f>D1675*2</f>
        <v>0</v>
      </c>
      <c r="E1677" s="1047"/>
      <c r="F1677" s="1059" t="str">
        <f>VLOOKUP($B1677,DG!A:D,DG!$C$2,)</f>
        <v xml:space="preserve">Móc treo chữ U </v>
      </c>
      <c r="G1677" s="1047" t="str">
        <f>VLOOKUP($B1677,DG!A:D,DG!$D$2,)</f>
        <v>cái</v>
      </c>
      <c r="H1677" s="1845">
        <f t="shared" si="313"/>
        <v>0</v>
      </c>
      <c r="I1677" s="1845">
        <f t="shared" si="314"/>
        <v>0</v>
      </c>
      <c r="J1677" s="1845"/>
      <c r="K1677" s="1845"/>
      <c r="L1677" s="1845"/>
      <c r="M1677" s="1845"/>
      <c r="N1677" s="1845"/>
      <c r="O1677" s="1845"/>
      <c r="P1677" s="1845">
        <f t="shared" si="308"/>
        <v>0</v>
      </c>
      <c r="Q1677" s="1056"/>
      <c r="R1677" s="1056"/>
      <c r="S1677" s="1056"/>
      <c r="T1677" s="2059">
        <f t="shared" si="311"/>
        <v>0</v>
      </c>
    </row>
    <row r="1678" spans="1:20" ht="22.15" hidden="1" customHeight="1">
      <c r="A1678" s="59"/>
      <c r="B1678" s="1586" t="s">
        <v>1574</v>
      </c>
      <c r="C1678" s="1015" t="str">
        <f t="shared" si="312"/>
        <v xml:space="preserve"> </v>
      </c>
      <c r="D1678" s="1544">
        <f>D1675</f>
        <v>0</v>
      </c>
      <c r="E1678" s="1047"/>
      <c r="F1678" s="1059" t="str">
        <f>VLOOKUP($B1678,DG!A:D,DG!$C$2,)</f>
        <v>Vòng treo đầu tròn</v>
      </c>
      <c r="G1678" s="1047" t="str">
        <f>VLOOKUP($B1678,DG!A:D,DG!$D$2,)</f>
        <v>cái</v>
      </c>
      <c r="H1678" s="1845">
        <f t="shared" si="313"/>
        <v>0</v>
      </c>
      <c r="I1678" s="1845">
        <f t="shared" si="314"/>
        <v>0</v>
      </c>
      <c r="J1678" s="1845"/>
      <c r="K1678" s="1845"/>
      <c r="L1678" s="1845"/>
      <c r="M1678" s="1845"/>
      <c r="N1678" s="1845"/>
      <c r="O1678" s="1845"/>
      <c r="P1678" s="1845">
        <f t="shared" si="308"/>
        <v>0</v>
      </c>
      <c r="Q1678" s="1056"/>
      <c r="R1678" s="1056"/>
      <c r="S1678" s="1056"/>
      <c r="T1678" s="2059">
        <f t="shared" si="311"/>
        <v>0</v>
      </c>
    </row>
    <row r="1679" spans="1:20" ht="22.15" hidden="1" customHeight="1">
      <c r="A1679" s="59"/>
      <c r="B1679" s="1586" t="s">
        <v>1489</v>
      </c>
      <c r="C1679" s="1015" t="str">
        <f t="shared" si="312"/>
        <v xml:space="preserve"> </v>
      </c>
      <c r="D1679" s="1544">
        <f>D1675</f>
        <v>0</v>
      </c>
      <c r="E1679" s="1047"/>
      <c r="F1679" s="1059" t="str">
        <f>VLOOKUP($B1679,DG!A:D,DG!$C$2,)</f>
        <v>Mắt nối đơn</v>
      </c>
      <c r="G1679" s="1047" t="str">
        <f>VLOOKUP($B1679,DG!A:D,DG!$D$2,)</f>
        <v>cái</v>
      </c>
      <c r="H1679" s="1845">
        <f t="shared" si="313"/>
        <v>0</v>
      </c>
      <c r="I1679" s="1845">
        <f t="shared" si="314"/>
        <v>0</v>
      </c>
      <c r="J1679" s="1845"/>
      <c r="K1679" s="1845"/>
      <c r="L1679" s="1845"/>
      <c r="M1679" s="1845"/>
      <c r="N1679" s="1845"/>
      <c r="O1679" s="1845"/>
      <c r="P1679" s="1845">
        <f t="shared" si="308"/>
        <v>0</v>
      </c>
      <c r="Q1679" s="1056"/>
      <c r="R1679" s="1056"/>
      <c r="S1679" s="1056"/>
      <c r="T1679" s="2059">
        <f t="shared" si="311"/>
        <v>0</v>
      </c>
    </row>
    <row r="1680" spans="1:20" ht="22.15" hidden="1" customHeight="1">
      <c r="A1680" s="59"/>
      <c r="B1680" s="1611" t="s">
        <v>544</v>
      </c>
      <c r="C1680" s="1015" t="str">
        <f t="shared" si="312"/>
        <v xml:space="preserve"> </v>
      </c>
      <c r="D1680" s="1544">
        <f>'pp3p2m '!EB82</f>
        <v>0</v>
      </c>
      <c r="E1680" s="1047"/>
      <c r="F1680" s="1059" t="str">
        <f>VLOOKUP($B1680,DG!A:D,DG!$C$2,)</f>
        <v>Giáp níu dừng dây bọc ACX50</v>
      </c>
      <c r="G1680" s="1047" t="str">
        <f>VLOOKUP($B1680,DG!A:D,DG!$D$2,)</f>
        <v>cái</v>
      </c>
      <c r="H1680" s="1845">
        <f t="shared" si="313"/>
        <v>0</v>
      </c>
      <c r="I1680" s="1845">
        <f t="shared" si="314"/>
        <v>0</v>
      </c>
      <c r="J1680" s="1845"/>
      <c r="K1680" s="1845"/>
      <c r="L1680" s="1845"/>
      <c r="M1680" s="1845"/>
      <c r="N1680" s="1845"/>
      <c r="O1680" s="1845"/>
      <c r="P1680" s="1845">
        <f t="shared" si="308"/>
        <v>0</v>
      </c>
      <c r="Q1680" s="1056"/>
      <c r="R1680" s="1056"/>
      <c r="S1680" s="1056"/>
      <c r="T1680" s="2059">
        <f t="shared" si="311"/>
        <v>0</v>
      </c>
    </row>
    <row r="1681" spans="1:20" ht="22.15" hidden="1" customHeight="1">
      <c r="A1681" s="59"/>
      <c r="B1681" s="1593" t="s">
        <v>1146</v>
      </c>
      <c r="C1681" s="1015" t="str">
        <f t="shared" si="312"/>
        <v xml:space="preserve"> </v>
      </c>
      <c r="D1681" s="1557">
        <f>HLOOKUP(B1681,'pp3p2m '!$EE$81:$EK$82,2,)</f>
        <v>0</v>
      </c>
      <c r="E1681" s="1047"/>
      <c r="F1681" s="1059" t="str">
        <f>VLOOKUP($B1681,DG!A:D,DG!$C$2,)</f>
        <v>Khóa đỡ dây cỡ dây 240</v>
      </c>
      <c r="G1681" s="1047" t="str">
        <f>VLOOKUP($B1681,DG!A:D,DG!$D$2,)</f>
        <v>cái</v>
      </c>
      <c r="H1681" s="1845">
        <f t="shared" si="313"/>
        <v>0</v>
      </c>
      <c r="I1681" s="1845">
        <f t="shared" si="314"/>
        <v>0</v>
      </c>
      <c r="J1681" s="1845"/>
      <c r="K1681" s="1845"/>
      <c r="L1681" s="1845"/>
      <c r="M1681" s="1845"/>
      <c r="N1681" s="1845"/>
      <c r="O1681" s="1845"/>
      <c r="P1681" s="1845">
        <f t="shared" si="308"/>
        <v>0</v>
      </c>
      <c r="Q1681" s="1056"/>
      <c r="R1681" s="1056"/>
      <c r="S1681" s="1056"/>
      <c r="T1681" s="2059">
        <f t="shared" si="311"/>
        <v>0</v>
      </c>
    </row>
    <row r="1682" spans="1:20" ht="22.15" hidden="1" customHeight="1">
      <c r="A1682" s="59"/>
      <c r="B1682" s="1593" t="s">
        <v>1145</v>
      </c>
      <c r="C1682" s="1015" t="str">
        <f t="shared" si="312"/>
        <v xml:space="preserve"> </v>
      </c>
      <c r="D1682" s="1557">
        <f>HLOOKUP(B1682,'pp3p2m '!$EE$81:$EK$82,2,)</f>
        <v>0</v>
      </c>
      <c r="E1682" s="1047"/>
      <c r="F1682" s="1059" t="str">
        <f>VLOOKUP($B1682,DG!A:D,DG!$C$2,)</f>
        <v>Khóa đỡ dây cỡ dây 185</v>
      </c>
      <c r="G1682" s="1047" t="str">
        <f>VLOOKUP($B1682,DG!A:D,DG!$D$2,)</f>
        <v>cái</v>
      </c>
      <c r="H1682" s="1845">
        <f t="shared" si="313"/>
        <v>0</v>
      </c>
      <c r="I1682" s="1845">
        <f t="shared" si="314"/>
        <v>0</v>
      </c>
      <c r="J1682" s="1845"/>
      <c r="K1682" s="1845"/>
      <c r="L1682" s="1845"/>
      <c r="M1682" s="1845"/>
      <c r="N1682" s="1845"/>
      <c r="O1682" s="1845"/>
      <c r="P1682" s="1845">
        <f t="shared" si="308"/>
        <v>0</v>
      </c>
      <c r="Q1682" s="1056"/>
      <c r="R1682" s="1056"/>
      <c r="S1682" s="1056"/>
      <c r="T1682" s="2059">
        <f t="shared" si="311"/>
        <v>0</v>
      </c>
    </row>
    <row r="1683" spans="1:20" ht="22.15" hidden="1" customHeight="1">
      <c r="A1683" s="59"/>
      <c r="B1683" s="1593" t="s">
        <v>1144</v>
      </c>
      <c r="C1683" s="1015" t="str">
        <f t="shared" si="312"/>
        <v xml:space="preserve"> </v>
      </c>
      <c r="D1683" s="1557">
        <f>HLOOKUP(B1683,'pp3p2m '!$EE$81:$EK$82,2,)</f>
        <v>0</v>
      </c>
      <c r="E1683" s="1047"/>
      <c r="F1683" s="1059" t="str">
        <f>VLOOKUP($B1683,DG!A:D,DG!$C$2,)</f>
        <v>Khóa đỡ dây cỡ dây 150</v>
      </c>
      <c r="G1683" s="1047" t="str">
        <f>VLOOKUP($B1683,DG!A:D,DG!$D$2,)</f>
        <v>cái</v>
      </c>
      <c r="H1683" s="1845">
        <f t="shared" si="313"/>
        <v>0</v>
      </c>
      <c r="I1683" s="1845">
        <f t="shared" si="314"/>
        <v>0</v>
      </c>
      <c r="J1683" s="1845"/>
      <c r="K1683" s="1845"/>
      <c r="L1683" s="1845"/>
      <c r="M1683" s="1845"/>
      <c r="N1683" s="1845"/>
      <c r="O1683" s="1845"/>
      <c r="P1683" s="1845">
        <f t="shared" si="308"/>
        <v>0</v>
      </c>
      <c r="Q1683" s="1056"/>
      <c r="R1683" s="1056"/>
      <c r="S1683" s="1056"/>
      <c r="T1683" s="2059">
        <f t="shared" si="311"/>
        <v>0</v>
      </c>
    </row>
    <row r="1684" spans="1:20" ht="22.15" hidden="1" customHeight="1">
      <c r="A1684" s="59"/>
      <c r="B1684" s="1593" t="s">
        <v>1143</v>
      </c>
      <c r="C1684" s="1015" t="str">
        <f t="shared" si="312"/>
        <v xml:space="preserve"> </v>
      </c>
      <c r="D1684" s="1557">
        <f>HLOOKUP(B1684,'pp3p2m '!$EE$81:$EK$82,2,)</f>
        <v>0</v>
      </c>
      <c r="E1684" s="1047"/>
      <c r="F1684" s="1059" t="str">
        <f>VLOOKUP($B1684,DG!A:D,DG!$C$2,)</f>
        <v>Khóa đỡ dây cỡ dây 120</v>
      </c>
      <c r="G1684" s="1047" t="str">
        <f>VLOOKUP($B1684,DG!A:D,DG!$D$2,)</f>
        <v>cái</v>
      </c>
      <c r="H1684" s="1845">
        <f t="shared" si="313"/>
        <v>0</v>
      </c>
      <c r="I1684" s="1845">
        <f t="shared" si="314"/>
        <v>0</v>
      </c>
      <c r="J1684" s="1845"/>
      <c r="K1684" s="1845"/>
      <c r="L1684" s="1845"/>
      <c r="M1684" s="1845"/>
      <c r="N1684" s="1845"/>
      <c r="O1684" s="1845"/>
      <c r="P1684" s="1845">
        <f t="shared" si="308"/>
        <v>0</v>
      </c>
      <c r="Q1684" s="1056"/>
      <c r="R1684" s="1056"/>
      <c r="S1684" s="1056"/>
      <c r="T1684" s="2059">
        <f t="shared" si="311"/>
        <v>0</v>
      </c>
    </row>
    <row r="1685" spans="1:20" ht="22.15" hidden="1" customHeight="1">
      <c r="A1685" s="59"/>
      <c r="B1685" s="1593" t="s">
        <v>101</v>
      </c>
      <c r="C1685" s="1015" t="str">
        <f t="shared" si="312"/>
        <v xml:space="preserve"> </v>
      </c>
      <c r="D1685" s="1557">
        <f>HLOOKUP(B1685,'pp3p2m '!$EE$81:$EK$82,2,)</f>
        <v>0</v>
      </c>
      <c r="E1685" s="1047"/>
      <c r="F1685" s="1059" t="str">
        <f>VLOOKUP($B1685,DG!A:D,DG!$C$2,)</f>
        <v>Khóa đỡ dây cỡ dây 95</v>
      </c>
      <c r="G1685" s="1047" t="str">
        <f>VLOOKUP($B1685,DG!A:D,DG!$D$2,)</f>
        <v>cái</v>
      </c>
      <c r="H1685" s="1845">
        <f t="shared" si="313"/>
        <v>0</v>
      </c>
      <c r="I1685" s="1845">
        <f t="shared" si="314"/>
        <v>0</v>
      </c>
      <c r="J1685" s="1845"/>
      <c r="K1685" s="1845"/>
      <c r="L1685" s="1845"/>
      <c r="M1685" s="1845"/>
      <c r="N1685" s="1845"/>
      <c r="O1685" s="1845"/>
      <c r="P1685" s="1845">
        <f t="shared" ref="P1685:P1751" si="315">H1685+Q1685-R1685</f>
        <v>0</v>
      </c>
      <c r="Q1685" s="1056"/>
      <c r="R1685" s="1056"/>
      <c r="S1685" s="1056"/>
      <c r="T1685" s="2059">
        <f t="shared" si="311"/>
        <v>0</v>
      </c>
    </row>
    <row r="1686" spans="1:20" ht="22.15" hidden="1" customHeight="1">
      <c r="A1686" s="59"/>
      <c r="B1686" s="1593" t="s">
        <v>1486</v>
      </c>
      <c r="C1686" s="1015" t="str">
        <f t="shared" si="312"/>
        <v xml:space="preserve"> </v>
      </c>
      <c r="D1686" s="1557">
        <f>HLOOKUP(B1686,'pp3p2m '!$EE$81:$EK$82,2,)</f>
        <v>0</v>
      </c>
      <c r="E1686" s="1047"/>
      <c r="F1686" s="1059" t="str">
        <f>VLOOKUP($B1686,DG!A:D,DG!$C$2,)</f>
        <v>Khóa đỡ dây cỡ dây 70</v>
      </c>
      <c r="G1686" s="1047" t="str">
        <f>VLOOKUP($B1686,DG!A:D,DG!$D$2,)</f>
        <v>cái</v>
      </c>
      <c r="H1686" s="1845">
        <f t="shared" si="313"/>
        <v>0</v>
      </c>
      <c r="I1686" s="1845">
        <f t="shared" si="314"/>
        <v>0</v>
      </c>
      <c r="J1686" s="1845"/>
      <c r="K1686" s="1845"/>
      <c r="L1686" s="1845"/>
      <c r="M1686" s="1845"/>
      <c r="N1686" s="1845"/>
      <c r="O1686" s="1845"/>
      <c r="P1686" s="1845">
        <f t="shared" si="315"/>
        <v>0</v>
      </c>
      <c r="Q1686" s="1056"/>
      <c r="R1686" s="1056"/>
      <c r="S1686" s="1056"/>
      <c r="T1686" s="2059">
        <f t="shared" si="311"/>
        <v>0</v>
      </c>
    </row>
    <row r="1687" spans="1:20" ht="22.15" hidden="1" customHeight="1">
      <c r="A1687" s="59"/>
      <c r="B1687" s="1593" t="s">
        <v>1177</v>
      </c>
      <c r="C1687" s="1015" t="str">
        <f t="shared" si="312"/>
        <v xml:space="preserve"> </v>
      </c>
      <c r="D1687" s="1557">
        <f>HLOOKUP(B1687,'pp3p2m '!$EE$81:$EK$82,2,)</f>
        <v>0</v>
      </c>
      <c r="E1687" s="1047"/>
      <c r="F1687" s="1059" t="str">
        <f>VLOOKUP($B1687,DG!A:D,DG!$C$2,)</f>
        <v>Khóa đỡ dây cỡ dây 50</v>
      </c>
      <c r="G1687" s="1047" t="str">
        <f>VLOOKUP($B1687,DG!A:D,DG!$D$2,)</f>
        <v>cái</v>
      </c>
      <c r="H1687" s="1845">
        <f t="shared" si="313"/>
        <v>0</v>
      </c>
      <c r="I1687" s="1845">
        <f t="shared" si="314"/>
        <v>0</v>
      </c>
      <c r="J1687" s="1845"/>
      <c r="K1687" s="1845"/>
      <c r="L1687" s="1845"/>
      <c r="M1687" s="1845"/>
      <c r="N1687" s="1845"/>
      <c r="O1687" s="1845"/>
      <c r="P1687" s="1845">
        <f t="shared" si="315"/>
        <v>0</v>
      </c>
      <c r="Q1687" s="1056"/>
      <c r="R1687" s="1056"/>
      <c r="S1687" s="1056"/>
      <c r="T1687" s="2059">
        <f t="shared" si="311"/>
        <v>0</v>
      </c>
    </row>
    <row r="1688" spans="1:20" ht="22.15" hidden="1" customHeight="1">
      <c r="A1688" s="59"/>
      <c r="B1688" s="1593" t="s">
        <v>1747</v>
      </c>
      <c r="C1688" s="1015" t="str">
        <f t="shared" si="312"/>
        <v xml:space="preserve"> </v>
      </c>
      <c r="D1688" s="1544">
        <f>'pp3p2m '!CT82</f>
        <v>0</v>
      </c>
      <c r="E1688" s="1047"/>
      <c r="F1688" s="1059" t="str">
        <f>VLOOKUP($B1688,DG!A:D,DG!$C$2,)</f>
        <v>Khóa néo dây cỡ dây 240</v>
      </c>
      <c r="G1688" s="1047" t="str">
        <f>VLOOKUP($B1688,DG!A:D,DG!$D$2,)</f>
        <v>cái</v>
      </c>
      <c r="H1688" s="1845">
        <f t="shared" si="313"/>
        <v>0</v>
      </c>
      <c r="I1688" s="1845">
        <f t="shared" si="314"/>
        <v>0</v>
      </c>
      <c r="J1688" s="1845"/>
      <c r="K1688" s="1845"/>
      <c r="L1688" s="1845"/>
      <c r="M1688" s="1845"/>
      <c r="N1688" s="1845"/>
      <c r="O1688" s="1845"/>
      <c r="P1688" s="1845">
        <f t="shared" si="315"/>
        <v>0</v>
      </c>
      <c r="Q1688" s="1056"/>
      <c r="R1688" s="1056"/>
      <c r="S1688" s="1056"/>
      <c r="T1688" s="2059">
        <f t="shared" si="311"/>
        <v>0</v>
      </c>
    </row>
    <row r="1689" spans="1:20" ht="22.15" hidden="1" customHeight="1">
      <c r="A1689" s="59"/>
      <c r="B1689" s="1593" t="s">
        <v>1748</v>
      </c>
      <c r="C1689" s="1015" t="str">
        <f t="shared" si="312"/>
        <v xml:space="preserve"> </v>
      </c>
      <c r="D1689" s="1544">
        <f>+D1666+D1672-D1681</f>
        <v>0</v>
      </c>
      <c r="E1689" s="1047"/>
      <c r="F1689" s="1059" t="str">
        <f>VLOOKUP($B1689,DG!A:D,DG!$C$2,)</f>
        <v>Khóa néo dây cỡ dây 185</v>
      </c>
      <c r="G1689" s="1047" t="str">
        <f>VLOOKUP($B1689,DG!A:D,DG!$D$2,)</f>
        <v>cái</v>
      </c>
      <c r="H1689" s="1845">
        <f t="shared" si="313"/>
        <v>0</v>
      </c>
      <c r="I1689" s="1845">
        <f t="shared" si="314"/>
        <v>0</v>
      </c>
      <c r="J1689" s="1845"/>
      <c r="K1689" s="1845"/>
      <c r="L1689" s="1845"/>
      <c r="M1689" s="1845"/>
      <c r="N1689" s="1845"/>
      <c r="O1689" s="1845"/>
      <c r="P1689" s="1845">
        <f t="shared" si="315"/>
        <v>0</v>
      </c>
      <c r="Q1689" s="1056"/>
      <c r="R1689" s="1056"/>
      <c r="S1689" s="1056"/>
      <c r="T1689" s="2059">
        <f t="shared" si="311"/>
        <v>0</v>
      </c>
    </row>
    <row r="1690" spans="1:20" ht="22.15" hidden="1" customHeight="1">
      <c r="A1690" s="59"/>
      <c r="B1690" s="1593" t="s">
        <v>2117</v>
      </c>
      <c r="C1690" s="1015" t="str">
        <f t="shared" si="312"/>
        <v xml:space="preserve"> </v>
      </c>
      <c r="D1690" s="1544">
        <f>'pp3p2m '!CS82</f>
        <v>0</v>
      </c>
      <c r="E1690" s="1047"/>
      <c r="F1690" s="1059" t="str">
        <f>VLOOKUP($B1690,DG!A:D,DG!$C$2,)</f>
        <v>Khóa néo dây cỡ dây 150</v>
      </c>
      <c r="G1690" s="1047" t="str">
        <f>VLOOKUP($B1690,DG!A:D,DG!$D$2,)</f>
        <v>cái</v>
      </c>
      <c r="H1690" s="1845">
        <f t="shared" si="313"/>
        <v>0</v>
      </c>
      <c r="I1690" s="1845">
        <f t="shared" si="314"/>
        <v>0</v>
      </c>
      <c r="J1690" s="1845"/>
      <c r="K1690" s="1845"/>
      <c r="L1690" s="1845"/>
      <c r="M1690" s="1845"/>
      <c r="N1690" s="1845"/>
      <c r="O1690" s="1845"/>
      <c r="P1690" s="1845">
        <f t="shared" si="315"/>
        <v>0</v>
      </c>
      <c r="Q1690" s="1056"/>
      <c r="R1690" s="1056"/>
      <c r="S1690" s="1056"/>
      <c r="T1690" s="2059">
        <f t="shared" si="311"/>
        <v>0</v>
      </c>
    </row>
    <row r="1691" spans="1:20" ht="22.15" hidden="1" customHeight="1">
      <c r="A1691" s="59"/>
      <c r="B1691" s="1593" t="s">
        <v>431</v>
      </c>
      <c r="C1691" s="1015" t="str">
        <f t="shared" si="312"/>
        <v xml:space="preserve"> </v>
      </c>
      <c r="D1691" s="1544"/>
      <c r="E1691" s="1047"/>
      <c r="F1691" s="1059" t="str">
        <f>VLOOKUP($B1691,DG!A:D,DG!$C$2,)</f>
        <v>Khóa néo dây cỡ dây 120</v>
      </c>
      <c r="G1691" s="1047" t="str">
        <f>VLOOKUP($B1691,DG!A:D,DG!$D$2,)</f>
        <v>cái</v>
      </c>
      <c r="H1691" s="1845">
        <f t="shared" si="313"/>
        <v>0</v>
      </c>
      <c r="I1691" s="1845">
        <f t="shared" si="314"/>
        <v>0</v>
      </c>
      <c r="J1691" s="1845"/>
      <c r="K1691" s="1845"/>
      <c r="L1691" s="1845"/>
      <c r="M1691" s="1845"/>
      <c r="N1691" s="1845"/>
      <c r="O1691" s="1845"/>
      <c r="P1691" s="1845">
        <f t="shared" si="315"/>
        <v>0</v>
      </c>
      <c r="Q1691" s="1056"/>
      <c r="R1691" s="1056"/>
      <c r="S1691" s="1056"/>
      <c r="T1691" s="2059">
        <f t="shared" si="311"/>
        <v>0</v>
      </c>
    </row>
    <row r="1692" spans="1:20" ht="22.15" hidden="1" customHeight="1">
      <c r="A1692" s="59"/>
      <c r="B1692" s="1593" t="s">
        <v>1262</v>
      </c>
      <c r="C1692" s="1015" t="str">
        <f t="shared" si="312"/>
        <v xml:space="preserve"> </v>
      </c>
      <c r="D1692" s="1544"/>
      <c r="E1692" s="1047"/>
      <c r="F1692" s="1059" t="str">
        <f>VLOOKUP($B1692,DG!A:D,DG!$C$2,)</f>
        <v>Khóa néo dây cỡ dây 95</v>
      </c>
      <c r="G1692" s="1047" t="str">
        <f>VLOOKUP($B1692,DG!A:D,DG!$D$2,)</f>
        <v>cái</v>
      </c>
      <c r="H1692" s="1845">
        <f t="shared" si="313"/>
        <v>0</v>
      </c>
      <c r="I1692" s="1845">
        <f t="shared" si="314"/>
        <v>0</v>
      </c>
      <c r="J1692" s="1845"/>
      <c r="K1692" s="1845"/>
      <c r="L1692" s="1845"/>
      <c r="M1692" s="1845"/>
      <c r="N1692" s="1845"/>
      <c r="O1692" s="1845"/>
      <c r="P1692" s="1845">
        <f t="shared" si="315"/>
        <v>0</v>
      </c>
      <c r="Q1692" s="1056"/>
      <c r="R1692" s="1056"/>
      <c r="S1692" s="1056"/>
      <c r="T1692" s="2059">
        <f t="shared" si="311"/>
        <v>0</v>
      </c>
    </row>
    <row r="1693" spans="1:20" ht="22.15" hidden="1" customHeight="1">
      <c r="A1693" s="59"/>
      <c r="B1693" s="1593" t="s">
        <v>2239</v>
      </c>
      <c r="C1693" s="1015" t="str">
        <f t="shared" si="312"/>
        <v xml:space="preserve"> </v>
      </c>
      <c r="D1693" s="1544"/>
      <c r="E1693" s="1047"/>
      <c r="F1693" s="1059" t="str">
        <f>VLOOKUP($B1693,DG!A:D,DG!$C$2,)</f>
        <v>Khóa néo dây cỡ dây 70</v>
      </c>
      <c r="G1693" s="1047" t="str">
        <f>VLOOKUP($B1693,DG!A:D,DG!$D$2,)</f>
        <v>cái</v>
      </c>
      <c r="H1693" s="1845">
        <f t="shared" si="313"/>
        <v>0</v>
      </c>
      <c r="I1693" s="1845">
        <f t="shared" si="314"/>
        <v>0</v>
      </c>
      <c r="J1693" s="1845"/>
      <c r="K1693" s="1845"/>
      <c r="L1693" s="1845"/>
      <c r="M1693" s="1845"/>
      <c r="N1693" s="1845"/>
      <c r="O1693" s="1845"/>
      <c r="P1693" s="1845">
        <f t="shared" si="315"/>
        <v>0</v>
      </c>
      <c r="Q1693" s="1056"/>
      <c r="R1693" s="1056"/>
      <c r="S1693" s="1056"/>
      <c r="T1693" s="2059">
        <f t="shared" si="311"/>
        <v>0</v>
      </c>
    </row>
    <row r="1694" spans="1:20" ht="22.15" hidden="1" customHeight="1">
      <c r="A1694" s="59"/>
      <c r="B1694" s="1593" t="s">
        <v>1487</v>
      </c>
      <c r="C1694" s="1015" t="str">
        <f t="shared" si="312"/>
        <v xml:space="preserve"> </v>
      </c>
      <c r="D1694" s="1544"/>
      <c r="E1694" s="1047"/>
      <c r="F1694" s="1059" t="str">
        <f>VLOOKUP($B1694,DG!A:D,DG!$C$2,)</f>
        <v>Khóa néo dây cỡ dây 50</v>
      </c>
      <c r="G1694" s="1047" t="str">
        <f>VLOOKUP($B1694,DG!A:D,DG!$D$2,)</f>
        <v>cái</v>
      </c>
      <c r="H1694" s="1845">
        <f t="shared" ref="H1694:H1701" si="316">$D1694</f>
        <v>0</v>
      </c>
      <c r="I1694" s="1845">
        <f t="shared" ref="I1694:I1701" si="317">D1694</f>
        <v>0</v>
      </c>
      <c r="J1694" s="1845"/>
      <c r="K1694" s="1845"/>
      <c r="L1694" s="1845"/>
      <c r="M1694" s="1845"/>
      <c r="N1694" s="1845"/>
      <c r="O1694" s="1845"/>
      <c r="P1694" s="1845">
        <f t="shared" si="315"/>
        <v>0</v>
      </c>
      <c r="Q1694" s="1056"/>
      <c r="R1694" s="1056"/>
      <c r="S1694" s="1056"/>
      <c r="T1694" s="2059">
        <f t="shared" si="311"/>
        <v>0</v>
      </c>
    </row>
    <row r="1695" spans="1:20" ht="22.15" hidden="1" customHeight="1">
      <c r="A1695" s="59"/>
      <c r="B1695" s="1593" t="s">
        <v>1587</v>
      </c>
      <c r="C1695" s="1015" t="str">
        <f t="shared" si="312"/>
        <v xml:space="preserve"> </v>
      </c>
      <c r="D1695" s="1557">
        <f>'pp3p2m '!CY82</f>
        <v>0</v>
      </c>
      <c r="E1695" s="1047"/>
      <c r="F1695" s="1059" t="str">
        <f>VLOOKUP($B1695,DG!A:D,DG!$C$2,)</f>
        <v>Kẹp 2 rãnh (APC) cỡ dây 50mm2</v>
      </c>
      <c r="G1695" s="1047" t="str">
        <f>VLOOKUP($B1695,DG!A:D,DG!$D$2,)</f>
        <v>cái</v>
      </c>
      <c r="H1695" s="1845">
        <f t="shared" si="316"/>
        <v>0</v>
      </c>
      <c r="I1695" s="1845">
        <f t="shared" si="317"/>
        <v>0</v>
      </c>
      <c r="J1695" s="1845"/>
      <c r="K1695" s="1845"/>
      <c r="L1695" s="1845"/>
      <c r="M1695" s="1845"/>
      <c r="N1695" s="1845"/>
      <c r="O1695" s="1845"/>
      <c r="P1695" s="1845">
        <f t="shared" si="315"/>
        <v>0</v>
      </c>
      <c r="Q1695" s="1056"/>
      <c r="R1695" s="1056"/>
      <c r="S1695" s="1056"/>
      <c r="T1695" s="2059">
        <f t="shared" si="311"/>
        <v>0</v>
      </c>
    </row>
    <row r="1696" spans="1:20" ht="22.15" hidden="1" customHeight="1">
      <c r="A1696" s="59"/>
      <c r="B1696" s="1593" t="s">
        <v>1586</v>
      </c>
      <c r="C1696" s="1015" t="str">
        <f t="shared" si="312"/>
        <v xml:space="preserve"> </v>
      </c>
      <c r="D1696" s="1557">
        <f>'pp3p2m '!CZ82</f>
        <v>0</v>
      </c>
      <c r="E1696" s="1047"/>
      <c r="F1696" s="1059" t="str">
        <f>VLOOKUP($B1696,DG!A:D,DG!$C$2,)</f>
        <v>Kẹp 2 rãnh (APC) cỡ dây 70mm2</v>
      </c>
      <c r="G1696" s="1047" t="str">
        <f>VLOOKUP($B1696,DG!A:D,DG!$D$2,)</f>
        <v>cái</v>
      </c>
      <c r="H1696" s="1845">
        <f t="shared" si="316"/>
        <v>0</v>
      </c>
      <c r="I1696" s="1845">
        <f t="shared" si="317"/>
        <v>0</v>
      </c>
      <c r="J1696" s="1845"/>
      <c r="K1696" s="1845"/>
      <c r="L1696" s="1845"/>
      <c r="M1696" s="1845"/>
      <c r="N1696" s="1845"/>
      <c r="O1696" s="1845"/>
      <c r="P1696" s="1845">
        <f t="shared" si="315"/>
        <v>0</v>
      </c>
      <c r="Q1696" s="1056"/>
      <c r="R1696" s="1056"/>
      <c r="S1696" s="1056"/>
      <c r="T1696" s="2059">
        <f t="shared" si="311"/>
        <v>0</v>
      </c>
    </row>
    <row r="1697" spans="1:20" ht="22.15" hidden="1" customHeight="1">
      <c r="A1697" s="59"/>
      <c r="B1697" s="1593" t="s">
        <v>1024</v>
      </c>
      <c r="C1697" s="1015" t="str">
        <f t="shared" si="312"/>
        <v xml:space="preserve"> </v>
      </c>
      <c r="D1697" s="1557">
        <f>'pp3p2m '!DA82</f>
        <v>0</v>
      </c>
      <c r="E1697" s="1047"/>
      <c r="F1697" s="1059" t="str">
        <f>VLOOKUP($B1697,DG!A:D,DG!$C$2,)</f>
        <v>Kẹp 2 rãnh (APC) cỡ dây 95mm2</v>
      </c>
      <c r="G1697" s="1047" t="str">
        <f>VLOOKUP($B1697,DG!A:D,DG!$D$2,)</f>
        <v>cái</v>
      </c>
      <c r="H1697" s="1845">
        <f t="shared" si="316"/>
        <v>0</v>
      </c>
      <c r="I1697" s="1845">
        <f t="shared" si="317"/>
        <v>0</v>
      </c>
      <c r="J1697" s="1845"/>
      <c r="K1697" s="1845"/>
      <c r="L1697" s="1845"/>
      <c r="M1697" s="1845"/>
      <c r="N1697" s="1845"/>
      <c r="O1697" s="1845"/>
      <c r="P1697" s="1845">
        <f t="shared" si="315"/>
        <v>0</v>
      </c>
      <c r="Q1697" s="1056"/>
      <c r="R1697" s="1056"/>
      <c r="S1697" s="1056"/>
      <c r="T1697" s="2059">
        <f t="shared" si="311"/>
        <v>0</v>
      </c>
    </row>
    <row r="1698" spans="1:20" ht="22.15" hidden="1" customHeight="1">
      <c r="A1698" s="59"/>
      <c r="B1698" s="1593" t="s">
        <v>13</v>
      </c>
      <c r="C1698" s="1015" t="str">
        <f t="shared" si="312"/>
        <v xml:space="preserve"> </v>
      </c>
      <c r="D1698" s="1557"/>
      <c r="E1698" s="1047"/>
      <c r="F1698" s="1059" t="str">
        <f>VLOOKUP($B1698,DG!A:D,DG!$C$2,)</f>
        <v>Kẹp ép WR cỡ dây 120mm2</v>
      </c>
      <c r="G1698" s="1047" t="str">
        <f>VLOOKUP($B1698,DG!A:D,DG!$D$2,)</f>
        <v>cái</v>
      </c>
      <c r="H1698" s="1845">
        <f t="shared" si="316"/>
        <v>0</v>
      </c>
      <c r="I1698" s="1845">
        <f t="shared" si="317"/>
        <v>0</v>
      </c>
      <c r="J1698" s="1845"/>
      <c r="K1698" s="1845"/>
      <c r="L1698" s="1845"/>
      <c r="M1698" s="1845"/>
      <c r="N1698" s="1845"/>
      <c r="O1698" s="1845"/>
      <c r="P1698" s="1845">
        <f t="shared" si="315"/>
        <v>0</v>
      </c>
      <c r="Q1698" s="1056"/>
      <c r="R1698" s="1056"/>
      <c r="S1698" s="1056"/>
      <c r="T1698" s="2059">
        <f t="shared" si="311"/>
        <v>0</v>
      </c>
    </row>
    <row r="1699" spans="1:20" ht="22.15" hidden="1" customHeight="1">
      <c r="A1699" s="59"/>
      <c r="B1699" s="1593" t="s">
        <v>1069</v>
      </c>
      <c r="C1699" s="1015" t="str">
        <f t="shared" si="312"/>
        <v xml:space="preserve"> </v>
      </c>
      <c r="D1699" s="1557">
        <f>'pp3p2m '!DB82</f>
        <v>0</v>
      </c>
      <c r="E1699" s="1047"/>
      <c r="F1699" s="1059" t="str">
        <f>VLOOKUP($B1699,DG!A:D,DG!$C$2,)</f>
        <v>Kẹp ép WR cỡ dây 150mm2</v>
      </c>
      <c r="G1699" s="1047" t="str">
        <f>VLOOKUP($B1699,DG!A:D,DG!$D$2,)</f>
        <v>cái</v>
      </c>
      <c r="H1699" s="1845">
        <f t="shared" si="316"/>
        <v>0</v>
      </c>
      <c r="I1699" s="1845">
        <f t="shared" si="317"/>
        <v>0</v>
      </c>
      <c r="J1699" s="1845"/>
      <c r="K1699" s="1845"/>
      <c r="L1699" s="1845"/>
      <c r="M1699" s="1845"/>
      <c r="N1699" s="1845"/>
      <c r="O1699" s="1845"/>
      <c r="P1699" s="1845">
        <f t="shared" si="315"/>
        <v>0</v>
      </c>
      <c r="Q1699" s="1056"/>
      <c r="R1699" s="1056"/>
      <c r="S1699" s="1056"/>
      <c r="T1699" s="2059">
        <f t="shared" si="311"/>
        <v>0</v>
      </c>
    </row>
    <row r="1700" spans="1:20" ht="22.15" hidden="1" customHeight="1">
      <c r="A1700" s="59"/>
      <c r="B1700" s="1593" t="s">
        <v>15</v>
      </c>
      <c r="C1700" s="1015" t="str">
        <f t="shared" si="312"/>
        <v xml:space="preserve"> </v>
      </c>
      <c r="D1700" s="1557">
        <f>'pp3p2m '!DD82</f>
        <v>0</v>
      </c>
      <c r="E1700" s="1047"/>
      <c r="F1700" s="1059" t="str">
        <f>VLOOKUP($B1700,DG!A:D,DG!$C$2,)</f>
        <v>Kẹp ép WR cỡ dây 240mm2</v>
      </c>
      <c r="G1700" s="1047" t="str">
        <f>VLOOKUP($B1700,DG!A:D,DG!$D$2,)</f>
        <v>cái</v>
      </c>
      <c r="H1700" s="1845">
        <f t="shared" si="316"/>
        <v>0</v>
      </c>
      <c r="I1700" s="1845">
        <f t="shared" si="317"/>
        <v>0</v>
      </c>
      <c r="J1700" s="1845"/>
      <c r="K1700" s="1845"/>
      <c r="L1700" s="1845"/>
      <c r="M1700" s="1845"/>
      <c r="N1700" s="1845"/>
      <c r="O1700" s="1845"/>
      <c r="P1700" s="1845">
        <f t="shared" si="315"/>
        <v>0</v>
      </c>
      <c r="Q1700" s="1056"/>
      <c r="R1700" s="1056"/>
      <c r="S1700" s="1056"/>
      <c r="T1700" s="2059">
        <f t="shared" si="311"/>
        <v>0</v>
      </c>
    </row>
    <row r="1701" spans="1:20" ht="22.15" hidden="1" customHeight="1">
      <c r="A1701" s="59"/>
      <c r="B1701" s="1593" t="s">
        <v>1801</v>
      </c>
      <c r="C1701" s="1015" t="str">
        <f t="shared" si="312"/>
        <v xml:space="preserve"> </v>
      </c>
      <c r="D1701" s="1557">
        <f>'pp3p2m '!DE82</f>
        <v>0</v>
      </c>
      <c r="E1701" s="1047"/>
      <c r="F1701" s="1059" t="str">
        <f>VLOOKUP($B1701,DG!A:D,DG!$C$2,)</f>
        <v>Kẹp 2 rãnh (APC) cỡ dây 240 mm2</v>
      </c>
      <c r="G1701" s="1047" t="str">
        <f>VLOOKUP($B1701,DG!A:D,DG!$D$2,)</f>
        <v>cái</v>
      </c>
      <c r="H1701" s="1845">
        <f t="shared" si="316"/>
        <v>0</v>
      </c>
      <c r="I1701" s="1845">
        <f t="shared" si="317"/>
        <v>0</v>
      </c>
      <c r="J1701" s="1845"/>
      <c r="K1701" s="1845"/>
      <c r="L1701" s="1845"/>
      <c r="M1701" s="1845"/>
      <c r="N1701" s="1845"/>
      <c r="O1701" s="1845"/>
      <c r="P1701" s="1845">
        <f t="shared" si="315"/>
        <v>0</v>
      </c>
      <c r="Q1701" s="1056"/>
      <c r="R1701" s="1056"/>
      <c r="S1701" s="1056"/>
      <c r="T1701" s="2059">
        <f t="shared" si="311"/>
        <v>0</v>
      </c>
    </row>
    <row r="1702" spans="1:20" ht="22.15" hidden="1" customHeight="1">
      <c r="A1702" s="59"/>
      <c r="B1702" s="1593" t="s">
        <v>1893</v>
      </c>
      <c r="C1702" s="1015" t="str">
        <f t="shared" si="312"/>
        <v xml:space="preserve"> </v>
      </c>
      <c r="D1702" s="1557"/>
      <c r="E1702" s="1047" t="str">
        <f>VLOOKUP($B1702,DG!A:D,DG!$B$2,)</f>
        <v>03.4003</v>
      </c>
      <c r="F1702" s="1059" t="str">
        <f>VLOOKUP($B1702,DG!A:D,DG!$C$2,)</f>
        <v>Đầu cosse ép Cu-Al 70mm2</v>
      </c>
      <c r="G1702" s="1047" t="str">
        <f>VLOOKUP($B1702,DG!A:D,DG!$D$2,)</f>
        <v>cái</v>
      </c>
      <c r="H1702" s="1845">
        <f>$D1702*0</f>
        <v>0</v>
      </c>
      <c r="I1702" s="1845">
        <f>D1702*0</f>
        <v>0</v>
      </c>
      <c r="J1702" s="1845"/>
      <c r="K1702" s="1845"/>
      <c r="L1702" s="1845"/>
      <c r="M1702" s="1845"/>
      <c r="N1702" s="1845"/>
      <c r="O1702" s="1845"/>
      <c r="P1702" s="1845">
        <f t="shared" si="315"/>
        <v>0</v>
      </c>
      <c r="Q1702" s="1056"/>
      <c r="R1702" s="1056"/>
      <c r="S1702" s="1056"/>
      <c r="T1702" s="2059">
        <f t="shared" si="311"/>
        <v>0</v>
      </c>
    </row>
    <row r="1703" spans="1:20" ht="22.15" hidden="1" customHeight="1">
      <c r="A1703" s="59"/>
      <c r="B1703" s="1593" t="s">
        <v>1894</v>
      </c>
      <c r="C1703" s="1015" t="str">
        <f t="shared" si="312"/>
        <v xml:space="preserve"> </v>
      </c>
      <c r="D1703" s="1557">
        <f>'pp3p2m '!DF82</f>
        <v>0</v>
      </c>
      <c r="E1703" s="1047" t="str">
        <f>VLOOKUP($B1703,DG!A:D,DG!$B$2,)</f>
        <v>03.4004</v>
      </c>
      <c r="F1703" s="1059" t="str">
        <f>VLOOKUP($B1703,DG!A:D,DG!$C$2,)</f>
        <v>Đầu cosse ép Cu-Al 95mm2</v>
      </c>
      <c r="G1703" s="1047" t="str">
        <f>VLOOKUP($B1703,DG!A:D,DG!$D$2,)</f>
        <v>cái</v>
      </c>
      <c r="H1703" s="1845">
        <f t="shared" ref="H1703:H1722" si="318">$D1703</f>
        <v>0</v>
      </c>
      <c r="I1703" s="1845">
        <f t="shared" ref="I1703:I1719" si="319">D1703</f>
        <v>0</v>
      </c>
      <c r="J1703" s="1845"/>
      <c r="K1703" s="1845"/>
      <c r="L1703" s="1845"/>
      <c r="M1703" s="1845"/>
      <c r="N1703" s="1845"/>
      <c r="O1703" s="1845"/>
      <c r="P1703" s="1845">
        <f t="shared" si="315"/>
        <v>0</v>
      </c>
      <c r="Q1703" s="1056"/>
      <c r="R1703" s="1056"/>
      <c r="S1703" s="1056"/>
      <c r="T1703" s="2059">
        <f t="shared" si="311"/>
        <v>0</v>
      </c>
    </row>
    <row r="1704" spans="1:20" ht="22.15" hidden="1" customHeight="1">
      <c r="A1704" s="59"/>
      <c r="B1704" s="1593" t="s">
        <v>1895</v>
      </c>
      <c r="C1704" s="1015" t="str">
        <f t="shared" si="312"/>
        <v xml:space="preserve"> </v>
      </c>
      <c r="D1704" s="1557">
        <f>'pp3p2m '!DI82</f>
        <v>0</v>
      </c>
      <c r="E1704" s="1047" t="str">
        <f>VLOOKUP($B1704,DG!A:D,DG!$B$2,)</f>
        <v>03.4005</v>
      </c>
      <c r="F1704" s="1059" t="str">
        <f>VLOOKUP($B1704,DG!A:D,DG!$C$2,)</f>
        <v>Đầu cosse ép Cu-Al 120mm2</v>
      </c>
      <c r="G1704" s="1047" t="str">
        <f>VLOOKUP($B1704,DG!A:D,DG!$D$2,)</f>
        <v>cái</v>
      </c>
      <c r="H1704" s="1845">
        <f t="shared" si="318"/>
        <v>0</v>
      </c>
      <c r="I1704" s="1845">
        <f t="shared" si="319"/>
        <v>0</v>
      </c>
      <c r="J1704" s="1845"/>
      <c r="K1704" s="1845"/>
      <c r="L1704" s="1845"/>
      <c r="M1704" s="1845"/>
      <c r="N1704" s="1845"/>
      <c r="O1704" s="1845"/>
      <c r="P1704" s="1845">
        <f t="shared" si="315"/>
        <v>0</v>
      </c>
      <c r="Q1704" s="1056"/>
      <c r="R1704" s="1056"/>
      <c r="S1704" s="1056"/>
      <c r="T1704" s="2059">
        <f t="shared" si="311"/>
        <v>0</v>
      </c>
    </row>
    <row r="1705" spans="1:20" ht="22.15" hidden="1" customHeight="1">
      <c r="A1705" s="59"/>
      <c r="B1705" s="1593" t="s">
        <v>1021</v>
      </c>
      <c r="C1705" s="1015" t="str">
        <f t="shared" si="312"/>
        <v xml:space="preserve"> </v>
      </c>
      <c r="D1705" s="1557">
        <f>'pp3p2m '!DJ82</f>
        <v>0</v>
      </c>
      <c r="E1705" s="1047" t="str">
        <f>VLOOKUP($B1705,DG!A:D,DG!$B$2,)</f>
        <v>03.4006</v>
      </c>
      <c r="F1705" s="1059" t="str">
        <f>VLOOKUP($B1705,DG!A:D,DG!$C$2,)</f>
        <v>Đầu cosse ép Cu-Al 150mm2</v>
      </c>
      <c r="G1705" s="1047" t="str">
        <f>VLOOKUP($B1705,DG!A:D,DG!$D$2,)</f>
        <v>cái</v>
      </c>
      <c r="H1705" s="1845">
        <f t="shared" si="318"/>
        <v>0</v>
      </c>
      <c r="I1705" s="1845">
        <f t="shared" si="319"/>
        <v>0</v>
      </c>
      <c r="J1705" s="1845"/>
      <c r="K1705" s="1845"/>
      <c r="L1705" s="1845"/>
      <c r="M1705" s="1845"/>
      <c r="N1705" s="1845"/>
      <c r="O1705" s="1845"/>
      <c r="P1705" s="1845">
        <f t="shared" si="315"/>
        <v>0</v>
      </c>
      <c r="Q1705" s="1056"/>
      <c r="R1705" s="1056"/>
      <c r="S1705" s="1056"/>
      <c r="T1705" s="2059">
        <f t="shared" si="311"/>
        <v>0</v>
      </c>
    </row>
    <row r="1706" spans="1:20" ht="22.15" hidden="1" customHeight="1">
      <c r="A1706" s="59"/>
      <c r="B1706" s="1593" t="s">
        <v>1022</v>
      </c>
      <c r="C1706" s="1015" t="str">
        <f t="shared" si="312"/>
        <v xml:space="preserve"> </v>
      </c>
      <c r="D1706" s="1557"/>
      <c r="E1706" s="1047" t="str">
        <f>VLOOKUP($B1706,DG!A:D,DG!$B$2,)</f>
        <v>03.4007</v>
      </c>
      <c r="F1706" s="1059" t="str">
        <f>VLOOKUP($B1706,DG!A:D,DG!$C$2,)</f>
        <v>Đầu cosse ép Cu-Al 185mm2</v>
      </c>
      <c r="G1706" s="1047" t="str">
        <f>VLOOKUP($B1706,DG!A:D,DG!$D$2,)</f>
        <v>cái</v>
      </c>
      <c r="H1706" s="1845">
        <f t="shared" si="318"/>
        <v>0</v>
      </c>
      <c r="I1706" s="1845">
        <f t="shared" si="319"/>
        <v>0</v>
      </c>
      <c r="J1706" s="1845"/>
      <c r="K1706" s="1845"/>
      <c r="L1706" s="1845"/>
      <c r="M1706" s="1845"/>
      <c r="N1706" s="1845"/>
      <c r="O1706" s="1845"/>
      <c r="P1706" s="1845">
        <f t="shared" si="315"/>
        <v>0</v>
      </c>
      <c r="Q1706" s="1056"/>
      <c r="R1706" s="1056"/>
      <c r="S1706" s="1056"/>
      <c r="T1706" s="2059">
        <f t="shared" si="311"/>
        <v>0</v>
      </c>
    </row>
    <row r="1707" spans="1:20" ht="22.15" hidden="1" customHeight="1">
      <c r="A1707" s="59"/>
      <c r="B1707" s="1593" t="s">
        <v>1837</v>
      </c>
      <c r="C1707" s="1015" t="str">
        <f t="shared" si="312"/>
        <v xml:space="preserve"> </v>
      </c>
      <c r="D1707" s="1557">
        <f>'pp3p2m '!DK82</f>
        <v>0</v>
      </c>
      <c r="E1707" s="1047" t="str">
        <f>VLOOKUP($B1707,DG!A:D,DG!$B$2,)</f>
        <v>03.4008</v>
      </c>
      <c r="F1707" s="1059" t="str">
        <f>VLOOKUP($B1707,DG!A:D,DG!$C$2,)</f>
        <v>Đầu cosse ép Cu-Al 240mm2</v>
      </c>
      <c r="G1707" s="1047" t="str">
        <f>VLOOKUP($B1707,DG!A:D,DG!$D$2,)</f>
        <v>cái</v>
      </c>
      <c r="H1707" s="1845">
        <f t="shared" si="318"/>
        <v>0</v>
      </c>
      <c r="I1707" s="1845">
        <f t="shared" si="319"/>
        <v>0</v>
      </c>
      <c r="J1707" s="1845"/>
      <c r="K1707" s="1845"/>
      <c r="L1707" s="1845"/>
      <c r="M1707" s="1845"/>
      <c r="N1707" s="1845"/>
      <c r="O1707" s="1845"/>
      <c r="P1707" s="1845">
        <f t="shared" si="315"/>
        <v>0</v>
      </c>
      <c r="Q1707" s="1056"/>
      <c r="R1707" s="1056"/>
      <c r="S1707" s="1056"/>
      <c r="T1707" s="2059">
        <f t="shared" ref="T1707:T1748" si="320">IFERROR(HLOOKUP(B1707,BangKeTru,3,0),0)</f>
        <v>0</v>
      </c>
    </row>
    <row r="1708" spans="1:20" ht="22.15" hidden="1" customHeight="1">
      <c r="A1708" s="59"/>
      <c r="B1708" s="1593" t="s">
        <v>437</v>
      </c>
      <c r="C1708" s="1015" t="str">
        <f t="shared" si="312"/>
        <v xml:space="preserve"> </v>
      </c>
      <c r="D1708" s="1557">
        <f>SUM(D1702:D1707)/2</f>
        <v>0</v>
      </c>
      <c r="E1708" s="1047">
        <f>VLOOKUP($B1708,DG!A:D,DG!$B$2,)</f>
        <v>0</v>
      </c>
      <c r="F1708" s="1059" t="str">
        <f>VLOOKUP($B1708,DG!A:D,DG!$C$2,)</f>
        <v>Boulon 12x30+ 2 long đền vuông D14-50x50x3/Zn</v>
      </c>
      <c r="G1708" s="1047" t="str">
        <f>VLOOKUP($B1708,DG!A:D,DG!$D$2,)</f>
        <v>bộ</v>
      </c>
      <c r="H1708" s="1845">
        <f t="shared" si="318"/>
        <v>0</v>
      </c>
      <c r="I1708" s="1845">
        <f t="shared" si="319"/>
        <v>0</v>
      </c>
      <c r="J1708" s="1845"/>
      <c r="K1708" s="1845"/>
      <c r="L1708" s="1845"/>
      <c r="M1708" s="1845"/>
      <c r="N1708" s="1845"/>
      <c r="O1708" s="1845"/>
      <c r="P1708" s="1845">
        <f t="shared" si="315"/>
        <v>0</v>
      </c>
      <c r="Q1708" s="1056"/>
      <c r="R1708" s="1056"/>
      <c r="S1708" s="1056"/>
      <c r="T1708" s="2059">
        <f t="shared" si="320"/>
        <v>0</v>
      </c>
    </row>
    <row r="1709" spans="1:20" ht="22.15" hidden="1" customHeight="1">
      <c r="A1709" s="59"/>
      <c r="B1709" s="1593" t="s">
        <v>1484</v>
      </c>
      <c r="C1709" s="1015" t="str">
        <f t="shared" si="312"/>
        <v xml:space="preserve"> </v>
      </c>
      <c r="D1709" s="1557">
        <f>'pp3p2m '!DM82*2</f>
        <v>0</v>
      </c>
      <c r="E1709" s="1047" t="str">
        <f>VLOOKUP($B1709,DG!A:D,DG!$B$2,)</f>
        <v>04.3007</v>
      </c>
      <c r="F1709" s="1059" t="str">
        <f>VLOOKUP($B1709,DG!A:D,DG!$C$2,)</f>
        <v>Kẹp quai 2/0</v>
      </c>
      <c r="G1709" s="1047" t="str">
        <f>VLOOKUP($B1709,DG!A:D,DG!$D$2,)</f>
        <v>cái</v>
      </c>
      <c r="H1709" s="1845">
        <f t="shared" si="318"/>
        <v>0</v>
      </c>
      <c r="I1709" s="1845">
        <f t="shared" si="319"/>
        <v>0</v>
      </c>
      <c r="J1709" s="1845"/>
      <c r="K1709" s="1845"/>
      <c r="L1709" s="1845"/>
      <c r="M1709" s="1845"/>
      <c r="N1709" s="1845"/>
      <c r="O1709" s="1845"/>
      <c r="P1709" s="1845">
        <f t="shared" si="315"/>
        <v>0</v>
      </c>
      <c r="Q1709" s="1056"/>
      <c r="R1709" s="1056"/>
      <c r="S1709" s="1056"/>
      <c r="T1709" s="2059">
        <f t="shared" si="320"/>
        <v>0</v>
      </c>
    </row>
    <row r="1710" spans="1:20" ht="22.15" hidden="1" customHeight="1">
      <c r="A1710" s="59"/>
      <c r="B1710" s="1593" t="s">
        <v>236</v>
      </c>
      <c r="C1710" s="1015" t="str">
        <f t="shared" si="312"/>
        <v xml:space="preserve"> </v>
      </c>
      <c r="D1710" s="1544">
        <f>D1709</f>
        <v>0</v>
      </c>
      <c r="E1710" s="1047" t="str">
        <f>VLOOKUP($B1710,DG!A:D,DG!$B$2,)</f>
        <v>04.3007</v>
      </c>
      <c r="F1710" s="1059" t="str">
        <f>VLOOKUP($B1710,DG!A:D,DG!$C$2,)</f>
        <v>Kẹp quai 4/0</v>
      </c>
      <c r="G1710" s="1047" t="str">
        <f>VLOOKUP($B1710,DG!A:D,DG!$D$2,)</f>
        <v>cái</v>
      </c>
      <c r="H1710" s="1845">
        <f t="shared" si="318"/>
        <v>0</v>
      </c>
      <c r="I1710" s="1845">
        <f t="shared" si="319"/>
        <v>0</v>
      </c>
      <c r="J1710" s="1845"/>
      <c r="K1710" s="1845"/>
      <c r="L1710" s="1845"/>
      <c r="M1710" s="1845"/>
      <c r="N1710" s="1845"/>
      <c r="O1710" s="1845"/>
      <c r="P1710" s="1845">
        <f t="shared" si="315"/>
        <v>0</v>
      </c>
      <c r="Q1710" s="1056"/>
      <c r="R1710" s="1056"/>
      <c r="S1710" s="1056"/>
      <c r="T1710" s="2059">
        <f t="shared" si="320"/>
        <v>0</v>
      </c>
    </row>
    <row r="1711" spans="1:20" ht="22.15" hidden="1" customHeight="1">
      <c r="A1711" s="59"/>
      <c r="B1711" s="1609" t="s">
        <v>1482</v>
      </c>
      <c r="C1711" s="1015" t="str">
        <f t="shared" si="312"/>
        <v xml:space="preserve"> </v>
      </c>
      <c r="D1711" s="1544">
        <f>D1709</f>
        <v>0</v>
      </c>
      <c r="E1711" s="1047"/>
      <c r="F1711" s="1398" t="str">
        <f>VLOOKUP($B1711,DG!A:D,DG!$C$2,)</f>
        <v>Kẹp hotline 2/0</v>
      </c>
      <c r="G1711" s="1047" t="str">
        <f>VLOOKUP($B1711,DG!A:D,DG!$D$2,)</f>
        <v>cái</v>
      </c>
      <c r="H1711" s="1845">
        <f t="shared" si="318"/>
        <v>0</v>
      </c>
      <c r="I1711" s="1845">
        <f t="shared" si="319"/>
        <v>0</v>
      </c>
      <c r="J1711" s="1845"/>
      <c r="K1711" s="1845"/>
      <c r="L1711" s="1845"/>
      <c r="M1711" s="1845"/>
      <c r="N1711" s="1845"/>
      <c r="O1711" s="1845"/>
      <c r="P1711" s="1845">
        <f t="shared" si="315"/>
        <v>0</v>
      </c>
      <c r="Q1711" s="1056"/>
      <c r="R1711" s="1056"/>
      <c r="S1711" s="1056"/>
      <c r="T1711" s="2059">
        <f t="shared" si="320"/>
        <v>0</v>
      </c>
    </row>
    <row r="1712" spans="1:20" ht="22.15" hidden="1" customHeight="1">
      <c r="A1712" s="59"/>
      <c r="B1712" s="1609" t="s">
        <v>1051</v>
      </c>
      <c r="C1712" s="1015" t="str">
        <f t="shared" si="312"/>
        <v xml:space="preserve"> </v>
      </c>
      <c r="D1712" s="1557">
        <f>D1710</f>
        <v>0</v>
      </c>
      <c r="E1712" s="1047"/>
      <c r="F1712" s="1059" t="str">
        <f>VLOOKUP($B1712,DG!A:D,DG!$C$2,)</f>
        <v>Kẹp hotline 4/0</v>
      </c>
      <c r="G1712" s="1047" t="str">
        <f>VLOOKUP($B1712,DG!A:D,DG!$D$2,)</f>
        <v>cái</v>
      </c>
      <c r="H1712" s="1845">
        <f t="shared" si="318"/>
        <v>0</v>
      </c>
      <c r="I1712" s="1845">
        <f t="shared" si="319"/>
        <v>0</v>
      </c>
      <c r="J1712" s="1845"/>
      <c r="K1712" s="1845"/>
      <c r="L1712" s="1845"/>
      <c r="M1712" s="1845"/>
      <c r="N1712" s="1845"/>
      <c r="O1712" s="1845"/>
      <c r="P1712" s="1845">
        <f t="shared" si="315"/>
        <v>0</v>
      </c>
      <c r="Q1712" s="1056"/>
      <c r="R1712" s="1056"/>
      <c r="S1712" s="1056"/>
      <c r="T1712" s="2059">
        <f t="shared" si="320"/>
        <v>0</v>
      </c>
    </row>
    <row r="1713" spans="1:20" ht="22.15" hidden="1" customHeight="1">
      <c r="A1713" s="59"/>
      <c r="B1713" s="1593" t="s">
        <v>1492</v>
      </c>
      <c r="C1713" s="1015" t="str">
        <f t="shared" si="312"/>
        <v xml:space="preserve"> </v>
      </c>
      <c r="D1713" s="1544">
        <f>ROUND((E1630)*1.03/1500,0)</f>
        <v>0</v>
      </c>
      <c r="E1713" s="1047"/>
      <c r="F1713" s="1059" t="str">
        <f>VLOOKUP($B1713,DG!A:D,DG!$C$2,)</f>
        <v>Ống nối dây cỡ 50mm2</v>
      </c>
      <c r="G1713" s="1047" t="str">
        <f>VLOOKUP($B1713,DG!A:D,DG!$D$2,)</f>
        <v>cái</v>
      </c>
      <c r="H1713" s="1845">
        <f t="shared" si="318"/>
        <v>0</v>
      </c>
      <c r="I1713" s="1845">
        <f t="shared" si="319"/>
        <v>0</v>
      </c>
      <c r="J1713" s="1845"/>
      <c r="K1713" s="1845"/>
      <c r="L1713" s="1845"/>
      <c r="M1713" s="1845"/>
      <c r="N1713" s="1845"/>
      <c r="O1713" s="1845"/>
      <c r="P1713" s="1845">
        <f t="shared" si="315"/>
        <v>0</v>
      </c>
      <c r="Q1713" s="1056"/>
      <c r="R1713" s="1056"/>
      <c r="S1713" s="1056"/>
      <c r="T1713" s="2059">
        <f t="shared" si="320"/>
        <v>0</v>
      </c>
    </row>
    <row r="1714" spans="1:20" ht="22.15" hidden="1" customHeight="1">
      <c r="A1714" s="59"/>
      <c r="B1714" s="1593" t="s">
        <v>1493</v>
      </c>
      <c r="C1714" s="1015" t="str">
        <f t="shared" si="312"/>
        <v xml:space="preserve"> </v>
      </c>
      <c r="D1714" s="1544">
        <f>ROUND((E1631+E1642)*1.03/1400,0)</f>
        <v>0</v>
      </c>
      <c r="E1714" s="1047"/>
      <c r="F1714" s="1059" t="str">
        <f>VLOOKUP($B1714,DG!A:D,DG!$C$2,)</f>
        <v>Ống nối dây cỡ 70mm2</v>
      </c>
      <c r="G1714" s="1047" t="str">
        <f>VLOOKUP($B1714,DG!A:D,DG!$D$2,)</f>
        <v>cái</v>
      </c>
      <c r="H1714" s="1845">
        <f t="shared" si="318"/>
        <v>0</v>
      </c>
      <c r="I1714" s="1845">
        <f t="shared" si="319"/>
        <v>0</v>
      </c>
      <c r="J1714" s="1845"/>
      <c r="K1714" s="1845"/>
      <c r="L1714" s="1845"/>
      <c r="M1714" s="1845"/>
      <c r="N1714" s="1845"/>
      <c r="O1714" s="1845"/>
      <c r="P1714" s="1845">
        <f t="shared" si="315"/>
        <v>0</v>
      </c>
      <c r="Q1714" s="1056"/>
      <c r="R1714" s="1056"/>
      <c r="S1714" s="1056"/>
      <c r="T1714" s="2059">
        <f t="shared" si="320"/>
        <v>0</v>
      </c>
    </row>
    <row r="1715" spans="1:20" ht="22.15" hidden="1" customHeight="1">
      <c r="A1715" s="59"/>
      <c r="B1715" s="1593" t="s">
        <v>432</v>
      </c>
      <c r="C1715" s="1015" t="str">
        <f t="shared" ref="C1715:C1778" si="321">IF(OR(P1715&lt;&gt;0,H1715&lt;&gt;0),"x"," ")</f>
        <v xml:space="preserve"> </v>
      </c>
      <c r="D1715" s="1544">
        <f>ROUND((E1632+E1641)*1.03/1200,0)</f>
        <v>0</v>
      </c>
      <c r="E1715" s="1047"/>
      <c r="F1715" s="1059" t="str">
        <f>VLOOKUP($B1715,DG!A:D,DG!$C$2,)</f>
        <v>Ống nối dây cỡ 95mm2</v>
      </c>
      <c r="G1715" s="1047" t="str">
        <f>VLOOKUP($B1715,DG!A:D,DG!$D$2,)</f>
        <v>cái</v>
      </c>
      <c r="H1715" s="1845">
        <f t="shared" si="318"/>
        <v>0</v>
      </c>
      <c r="I1715" s="1845">
        <f t="shared" si="319"/>
        <v>0</v>
      </c>
      <c r="J1715" s="1845"/>
      <c r="K1715" s="1845"/>
      <c r="L1715" s="1845"/>
      <c r="M1715" s="1845"/>
      <c r="N1715" s="1845"/>
      <c r="O1715" s="1845"/>
      <c r="P1715" s="1845">
        <f t="shared" si="315"/>
        <v>0</v>
      </c>
      <c r="Q1715" s="1056"/>
      <c r="R1715" s="1056"/>
      <c r="S1715" s="1056"/>
      <c r="T1715" s="2059">
        <f t="shared" si="320"/>
        <v>0</v>
      </c>
    </row>
    <row r="1716" spans="1:20" ht="22.15" hidden="1" customHeight="1">
      <c r="A1716" s="59"/>
      <c r="B1716" s="1593" t="s">
        <v>573</v>
      </c>
      <c r="C1716" s="1015" t="str">
        <f t="shared" si="321"/>
        <v xml:space="preserve"> </v>
      </c>
      <c r="D1716" s="1544">
        <f>ROUND((E1633+E1640)*1.03/1200,0)</f>
        <v>0</v>
      </c>
      <c r="E1716" s="1047"/>
      <c r="F1716" s="1059" t="str">
        <f>VLOOKUP($B1716,DG!A:D,DG!$C$2,)</f>
        <v>Ống nối dây cỡ 120mm2</v>
      </c>
      <c r="G1716" s="1047" t="str">
        <f>VLOOKUP($B1716,DG!A:D,DG!$D$2,)</f>
        <v>cái</v>
      </c>
      <c r="H1716" s="1845">
        <f t="shared" si="318"/>
        <v>0</v>
      </c>
      <c r="I1716" s="1845">
        <f t="shared" si="319"/>
        <v>0</v>
      </c>
      <c r="J1716" s="1845"/>
      <c r="K1716" s="1845"/>
      <c r="L1716" s="1845"/>
      <c r="M1716" s="1845"/>
      <c r="N1716" s="1845"/>
      <c r="O1716" s="1845"/>
      <c r="P1716" s="1845">
        <f t="shared" si="315"/>
        <v>0</v>
      </c>
      <c r="Q1716" s="1056"/>
      <c r="R1716" s="1056"/>
      <c r="S1716" s="1056"/>
      <c r="T1716" s="2059">
        <f t="shared" si="320"/>
        <v>0</v>
      </c>
    </row>
    <row r="1717" spans="1:20" ht="22.15" hidden="1" customHeight="1">
      <c r="A1717" s="59"/>
      <c r="B1717" s="1593" t="s">
        <v>939</v>
      </c>
      <c r="C1717" s="1015" t="str">
        <f t="shared" si="321"/>
        <v xml:space="preserve"> </v>
      </c>
      <c r="D1717" s="1544">
        <f>ROUND((E1634+E1639)*1.03/1200,0)</f>
        <v>0</v>
      </c>
      <c r="E1717" s="1047"/>
      <c r="F1717" s="1059" t="str">
        <f>VLOOKUP($B1717,DG!A:D,DG!$C$2,)</f>
        <v>Ống nối dây cỡ 150mm2</v>
      </c>
      <c r="G1717" s="1047" t="str">
        <f>VLOOKUP($B1717,DG!A:D,DG!$D$2,)</f>
        <v>cái</v>
      </c>
      <c r="H1717" s="1845">
        <f t="shared" si="318"/>
        <v>0</v>
      </c>
      <c r="I1717" s="1845">
        <f t="shared" si="319"/>
        <v>0</v>
      </c>
      <c r="J1717" s="1845"/>
      <c r="K1717" s="1845"/>
      <c r="L1717" s="1845"/>
      <c r="M1717" s="1845"/>
      <c r="N1717" s="1845"/>
      <c r="O1717" s="1845"/>
      <c r="P1717" s="1845">
        <f t="shared" si="315"/>
        <v>0</v>
      </c>
      <c r="Q1717" s="1056"/>
      <c r="R1717" s="1056"/>
      <c r="S1717" s="1056"/>
      <c r="T1717" s="2059">
        <f t="shared" si="320"/>
        <v>0</v>
      </c>
    </row>
    <row r="1718" spans="1:20" ht="22.15" hidden="1" customHeight="1">
      <c r="A1718" s="59"/>
      <c r="B1718" s="1593" t="s">
        <v>572</v>
      </c>
      <c r="C1718" s="1015" t="str">
        <f t="shared" si="321"/>
        <v xml:space="preserve"> </v>
      </c>
      <c r="D1718" s="1544">
        <f>ROUND((E1635+E1638)*1.03/1200,0)</f>
        <v>0</v>
      </c>
      <c r="E1718" s="1047"/>
      <c r="F1718" s="1059" t="str">
        <f>VLOOKUP($B1718,DG!A:D,DG!$C$2,)</f>
        <v>Ống nối dây cỡ 185mm2</v>
      </c>
      <c r="G1718" s="1047" t="str">
        <f>VLOOKUP($B1718,DG!A:D,DG!$D$2,)</f>
        <v>cái</v>
      </c>
      <c r="H1718" s="1845">
        <f t="shared" si="318"/>
        <v>0</v>
      </c>
      <c r="I1718" s="1845">
        <f t="shared" si="319"/>
        <v>0</v>
      </c>
      <c r="J1718" s="1845"/>
      <c r="K1718" s="1845"/>
      <c r="L1718" s="1845"/>
      <c r="M1718" s="1845"/>
      <c r="N1718" s="1845"/>
      <c r="O1718" s="1845"/>
      <c r="P1718" s="1845">
        <f t="shared" si="315"/>
        <v>0</v>
      </c>
      <c r="Q1718" s="1056"/>
      <c r="R1718" s="1056"/>
      <c r="S1718" s="1056"/>
      <c r="T1718" s="2059">
        <f t="shared" si="320"/>
        <v>0</v>
      </c>
    </row>
    <row r="1719" spans="1:20" ht="22.15" hidden="1" customHeight="1">
      <c r="A1719" s="59"/>
      <c r="B1719" s="1593" t="s">
        <v>571</v>
      </c>
      <c r="C1719" s="1015" t="str">
        <f t="shared" si="321"/>
        <v xml:space="preserve"> </v>
      </c>
      <c r="D1719" s="1544">
        <f>ROUND((E1636+E1637)*1.03/1200,0)</f>
        <v>0</v>
      </c>
      <c r="E1719" s="1047"/>
      <c r="F1719" s="1059" t="str">
        <f>VLOOKUP($B1719,DG!A:D,DG!$C$2,)</f>
        <v>Ống nối dây cỡ 240mm2</v>
      </c>
      <c r="G1719" s="1047" t="str">
        <f>VLOOKUP($B1719,DG!A:D,DG!$D$2,)</f>
        <v>cái</v>
      </c>
      <c r="H1719" s="1845">
        <f t="shared" si="318"/>
        <v>0</v>
      </c>
      <c r="I1719" s="1845">
        <f t="shared" si="319"/>
        <v>0</v>
      </c>
      <c r="J1719" s="1845"/>
      <c r="K1719" s="1845"/>
      <c r="L1719" s="1845"/>
      <c r="M1719" s="1845"/>
      <c r="N1719" s="1845"/>
      <c r="O1719" s="1845"/>
      <c r="P1719" s="1845">
        <f t="shared" si="315"/>
        <v>0</v>
      </c>
      <c r="Q1719" s="1056"/>
      <c r="R1719" s="1056"/>
      <c r="S1719" s="1056"/>
      <c r="T1719" s="2059">
        <f t="shared" si="320"/>
        <v>0</v>
      </c>
    </row>
    <row r="1720" spans="1:20" ht="22.15" hidden="1" customHeight="1">
      <c r="A1720" s="59"/>
      <c r="B1720" s="1593" t="s">
        <v>1615</v>
      </c>
      <c r="C1720" s="1015" t="str">
        <f t="shared" si="321"/>
        <v xml:space="preserve"> </v>
      </c>
      <c r="D1720" s="1557">
        <f>'pp3p2m '!DF82</f>
        <v>0</v>
      </c>
      <c r="E1720" s="1047"/>
      <c r="F1720" s="1059" t="str">
        <f>VLOOKUP($B1720,DG!A:D,DG!$C$2,)</f>
        <v>Boulon 16x300+ 2 long đền vuông D18-50x50x3/Zn</v>
      </c>
      <c r="G1720" s="1047" t="str">
        <f>VLOOKUP($B1720,DG!A:D,DG!$D$2,)</f>
        <v>bộ</v>
      </c>
      <c r="H1720" s="1845">
        <f t="shared" si="318"/>
        <v>0</v>
      </c>
      <c r="I1720" s="1845">
        <f>H1720</f>
        <v>0</v>
      </c>
      <c r="J1720" s="1845"/>
      <c r="K1720" s="1845"/>
      <c r="L1720" s="1845"/>
      <c r="M1720" s="1845"/>
      <c r="N1720" s="1845"/>
      <c r="O1720" s="1845"/>
      <c r="P1720" s="1845">
        <f t="shared" si="315"/>
        <v>0</v>
      </c>
      <c r="Q1720" s="1056"/>
      <c r="R1720" s="1056"/>
      <c r="S1720" s="1056"/>
      <c r="T1720" s="2059">
        <f t="shared" si="320"/>
        <v>0</v>
      </c>
    </row>
    <row r="1721" spans="1:20" ht="22.15" hidden="1" customHeight="1">
      <c r="A1721" s="59"/>
      <c r="B1721" s="1593" t="s">
        <v>229</v>
      </c>
      <c r="C1721" s="1015" t="str">
        <f t="shared" si="321"/>
        <v xml:space="preserve"> </v>
      </c>
      <c r="D1721" s="1544">
        <f>SUM(D1723:D1735)*5/1.4</f>
        <v>0</v>
      </c>
      <c r="E1721" s="1047"/>
      <c r="F1721" s="1059" t="str">
        <f>VLOOKUP($B1721,DG!A:D,DG!$C$2,)</f>
        <v xml:space="preserve">Dây nhôm buộc </v>
      </c>
      <c r="G1721" s="1047" t="str">
        <f>VLOOKUP($B1721,DG!A:D,DG!$D$2,)</f>
        <v>kg</v>
      </c>
      <c r="H1721" s="1845">
        <f t="shared" si="318"/>
        <v>0</v>
      </c>
      <c r="I1721" s="1845">
        <f>D1721</f>
        <v>0</v>
      </c>
      <c r="J1721" s="1845"/>
      <c r="K1721" s="1845"/>
      <c r="L1721" s="1845"/>
      <c r="M1721" s="1845"/>
      <c r="N1721" s="1845"/>
      <c r="O1721" s="1845"/>
      <c r="P1721" s="1845">
        <f t="shared" si="315"/>
        <v>0</v>
      </c>
      <c r="Q1721" s="1056"/>
      <c r="R1721" s="1056"/>
      <c r="S1721" s="1056"/>
      <c r="T1721" s="2059">
        <f t="shared" si="320"/>
        <v>0</v>
      </c>
    </row>
    <row r="1722" spans="1:20" ht="22.15" hidden="1" customHeight="1">
      <c r="A1722" s="59"/>
      <c r="B1722" s="1593" t="s">
        <v>1575</v>
      </c>
      <c r="C1722" s="1015" t="str">
        <f t="shared" si="321"/>
        <v xml:space="preserve"> </v>
      </c>
      <c r="D1722" s="1544">
        <f>SUM(G142:G145)</f>
        <v>0</v>
      </c>
      <c r="E1722" s="1047"/>
      <c r="F1722" s="1059" t="str">
        <f>VLOOKUP($B1722,DG!A:D,DG!$C$2,)</f>
        <v>Biển số - Bảng nguy hiểm</v>
      </c>
      <c r="G1722" s="1047" t="str">
        <f>VLOOKUP($B1722,DG!A:D,DG!$D$2,)</f>
        <v>cái</v>
      </c>
      <c r="H1722" s="1845">
        <f t="shared" si="318"/>
        <v>0</v>
      </c>
      <c r="I1722" s="1845">
        <f>D1722</f>
        <v>0</v>
      </c>
      <c r="J1722" s="1845"/>
      <c r="K1722" s="1845"/>
      <c r="L1722" s="1845"/>
      <c r="M1722" s="1845"/>
      <c r="N1722" s="1845"/>
      <c r="O1722" s="1845"/>
      <c r="P1722" s="1845">
        <f t="shared" si="315"/>
        <v>0</v>
      </c>
      <c r="Q1722" s="1056"/>
      <c r="R1722" s="1056"/>
      <c r="S1722" s="1056"/>
      <c r="T1722" s="2059">
        <f t="shared" si="320"/>
        <v>0</v>
      </c>
    </row>
    <row r="1723" spans="1:20" ht="22.15" hidden="1" customHeight="1">
      <c r="A1723" s="59"/>
      <c r="B1723" s="1593" t="s">
        <v>1274</v>
      </c>
      <c r="C1723" s="1015" t="str">
        <f t="shared" si="321"/>
        <v xml:space="preserve"> </v>
      </c>
      <c r="D1723" s="1542"/>
      <c r="E1723" s="1047" t="str">
        <f>VLOOKUP($B1723,DG!A:D,DG!$B$2,)</f>
        <v>06.6114</v>
      </c>
      <c r="F1723" s="1052" t="str">
        <f>VLOOKUP($B1723,DG!A:D,DG!$C$2,)</f>
        <v>Kéo dây nhôm lõi thép cỡ dây 50mm2</v>
      </c>
      <c r="G1723" s="1047" t="str">
        <f>VLOOKUP($B1723,DG!A:D,DG!$D$2,)</f>
        <v>km</v>
      </c>
      <c r="H1723" s="1845"/>
      <c r="I1723" s="1845"/>
      <c r="J1723" s="1845"/>
      <c r="K1723" s="1845"/>
      <c r="L1723" s="1845"/>
      <c r="M1723" s="1845"/>
      <c r="N1723" s="1845"/>
      <c r="O1723" s="1845"/>
      <c r="P1723" s="1845">
        <f t="shared" si="315"/>
        <v>0</v>
      </c>
      <c r="Q1723" s="1056"/>
      <c r="R1723" s="1056"/>
      <c r="S1723" s="1056"/>
      <c r="T1723" s="2059">
        <f t="shared" si="320"/>
        <v>0</v>
      </c>
    </row>
    <row r="1724" spans="1:20" ht="22.15" hidden="1" customHeight="1">
      <c r="A1724" s="59"/>
      <c r="B1724" s="1593" t="s">
        <v>1419</v>
      </c>
      <c r="C1724" s="1015" t="str">
        <f t="shared" si="321"/>
        <v xml:space="preserve"> </v>
      </c>
      <c r="D1724" s="1542">
        <f t="shared" ref="D1724:D1729" si="322">(E1631)/1000</f>
        <v>0</v>
      </c>
      <c r="E1724" s="1047" t="str">
        <f>VLOOKUP($B1724,DG!A:D,DG!$B$2,)</f>
        <v>06.6105</v>
      </c>
      <c r="F1724" s="1052" t="str">
        <f>VLOOKUP($B1724,DG!A:D,DG!$C$2,)</f>
        <v>Kéo dây nhôm lõi thép cỡ dây 70mm2</v>
      </c>
      <c r="G1724" s="1047" t="str">
        <f>VLOOKUP($B1724,DG!A:D,DG!$D$2,)</f>
        <v>km</v>
      </c>
      <c r="H1724" s="1845"/>
      <c r="I1724" s="1845"/>
      <c r="J1724" s="1845"/>
      <c r="K1724" s="1845"/>
      <c r="L1724" s="1845"/>
      <c r="M1724" s="1845"/>
      <c r="N1724" s="1845"/>
      <c r="O1724" s="1845"/>
      <c r="P1724" s="1845">
        <f t="shared" si="315"/>
        <v>0</v>
      </c>
      <c r="Q1724" s="1056"/>
      <c r="R1724" s="1056"/>
      <c r="S1724" s="1056"/>
      <c r="T1724" s="2059">
        <f t="shared" si="320"/>
        <v>0</v>
      </c>
    </row>
    <row r="1725" spans="1:20" ht="22.15" hidden="1" customHeight="1">
      <c r="A1725" s="59"/>
      <c r="B1725" s="1593" t="s">
        <v>1529</v>
      </c>
      <c r="C1725" s="1015" t="str">
        <f t="shared" si="321"/>
        <v xml:space="preserve"> </v>
      </c>
      <c r="D1725" s="1542">
        <f t="shared" si="322"/>
        <v>0</v>
      </c>
      <c r="E1725" s="1047" t="str">
        <f>VLOOKUP($B1725,DG!A:D,DG!$B$2,)</f>
        <v>06.6106</v>
      </c>
      <c r="F1725" s="1052" t="str">
        <f>VLOOKUP($B1725,DG!A:D,DG!$C$2,)</f>
        <v>Kéo dây nhôm lõi thép cỡ dây 95mm2</v>
      </c>
      <c r="G1725" s="1047" t="str">
        <f>VLOOKUP($B1725,DG!A:D,DG!$D$2,)</f>
        <v>km</v>
      </c>
      <c r="H1725" s="1845"/>
      <c r="I1725" s="1845"/>
      <c r="J1725" s="1845"/>
      <c r="K1725" s="1845"/>
      <c r="L1725" s="1845"/>
      <c r="M1725" s="1845"/>
      <c r="N1725" s="1845"/>
      <c r="O1725" s="1845"/>
      <c r="P1725" s="1845">
        <f t="shared" si="315"/>
        <v>0</v>
      </c>
      <c r="Q1725" s="1056"/>
      <c r="R1725" s="1056"/>
      <c r="S1725" s="1056"/>
      <c r="T1725" s="2059">
        <f t="shared" si="320"/>
        <v>0</v>
      </c>
    </row>
    <row r="1726" spans="1:20" ht="22.15" hidden="1" customHeight="1">
      <c r="A1726" s="59"/>
      <c r="B1726" s="1593" t="s">
        <v>139</v>
      </c>
      <c r="C1726" s="1015" t="str">
        <f t="shared" si="321"/>
        <v xml:space="preserve"> </v>
      </c>
      <c r="D1726" s="1542">
        <f t="shared" si="322"/>
        <v>0</v>
      </c>
      <c r="E1726" s="1047" t="str">
        <f>VLOOKUP($B1726,DG!A:D,DG!$B$2,)</f>
        <v>06.6107</v>
      </c>
      <c r="F1726" s="1052" t="str">
        <f>VLOOKUP($B1726,DG!A:D,DG!$C$2,)</f>
        <v>Kéo dây nhôm lõi thép cỡ dây 120mm2</v>
      </c>
      <c r="G1726" s="1047" t="str">
        <f>VLOOKUP($B1726,DG!A:D,DG!$D$2,)</f>
        <v>km</v>
      </c>
      <c r="H1726" s="1845"/>
      <c r="I1726" s="1845"/>
      <c r="J1726" s="1845"/>
      <c r="K1726" s="1845"/>
      <c r="L1726" s="1845"/>
      <c r="M1726" s="1845"/>
      <c r="N1726" s="1845"/>
      <c r="O1726" s="1845"/>
      <c r="P1726" s="1845">
        <f t="shared" si="315"/>
        <v>0</v>
      </c>
      <c r="Q1726" s="1056"/>
      <c r="R1726" s="1056"/>
      <c r="S1726" s="1056"/>
      <c r="T1726" s="2059">
        <f t="shared" si="320"/>
        <v>0</v>
      </c>
    </row>
    <row r="1727" spans="1:20" ht="22.15" hidden="1" customHeight="1">
      <c r="A1727" s="59"/>
      <c r="B1727" s="1593" t="s">
        <v>793</v>
      </c>
      <c r="C1727" s="1015" t="str">
        <f t="shared" si="321"/>
        <v xml:space="preserve"> </v>
      </c>
      <c r="D1727" s="1542">
        <f t="shared" si="322"/>
        <v>0</v>
      </c>
      <c r="E1727" s="1047" t="str">
        <f>VLOOKUP($B1727,DG!A:D,DG!$B$2,)</f>
        <v>06.6108</v>
      </c>
      <c r="F1727" s="1052" t="str">
        <f>VLOOKUP($B1727,DG!A:D,DG!$C$2,)</f>
        <v>Kéo dây nhôm lõi thép cỡ dây 150mm2</v>
      </c>
      <c r="G1727" s="1047" t="str">
        <f>VLOOKUP($B1727,DG!A:D,DG!$D$2,)</f>
        <v>km</v>
      </c>
      <c r="H1727" s="1845"/>
      <c r="I1727" s="1845"/>
      <c r="J1727" s="1845"/>
      <c r="K1727" s="1845"/>
      <c r="L1727" s="1845"/>
      <c r="M1727" s="1845"/>
      <c r="N1727" s="1845"/>
      <c r="O1727" s="1845"/>
      <c r="P1727" s="1845">
        <f t="shared" si="315"/>
        <v>0</v>
      </c>
      <c r="Q1727" s="1056"/>
      <c r="R1727" s="1056"/>
      <c r="S1727" s="1056"/>
      <c r="T1727" s="2059">
        <f t="shared" si="320"/>
        <v>0</v>
      </c>
    </row>
    <row r="1728" spans="1:20" ht="22.15" hidden="1" customHeight="1">
      <c r="A1728" s="59"/>
      <c r="B1728" s="1593" t="s">
        <v>140</v>
      </c>
      <c r="C1728" s="1015" t="str">
        <f t="shared" si="321"/>
        <v xml:space="preserve"> </v>
      </c>
      <c r="D1728" s="1542">
        <f t="shared" si="322"/>
        <v>0</v>
      </c>
      <c r="E1728" s="1047" t="str">
        <f>VLOOKUP($B1728,DG!A:D,DG!$B$2,)</f>
        <v>06.6109</v>
      </c>
      <c r="F1728" s="1052" t="str">
        <f>VLOOKUP($B1728,DG!A:D,DG!$C$2,)</f>
        <v>Kéo dây nhôm lõi thép cỡ dây 185mm2</v>
      </c>
      <c r="G1728" s="1047" t="str">
        <f>VLOOKUP($B1728,DG!A:D,DG!$D$2,)</f>
        <v>km</v>
      </c>
      <c r="H1728" s="1845"/>
      <c r="I1728" s="1845"/>
      <c r="J1728" s="1845"/>
      <c r="K1728" s="1845"/>
      <c r="L1728" s="1845"/>
      <c r="M1728" s="1845"/>
      <c r="N1728" s="1845"/>
      <c r="O1728" s="1845"/>
      <c r="P1728" s="1845">
        <f t="shared" si="315"/>
        <v>0</v>
      </c>
      <c r="Q1728" s="1056"/>
      <c r="R1728" s="1056"/>
      <c r="S1728" s="1056"/>
      <c r="T1728" s="2059">
        <f t="shared" si="320"/>
        <v>0</v>
      </c>
    </row>
    <row r="1729" spans="1:20" ht="22.15" hidden="1" customHeight="1">
      <c r="A1729" s="59"/>
      <c r="B1729" s="1593" t="s">
        <v>713</v>
      </c>
      <c r="C1729" s="1015" t="str">
        <f t="shared" si="321"/>
        <v xml:space="preserve"> </v>
      </c>
      <c r="D1729" s="1542">
        <f t="shared" si="322"/>
        <v>0</v>
      </c>
      <c r="E1729" s="1047" t="str">
        <f>VLOOKUP($B1729,DG!A:D,DG!$B$2,)</f>
        <v>06.6110</v>
      </c>
      <c r="F1729" s="1052" t="str">
        <f>VLOOKUP($B1729,DG!A:D,DG!$C$2,)</f>
        <v>Kéo dây nhôm lõi thép cỡ dây 240mm2</v>
      </c>
      <c r="G1729" s="1047" t="str">
        <f>VLOOKUP($B1729,DG!A:D,DG!$D$2,)</f>
        <v>km</v>
      </c>
      <c r="H1729" s="1845"/>
      <c r="I1729" s="1845"/>
      <c r="J1729" s="1845"/>
      <c r="K1729" s="1845"/>
      <c r="L1729" s="1845"/>
      <c r="M1729" s="1845"/>
      <c r="N1729" s="1845"/>
      <c r="O1729" s="1845"/>
      <c r="P1729" s="1845">
        <f t="shared" si="315"/>
        <v>0</v>
      </c>
      <c r="Q1729" s="1056"/>
      <c r="R1729" s="1056"/>
      <c r="S1729" s="1056"/>
      <c r="T1729" s="2059">
        <f t="shared" si="320"/>
        <v>0</v>
      </c>
    </row>
    <row r="1730" spans="1:20" ht="22.15" hidden="1" customHeight="1">
      <c r="A1730" s="59"/>
      <c r="B1730" s="1593" t="s">
        <v>79</v>
      </c>
      <c r="C1730" s="1015" t="str">
        <f t="shared" si="321"/>
        <v xml:space="preserve"> </v>
      </c>
      <c r="D1730" s="1542">
        <f>E1642/1000</f>
        <v>0</v>
      </c>
      <c r="E1730" s="1047" t="str">
        <f>VLOOKUP($B1730,DG!A:D,DG!$B$2,)</f>
        <v>06.6105</v>
      </c>
      <c r="F1730" s="1052" t="str">
        <f>VLOOKUP($B1730,DG!A:D,DG!$C$2,)</f>
        <v>Kéo dây nhôm bọc 70mm2</v>
      </c>
      <c r="G1730" s="1047" t="str">
        <f>VLOOKUP($B1730,DG!A:D,DG!$D$2,)</f>
        <v>km</v>
      </c>
      <c r="H1730" s="1845"/>
      <c r="I1730" s="1845"/>
      <c r="J1730" s="1845"/>
      <c r="K1730" s="1845"/>
      <c r="L1730" s="1845"/>
      <c r="M1730" s="1845"/>
      <c r="N1730" s="1845"/>
      <c r="O1730" s="1845"/>
      <c r="P1730" s="1845">
        <f t="shared" si="315"/>
        <v>0</v>
      </c>
      <c r="Q1730" s="1056"/>
      <c r="R1730" s="1056"/>
      <c r="S1730" s="1056"/>
      <c r="T1730" s="2059">
        <f t="shared" si="320"/>
        <v>0</v>
      </c>
    </row>
    <row r="1731" spans="1:20" ht="22.15" hidden="1" customHeight="1">
      <c r="A1731" s="59"/>
      <c r="B1731" s="1593" t="s">
        <v>1514</v>
      </c>
      <c r="C1731" s="1015" t="str">
        <f t="shared" si="321"/>
        <v xml:space="preserve"> </v>
      </c>
      <c r="D1731" s="1542">
        <f>E1641/1000</f>
        <v>0</v>
      </c>
      <c r="E1731" s="1047" t="str">
        <f>VLOOKUP($B1731,DG!A:D,DG!$B$2,)</f>
        <v>06.6106</v>
      </c>
      <c r="F1731" s="1052" t="str">
        <f>VLOOKUP($B1731,DG!A:D,DG!$C$2,)</f>
        <v>Kéo dây nhôm bọc 95mm2</v>
      </c>
      <c r="G1731" s="1047" t="str">
        <f>VLOOKUP($B1731,DG!A:D,DG!$D$2,)</f>
        <v>km</v>
      </c>
      <c r="H1731" s="1845"/>
      <c r="I1731" s="1845"/>
      <c r="J1731" s="1845"/>
      <c r="K1731" s="1845"/>
      <c r="L1731" s="1845"/>
      <c r="M1731" s="1845"/>
      <c r="N1731" s="1845"/>
      <c r="O1731" s="1845"/>
      <c r="P1731" s="1845">
        <f t="shared" si="315"/>
        <v>0</v>
      </c>
      <c r="Q1731" s="1056"/>
      <c r="R1731" s="1056"/>
      <c r="S1731" s="1056"/>
      <c r="T1731" s="2059">
        <f t="shared" si="320"/>
        <v>0</v>
      </c>
    </row>
    <row r="1732" spans="1:20" ht="22.15" hidden="1" customHeight="1">
      <c r="A1732" s="59"/>
      <c r="B1732" s="1593" t="s">
        <v>1176</v>
      </c>
      <c r="C1732" s="1015" t="str">
        <f t="shared" si="321"/>
        <v xml:space="preserve"> </v>
      </c>
      <c r="D1732" s="1542">
        <f>E1640/1000</f>
        <v>0</v>
      </c>
      <c r="E1732" s="1047" t="str">
        <f>VLOOKUP($B1732,DG!A:D,DG!$B$2,)</f>
        <v>06.6107</v>
      </c>
      <c r="F1732" s="1052" t="str">
        <f>VLOOKUP($B1732,DG!A:D,DG!$C$2,)</f>
        <v>Kéo dây nhôm bọc 120mm2</v>
      </c>
      <c r="G1732" s="1047" t="str">
        <f>VLOOKUP($B1732,DG!A:D,DG!$D$2,)</f>
        <v>km</v>
      </c>
      <c r="H1732" s="1845"/>
      <c r="I1732" s="1845"/>
      <c r="J1732" s="1845"/>
      <c r="K1732" s="1845"/>
      <c r="L1732" s="1845"/>
      <c r="M1732" s="1845"/>
      <c r="N1732" s="1845"/>
      <c r="O1732" s="1845"/>
      <c r="P1732" s="1845">
        <f t="shared" si="315"/>
        <v>0</v>
      </c>
      <c r="Q1732" s="1056"/>
      <c r="R1732" s="1056"/>
      <c r="S1732" s="1056"/>
      <c r="T1732" s="2059">
        <f t="shared" si="320"/>
        <v>0</v>
      </c>
    </row>
    <row r="1733" spans="1:20" ht="22.15" hidden="1" customHeight="1">
      <c r="A1733" s="59"/>
      <c r="B1733" s="1593" t="s">
        <v>926</v>
      </c>
      <c r="C1733" s="1015" t="str">
        <f t="shared" si="321"/>
        <v xml:space="preserve"> </v>
      </c>
      <c r="D1733" s="1542">
        <f>E1639/1000</f>
        <v>0</v>
      </c>
      <c r="E1733" s="1047" t="str">
        <f>VLOOKUP($B1733,DG!A:D,DG!$B$2,)</f>
        <v>06.6108</v>
      </c>
      <c r="F1733" s="1052" t="str">
        <f>VLOOKUP($B1733,DG!A:D,DG!$C$2,)</f>
        <v>Kéo dây nhôm bọc 150mm2</v>
      </c>
      <c r="G1733" s="1047" t="str">
        <f>VLOOKUP($B1733,DG!A:D,DG!$D$2,)</f>
        <v>km</v>
      </c>
      <c r="H1733" s="1845"/>
      <c r="I1733" s="1845"/>
      <c r="J1733" s="1845"/>
      <c r="K1733" s="1845"/>
      <c r="L1733" s="1845"/>
      <c r="M1733" s="1845"/>
      <c r="N1733" s="1845"/>
      <c r="O1733" s="1845"/>
      <c r="P1733" s="1845">
        <f t="shared" si="315"/>
        <v>0</v>
      </c>
      <c r="Q1733" s="1056"/>
      <c r="R1733" s="1056"/>
      <c r="S1733" s="1056"/>
      <c r="T1733" s="2059">
        <f t="shared" si="320"/>
        <v>0</v>
      </c>
    </row>
    <row r="1734" spans="1:20" ht="22.15" hidden="1" customHeight="1">
      <c r="A1734" s="59"/>
      <c r="B1734" s="1593" t="s">
        <v>927</v>
      </c>
      <c r="C1734" s="1015" t="str">
        <f t="shared" si="321"/>
        <v xml:space="preserve"> </v>
      </c>
      <c r="D1734" s="1542">
        <f>E1638/1000</f>
        <v>0</v>
      </c>
      <c r="E1734" s="1047" t="str">
        <f>VLOOKUP($B1734,DG!A:D,DG!$B$2,)</f>
        <v>06.6109</v>
      </c>
      <c r="F1734" s="1052" t="str">
        <f>VLOOKUP($B1734,DG!A:D,DG!$C$2,)</f>
        <v>Kéo dây nhôm bọc 185mm2</v>
      </c>
      <c r="G1734" s="1047" t="str">
        <f>VLOOKUP($B1734,DG!A:D,DG!$D$2,)</f>
        <v>km</v>
      </c>
      <c r="H1734" s="1845"/>
      <c r="I1734" s="1845"/>
      <c r="J1734" s="1845"/>
      <c r="K1734" s="1845"/>
      <c r="L1734" s="1845"/>
      <c r="M1734" s="1845"/>
      <c r="N1734" s="1845"/>
      <c r="O1734" s="1845"/>
      <c r="P1734" s="1845">
        <f t="shared" si="315"/>
        <v>0</v>
      </c>
      <c r="Q1734" s="1056"/>
      <c r="R1734" s="1056"/>
      <c r="S1734" s="1056"/>
      <c r="T1734" s="2059">
        <f t="shared" si="320"/>
        <v>0</v>
      </c>
    </row>
    <row r="1735" spans="1:20" ht="22.15" hidden="1" customHeight="1">
      <c r="A1735" s="59"/>
      <c r="B1735" s="1593" t="s">
        <v>1446</v>
      </c>
      <c r="C1735" s="1015" t="str">
        <f t="shared" si="321"/>
        <v xml:space="preserve"> </v>
      </c>
      <c r="D1735" s="1542">
        <f>E1637/1000</f>
        <v>0</v>
      </c>
      <c r="E1735" s="1047" t="str">
        <f>VLOOKUP($B1735,DG!A:D,DG!$B$2,)</f>
        <v>06.6110</v>
      </c>
      <c r="F1735" s="1052" t="str">
        <f>VLOOKUP($B1735,DG!A:D,DG!$C$2,)</f>
        <v>Kéo dây nhôm bọc 240mm2</v>
      </c>
      <c r="G1735" s="1047" t="str">
        <f>VLOOKUP($B1735,DG!A:D,DG!$D$2,)</f>
        <v>km</v>
      </c>
      <c r="H1735" s="1845"/>
      <c r="I1735" s="1845"/>
      <c r="J1735" s="1845"/>
      <c r="K1735" s="1845"/>
      <c r="L1735" s="1845"/>
      <c r="M1735" s="1845"/>
      <c r="N1735" s="1845"/>
      <c r="O1735" s="1845"/>
      <c r="P1735" s="1845">
        <f t="shared" si="315"/>
        <v>0</v>
      </c>
      <c r="Q1735" s="1056"/>
      <c r="R1735" s="1056"/>
      <c r="S1735" s="1056"/>
      <c r="T1735" s="2059">
        <f t="shared" si="320"/>
        <v>0</v>
      </c>
    </row>
    <row r="1736" spans="1:20" ht="22.15" hidden="1" customHeight="1">
      <c r="A1736" s="59"/>
      <c r="B1736" s="1586" t="s">
        <v>347</v>
      </c>
      <c r="C1736" s="1015" t="str">
        <f t="shared" si="321"/>
        <v xml:space="preserve"> </v>
      </c>
      <c r="D1736" s="1544">
        <f>D1655+D1658+D1662*2</f>
        <v>0</v>
      </c>
      <c r="E1736" s="1047" t="str">
        <f>VLOOKUP($B1736,DG!A:D,DG!$B$2,)</f>
        <v>06.1115</v>
      </c>
      <c r="F1736" s="1052" t="str">
        <f>VLOOKUP($B1736,DG!A:D,DG!$C$2,)</f>
        <v>Lắp sứ đứng 24KV</v>
      </c>
      <c r="G1736" s="1047" t="str">
        <f>VLOOKUP($B1736,DG!A:D,DG!$D$2,)</f>
        <v>bộ</v>
      </c>
      <c r="H1736" s="1845"/>
      <c r="I1736" s="1845"/>
      <c r="J1736" s="1845"/>
      <c r="K1736" s="1845"/>
      <c r="L1736" s="1845"/>
      <c r="M1736" s="1845"/>
      <c r="N1736" s="1845"/>
      <c r="O1736" s="1845"/>
      <c r="P1736" s="1845">
        <f t="shared" si="315"/>
        <v>0</v>
      </c>
      <c r="Q1736" s="1056"/>
      <c r="R1736" s="1056"/>
      <c r="S1736" s="1056"/>
      <c r="T1736" s="2059">
        <f t="shared" si="320"/>
        <v>0</v>
      </c>
    </row>
    <row r="1737" spans="1:20" ht="22.15" hidden="1" customHeight="1">
      <c r="A1737" s="59"/>
      <c r="B1737" s="1586" t="s">
        <v>348</v>
      </c>
      <c r="C1737" s="1015" t="str">
        <f t="shared" si="321"/>
        <v xml:space="preserve"> </v>
      </c>
      <c r="D1737" s="1544">
        <f>D1658+D1662*2</f>
        <v>0</v>
      </c>
      <c r="E1737" s="1047" t="str">
        <f>VLOOKUP($B1737,DG!A:D,DG!$B$2,)</f>
        <v>06.3231</v>
      </c>
      <c r="F1737" s="1052" t="str">
        <f>VLOOKUP($B1737,DG!A:D,DG!$C$2,)</f>
        <v>Lắp chân sứ đỉnh</v>
      </c>
      <c r="G1737" s="1047" t="str">
        <f>VLOOKUP($B1737,DG!A:D,DG!$D$2,)</f>
        <v>cái</v>
      </c>
      <c r="H1737" s="1845"/>
      <c r="I1737" s="1845"/>
      <c r="J1737" s="1845"/>
      <c r="K1737" s="1845"/>
      <c r="L1737" s="1845"/>
      <c r="M1737" s="1845"/>
      <c r="N1737" s="1845"/>
      <c r="O1737" s="1845"/>
      <c r="P1737" s="1845">
        <f t="shared" si="315"/>
        <v>0</v>
      </c>
      <c r="Q1737" s="1056"/>
      <c r="R1737" s="1056"/>
      <c r="S1737" s="1056"/>
      <c r="T1737" s="2059">
        <f t="shared" si="320"/>
        <v>0</v>
      </c>
    </row>
    <row r="1738" spans="1:20" ht="22.15" hidden="1" customHeight="1">
      <c r="A1738" s="59"/>
      <c r="B1738" s="1586" t="s">
        <v>349</v>
      </c>
      <c r="C1738" s="1015" t="str">
        <f t="shared" si="321"/>
        <v xml:space="preserve"> </v>
      </c>
      <c r="D1738" s="1544">
        <f>-SUM(D1681:D1682)</f>
        <v>0</v>
      </c>
      <c r="E1738" s="1047" t="str">
        <f>VLOOKUP($B1738,DG!A:D,DG!$B$2,)</f>
        <v>06.1410</v>
      </c>
      <c r="F1738" s="1052" t="str">
        <f>VLOOKUP($B1738,DG!A:D,DG!$C$2,)</f>
        <v>Lắp chuỗi sứ đỡ 2 bát/chuỗi</v>
      </c>
      <c r="G1738" s="1047" t="str">
        <f>VLOOKUP($B1738,DG!A:D,DG!$D$2,)</f>
        <v>chuỗi</v>
      </c>
      <c r="H1738" s="1845"/>
      <c r="I1738" s="1845"/>
      <c r="J1738" s="1845"/>
      <c r="K1738" s="1845"/>
      <c r="L1738" s="1845"/>
      <c r="M1738" s="1845"/>
      <c r="N1738" s="1845"/>
      <c r="O1738" s="1845"/>
      <c r="P1738" s="1845">
        <f t="shared" si="315"/>
        <v>0</v>
      </c>
      <c r="Q1738" s="1056"/>
      <c r="R1738" s="1056"/>
      <c r="S1738" s="1056"/>
      <c r="T1738" s="2059">
        <f t="shared" si="320"/>
        <v>0</v>
      </c>
    </row>
    <row r="1739" spans="1:20" ht="22.15" hidden="1" customHeight="1">
      <c r="A1739" s="59"/>
      <c r="B1739" s="1586" t="s">
        <v>350</v>
      </c>
      <c r="C1739" s="1015" t="str">
        <f t="shared" si="321"/>
        <v xml:space="preserve"> </v>
      </c>
      <c r="D1739" s="1544">
        <f>D1672+D1666-D1738</f>
        <v>0</v>
      </c>
      <c r="E1739" s="1047" t="str">
        <f>VLOOKUP($B1739,DG!A:D,DG!$B$2,)</f>
        <v>06.1511</v>
      </c>
      <c r="F1739" s="1052" t="str">
        <f>VLOOKUP($B1739,DG!A:D,DG!$C$2,)</f>
        <v>Lắp chuỗi sứ néo 2 bát/chuỗi</v>
      </c>
      <c r="G1739" s="1047" t="str">
        <f>VLOOKUP($B1739,DG!A:D,DG!$D$2,)</f>
        <v>chuỗi</v>
      </c>
      <c r="H1739" s="1845"/>
      <c r="I1739" s="1845"/>
      <c r="J1739" s="1845"/>
      <c r="K1739" s="1845"/>
      <c r="L1739" s="1845"/>
      <c r="M1739" s="1845"/>
      <c r="N1739" s="1845"/>
      <c r="O1739" s="1845"/>
      <c r="P1739" s="1845">
        <f t="shared" si="315"/>
        <v>0</v>
      </c>
      <c r="Q1739" s="1061"/>
      <c r="R1739" s="1061"/>
      <c r="S1739" s="1061"/>
      <c r="T1739" s="2059">
        <f t="shared" si="320"/>
        <v>0</v>
      </c>
    </row>
    <row r="1740" spans="1:20" ht="22.15" hidden="1" customHeight="1">
      <c r="A1740" s="59"/>
      <c r="B1740" s="1586" t="s">
        <v>1512</v>
      </c>
      <c r="C1740" s="1015" t="str">
        <f t="shared" si="321"/>
        <v xml:space="preserve"> </v>
      </c>
      <c r="D1740" s="1544">
        <f>D1673+D1667-D1739</f>
        <v>0</v>
      </c>
      <c r="E1740" s="1047" t="str">
        <f>VLOOKUP($B1740,DG!A:D,DG!$B$2,)</f>
        <v>06.2201</v>
      </c>
      <c r="F1740" s="1052" t="str">
        <f>VLOOKUP($B1740,DG!A:D,DG!$C$2,)</f>
        <v>Lắp chuỗi sứ néo Polymer</v>
      </c>
      <c r="G1740" s="1047" t="str">
        <f>VLOOKUP($B1740,DG!A:D,DG!$D$2,)</f>
        <v>chuỗi</v>
      </c>
      <c r="H1740" s="1845"/>
      <c r="I1740" s="1845"/>
      <c r="J1740" s="1845"/>
      <c r="K1740" s="1845"/>
      <c r="L1740" s="1845"/>
      <c r="M1740" s="1845"/>
      <c r="N1740" s="1845"/>
      <c r="O1740" s="1845"/>
      <c r="P1740" s="1845">
        <f t="shared" si="315"/>
        <v>0</v>
      </c>
      <c r="Q1740" s="1061"/>
      <c r="R1740" s="1061"/>
      <c r="S1740" s="1061"/>
      <c r="T1740" s="2059">
        <f t="shared" si="320"/>
        <v>0</v>
      </c>
    </row>
    <row r="1741" spans="1:20" ht="22.15" hidden="1" customHeight="1">
      <c r="A1741" s="59"/>
      <c r="B1741" s="1586" t="s">
        <v>351</v>
      </c>
      <c r="C1741" s="1015" t="str">
        <f t="shared" si="321"/>
        <v xml:space="preserve"> </v>
      </c>
      <c r="D1741" s="1544">
        <f>D1643+D1646</f>
        <v>0</v>
      </c>
      <c r="E1741" s="1047" t="str">
        <f>VLOOKUP($B1741,DG!A:D,DG!$B$2,)</f>
        <v>06.1211</v>
      </c>
      <c r="F1741" s="1052" t="str">
        <f>VLOOKUP($B1741,DG!A:D,DG!$C$2,)</f>
        <v>Lắp rack sứ + sứ ống chỉ</v>
      </c>
      <c r="G1741" s="1047" t="str">
        <f>VLOOKUP($B1741,DG!A:D,DG!$D$2,)</f>
        <v>bộ</v>
      </c>
      <c r="H1741" s="1845"/>
      <c r="I1741" s="1845"/>
      <c r="J1741" s="1845"/>
      <c r="K1741" s="1845"/>
      <c r="L1741" s="1845"/>
      <c r="M1741" s="1845"/>
      <c r="N1741" s="1845"/>
      <c r="O1741" s="1845"/>
      <c r="P1741" s="1845">
        <f t="shared" si="315"/>
        <v>0</v>
      </c>
      <c r="Q1741" s="1056"/>
      <c r="R1741" s="1056"/>
      <c r="S1741" s="1056"/>
      <c r="T1741" s="2059">
        <f t="shared" si="320"/>
        <v>0</v>
      </c>
    </row>
    <row r="1742" spans="1:20" ht="22.15" hidden="1" customHeight="1">
      <c r="A1742" s="59"/>
      <c r="B1742" s="1586" t="s">
        <v>353</v>
      </c>
      <c r="C1742" s="1015" t="str">
        <f t="shared" si="321"/>
        <v xml:space="preserve"> </v>
      </c>
      <c r="D1742" s="1544">
        <f>P1742</f>
        <v>0</v>
      </c>
      <c r="E1742" s="1047" t="str">
        <f>VLOOKUP($B1742,DG!A:D,DG!$B$2,)</f>
        <v>06.5072</v>
      </c>
      <c r="F1742" s="1052" t="str">
        <f>VLOOKUP($B1742,DG!A:D,DG!$C$2,)</f>
        <v xml:space="preserve">Kéo dây qua vị trí bẻ góc dây </v>
      </c>
      <c r="G1742" s="1047" t="str">
        <f>VLOOKUP($B1742,DG!A:D,DG!$D$2,)</f>
        <v>vị trí</v>
      </c>
      <c r="H1742" s="1845"/>
      <c r="I1742" s="1845"/>
      <c r="J1742" s="1845"/>
      <c r="K1742" s="1845"/>
      <c r="L1742" s="1845"/>
      <c r="M1742" s="1845"/>
      <c r="N1742" s="1845"/>
      <c r="O1742" s="1845"/>
      <c r="P1742" s="1845">
        <f t="shared" si="315"/>
        <v>0</v>
      </c>
      <c r="Q1742" s="1061"/>
      <c r="R1742" s="1061"/>
      <c r="S1742" s="1061"/>
      <c r="T1742" s="2059">
        <f t="shared" si="320"/>
        <v>0</v>
      </c>
    </row>
    <row r="1743" spans="1:20" ht="22.15" hidden="1" customHeight="1">
      <c r="A1743" s="59"/>
      <c r="B1743" s="1586" t="s">
        <v>354</v>
      </c>
      <c r="C1743" s="1015" t="str">
        <f t="shared" si="321"/>
        <v xml:space="preserve"> </v>
      </c>
      <c r="D1743" s="1541">
        <f>'pp3p2m '!EA82</f>
        <v>0</v>
      </c>
      <c r="E1743" s="1047" t="str">
        <f>VLOOKUP($B1743,DG!A:D,DG!$B$2,)</f>
        <v>06.5082</v>
      </c>
      <c r="F1743" s="1052" t="str">
        <f>VLOOKUP($B1743,DG!A:D,DG!$C$2,)</f>
        <v>Kéo dây qua sông ( S&lt;=300)</v>
      </c>
      <c r="G1743" s="1047" t="str">
        <f>VLOOKUP($B1743,DG!A:D,DG!$D$2,)</f>
        <v>vị trí</v>
      </c>
      <c r="H1743" s="1845"/>
      <c r="I1743" s="1845"/>
      <c r="J1743" s="1845"/>
      <c r="K1743" s="1845"/>
      <c r="L1743" s="1845"/>
      <c r="M1743" s="1845"/>
      <c r="N1743" s="1845"/>
      <c r="O1743" s="1845"/>
      <c r="P1743" s="1845">
        <f t="shared" si="315"/>
        <v>0</v>
      </c>
      <c r="Q1743" s="1061"/>
      <c r="R1743" s="1061"/>
      <c r="S1743" s="1061"/>
      <c r="T1743" s="2059">
        <f t="shared" si="320"/>
        <v>0</v>
      </c>
    </row>
    <row r="1744" spans="1:20" ht="22.15" hidden="1" customHeight="1">
      <c r="A1744" s="59"/>
      <c r="B1744" s="1586" t="s">
        <v>355</v>
      </c>
      <c r="C1744" s="1015" t="str">
        <f t="shared" si="321"/>
        <v xml:space="preserve"> </v>
      </c>
      <c r="D1744" s="1543">
        <f>D1627</f>
        <v>0</v>
      </c>
      <c r="E1744" s="1047" t="str">
        <f>VLOOKUP($B1744,DG!A:D,DG!$B$2,)</f>
        <v>02.1122</v>
      </c>
      <c r="F1744" s="1052" t="str">
        <f>VLOOKUP($B1744,DG!A:D,DG!$C$2,)</f>
        <v>Bốc dỡ dây</v>
      </c>
      <c r="G1744" s="1047" t="str">
        <f>VLOOKUP($B1744,DG!A:D,DG!$D$2,)</f>
        <v>tấn</v>
      </c>
      <c r="H1744" s="1845"/>
      <c r="I1744" s="1845"/>
      <c r="J1744" s="1845"/>
      <c r="K1744" s="1845"/>
      <c r="L1744" s="1845"/>
      <c r="M1744" s="1845"/>
      <c r="N1744" s="1845"/>
      <c r="O1744" s="1845"/>
      <c r="P1744" s="1845">
        <f t="shared" si="315"/>
        <v>0</v>
      </c>
      <c r="Q1744" s="1061"/>
      <c r="R1744" s="1061"/>
      <c r="S1744" s="1061"/>
      <c r="T1744" s="2059">
        <f t="shared" si="320"/>
        <v>0</v>
      </c>
    </row>
    <row r="1745" spans="1:20" ht="22.15" hidden="1" customHeight="1">
      <c r="A1745" s="59"/>
      <c r="B1745" s="1586" t="s">
        <v>1908</v>
      </c>
      <c r="C1745" s="1015" t="str">
        <f t="shared" si="321"/>
        <v xml:space="preserve"> </v>
      </c>
      <c r="D1745" s="1543">
        <f>D1626</f>
        <v>0</v>
      </c>
      <c r="E1745" s="1047" t="str">
        <f>VLOOKUP($B1745,DG!A:D,DG!$B$2,)</f>
        <v>02.1120</v>
      </c>
      <c r="F1745" s="1052" t="str">
        <f>VLOOKUP($B1745,DG!A:D,DG!$C$2,)</f>
        <v>Bốc dỡ phụ kiện</v>
      </c>
      <c r="G1745" s="1047" t="str">
        <f>VLOOKUP($B1745,DG!A:D,DG!$D$2,)</f>
        <v>tấn</v>
      </c>
      <c r="H1745" s="1845"/>
      <c r="I1745" s="1845"/>
      <c r="J1745" s="1845"/>
      <c r="K1745" s="1845"/>
      <c r="L1745" s="1845"/>
      <c r="M1745" s="1845"/>
      <c r="N1745" s="1845"/>
      <c r="O1745" s="1845"/>
      <c r="P1745" s="1845">
        <f t="shared" si="315"/>
        <v>0</v>
      </c>
      <c r="Q1745" s="1061"/>
      <c r="R1745" s="1061"/>
      <c r="S1745" s="1061"/>
      <c r="T1745" s="2059">
        <f t="shared" si="320"/>
        <v>0</v>
      </c>
    </row>
    <row r="1746" spans="1:20" ht="22.15" hidden="1" customHeight="1">
      <c r="A1746" s="59"/>
      <c r="B1746" s="1600" t="s">
        <v>356</v>
      </c>
      <c r="C1746" s="1015" t="str">
        <f t="shared" si="321"/>
        <v xml:space="preserve"> </v>
      </c>
      <c r="D1746" s="1559"/>
      <c r="E1746" s="1047" t="str">
        <f>VLOOKUP($B1746,DG!A:D,DG!$B$2,)</f>
        <v>02.1421</v>
      </c>
      <c r="F1746" s="1052" t="str">
        <f>VLOOKUP($B1746,DG!A:D,DG!$C$2,)</f>
        <v>V/c phụ kiện vào vị trí (cự ly &lt;=100m)</v>
      </c>
      <c r="G1746" s="1047" t="str">
        <f>VLOOKUP($B1746,DG!A:D,DG!$D$2,)</f>
        <v>tấn</v>
      </c>
      <c r="H1746" s="1845"/>
      <c r="I1746" s="1845"/>
      <c r="J1746" s="1845"/>
      <c r="K1746" s="1845"/>
      <c r="L1746" s="1845"/>
      <c r="M1746" s="1845"/>
      <c r="N1746" s="1845"/>
      <c r="O1746" s="1845"/>
      <c r="P1746" s="1845">
        <f t="shared" si="315"/>
        <v>0</v>
      </c>
      <c r="Q1746" s="1061"/>
      <c r="R1746" s="1061"/>
      <c r="S1746" s="1061"/>
      <c r="T1746" s="2059">
        <f t="shared" si="320"/>
        <v>0</v>
      </c>
    </row>
    <row r="1747" spans="1:20" ht="22.15" hidden="1" customHeight="1">
      <c r="A1747" s="59"/>
      <c r="B1747" s="1600" t="s">
        <v>357</v>
      </c>
      <c r="C1747" s="1015" t="str">
        <f t="shared" si="321"/>
        <v xml:space="preserve"> </v>
      </c>
      <c r="D1747" s="1559"/>
      <c r="E1747" s="1047" t="str">
        <f>VLOOKUP($B1747,DG!A:D,DG!$B$2,)</f>
        <v>02.1441</v>
      </c>
      <c r="F1747" s="1052" t="str">
        <f>VLOOKUP($B1747,DG!A:D,DG!$C$2,)</f>
        <v>V/c dây vào vị trí (cự ly &lt;=100m)</v>
      </c>
      <c r="G1747" s="1047" t="str">
        <f>VLOOKUP($B1747,DG!A:D,DG!$D$2,)</f>
        <v>tấn</v>
      </c>
      <c r="H1747" s="1845"/>
      <c r="I1747" s="1845"/>
      <c r="J1747" s="1845"/>
      <c r="K1747" s="1845"/>
      <c r="L1747" s="1845"/>
      <c r="M1747" s="1845"/>
      <c r="N1747" s="1845"/>
      <c r="O1747" s="1845"/>
      <c r="P1747" s="1845">
        <f t="shared" si="315"/>
        <v>0</v>
      </c>
      <c r="Q1747" s="1061"/>
      <c r="R1747" s="1061"/>
      <c r="S1747" s="1061"/>
      <c r="T1747" s="2059">
        <f t="shared" si="320"/>
        <v>0</v>
      </c>
    </row>
    <row r="1748" spans="1:20" ht="22.15" hidden="1" customHeight="1">
      <c r="A1748" s="59"/>
      <c r="B1748" s="1598" t="s">
        <v>606</v>
      </c>
      <c r="C1748" s="1015" t="str">
        <f t="shared" si="321"/>
        <v xml:space="preserve"> </v>
      </c>
      <c r="D1748" s="1559"/>
      <c r="E1748" s="1047" t="str">
        <f>VLOOKUP($B1748,DG!A:D,DG!$B$2,)</f>
        <v>02.1482</v>
      </c>
      <c r="F1748" s="1052" t="str">
        <f>VLOOKUP($B1748,DG!A:D,DG!$C$2,)</f>
        <v>V/c dụng cụ thi công vào vị trí (cự ly &lt;=100m)</v>
      </c>
      <c r="G1748" s="1047" t="str">
        <f>VLOOKUP($B1748,DG!A:D,DG!$D$2,)</f>
        <v>tấn</v>
      </c>
      <c r="H1748" s="1845"/>
      <c r="I1748" s="1845"/>
      <c r="J1748" s="1845"/>
      <c r="K1748" s="1845"/>
      <c r="L1748" s="1845"/>
      <c r="M1748" s="1845"/>
      <c r="N1748" s="1845"/>
      <c r="O1748" s="1845"/>
      <c r="P1748" s="1845">
        <f t="shared" si="315"/>
        <v>0</v>
      </c>
      <c r="Q1748" s="1061"/>
      <c r="R1748" s="1061"/>
      <c r="S1748" s="1061"/>
      <c r="T1748" s="2059">
        <f t="shared" si="320"/>
        <v>0</v>
      </c>
    </row>
    <row r="1749" spans="1:20" ht="22.15" customHeight="1">
      <c r="A1749" s="1581" t="s">
        <v>1925</v>
      </c>
      <c r="B1749" s="1583" t="s">
        <v>1925</v>
      </c>
      <c r="C1749" s="1854" t="str">
        <f>IF(K1749&lt;&gt;0,"x"," ")</f>
        <v>x</v>
      </c>
      <c r="D1749" s="1541">
        <f>IF(SUM(D1750:D1768)&lt;&gt;0,1,0)</f>
        <v>1</v>
      </c>
      <c r="E1749" s="1049">
        <v>1</v>
      </c>
      <c r="F1749" s="1396" t="s">
        <v>4501</v>
      </c>
      <c r="G1749" s="1049" t="s">
        <v>2309</v>
      </c>
      <c r="H1749" s="1843">
        <f>SUM(I1749:O1749)</f>
        <v>1</v>
      </c>
      <c r="I1749" s="1844"/>
      <c r="J1749" s="1844"/>
      <c r="K1749" s="1844">
        <f>IF(SUM(K1750:K1768)&gt;0,1,0)</f>
        <v>1</v>
      </c>
      <c r="L1749" s="1844">
        <f>IFERROR(HLOOKUP(chitiet!B1749,pp1p!$1:$3,3,0),0)</f>
        <v>0</v>
      </c>
      <c r="M1749" s="1844"/>
      <c r="N1749" s="1844"/>
      <c r="O1749" s="1844"/>
      <c r="P1749" s="1843">
        <f>H1749</f>
        <v>1</v>
      </c>
      <c r="Q1749" s="1050"/>
      <c r="R1749" s="1050"/>
      <c r="S1749" s="1050"/>
      <c r="T1749" s="2059">
        <f>IFERROR(HLOOKUP(B1749,pp3p1m!1:3,3,0),0)</f>
        <v>0</v>
      </c>
    </row>
    <row r="1750" spans="1:20" ht="22.15" hidden="1" customHeight="1">
      <c r="A1750" s="59"/>
      <c r="B1750" s="1586" t="s">
        <v>730</v>
      </c>
      <c r="C1750" s="1015" t="str">
        <f t="shared" si="321"/>
        <v xml:space="preserve"> </v>
      </c>
      <c r="D1750" s="1547">
        <f>ROUND(E1750*1.02*0.921,2)</f>
        <v>0</v>
      </c>
      <c r="E1750" s="1064"/>
      <c r="F1750" s="1059" t="str">
        <f>VLOOKUP($B1750,DG!A:D,DG!$C$2,)</f>
        <v>Cáp nhôm lõi thép AC-240/39</v>
      </c>
      <c r="G1750" s="1047" t="str">
        <f>VLOOKUP($B1750,DG!A:D,DG!$D$2,)</f>
        <v>kg</v>
      </c>
      <c r="H1750" s="1845">
        <f t="shared" ref="H1750:H1768" si="323">$D1750</f>
        <v>0</v>
      </c>
      <c r="I1750" s="1845"/>
      <c r="J1750" s="1845"/>
      <c r="K1750" s="1845">
        <f t="shared" ref="K1750:K1768" si="324">D1750</f>
        <v>0</v>
      </c>
      <c r="L1750" s="1845"/>
      <c r="M1750" s="1845"/>
      <c r="N1750" s="1845"/>
      <c r="O1750" s="1845"/>
      <c r="P1750" s="1845">
        <f t="shared" si="315"/>
        <v>0</v>
      </c>
      <c r="Q1750" s="1056"/>
      <c r="R1750" s="1056"/>
      <c r="S1750" s="1056"/>
      <c r="T1750" s="2059">
        <f>IFERROR(HLOOKUP(B1750,pp3p1m!2:4,3,0),0)</f>
        <v>0</v>
      </c>
    </row>
    <row r="1751" spans="1:20" ht="22.15" hidden="1" customHeight="1">
      <c r="A1751" s="59"/>
      <c r="B1751" s="1586" t="s">
        <v>731</v>
      </c>
      <c r="C1751" s="1015" t="str">
        <f t="shared" si="321"/>
        <v xml:space="preserve"> </v>
      </c>
      <c r="D1751" s="1549">
        <f>ROUND(E1751*1.02*0.728,2)</f>
        <v>0</v>
      </c>
      <c r="E1751" s="1064"/>
      <c r="F1751" s="1059" t="str">
        <f>VLOOKUP($B1751,DG!A:D,DG!$C$2,)</f>
        <v>Cáp nhôm lõi thép AC-185/29</v>
      </c>
      <c r="G1751" s="1047" t="str">
        <f>VLOOKUP($B1751,DG!A:D,DG!$D$2,)</f>
        <v>kg</v>
      </c>
      <c r="H1751" s="1845">
        <f t="shared" si="323"/>
        <v>0</v>
      </c>
      <c r="I1751" s="1845"/>
      <c r="J1751" s="1845"/>
      <c r="K1751" s="1845">
        <f t="shared" si="324"/>
        <v>0</v>
      </c>
      <c r="L1751" s="1845"/>
      <c r="M1751" s="1845"/>
      <c r="N1751" s="1845"/>
      <c r="O1751" s="1845"/>
      <c r="P1751" s="1845">
        <f t="shared" si="315"/>
        <v>0</v>
      </c>
      <c r="Q1751" s="1056"/>
      <c r="R1751" s="1056"/>
      <c r="S1751" s="1056"/>
      <c r="T1751" s="2059">
        <f>IFERROR(HLOOKUP(B1751,pp3p1m!3:5,3,0),0)</f>
        <v>0</v>
      </c>
    </row>
    <row r="1752" spans="1:20" ht="22.15" hidden="1" customHeight="1">
      <c r="A1752" s="59"/>
      <c r="B1752" s="1586" t="s">
        <v>843</v>
      </c>
      <c r="C1752" s="1015" t="str">
        <f t="shared" si="321"/>
        <v xml:space="preserve"> </v>
      </c>
      <c r="D1752" s="1547">
        <f>ROUND(E1752*1.02*0.599,2)</f>
        <v>0</v>
      </c>
      <c r="E1752" s="1064"/>
      <c r="F1752" s="1059" t="str">
        <f>VLOOKUP($B1752,DG!A:D,DG!$C$2,)</f>
        <v>Cáp nhôm lõi thép AC-150/24</v>
      </c>
      <c r="G1752" s="1047" t="str">
        <f>VLOOKUP($B1752,DG!A:D,DG!$D$2,)</f>
        <v>kg</v>
      </c>
      <c r="H1752" s="1845">
        <f t="shared" si="323"/>
        <v>0</v>
      </c>
      <c r="I1752" s="1845"/>
      <c r="J1752" s="1845"/>
      <c r="K1752" s="1845">
        <f t="shared" si="324"/>
        <v>0</v>
      </c>
      <c r="L1752" s="1845"/>
      <c r="M1752" s="1845"/>
      <c r="N1752" s="1845"/>
      <c r="O1752" s="1845"/>
      <c r="P1752" s="1845">
        <f t="shared" ref="P1752:P1814" si="325">H1752+Q1752-R1752</f>
        <v>0</v>
      </c>
      <c r="Q1752" s="1056"/>
      <c r="R1752" s="1056"/>
      <c r="S1752" s="1056"/>
      <c r="T1752" s="2059">
        <f>IFERROR(HLOOKUP(B1752,pp3p1m!4:6,3,0),0)</f>
        <v>0</v>
      </c>
    </row>
    <row r="1753" spans="1:20" ht="22.15" hidden="1" customHeight="1">
      <c r="A1753" s="59"/>
      <c r="B1753" s="1586" t="s">
        <v>539</v>
      </c>
      <c r="C1753" s="1015" t="str">
        <f t="shared" si="321"/>
        <v xml:space="preserve"> </v>
      </c>
      <c r="D1753" s="1549">
        <f>ROUND(E1753*1.02*0.471,2)</f>
        <v>0</v>
      </c>
      <c r="E1753" s="1064"/>
      <c r="F1753" s="1059" t="str">
        <f>VLOOKUP($B1753,DG!A:D,DG!$C$2,)</f>
        <v>Cáp nhôm lõi thép AC-120/19</v>
      </c>
      <c r="G1753" s="1047" t="str">
        <f>VLOOKUP($B1753,DG!A:D,DG!$D$2,)</f>
        <v>kg</v>
      </c>
      <c r="H1753" s="1845">
        <f t="shared" si="323"/>
        <v>0</v>
      </c>
      <c r="I1753" s="1845"/>
      <c r="J1753" s="1845"/>
      <c r="K1753" s="1845">
        <f t="shared" si="324"/>
        <v>0</v>
      </c>
      <c r="L1753" s="1845"/>
      <c r="M1753" s="1845"/>
      <c r="N1753" s="1845"/>
      <c r="O1753" s="1845"/>
      <c r="P1753" s="1845">
        <f t="shared" si="325"/>
        <v>0</v>
      </c>
      <c r="Q1753" s="1056"/>
      <c r="R1753" s="1056"/>
      <c r="S1753" s="1056"/>
      <c r="T1753" s="2059">
        <f>IFERROR(HLOOKUP(B1753,pp3p1m!5:7,3,0),0)</f>
        <v>0</v>
      </c>
    </row>
    <row r="1754" spans="1:20" ht="22.15" hidden="1" customHeight="1">
      <c r="A1754" s="59"/>
      <c r="B1754" s="1586" t="s">
        <v>269</v>
      </c>
      <c r="C1754" s="1015" t="str">
        <f t="shared" si="321"/>
        <v xml:space="preserve"> </v>
      </c>
      <c r="D1754" s="1544">
        <f>ROUND(E1754*1.02*0.385,2)</f>
        <v>0</v>
      </c>
      <c r="E1754" s="1064"/>
      <c r="F1754" s="1059" t="str">
        <f>VLOOKUP($B1754,DG!A:D,DG!$C$2,)</f>
        <v>Cáp nhôm lõi thép AC-95/16</v>
      </c>
      <c r="G1754" s="1047" t="str">
        <f>VLOOKUP($B1754,DG!A:D,DG!$D$2,)</f>
        <v>kg</v>
      </c>
      <c r="H1754" s="1845">
        <f t="shared" si="323"/>
        <v>0</v>
      </c>
      <c r="I1754" s="1845"/>
      <c r="J1754" s="1845"/>
      <c r="K1754" s="1845">
        <f t="shared" si="324"/>
        <v>0</v>
      </c>
      <c r="L1754" s="1845"/>
      <c r="M1754" s="1845"/>
      <c r="N1754" s="1845"/>
      <c r="O1754" s="1845"/>
      <c r="P1754" s="1845">
        <f t="shared" si="325"/>
        <v>0</v>
      </c>
      <c r="Q1754" s="1056"/>
      <c r="R1754" s="1056"/>
      <c r="S1754" s="1056"/>
      <c r="T1754" s="2059">
        <f>IFERROR(HLOOKUP(B1754,pp3p1m!6:8,3,0),0)</f>
        <v>0</v>
      </c>
    </row>
    <row r="1755" spans="1:20" ht="22.15" hidden="1" customHeight="1">
      <c r="A1755" s="59"/>
      <c r="B1755" s="1586" t="s">
        <v>1244</v>
      </c>
      <c r="C1755" s="1015" t="str">
        <f t="shared" si="321"/>
        <v xml:space="preserve"> </v>
      </c>
      <c r="D1755" s="1554">
        <f>ROUND(E1755*1.02*0.276,2)</f>
        <v>0</v>
      </c>
      <c r="E1755" s="1064"/>
      <c r="F1755" s="1059" t="str">
        <f>VLOOKUP($B1755,DG!A:D,DG!$C$2,)</f>
        <v>Cáp nhôm lõi thép AC-70/11</v>
      </c>
      <c r="G1755" s="1047" t="str">
        <f>VLOOKUP($B1755,DG!A:D,DG!$D$2,)</f>
        <v>kg</v>
      </c>
      <c r="H1755" s="1845">
        <f t="shared" si="323"/>
        <v>0</v>
      </c>
      <c r="I1755" s="1845"/>
      <c r="J1755" s="1845"/>
      <c r="K1755" s="1845">
        <f t="shared" si="324"/>
        <v>0</v>
      </c>
      <c r="L1755" s="1845"/>
      <c r="M1755" s="1845"/>
      <c r="N1755" s="1845"/>
      <c r="O1755" s="1845"/>
      <c r="P1755" s="1845">
        <f t="shared" si="325"/>
        <v>0</v>
      </c>
      <c r="Q1755" s="1056"/>
      <c r="R1755" s="1056"/>
      <c r="S1755" s="1056"/>
      <c r="T1755" s="2059">
        <f>IFERROR(HLOOKUP(B1755,pp3p1m!7:9,3,0),0)</f>
        <v>0</v>
      </c>
    </row>
    <row r="1756" spans="1:20" ht="22.15" customHeight="1">
      <c r="B1756" s="1580" t="s">
        <v>88</v>
      </c>
      <c r="C1756" s="1854" t="str">
        <f t="shared" si="321"/>
        <v>x</v>
      </c>
      <c r="D1756" s="1554">
        <f>ROUND(K1756*1.02*0.195,2)</f>
        <v>150.31</v>
      </c>
      <c r="E1756" s="1064">
        <f>K1756</f>
        <v>755.7</v>
      </c>
      <c r="F1756" s="1059" t="str">
        <f>VLOOKUP($B1756,DG!A:D,DG!$C$2,)</f>
        <v>Cáp nhôm lõi thép AC-50/8</v>
      </c>
      <c r="G1756" s="1047" t="str">
        <f>VLOOKUP($B1756,DG!A:D,DG!$D$2,)</f>
        <v>kg</v>
      </c>
      <c r="H1756" s="2224">
        <f>D1756</f>
        <v>150.31</v>
      </c>
      <c r="I1756" s="1845"/>
      <c r="J1756" s="1845"/>
      <c r="K1756" s="1845">
        <f>IFERROR(HLOOKUP(B1756,pp3p1m!1:3,3,0),0)</f>
        <v>755.7</v>
      </c>
      <c r="L1756" s="1845"/>
      <c r="M1756" s="1845"/>
      <c r="N1756" s="1845"/>
      <c r="O1756" s="1845"/>
      <c r="P1756" s="2224">
        <f t="shared" si="325"/>
        <v>150.31</v>
      </c>
      <c r="Q1756" s="1056"/>
      <c r="R1756" s="1056"/>
      <c r="S1756" s="1056"/>
      <c r="T1756" s="2059">
        <f>IFERROR(HLOOKUP(B1756,pp3p1m!8:10,3,0),0)</f>
        <v>0</v>
      </c>
    </row>
    <row r="1757" spans="1:20" ht="22.15" customHeight="1">
      <c r="B1757" s="1580" t="s">
        <v>360</v>
      </c>
      <c r="C1757" s="1854" t="str">
        <f t="shared" si="321"/>
        <v>x</v>
      </c>
      <c r="D1757" s="1554">
        <f>ROUND(T1756*1.02,2)</f>
        <v>0</v>
      </c>
      <c r="E1757" s="1064">
        <f>ROUND(pp3p1m!B114,0)*3</f>
        <v>2268</v>
      </c>
      <c r="F1757" s="1059" t="str">
        <f>VLOOKUP($B1757,DG!A:D,DG!$C$2,)</f>
        <v>Cáp 24KV ACX 50mm2</v>
      </c>
      <c r="G1757" s="1047" t="str">
        <f>VLOOKUP($B1757,DG!A:D,DG!$D$2,)</f>
        <v>mét</v>
      </c>
      <c r="H1757" s="2224">
        <f>E1757*1.02</f>
        <v>2313.36</v>
      </c>
      <c r="I1757" s="1845"/>
      <c r="J1757" s="1845"/>
      <c r="K1757" s="1845">
        <f t="shared" si="324"/>
        <v>0</v>
      </c>
      <c r="L1757" s="1845"/>
      <c r="M1757" s="1845"/>
      <c r="N1757" s="1845"/>
      <c r="O1757" s="1845"/>
      <c r="P1757" s="2224">
        <f t="shared" si="325"/>
        <v>2313.36</v>
      </c>
      <c r="Q1757" s="1056"/>
      <c r="R1757" s="1056"/>
      <c r="S1757" s="1056"/>
      <c r="T1757" s="2059">
        <f>IFERROR(HLOOKUP(B1757,pp3p1m!9:11,3,0),0)</f>
        <v>0</v>
      </c>
    </row>
    <row r="1758" spans="1:20" ht="22.15" hidden="1" customHeight="1">
      <c r="A1758" s="59"/>
      <c r="B1758" s="1586" t="s">
        <v>1800</v>
      </c>
      <c r="C1758" s="1015" t="str">
        <f t="shared" si="321"/>
        <v xml:space="preserve"> </v>
      </c>
      <c r="D1758" s="1544">
        <f t="shared" ref="D1758:D1766" si="326">ROUND(E1758*1.02,2)</f>
        <v>0</v>
      </c>
      <c r="E1758" s="1064"/>
      <c r="F1758" s="1059" t="str">
        <f>VLOOKUP($B1758,DG!A:D,DG!$C$2,)</f>
        <v>Cáp 24KV A/XLPE/PVC 240mm2</v>
      </c>
      <c r="G1758" s="1047" t="str">
        <f>VLOOKUP($B1758,DG!A:D,DG!$D$2,)</f>
        <v>mét</v>
      </c>
      <c r="H1758" s="1845">
        <f t="shared" si="323"/>
        <v>0</v>
      </c>
      <c r="I1758" s="1845"/>
      <c r="J1758" s="1845"/>
      <c r="K1758" s="1845">
        <f t="shared" si="324"/>
        <v>0</v>
      </c>
      <c r="L1758" s="1845"/>
      <c r="M1758" s="1845"/>
      <c r="N1758" s="1845"/>
      <c r="O1758" s="1845"/>
      <c r="P1758" s="1845">
        <f t="shared" si="325"/>
        <v>0</v>
      </c>
      <c r="Q1758" s="1056"/>
      <c r="R1758" s="1056"/>
      <c r="S1758" s="1056"/>
      <c r="T1758" s="2059">
        <f>IFERROR(HLOOKUP(B1758,pp3p1m!10:12,3,0),0)</f>
        <v>0</v>
      </c>
    </row>
    <row r="1759" spans="1:20" ht="22.15" hidden="1" customHeight="1">
      <c r="A1759" s="59"/>
      <c r="B1759" s="1586" t="s">
        <v>1033</v>
      </c>
      <c r="C1759" s="1015" t="str">
        <f t="shared" si="321"/>
        <v xml:space="preserve"> </v>
      </c>
      <c r="D1759" s="1544">
        <f t="shared" si="326"/>
        <v>0</v>
      </c>
      <c r="E1759" s="1064"/>
      <c r="F1759" s="1059" t="str">
        <f>VLOOKUP($B1759,DG!A:D,DG!$C$2,)</f>
        <v>Cáp 24KV A/XLPE/PVC 185mm2</v>
      </c>
      <c r="G1759" s="1047" t="str">
        <f>VLOOKUP($B1759,DG!A:D,DG!$D$2,)</f>
        <v>mét</v>
      </c>
      <c r="H1759" s="1845">
        <f t="shared" si="323"/>
        <v>0</v>
      </c>
      <c r="I1759" s="1845"/>
      <c r="J1759" s="1845"/>
      <c r="K1759" s="1845">
        <f t="shared" si="324"/>
        <v>0</v>
      </c>
      <c r="L1759" s="1845"/>
      <c r="M1759" s="1845"/>
      <c r="N1759" s="1845"/>
      <c r="O1759" s="1845"/>
      <c r="P1759" s="1845">
        <f t="shared" si="325"/>
        <v>0</v>
      </c>
      <c r="Q1759" s="1056"/>
      <c r="R1759" s="1056"/>
      <c r="S1759" s="1056"/>
      <c r="T1759" s="2059">
        <f>IFERROR(HLOOKUP(B1759,pp3p1m!11:13,3,0),0)</f>
        <v>0</v>
      </c>
    </row>
    <row r="1760" spans="1:20" ht="22.15" hidden="1" customHeight="1">
      <c r="A1760" s="59"/>
      <c r="B1760" s="1586" t="s">
        <v>1034</v>
      </c>
      <c r="C1760" s="1015" t="str">
        <f t="shared" si="321"/>
        <v xml:space="preserve"> </v>
      </c>
      <c r="D1760" s="1544">
        <f t="shared" si="326"/>
        <v>0</v>
      </c>
      <c r="E1760" s="1064"/>
      <c r="F1760" s="1059" t="str">
        <f>VLOOKUP($B1760,DG!A:D,DG!$C$2,)</f>
        <v>Cáp 24KV A/XLPE/PVC 150mm2</v>
      </c>
      <c r="G1760" s="1047" t="str">
        <f>VLOOKUP($B1760,DG!A:D,DG!$D$2,)</f>
        <v>mét</v>
      </c>
      <c r="H1760" s="1845">
        <f t="shared" si="323"/>
        <v>0</v>
      </c>
      <c r="I1760" s="1845"/>
      <c r="J1760" s="1845"/>
      <c r="K1760" s="1845">
        <f t="shared" si="324"/>
        <v>0</v>
      </c>
      <c r="L1760" s="1845"/>
      <c r="M1760" s="1845"/>
      <c r="N1760" s="1845"/>
      <c r="O1760" s="1845"/>
      <c r="P1760" s="1845">
        <f t="shared" si="325"/>
        <v>0</v>
      </c>
      <c r="Q1760" s="1056"/>
      <c r="R1760" s="1056"/>
      <c r="S1760" s="1056"/>
      <c r="T1760" s="2059">
        <f>IFERROR(HLOOKUP(B1760,pp3p1m!12:14,3,0),0)</f>
        <v>0</v>
      </c>
    </row>
    <row r="1761" spans="1:20" ht="22.15" hidden="1" customHeight="1">
      <c r="A1761" s="59"/>
      <c r="B1761" s="1586" t="s">
        <v>657</v>
      </c>
      <c r="C1761" s="1015" t="str">
        <f t="shared" si="321"/>
        <v xml:space="preserve"> </v>
      </c>
      <c r="D1761" s="1544">
        <f t="shared" si="326"/>
        <v>0</v>
      </c>
      <c r="E1761" s="1064"/>
      <c r="F1761" s="1059" t="str">
        <f>VLOOKUP($B1761,DG!A:D,DG!$C$2,)</f>
        <v>Cáp 24KV A/XLPE/PVC 120mm2</v>
      </c>
      <c r="G1761" s="1047" t="str">
        <f>VLOOKUP($B1761,DG!A:D,DG!$D$2,)</f>
        <v>mét</v>
      </c>
      <c r="H1761" s="1845">
        <f t="shared" si="323"/>
        <v>0</v>
      </c>
      <c r="I1761" s="1845"/>
      <c r="J1761" s="1845"/>
      <c r="K1761" s="1845">
        <f t="shared" si="324"/>
        <v>0</v>
      </c>
      <c r="L1761" s="1845"/>
      <c r="M1761" s="1845"/>
      <c r="N1761" s="1845"/>
      <c r="O1761" s="1845"/>
      <c r="P1761" s="1845">
        <f t="shared" si="325"/>
        <v>0</v>
      </c>
      <c r="Q1761" s="1056"/>
      <c r="R1761" s="1056"/>
      <c r="S1761" s="1056"/>
      <c r="T1761" s="2059">
        <f>IFERROR(HLOOKUP(B1761,pp3p1m!13:15,3,0),0)</f>
        <v>0</v>
      </c>
    </row>
    <row r="1762" spans="1:20" ht="22.15" hidden="1" customHeight="1">
      <c r="A1762" s="59"/>
      <c r="B1762" s="1586" t="s">
        <v>57</v>
      </c>
      <c r="C1762" s="1015" t="str">
        <f t="shared" si="321"/>
        <v xml:space="preserve"> </v>
      </c>
      <c r="D1762" s="1544">
        <f t="shared" si="326"/>
        <v>0</v>
      </c>
      <c r="E1762" s="1064"/>
      <c r="F1762" s="1059" t="str">
        <f>VLOOKUP($B1762,DG!A:D,DG!$C$2,)</f>
        <v>Cáp 24KV A/XLPE/PVC 95mm2</v>
      </c>
      <c r="G1762" s="1047" t="str">
        <f>VLOOKUP($B1762,DG!A:D,DG!$D$2,)</f>
        <v>mét</v>
      </c>
      <c r="H1762" s="1845">
        <f t="shared" si="323"/>
        <v>0</v>
      </c>
      <c r="I1762" s="1845"/>
      <c r="J1762" s="1845"/>
      <c r="K1762" s="1845">
        <f t="shared" si="324"/>
        <v>0</v>
      </c>
      <c r="L1762" s="1845"/>
      <c r="M1762" s="1845"/>
      <c r="N1762" s="1845"/>
      <c r="O1762" s="1845"/>
      <c r="P1762" s="1845">
        <f t="shared" si="325"/>
        <v>0</v>
      </c>
      <c r="Q1762" s="1056"/>
      <c r="R1762" s="1056"/>
      <c r="S1762" s="1056"/>
      <c r="T1762" s="2059">
        <f>IFERROR(HLOOKUP(B1762,pp3p1m!14:16,3,0),0)</f>
        <v>0</v>
      </c>
    </row>
    <row r="1763" spans="1:20" ht="22.15" hidden="1" customHeight="1">
      <c r="A1763" s="59"/>
      <c r="B1763" s="1586" t="s">
        <v>56</v>
      </c>
      <c r="C1763" s="1015" t="str">
        <f t="shared" si="321"/>
        <v xml:space="preserve"> </v>
      </c>
      <c r="D1763" s="1544">
        <f t="shared" si="326"/>
        <v>0</v>
      </c>
      <c r="E1763" s="1064"/>
      <c r="F1763" s="1059" t="str">
        <f>VLOOKUP($B1763,DG!A:D,DG!$C$2,)</f>
        <v>Cáp 24KV A/XLPE/PVC 70mm2</v>
      </c>
      <c r="G1763" s="1047" t="str">
        <f>VLOOKUP($B1763,DG!A:D,DG!$D$2,)</f>
        <v>mét</v>
      </c>
      <c r="H1763" s="1845">
        <f t="shared" si="323"/>
        <v>0</v>
      </c>
      <c r="I1763" s="1845"/>
      <c r="J1763" s="1845"/>
      <c r="K1763" s="1845">
        <f t="shared" si="324"/>
        <v>0</v>
      </c>
      <c r="L1763" s="1845"/>
      <c r="M1763" s="1845"/>
      <c r="N1763" s="1845"/>
      <c r="O1763" s="1845"/>
      <c r="P1763" s="1845">
        <f t="shared" si="325"/>
        <v>0</v>
      </c>
      <c r="Q1763" s="1056"/>
      <c r="R1763" s="1056"/>
      <c r="S1763" s="1056"/>
      <c r="T1763" s="2059">
        <f>IFERROR(HLOOKUP(B1763,pp3p1m!15:17,3,0),0)</f>
        <v>0</v>
      </c>
    </row>
    <row r="1764" spans="1:20" ht="22.15" hidden="1" customHeight="1">
      <c r="A1764" s="59"/>
      <c r="B1764" s="1586" t="s">
        <v>55</v>
      </c>
      <c r="C1764" s="1015" t="str">
        <f t="shared" si="321"/>
        <v xml:space="preserve"> </v>
      </c>
      <c r="D1764" s="1554">
        <f t="shared" si="326"/>
        <v>0</v>
      </c>
      <c r="E1764" s="1064"/>
      <c r="F1764" s="1059" t="str">
        <f>VLOOKUP($B1764,DG!A:D,DG!$C$2,)</f>
        <v>Cáp 24KV A/XLPE/PVC 50mm2</v>
      </c>
      <c r="G1764" s="1047" t="str">
        <f>VLOOKUP($B1764,DG!A:D,DG!$D$2,)</f>
        <v>mét</v>
      </c>
      <c r="H1764" s="1845">
        <f t="shared" si="323"/>
        <v>0</v>
      </c>
      <c r="I1764" s="1845"/>
      <c r="J1764" s="1845"/>
      <c r="K1764" s="1845">
        <f t="shared" si="324"/>
        <v>0</v>
      </c>
      <c r="L1764" s="1845"/>
      <c r="M1764" s="1845"/>
      <c r="N1764" s="1845"/>
      <c r="O1764" s="1845"/>
      <c r="P1764" s="1845">
        <f t="shared" si="325"/>
        <v>0</v>
      </c>
      <c r="Q1764" s="1056"/>
      <c r="R1764" s="1056"/>
      <c r="S1764" s="1056"/>
      <c r="T1764" s="2059">
        <f>IFERROR(HLOOKUP(B1764,pp3p1m!16:18,3,0),0)</f>
        <v>0</v>
      </c>
    </row>
    <row r="1765" spans="1:20" ht="22.15" hidden="1" customHeight="1">
      <c r="A1765" s="59"/>
      <c r="B1765" s="1612" t="s">
        <v>55</v>
      </c>
      <c r="C1765" s="1015" t="str">
        <f t="shared" si="321"/>
        <v xml:space="preserve"> </v>
      </c>
      <c r="D1765" s="1554">
        <f t="shared" si="326"/>
        <v>0</v>
      </c>
      <c r="E1765" s="1409"/>
      <c r="F1765" s="1059" t="str">
        <f>VLOOKUP($B1765,DG!A:D,DG!$C$2,)</f>
        <v>Cáp 24KV A/XLPE/PVC 50mm2</v>
      </c>
      <c r="G1765" s="1047" t="s">
        <v>2541</v>
      </c>
      <c r="H1765" s="1845">
        <f t="shared" si="323"/>
        <v>0</v>
      </c>
      <c r="I1765" s="1845"/>
      <c r="J1765" s="1845"/>
      <c r="K1765" s="1845">
        <f t="shared" si="324"/>
        <v>0</v>
      </c>
      <c r="L1765" s="1845"/>
      <c r="M1765" s="1845"/>
      <c r="N1765" s="1845"/>
      <c r="O1765" s="1847"/>
      <c r="P1765" s="1845">
        <f t="shared" si="325"/>
        <v>0</v>
      </c>
      <c r="Q1765" s="1062"/>
      <c r="R1765" s="1062"/>
      <c r="S1765" s="1062"/>
      <c r="T1765" s="2059">
        <f>IFERROR(HLOOKUP(B1765,pp3p1m!17:19,3,0),0)</f>
        <v>0</v>
      </c>
    </row>
    <row r="1766" spans="1:20" ht="22.15" hidden="1" customHeight="1">
      <c r="A1766" s="59"/>
      <c r="B1766" s="1586" t="s">
        <v>271</v>
      </c>
      <c r="C1766" s="1015" t="str">
        <f t="shared" si="321"/>
        <v xml:space="preserve"> </v>
      </c>
      <c r="D1766" s="1550">
        <f t="shared" si="326"/>
        <v>0</v>
      </c>
      <c r="E1766" s="1064"/>
      <c r="F1766" s="1059" t="str">
        <f>VLOOKUP($B1766,DG!A:D,DG!$C$2,)</f>
        <v>Cáp 24KV C/XLPE/PVC 50mm2</v>
      </c>
      <c r="G1766" s="1047" t="s">
        <v>2541</v>
      </c>
      <c r="H1766" s="1845">
        <f t="shared" si="323"/>
        <v>0</v>
      </c>
      <c r="I1766" s="1845"/>
      <c r="J1766" s="1845"/>
      <c r="K1766" s="1845">
        <f t="shared" si="324"/>
        <v>0</v>
      </c>
      <c r="L1766" s="1845"/>
      <c r="M1766" s="1845"/>
      <c r="N1766" s="1845"/>
      <c r="O1766" s="1845"/>
      <c r="P1766" s="1845">
        <f t="shared" si="325"/>
        <v>0</v>
      </c>
      <c r="Q1766" s="1062"/>
      <c r="R1766" s="1062"/>
      <c r="S1766" s="1062"/>
      <c r="T1766" s="2059">
        <f>IFERROR(HLOOKUP(B1766,pp3p1m!18:20,3,0),0)</f>
        <v>0</v>
      </c>
    </row>
    <row r="1767" spans="1:20" ht="22.15" hidden="1" customHeight="1">
      <c r="A1767" s="59"/>
      <c r="B1767" s="1586" t="s">
        <v>1035</v>
      </c>
      <c r="C1767" s="1015" t="str">
        <f t="shared" si="321"/>
        <v xml:space="preserve"> </v>
      </c>
      <c r="D1767" s="1554">
        <f>ROUND(E1767*1.02*0.224,2)</f>
        <v>0</v>
      </c>
      <c r="E1767" s="1409"/>
      <c r="F1767" s="1059" t="str">
        <f>VLOOKUP($B1767,DG!A:D,DG!$C$2,)</f>
        <v>Cáp đồng trần M25mm2</v>
      </c>
      <c r="G1767" s="1047" t="str">
        <f>VLOOKUP($B1767,DG!A:D,DG!$D$2,)</f>
        <v>kg</v>
      </c>
      <c r="H1767" s="1845">
        <f t="shared" si="323"/>
        <v>0</v>
      </c>
      <c r="I1767" s="1845"/>
      <c r="J1767" s="1845"/>
      <c r="K1767" s="1845">
        <f t="shared" si="324"/>
        <v>0</v>
      </c>
      <c r="L1767" s="1845"/>
      <c r="M1767" s="1845"/>
      <c r="N1767" s="1845"/>
      <c r="O1767" s="1847"/>
      <c r="P1767" s="1845">
        <f t="shared" si="325"/>
        <v>0</v>
      </c>
      <c r="Q1767" s="1062"/>
      <c r="R1767" s="1062"/>
      <c r="S1767" s="1062"/>
      <c r="T1767" s="2059">
        <f>IFERROR(HLOOKUP(B1767,pp3p1m!19:21,3,0),0)</f>
        <v>0</v>
      </c>
    </row>
    <row r="1768" spans="1:20" ht="22.15" hidden="1" customHeight="1">
      <c r="A1768" s="59"/>
      <c r="B1768" s="1586" t="s">
        <v>612</v>
      </c>
      <c r="C1768" s="1015" t="str">
        <f t="shared" si="321"/>
        <v xml:space="preserve"> </v>
      </c>
      <c r="D1768" s="1550">
        <f>ROUND(E1768*1.02*0.224,2)</f>
        <v>0</v>
      </c>
      <c r="E1768" s="1393"/>
      <c r="F1768" s="1059" t="str">
        <f>VLOOKUP($B1768,DG!A:D,DG!$C$2,)</f>
        <v>Cáp đồng trần M38mm2</v>
      </c>
      <c r="G1768" s="1047" t="str">
        <f>VLOOKUP($B1768,DG!A:D,DG!$D$2,)</f>
        <v>kg</v>
      </c>
      <c r="H1768" s="1845">
        <f t="shared" si="323"/>
        <v>0</v>
      </c>
      <c r="I1768" s="1845"/>
      <c r="J1768" s="1845"/>
      <c r="K1768" s="1845">
        <f t="shared" si="324"/>
        <v>0</v>
      </c>
      <c r="L1768" s="1845"/>
      <c r="M1768" s="1845"/>
      <c r="N1768" s="1845"/>
      <c r="O1768" s="1845"/>
      <c r="P1768" s="1845">
        <f t="shared" si="325"/>
        <v>0</v>
      </c>
      <c r="Q1768" s="1062"/>
      <c r="R1768" s="1062"/>
      <c r="S1768" s="1062"/>
      <c r="T1768" s="2059">
        <f>IFERROR(HLOOKUP(B1768,pp3p1m!20:22,3,0),0)</f>
        <v>0</v>
      </c>
    </row>
    <row r="1769" spans="1:20" ht="22.15" customHeight="1">
      <c r="B1769" s="1591" t="s">
        <v>2508</v>
      </c>
      <c r="C1769" s="1854" t="str">
        <f t="shared" si="321"/>
        <v>x</v>
      </c>
      <c r="D1769" s="1557">
        <f>pp3p1m!DJ114-T1769</f>
        <v>17</v>
      </c>
      <c r="E1769" s="1047"/>
      <c r="F1769" s="1065" t="s">
        <v>2542</v>
      </c>
      <c r="G1769" s="1066" t="s">
        <v>2448</v>
      </c>
      <c r="H1769" s="1843">
        <f>SUM(I1769:O1769)</f>
        <v>17</v>
      </c>
      <c r="I1769" s="1843"/>
      <c r="J1769" s="1843"/>
      <c r="K1769" s="1843">
        <f>IFERROR(HLOOKUP(B1769,pp3p1m!$1:$3,3,0),0)</f>
        <v>17</v>
      </c>
      <c r="L1769" s="1843"/>
      <c r="M1769" s="1843"/>
      <c r="N1769" s="1843"/>
      <c r="O1769" s="1843"/>
      <c r="P1769" s="1843">
        <f t="shared" si="325"/>
        <v>17</v>
      </c>
      <c r="Q1769" s="1843"/>
      <c r="R1769" s="1843"/>
      <c r="S1769" s="1056"/>
      <c r="T1769" s="2059">
        <f>IFERROR(HLOOKUP(B1769,pp3p1m!21:23,3,0),0)</f>
        <v>0</v>
      </c>
    </row>
    <row r="1770" spans="1:20" ht="22.15" customHeight="1">
      <c r="B1770" s="1580" t="s">
        <v>1915</v>
      </c>
      <c r="C1770" s="1854" t="str">
        <f t="shared" si="321"/>
        <v>x</v>
      </c>
      <c r="D1770" s="1544">
        <v>1</v>
      </c>
      <c r="E1770" s="1047"/>
      <c r="F1770" s="1059" t="str">
        <f>VLOOKUP($B1770,DG!A:D,DG!$C$2,)</f>
        <v>Uclevis + sứ ống chỉ</v>
      </c>
      <c r="G1770" s="1047" t="str">
        <f>VLOOKUP($B1770,DG!A:D,DG!$D$2,)</f>
        <v>bộ</v>
      </c>
      <c r="H1770" s="1845">
        <f>H$1769*$D1770</f>
        <v>17</v>
      </c>
      <c r="I1770" s="1845"/>
      <c r="J1770" s="1845"/>
      <c r="K1770" s="1845">
        <f>D1770</f>
        <v>1</v>
      </c>
      <c r="L1770" s="1845"/>
      <c r="M1770" s="1845"/>
      <c r="N1770" s="1845"/>
      <c r="O1770" s="1847"/>
      <c r="P1770" s="1845">
        <f>P$1769*$D1770</f>
        <v>17</v>
      </c>
      <c r="Q1770" s="1056"/>
      <c r="R1770" s="1056"/>
      <c r="S1770" s="1056"/>
      <c r="T1770" s="2059">
        <f>IFERROR(HLOOKUP(B1770,pp3p1m!22:24,3,0),0)</f>
        <v>0</v>
      </c>
    </row>
    <row r="1771" spans="1:20" ht="22.15" customHeight="1">
      <c r="B1771" s="1580" t="s">
        <v>1615</v>
      </c>
      <c r="C1771" s="1854" t="str">
        <f t="shared" si="321"/>
        <v>x</v>
      </c>
      <c r="D1771" s="1544">
        <v>1</v>
      </c>
      <c r="E1771" s="1047"/>
      <c r="F1771" s="1059" t="str">
        <f>VLOOKUP($B1771,DG!A:D,DG!$C$2,)</f>
        <v>Boulon 16x300+ 2 long đền vuông D18-50x50x3/Zn</v>
      </c>
      <c r="G1771" s="1047" t="str">
        <f>VLOOKUP($B1771,DG!A:D,DG!$D$2,)</f>
        <v>bộ</v>
      </c>
      <c r="H1771" s="1845">
        <f>H$1769*$D1771</f>
        <v>17</v>
      </c>
      <c r="I1771" s="1845"/>
      <c r="J1771" s="1845"/>
      <c r="K1771" s="1845">
        <f>D1771</f>
        <v>1</v>
      </c>
      <c r="L1771" s="1845"/>
      <c r="M1771" s="1845"/>
      <c r="N1771" s="1845"/>
      <c r="O1771" s="1847"/>
      <c r="P1771" s="1845">
        <f>P$1769*$D1771</f>
        <v>17</v>
      </c>
      <c r="Q1771" s="1056"/>
      <c r="R1771" s="1056"/>
      <c r="S1771" s="1056"/>
      <c r="T1771" s="2059">
        <f>IFERROR(HLOOKUP(B1771,pp3p1m!23:25,3,0),0)</f>
        <v>0</v>
      </c>
    </row>
    <row r="1772" spans="1:20" ht="22.15" hidden="1" customHeight="1">
      <c r="A1772" s="59"/>
      <c r="B1772" s="1606" t="s">
        <v>2543</v>
      </c>
      <c r="C1772" s="1015" t="str">
        <f t="shared" si="321"/>
        <v xml:space="preserve"> </v>
      </c>
      <c r="D1772" s="1557"/>
      <c r="E1772" s="1047"/>
      <c r="F1772" s="1065" t="s">
        <v>2544</v>
      </c>
      <c r="G1772" s="1066" t="s">
        <v>2448</v>
      </c>
      <c r="H1772" s="1843">
        <f>SUM(I1772:O1772)</f>
        <v>0</v>
      </c>
      <c r="I1772" s="1843">
        <f t="shared" ref="I1772:R1772" si="327">SUM(J1772:P1772)</f>
        <v>0</v>
      </c>
      <c r="J1772" s="1843">
        <f t="shared" si="327"/>
        <v>0</v>
      </c>
      <c r="K1772" s="1843">
        <f t="shared" si="327"/>
        <v>0</v>
      </c>
      <c r="L1772" s="1843">
        <f t="shared" si="327"/>
        <v>0</v>
      </c>
      <c r="M1772" s="1843">
        <f t="shared" si="327"/>
        <v>0</v>
      </c>
      <c r="N1772" s="1843">
        <f t="shared" si="327"/>
        <v>0</v>
      </c>
      <c r="O1772" s="1843">
        <f t="shared" si="327"/>
        <v>0</v>
      </c>
      <c r="P1772" s="1843">
        <f t="shared" si="327"/>
        <v>0</v>
      </c>
      <c r="Q1772" s="1843">
        <f t="shared" si="327"/>
        <v>0</v>
      </c>
      <c r="R1772" s="1843">
        <f t="shared" si="327"/>
        <v>0</v>
      </c>
      <c r="S1772" s="1056"/>
      <c r="T1772" s="2059">
        <f>IFERROR(HLOOKUP(B1772,pp3p1m!24:26,3,0),0)</f>
        <v>0</v>
      </c>
    </row>
    <row r="1773" spans="1:20" ht="22.15" hidden="1" customHeight="1">
      <c r="A1773" s="59"/>
      <c r="B1773" s="1586" t="s">
        <v>1915</v>
      </c>
      <c r="C1773" s="1015" t="str">
        <f t="shared" si="321"/>
        <v xml:space="preserve"> </v>
      </c>
      <c r="D1773" s="1544">
        <f>D1772</f>
        <v>0</v>
      </c>
      <c r="E1773" s="1047"/>
      <c r="F1773" s="1059" t="str">
        <f>VLOOKUP($B1773,DG!A:D,DG!$C$2,)</f>
        <v>Uclevis + sứ ống chỉ</v>
      </c>
      <c r="G1773" s="1047" t="str">
        <f>VLOOKUP($B1773,DG!A:D,DG!$D$2,)</f>
        <v>bộ</v>
      </c>
      <c r="H1773" s="1845">
        <f>H$1769*$D1773</f>
        <v>0</v>
      </c>
      <c r="I1773" s="1845"/>
      <c r="J1773" s="1845"/>
      <c r="K1773" s="1845">
        <f>D1773</f>
        <v>0</v>
      </c>
      <c r="L1773" s="1845"/>
      <c r="M1773" s="1845"/>
      <c r="N1773" s="1845"/>
      <c r="O1773" s="1845"/>
      <c r="P1773" s="1845">
        <f t="shared" si="325"/>
        <v>0</v>
      </c>
      <c r="Q1773" s="1056"/>
      <c r="R1773" s="1056"/>
      <c r="S1773" s="1056"/>
      <c r="T1773" s="2059">
        <f>IFERROR(HLOOKUP(B1773,pp3p1m!25:27,3,0),0)</f>
        <v>0</v>
      </c>
    </row>
    <row r="1774" spans="1:20" ht="22.15" hidden="1" customHeight="1">
      <c r="A1774" s="59"/>
      <c r="B1774" s="1586" t="s">
        <v>1387</v>
      </c>
      <c r="C1774" s="1015" t="str">
        <f t="shared" si="321"/>
        <v xml:space="preserve"> </v>
      </c>
      <c r="D1774" s="1544">
        <f>D1772</f>
        <v>0</v>
      </c>
      <c r="E1774" s="1047"/>
      <c r="F1774" s="1059" t="str">
        <f>VLOOKUP($B1774,DG!A:D,DG!$C$2,)</f>
        <v>Boulon 16x600VRS+ 4 long đền vuông D18-50x50x3/Zn</v>
      </c>
      <c r="G1774" s="1047" t="str">
        <f>VLOOKUP($B1774,DG!A:D,DG!$D$2,)</f>
        <v>bộ</v>
      </c>
      <c r="H1774" s="1845">
        <f>$D1774</f>
        <v>0</v>
      </c>
      <c r="I1774" s="1845"/>
      <c r="J1774" s="1845"/>
      <c r="K1774" s="1845">
        <f>D1774</f>
        <v>0</v>
      </c>
      <c r="L1774" s="1845"/>
      <c r="M1774" s="1845"/>
      <c r="N1774" s="1845"/>
      <c r="O1774" s="1845"/>
      <c r="P1774" s="1845">
        <f t="shared" si="325"/>
        <v>0</v>
      </c>
      <c r="Q1774" s="1056"/>
      <c r="R1774" s="1056"/>
      <c r="S1774" s="1056"/>
      <c r="T1774" s="2059">
        <f>IFERROR(HLOOKUP(B1774,pp3p1m!26:28,3,0),0)</f>
        <v>0</v>
      </c>
    </row>
    <row r="1775" spans="1:20" ht="22.15" hidden="1" customHeight="1">
      <c r="A1775" s="59"/>
      <c r="B1775" s="1606" t="s">
        <v>2545</v>
      </c>
      <c r="C1775" s="1015" t="str">
        <f t="shared" si="321"/>
        <v xml:space="preserve"> </v>
      </c>
      <c r="D1775" s="1557"/>
      <c r="E1775" s="1047"/>
      <c r="F1775" s="1065" t="s">
        <v>2546</v>
      </c>
      <c r="G1775" s="1066" t="s">
        <v>2448</v>
      </c>
      <c r="H1775" s="1843">
        <f>SUM(I1775:O1775)</f>
        <v>0</v>
      </c>
      <c r="I1775" s="1845"/>
      <c r="J1775" s="1845"/>
      <c r="K1775" s="1844">
        <f>IFERROR(HLOOKUP(B1775,pp3p1m!$1:$3,3,0),0)</f>
        <v>0</v>
      </c>
      <c r="L1775" s="1845"/>
      <c r="M1775" s="1845"/>
      <c r="N1775" s="1845"/>
      <c r="O1775" s="1845"/>
      <c r="P1775" s="1845">
        <f t="shared" si="325"/>
        <v>0</v>
      </c>
      <c r="Q1775" s="1056"/>
      <c r="R1775" s="1056"/>
      <c r="S1775" s="1056"/>
      <c r="T1775" s="2059">
        <f>IFERROR(HLOOKUP(B1775,pp3p1m!27:29,3,0),0)</f>
        <v>0</v>
      </c>
    </row>
    <row r="1776" spans="1:20" ht="22.15" hidden="1" customHeight="1">
      <c r="A1776" s="59"/>
      <c r="B1776" s="1586" t="s">
        <v>1915</v>
      </c>
      <c r="C1776" s="1015" t="str">
        <f t="shared" si="321"/>
        <v xml:space="preserve"> </v>
      </c>
      <c r="D1776" s="1544">
        <f>D1775</f>
        <v>0</v>
      </c>
      <c r="E1776" s="1047"/>
      <c r="F1776" s="1059" t="str">
        <f>VLOOKUP($B1776,DG!A:D,DG!$C$2,)</f>
        <v>Uclevis + sứ ống chỉ</v>
      </c>
      <c r="G1776" s="1047" t="str">
        <f>VLOOKUP($B1776,DG!A:D,DG!$D$2,)</f>
        <v>bộ</v>
      </c>
      <c r="H1776" s="1845">
        <f>$D1776</f>
        <v>0</v>
      </c>
      <c r="I1776" s="1845"/>
      <c r="J1776" s="1845"/>
      <c r="K1776" s="1845">
        <f>D1776</f>
        <v>0</v>
      </c>
      <c r="L1776" s="1845"/>
      <c r="M1776" s="1845"/>
      <c r="N1776" s="1845"/>
      <c r="O1776" s="1845"/>
      <c r="P1776" s="1845">
        <f t="shared" si="325"/>
        <v>0</v>
      </c>
      <c r="Q1776" s="1056"/>
      <c r="R1776" s="1056"/>
      <c r="S1776" s="1056"/>
      <c r="T1776" s="2059">
        <f>IFERROR(HLOOKUP(B1776,pp3p1m!28:30,3,0),0)</f>
        <v>0</v>
      </c>
    </row>
    <row r="1777" spans="1:20" ht="22.15" hidden="1" customHeight="1">
      <c r="A1777" s="59"/>
      <c r="B1777" s="1586" t="s">
        <v>804</v>
      </c>
      <c r="C1777" s="1015" t="str">
        <f t="shared" si="321"/>
        <v xml:space="preserve"> </v>
      </c>
      <c r="D1777" s="1544">
        <f>D1775</f>
        <v>0</v>
      </c>
      <c r="E1777" s="1047"/>
      <c r="F1777" s="1059" t="str">
        <f>VLOOKUP($B1777,DG!A:D,DG!$C$2,)</f>
        <v>Boulon 16x100+ 2 long đền vuông D18-50x50x3/Zn</v>
      </c>
      <c r="G1777" s="1047" t="str">
        <f>VLOOKUP($B1777,DG!A:D,DG!$D$2,)</f>
        <v>bộ</v>
      </c>
      <c r="H1777" s="1845">
        <f>$D1777</f>
        <v>0</v>
      </c>
      <c r="I1777" s="1845"/>
      <c r="J1777" s="1845"/>
      <c r="K1777" s="1845">
        <f>D1777</f>
        <v>0</v>
      </c>
      <c r="L1777" s="1845"/>
      <c r="M1777" s="1845"/>
      <c r="N1777" s="1845"/>
      <c r="O1777" s="1845"/>
      <c r="P1777" s="1845">
        <f t="shared" si="325"/>
        <v>0</v>
      </c>
      <c r="Q1777" s="1056"/>
      <c r="R1777" s="1056"/>
      <c r="S1777" s="1056"/>
      <c r="T1777" s="2059">
        <f>IFERROR(HLOOKUP(B1777,pp3p1m!29:31,3,0),0)</f>
        <v>0</v>
      </c>
    </row>
    <row r="1778" spans="1:20" ht="22.15" hidden="1" customHeight="1">
      <c r="A1778" s="59"/>
      <c r="B1778" s="1606" t="s">
        <v>1626</v>
      </c>
      <c r="C1778" s="1015" t="str">
        <f t="shared" si="321"/>
        <v xml:space="preserve"> </v>
      </c>
      <c r="D1778" s="1557"/>
      <c r="E1778" s="1047"/>
      <c r="F1778" s="1065" t="s">
        <v>2510</v>
      </c>
      <c r="G1778" s="1066" t="s">
        <v>2448</v>
      </c>
      <c r="H1778" s="1843">
        <f>SUM(I1778:O1778)</f>
        <v>0</v>
      </c>
      <c r="I1778" s="1845"/>
      <c r="J1778" s="1845"/>
      <c r="K1778" s="1844">
        <f>IFERROR(HLOOKUP(B1778,pp3p1m!$1:$3,3,0),0)</f>
        <v>0</v>
      </c>
      <c r="L1778" s="1845"/>
      <c r="M1778" s="1845"/>
      <c r="N1778" s="1845"/>
      <c r="O1778" s="1845"/>
      <c r="P1778" s="1845">
        <f t="shared" si="325"/>
        <v>0</v>
      </c>
      <c r="Q1778" s="1056"/>
      <c r="R1778" s="1056"/>
      <c r="S1778" s="1056"/>
      <c r="T1778" s="2059">
        <f>IFERROR(HLOOKUP(B1778,pp3p1m!30:32,3,0),0)</f>
        <v>0</v>
      </c>
    </row>
    <row r="1779" spans="1:20" ht="22.15" hidden="1" customHeight="1">
      <c r="A1779" s="59"/>
      <c r="B1779" s="1586" t="s">
        <v>1915</v>
      </c>
      <c r="C1779" s="1015" t="str">
        <f t="shared" ref="C1779:C1843" si="328">IF(OR(P1779&lt;&gt;0,H1779&lt;&gt;0),"x"," ")</f>
        <v xml:space="preserve"> </v>
      </c>
      <c r="D1779" s="1544">
        <f>D1778</f>
        <v>0</v>
      </c>
      <c r="E1779" s="1047"/>
      <c r="F1779" s="1059" t="str">
        <f>VLOOKUP($B1779,DG!A:D,DG!$C$2,)</f>
        <v>Uclevis + sứ ống chỉ</v>
      </c>
      <c r="G1779" s="1047" t="str">
        <f>VLOOKUP($B1779,DG!A:D,DG!$D$2,)</f>
        <v>bộ</v>
      </c>
      <c r="H1779" s="1845">
        <f>$D1779</f>
        <v>0</v>
      </c>
      <c r="I1779" s="1845"/>
      <c r="J1779" s="1845"/>
      <c r="K1779" s="1845">
        <f>D1779</f>
        <v>0</v>
      </c>
      <c r="L1779" s="1845"/>
      <c r="M1779" s="1845"/>
      <c r="N1779" s="1845"/>
      <c r="O1779" s="1845"/>
      <c r="P1779" s="1845">
        <f t="shared" si="325"/>
        <v>0</v>
      </c>
      <c r="Q1779" s="1056"/>
      <c r="R1779" s="1056"/>
      <c r="S1779" s="1056"/>
      <c r="T1779" s="2059">
        <f>IFERROR(HLOOKUP(B1779,pp3p1m!31:33,3,0),0)</f>
        <v>0</v>
      </c>
    </row>
    <row r="1780" spans="1:20" ht="22.15" hidden="1" customHeight="1">
      <c r="A1780" s="59"/>
      <c r="B1780" s="1586" t="s">
        <v>1615</v>
      </c>
      <c r="C1780" s="1015" t="str">
        <f t="shared" si="328"/>
        <v xml:space="preserve"> </v>
      </c>
      <c r="D1780" s="1544">
        <f>D1778</f>
        <v>0</v>
      </c>
      <c r="E1780" s="1047"/>
      <c r="F1780" s="1059" t="str">
        <f>VLOOKUP($B1780,DG!A:D,DG!$C$2,)</f>
        <v>Boulon 16x300+ 2 long đền vuông D18-50x50x3/Zn</v>
      </c>
      <c r="G1780" s="1047" t="str">
        <f>VLOOKUP($B1780,DG!A:D,DG!$D$2,)</f>
        <v>bộ</v>
      </c>
      <c r="H1780" s="1845">
        <f>$D1780</f>
        <v>0</v>
      </c>
      <c r="I1780" s="1845"/>
      <c r="J1780" s="1845"/>
      <c r="K1780" s="1845">
        <f>D1780</f>
        <v>0</v>
      </c>
      <c r="L1780" s="1845"/>
      <c r="M1780" s="1845"/>
      <c r="N1780" s="1845"/>
      <c r="O1780" s="1845"/>
      <c r="P1780" s="1845">
        <f t="shared" si="325"/>
        <v>0</v>
      </c>
      <c r="Q1780" s="1056"/>
      <c r="R1780" s="1056"/>
      <c r="S1780" s="1056"/>
      <c r="T1780" s="2059">
        <f>IFERROR(HLOOKUP(B1780,pp3p1m!32:34,3,0),0)</f>
        <v>0</v>
      </c>
    </row>
    <row r="1781" spans="1:20" ht="22.15" hidden="1" customHeight="1">
      <c r="A1781" s="59"/>
      <c r="B1781" s="1586" t="s">
        <v>907</v>
      </c>
      <c r="C1781" s="1015" t="str">
        <f t="shared" si="328"/>
        <v xml:space="preserve"> </v>
      </c>
      <c r="D1781" s="1544">
        <f>D1778*2</f>
        <v>0</v>
      </c>
      <c r="E1781" s="1047"/>
      <c r="F1781" s="1059" t="str">
        <f>VLOOKUP($B1781,DG!A:D,DG!$C$2,)</f>
        <v>Kẹp ép WR cỡ dây 50mm2</v>
      </c>
      <c r="G1781" s="1047" t="str">
        <f>VLOOKUP($B1781,DG!A:D,DG!$D$2,)</f>
        <v>cái</v>
      </c>
      <c r="H1781" s="1845">
        <f>$D1781</f>
        <v>0</v>
      </c>
      <c r="I1781" s="1845"/>
      <c r="J1781" s="1845"/>
      <c r="K1781" s="1845">
        <f>D1781</f>
        <v>0</v>
      </c>
      <c r="L1781" s="1845"/>
      <c r="M1781" s="1845"/>
      <c r="N1781" s="1845"/>
      <c r="O1781" s="1845"/>
      <c r="P1781" s="1845">
        <f t="shared" si="325"/>
        <v>0</v>
      </c>
      <c r="Q1781" s="1056"/>
      <c r="R1781" s="1056"/>
      <c r="S1781" s="1056"/>
      <c r="T1781" s="2059">
        <f>IFERROR(HLOOKUP(B1781,pp3p1m!33:35,3,0),0)</f>
        <v>0</v>
      </c>
    </row>
    <row r="1782" spans="1:20" ht="22.15" customHeight="1">
      <c r="B1782" s="1591" t="s">
        <v>1627</v>
      </c>
      <c r="C1782" s="1854" t="str">
        <f t="shared" si="328"/>
        <v>x</v>
      </c>
      <c r="D1782" s="1557">
        <f>pp3p1m!DQ114</f>
        <v>0</v>
      </c>
      <c r="E1782" s="1047"/>
      <c r="F1782" s="1065" t="s">
        <v>2511</v>
      </c>
      <c r="G1782" s="1066" t="s">
        <v>2448</v>
      </c>
      <c r="H1782" s="1843">
        <f>SUM(I1782:O1782)</f>
        <v>8</v>
      </c>
      <c r="I1782" s="1845"/>
      <c r="J1782" s="1845"/>
      <c r="K1782" s="1844">
        <f>IFERROR(HLOOKUP(B1782,pp3p1m!$1:$3,3,0),0)</f>
        <v>8</v>
      </c>
      <c r="L1782" s="1845"/>
      <c r="M1782" s="1845"/>
      <c r="N1782" s="1845"/>
      <c r="O1782" s="1847"/>
      <c r="P1782" s="1843">
        <f t="shared" si="325"/>
        <v>8</v>
      </c>
      <c r="Q1782" s="1843"/>
      <c r="R1782" s="1843"/>
      <c r="S1782" s="1056"/>
      <c r="T1782" s="2059">
        <f>IFERROR(HLOOKUP(B1782,pp3p1m!34:36,3,0),0)</f>
        <v>0</v>
      </c>
    </row>
    <row r="1783" spans="1:20" ht="22.15" customHeight="1">
      <c r="B1783" s="1587" t="s">
        <v>906</v>
      </c>
      <c r="C1783" s="1854" t="str">
        <f t="shared" si="328"/>
        <v>x</v>
      </c>
      <c r="D1783" s="1544">
        <v>1</v>
      </c>
      <c r="E1783" s="1047"/>
      <c r="F1783" s="1059" t="str">
        <f>VLOOKUP($B1783,DG!A:D,DG!$C$2,)</f>
        <v>Khóa néo dây cỡ dây 50</v>
      </c>
      <c r="G1783" s="1047" t="str">
        <f>VLOOKUP($B1783,DG!A:D,DG!$D$2,)</f>
        <v>cái</v>
      </c>
      <c r="H1783" s="1845">
        <f>$H$1782*D1783</f>
        <v>8</v>
      </c>
      <c r="I1783" s="1845"/>
      <c r="J1783" s="1845"/>
      <c r="K1783" s="1845"/>
      <c r="L1783" s="1845"/>
      <c r="M1783" s="1845"/>
      <c r="N1783" s="1845"/>
      <c r="O1783" s="1847"/>
      <c r="P1783" s="1845">
        <f t="shared" si="325"/>
        <v>8</v>
      </c>
      <c r="Q1783" s="1056"/>
      <c r="R1783" s="1056"/>
      <c r="S1783" s="1056"/>
      <c r="T1783" s="2059">
        <f>IFERROR(HLOOKUP(B1783,pp3p1m!35:37,3,0),0)</f>
        <v>0</v>
      </c>
    </row>
    <row r="1784" spans="1:20" ht="22.15" customHeight="1">
      <c r="B1784" s="1580" t="s">
        <v>417</v>
      </c>
      <c r="C1784" s="1854" t="str">
        <f t="shared" si="328"/>
        <v>x</v>
      </c>
      <c r="D1784" s="1544">
        <v>1</v>
      </c>
      <c r="E1784" s="1047"/>
      <c r="F1784" s="1059" t="str">
        <f>VLOOKUP($B1784,DG!A:D,DG!$C$2,)</f>
        <v>Boulon mắt 16x300+ 2 long đền vuông D18-50x50x3/Zn</v>
      </c>
      <c r="G1784" s="1047" t="str">
        <f>VLOOKUP($B1784,DG!A:D,DG!$D$2,)</f>
        <v>bộ</v>
      </c>
      <c r="H1784" s="1845">
        <f>$H$1782*D1784</f>
        <v>8</v>
      </c>
      <c r="I1784" s="1845"/>
      <c r="J1784" s="1845"/>
      <c r="K1784" s="1845"/>
      <c r="L1784" s="1845"/>
      <c r="M1784" s="1845"/>
      <c r="N1784" s="1845"/>
      <c r="O1784" s="1847"/>
      <c r="P1784" s="1845">
        <f t="shared" si="325"/>
        <v>8</v>
      </c>
      <c r="Q1784" s="1056"/>
      <c r="R1784" s="1056"/>
      <c r="S1784" s="1056"/>
      <c r="T1784" s="2059">
        <f>IFERROR(HLOOKUP(B1784,pp3p1m!36:38,3,0),0)</f>
        <v>0</v>
      </c>
    </row>
    <row r="1785" spans="1:20" ht="22.15" hidden="1" customHeight="1">
      <c r="A1785" s="59"/>
      <c r="B1785" s="1586" t="s">
        <v>907</v>
      </c>
      <c r="C1785" s="1015" t="str">
        <f t="shared" si="328"/>
        <v xml:space="preserve"> </v>
      </c>
      <c r="D1785" s="1544"/>
      <c r="E1785" s="1047"/>
      <c r="F1785" s="1059" t="str">
        <f>VLOOKUP($B1785,DG!A:D,DG!$C$2,)</f>
        <v>Kẹp ép WR cỡ dây 50mm2</v>
      </c>
      <c r="G1785" s="1047" t="str">
        <f>VLOOKUP($B1785,DG!A:D,DG!$D$2,)</f>
        <v>cái</v>
      </c>
      <c r="H1785" s="1845">
        <f>$D1785</f>
        <v>0</v>
      </c>
      <c r="I1785" s="1845"/>
      <c r="J1785" s="1845"/>
      <c r="K1785" s="1845">
        <f>D1785</f>
        <v>0</v>
      </c>
      <c r="L1785" s="1845"/>
      <c r="M1785" s="1845"/>
      <c r="N1785" s="1845"/>
      <c r="O1785" s="1845"/>
      <c r="P1785" s="1845">
        <f t="shared" si="325"/>
        <v>0</v>
      </c>
      <c r="Q1785" s="1056"/>
      <c r="R1785" s="1056"/>
      <c r="S1785" s="1056"/>
      <c r="T1785" s="2059">
        <f>IFERROR(HLOOKUP(B1785,pp3p1m!37:39,3,0),0)</f>
        <v>0</v>
      </c>
    </row>
    <row r="1786" spans="1:20" ht="22.15" hidden="1" customHeight="1">
      <c r="A1786" s="59"/>
      <c r="B1786" s="1606" t="s">
        <v>534</v>
      </c>
      <c r="C1786" s="1015" t="str">
        <f t="shared" si="328"/>
        <v xml:space="preserve"> </v>
      </c>
      <c r="D1786" s="1557"/>
      <c r="E1786" s="1047"/>
      <c r="F1786" s="1065" t="s">
        <v>2547</v>
      </c>
      <c r="G1786" s="1066" t="s">
        <v>2448</v>
      </c>
      <c r="H1786" s="1843">
        <f>SUM(I1786:O1786)</f>
        <v>0</v>
      </c>
      <c r="I1786" s="1845"/>
      <c r="J1786" s="1845"/>
      <c r="K1786" s="1844">
        <f>IFERROR(HLOOKUP(B1786,pp3p1m!$1:$3,3,0),0)</f>
        <v>0</v>
      </c>
      <c r="L1786" s="1845"/>
      <c r="M1786" s="1845"/>
      <c r="N1786" s="1845"/>
      <c r="O1786" s="1845"/>
      <c r="P1786" s="1845">
        <f t="shared" si="325"/>
        <v>0</v>
      </c>
      <c r="Q1786" s="1056"/>
      <c r="R1786" s="1056"/>
      <c r="S1786" s="1056"/>
      <c r="T1786" s="2059">
        <f>IFERROR(HLOOKUP(B1786,pp3p1m!38:40,3,0),0)</f>
        <v>0</v>
      </c>
    </row>
    <row r="1787" spans="1:20" ht="22.15" hidden="1" customHeight="1">
      <c r="A1787" s="59"/>
      <c r="B1787" s="1607" t="s">
        <v>906</v>
      </c>
      <c r="C1787" s="1015" t="str">
        <f t="shared" si="328"/>
        <v xml:space="preserve"> </v>
      </c>
      <c r="D1787" s="1544">
        <f>D1786</f>
        <v>0</v>
      </c>
      <c r="E1787" s="1047"/>
      <c r="F1787" s="1059" t="str">
        <f>VLOOKUP($B1787,DG!A:D,DG!$C$2,)</f>
        <v>Khóa néo dây cỡ dây 50</v>
      </c>
      <c r="G1787" s="1047" t="str">
        <f>VLOOKUP($B1787,DG!A:D,DG!$D$2,)</f>
        <v>cái</v>
      </c>
      <c r="H1787" s="1845">
        <f>$D1787</f>
        <v>0</v>
      </c>
      <c r="I1787" s="1845"/>
      <c r="J1787" s="1845"/>
      <c r="K1787" s="1845">
        <f>D1787</f>
        <v>0</v>
      </c>
      <c r="L1787" s="1845"/>
      <c r="M1787" s="1845"/>
      <c r="N1787" s="1845"/>
      <c r="O1787" s="1845"/>
      <c r="P1787" s="1845">
        <f t="shared" si="325"/>
        <v>0</v>
      </c>
      <c r="Q1787" s="1056"/>
      <c r="R1787" s="1056"/>
      <c r="S1787" s="1056"/>
      <c r="T1787" s="2059">
        <f>IFERROR(HLOOKUP(B1787,pp3p1m!39:41,3,0),0)</f>
        <v>0</v>
      </c>
    </row>
    <row r="1788" spans="1:20" ht="22.15" hidden="1" customHeight="1">
      <c r="A1788" s="59"/>
      <c r="B1788" s="1613" t="s">
        <v>2548</v>
      </c>
      <c r="C1788" s="1015" t="str">
        <f t="shared" si="328"/>
        <v xml:space="preserve"> </v>
      </c>
      <c r="D1788" s="1544">
        <f>D1786</f>
        <v>0</v>
      </c>
      <c r="E1788" s="1047"/>
      <c r="F1788" s="1059" t="str">
        <f>VLOOKUP($B1788,DG!A:D,DG!$C$2,)</f>
        <v>Boulon 16x500VRS + đai ốc mắt + 2 long đền vuông D18-50x50x3/Zn</v>
      </c>
      <c r="G1788" s="1047" t="str">
        <f>VLOOKUP($B1788,DG!A:D,DG!$D$2,)</f>
        <v>bộ</v>
      </c>
      <c r="H1788" s="1845">
        <f>$D1788</f>
        <v>0</v>
      </c>
      <c r="I1788" s="1845"/>
      <c r="J1788" s="1845"/>
      <c r="K1788" s="1845">
        <f>D1788</f>
        <v>0</v>
      </c>
      <c r="L1788" s="1845"/>
      <c r="M1788" s="1845"/>
      <c r="N1788" s="1845"/>
      <c r="O1788" s="1845"/>
      <c r="P1788" s="1845">
        <f t="shared" si="325"/>
        <v>0</v>
      </c>
      <c r="Q1788" s="1056"/>
      <c r="R1788" s="1056"/>
      <c r="S1788" s="1056"/>
      <c r="T1788" s="2059">
        <f>IFERROR(HLOOKUP(B1788,pp3p1m!40:42,3,0),0)</f>
        <v>0</v>
      </c>
    </row>
    <row r="1789" spans="1:20" ht="22.15" hidden="1" customHeight="1">
      <c r="A1789" s="59"/>
      <c r="B1789" s="1586" t="s">
        <v>907</v>
      </c>
      <c r="C1789" s="1015" t="str">
        <f t="shared" si="328"/>
        <v xml:space="preserve"> </v>
      </c>
      <c r="D1789" s="1544">
        <f>D1786*2</f>
        <v>0</v>
      </c>
      <c r="E1789" s="1047"/>
      <c r="F1789" s="1059" t="str">
        <f>VLOOKUP($B1789,DG!A:D,DG!$C$2,)</f>
        <v>Kẹp ép WR cỡ dây 50mm2</v>
      </c>
      <c r="G1789" s="1047" t="str">
        <f>VLOOKUP($B1789,DG!A:D,DG!$D$2,)</f>
        <v>cái</v>
      </c>
      <c r="H1789" s="1845">
        <f>$D1789</f>
        <v>0</v>
      </c>
      <c r="I1789" s="1845"/>
      <c r="J1789" s="1845"/>
      <c r="K1789" s="1845">
        <f>D1789</f>
        <v>0</v>
      </c>
      <c r="L1789" s="1845"/>
      <c r="M1789" s="1845"/>
      <c r="N1789" s="1845"/>
      <c r="O1789" s="1845"/>
      <c r="P1789" s="1845">
        <f t="shared" si="325"/>
        <v>0</v>
      </c>
      <c r="Q1789" s="1056"/>
      <c r="R1789" s="1056"/>
      <c r="S1789" s="1056"/>
      <c r="T1789" s="2059">
        <f>IFERROR(HLOOKUP(B1789,pp3p1m!41:43,3,0),0)</f>
        <v>0</v>
      </c>
    </row>
    <row r="1790" spans="1:20" ht="22.15" hidden="1" customHeight="1">
      <c r="A1790" s="59"/>
      <c r="B1790" s="1606" t="s">
        <v>2168</v>
      </c>
      <c r="C1790" s="1015" t="str">
        <f t="shared" si="328"/>
        <v xml:space="preserve"> </v>
      </c>
      <c r="D1790" s="1557"/>
      <c r="E1790" s="1047"/>
      <c r="F1790" s="1065" t="s">
        <v>2549</v>
      </c>
      <c r="G1790" s="1066" t="s">
        <v>2448</v>
      </c>
      <c r="H1790" s="1843">
        <f>SUM(I1790:O1790)</f>
        <v>0</v>
      </c>
      <c r="I1790" s="1845"/>
      <c r="J1790" s="1845"/>
      <c r="K1790" s="1844">
        <f>IFERROR(HLOOKUP(B1790,pp3p1m!$1:$3,3,0),0)</f>
        <v>0</v>
      </c>
      <c r="L1790" s="1845"/>
      <c r="M1790" s="1845"/>
      <c r="N1790" s="1845"/>
      <c r="O1790" s="1845"/>
      <c r="P1790" s="1845">
        <f t="shared" si="325"/>
        <v>0</v>
      </c>
      <c r="Q1790" s="1056"/>
      <c r="R1790" s="1056"/>
      <c r="S1790" s="1056"/>
      <c r="T1790" s="2059">
        <f>IFERROR(HLOOKUP(B1790,pp3p1m!42:44,3,0),0)</f>
        <v>0</v>
      </c>
    </row>
    <row r="1791" spans="1:20" ht="22.15" hidden="1" customHeight="1">
      <c r="A1791" s="59"/>
      <c r="B1791" s="1607" t="s">
        <v>906</v>
      </c>
      <c r="C1791" s="1015" t="str">
        <f t="shared" si="328"/>
        <v xml:space="preserve"> </v>
      </c>
      <c r="D1791" s="1544">
        <f>D1790</f>
        <v>0</v>
      </c>
      <c r="E1791" s="1047"/>
      <c r="F1791" s="1059" t="str">
        <f>VLOOKUP($B1791,DG!A:D,DG!$C$2,)</f>
        <v>Khóa néo dây cỡ dây 50</v>
      </c>
      <c r="G1791" s="1047" t="str">
        <f>VLOOKUP($B1791,DG!A:D,DG!$D$2,)</f>
        <v>cái</v>
      </c>
      <c r="H1791" s="1845">
        <f>$D1791</f>
        <v>0</v>
      </c>
      <c r="I1791" s="1845"/>
      <c r="J1791" s="1845"/>
      <c r="K1791" s="1845">
        <f>D1791</f>
        <v>0</v>
      </c>
      <c r="L1791" s="1845"/>
      <c r="M1791" s="1845"/>
      <c r="N1791" s="1845"/>
      <c r="O1791" s="1845"/>
      <c r="P1791" s="1845">
        <f t="shared" si="325"/>
        <v>0</v>
      </c>
      <c r="Q1791" s="1056"/>
      <c r="R1791" s="1056"/>
      <c r="S1791" s="1056"/>
      <c r="T1791" s="2059">
        <f>IFERROR(HLOOKUP(B1791,pp3p1m!43:45,3,0),0)</f>
        <v>0</v>
      </c>
    </row>
    <row r="1792" spans="1:20" ht="22.15" hidden="1" customHeight="1">
      <c r="A1792" s="59"/>
      <c r="B1792" s="1586" t="s">
        <v>1491</v>
      </c>
      <c r="C1792" s="1015" t="str">
        <f t="shared" si="328"/>
        <v xml:space="preserve"> </v>
      </c>
      <c r="D1792" s="1544">
        <f>D1790*2</f>
        <v>0</v>
      </c>
      <c r="E1792" s="1047"/>
      <c r="F1792" s="1059" t="str">
        <f>VLOOKUP($B1792,DG!A:D,DG!$C$2,)</f>
        <v xml:space="preserve">Móc treo chữ U </v>
      </c>
      <c r="G1792" s="1047" t="str">
        <f>VLOOKUP($B1792,DG!A:D,DG!$D$2,)</f>
        <v>cái</v>
      </c>
      <c r="H1792" s="1845">
        <f>$D1792</f>
        <v>0</v>
      </c>
      <c r="I1792" s="1845"/>
      <c r="J1792" s="1845"/>
      <c r="K1792" s="1845">
        <f>D1792</f>
        <v>0</v>
      </c>
      <c r="L1792" s="1845"/>
      <c r="M1792" s="1845"/>
      <c r="N1792" s="1845"/>
      <c r="O1792" s="1845"/>
      <c r="P1792" s="1845">
        <f t="shared" si="325"/>
        <v>0</v>
      </c>
      <c r="Q1792" s="1056"/>
      <c r="R1792" s="1056"/>
      <c r="S1792" s="1056"/>
      <c r="T1792" s="2059">
        <f>IFERROR(HLOOKUP(B1792,pp3p1m!44:46,3,0),0)</f>
        <v>0</v>
      </c>
    </row>
    <row r="1793" spans="1:20" ht="22.15" hidden="1" customHeight="1">
      <c r="A1793" s="59"/>
      <c r="B1793" s="1586" t="s">
        <v>1584</v>
      </c>
      <c r="C1793" s="1015" t="str">
        <f t="shared" si="328"/>
        <v xml:space="preserve"> </v>
      </c>
      <c r="D1793" s="1544">
        <f>D1790*2</f>
        <v>0</v>
      </c>
      <c r="E1793" s="1047"/>
      <c r="F1793" s="1059" t="str">
        <f>VLOOKUP($B1793,DG!A:D,DG!$C$2,)</f>
        <v>Kẹp ép WR cỡ dây 50mm2</v>
      </c>
      <c r="G1793" s="1047" t="str">
        <f>VLOOKUP($B1793,DG!A:D,DG!$D$2,)</f>
        <v>cái</v>
      </c>
      <c r="H1793" s="1845">
        <f>$D1793</f>
        <v>0</v>
      </c>
      <c r="I1793" s="1845"/>
      <c r="J1793" s="1845"/>
      <c r="K1793" s="1845">
        <f>D1793</f>
        <v>0</v>
      </c>
      <c r="L1793" s="1845"/>
      <c r="M1793" s="1845"/>
      <c r="N1793" s="1845"/>
      <c r="O1793" s="1845"/>
      <c r="P1793" s="1845">
        <f t="shared" si="325"/>
        <v>0</v>
      </c>
      <c r="Q1793" s="1056"/>
      <c r="R1793" s="1056"/>
      <c r="S1793" s="1056"/>
      <c r="T1793" s="2059">
        <f>IFERROR(HLOOKUP(B1793,pp3p1m!45:47,3,0),0)</f>
        <v>0</v>
      </c>
    </row>
    <row r="1794" spans="1:20" ht="22.15" customHeight="1">
      <c r="B1794" s="1591" t="s">
        <v>2513</v>
      </c>
      <c r="C1794" s="1854" t="str">
        <f t="shared" si="328"/>
        <v>x</v>
      </c>
      <c r="D1794" s="1557">
        <f>pp3p1m!DE114-T1794</f>
        <v>69</v>
      </c>
      <c r="E1794" s="1047"/>
      <c r="F1794" s="1065" t="s">
        <v>2514</v>
      </c>
      <c r="G1794" s="1047" t="s">
        <v>2448</v>
      </c>
      <c r="H1794" s="1843">
        <f>SUM(I1794:O1794)</f>
        <v>69</v>
      </c>
      <c r="I1794" s="1845"/>
      <c r="J1794" s="1845"/>
      <c r="K1794" s="1844">
        <f>IFERROR(HLOOKUP(B1794,pp3p1m!$1:$3,3,0),0)</f>
        <v>69</v>
      </c>
      <c r="L1794" s="1845"/>
      <c r="M1794" s="1845"/>
      <c r="N1794" s="1845"/>
      <c r="O1794" s="1847"/>
      <c r="P1794" s="1843">
        <f>H1794+Q1794-R1794</f>
        <v>69</v>
      </c>
      <c r="Q1794" s="1843"/>
      <c r="R1794" s="1843"/>
      <c r="S1794" s="1056"/>
      <c r="T1794" s="2059">
        <f>IFERROR(HLOOKUP(B1794,pp3p1m!46:48,3,0),0)</f>
        <v>0</v>
      </c>
    </row>
    <row r="1795" spans="1:20" ht="22.15" customHeight="1">
      <c r="B1795" s="1580" t="s">
        <v>698</v>
      </c>
      <c r="C1795" s="1854" t="str">
        <f t="shared" si="328"/>
        <v>x</v>
      </c>
      <c r="D1795" s="1544">
        <v>1</v>
      </c>
      <c r="E1795" s="1047"/>
      <c r="F1795" s="1059" t="str">
        <f>VLOOKUP($B1795,DG!A:D,DG!$C$2,)</f>
        <v xml:space="preserve">Sứ đứng 24KV </v>
      </c>
      <c r="G1795" s="1047" t="str">
        <f>VLOOKUP($B1795,DG!A:D,DG!$D$2,)</f>
        <v>cái</v>
      </c>
      <c r="H1795" s="1845">
        <f>H$1794*$D1795</f>
        <v>69</v>
      </c>
      <c r="I1795" s="1969"/>
      <c r="J1795" s="1969"/>
      <c r="K1795" s="1969"/>
      <c r="L1795" s="1969">
        <f t="shared" ref="L1795:L1796" si="329">L$1794*H1795</f>
        <v>0</v>
      </c>
      <c r="M1795" s="1969">
        <f t="shared" ref="M1795:M1796" si="330">M$1794*I1795</f>
        <v>0</v>
      </c>
      <c r="N1795" s="1969">
        <f t="shared" ref="N1795:N1796" si="331">N$1794*J1795</f>
        <v>0</v>
      </c>
      <c r="O1795" s="1969">
        <f t="shared" ref="O1795:O1796" si="332">O$1794*K1795</f>
        <v>0</v>
      </c>
      <c r="P1795" s="1845">
        <f>P$1794*$D1795</f>
        <v>69</v>
      </c>
      <c r="Q1795" s="1056"/>
      <c r="R1795" s="1056"/>
      <c r="S1795" s="1056"/>
      <c r="T1795" s="2059">
        <f>IFERROR(HLOOKUP(B1795,pp3p1m!47:49,3,0),0)</f>
        <v>0</v>
      </c>
    </row>
    <row r="1796" spans="1:20" ht="22.15" customHeight="1">
      <c r="B1796" s="1580" t="s">
        <v>1270</v>
      </c>
      <c r="C1796" s="1854" t="str">
        <f t="shared" si="328"/>
        <v>x</v>
      </c>
      <c r="D1796" s="1544">
        <v>1</v>
      </c>
      <c r="E1796" s="1047"/>
      <c r="F1796" s="1059" t="str">
        <f>VLOOKUP($B1796,DG!A:D,DG!$C$2,)</f>
        <v>Chân sứ đứng D20</v>
      </c>
      <c r="G1796" s="1047" t="str">
        <f>VLOOKUP($B1796,DG!A:D,DG!$D$2,)</f>
        <v>cái</v>
      </c>
      <c r="H1796" s="1845">
        <f t="shared" ref="H1796" si="333">H$1794*D1796</f>
        <v>69</v>
      </c>
      <c r="I1796" s="1969"/>
      <c r="J1796" s="1969"/>
      <c r="K1796" s="1969"/>
      <c r="L1796" s="1969">
        <f t="shared" si="329"/>
        <v>0</v>
      </c>
      <c r="M1796" s="1969">
        <f t="shared" si="330"/>
        <v>0</v>
      </c>
      <c r="N1796" s="1969">
        <f t="shared" si="331"/>
        <v>0</v>
      </c>
      <c r="O1796" s="1969">
        <f t="shared" si="332"/>
        <v>0</v>
      </c>
      <c r="P1796" s="1845">
        <f>P$1794*$D1796</f>
        <v>69</v>
      </c>
      <c r="Q1796" s="1056"/>
      <c r="R1796" s="1056"/>
      <c r="S1796" s="1056"/>
      <c r="T1796" s="2059">
        <f>IFERROR(HLOOKUP(B1796,pp3p1m!48:50,3,0),0)</f>
        <v>0</v>
      </c>
    </row>
    <row r="1797" spans="1:20" ht="22.15" hidden="1" customHeight="1">
      <c r="A1797" s="59"/>
      <c r="B1797" s="1606" t="s">
        <v>2515</v>
      </c>
      <c r="C1797" s="1015" t="str">
        <f t="shared" si="328"/>
        <v xml:space="preserve"> </v>
      </c>
      <c r="D1797" s="1557">
        <f>pp3p1m!DC114</f>
        <v>0</v>
      </c>
      <c r="E1797" s="1047"/>
      <c r="F1797" s="1065" t="s">
        <v>2516</v>
      </c>
      <c r="G1797" s="1066" t="s">
        <v>2448</v>
      </c>
      <c r="H1797" s="1843">
        <f>SUM(I1797:O1797)</f>
        <v>0</v>
      </c>
      <c r="I1797" s="1845"/>
      <c r="J1797" s="1845"/>
      <c r="K1797" s="1844">
        <f>IFERROR(HLOOKUP(B1797,pp3p1m!$1:$3,3,0),0)</f>
        <v>0</v>
      </c>
      <c r="L1797" s="1845"/>
      <c r="M1797" s="1845"/>
      <c r="N1797" s="1845"/>
      <c r="O1797" s="1845"/>
      <c r="P1797" s="1843">
        <f t="shared" si="325"/>
        <v>0</v>
      </c>
      <c r="Q1797" s="1843"/>
      <c r="R1797" s="1843"/>
      <c r="S1797" s="1056"/>
      <c r="T1797" s="2059">
        <f>IFERROR(HLOOKUP(B1797,pp3p1m!49:51,3,0),0)</f>
        <v>0</v>
      </c>
    </row>
    <row r="1798" spans="1:20" ht="22.15" hidden="1" customHeight="1">
      <c r="A1798" s="59"/>
      <c r="B1798" s="1586" t="s">
        <v>698</v>
      </c>
      <c r="C1798" s="1015" t="str">
        <f t="shared" si="328"/>
        <v xml:space="preserve"> </v>
      </c>
      <c r="D1798" s="1544">
        <f>D1797</f>
        <v>0</v>
      </c>
      <c r="E1798" s="1047"/>
      <c r="F1798" s="1059" t="str">
        <f>VLOOKUP($B1798,DG!A:D,DG!$C$2,)</f>
        <v xml:space="preserve">Sứ đứng 24KV </v>
      </c>
      <c r="G1798" s="1047" t="str">
        <f>VLOOKUP($B1798,DG!A:D,DG!$D$2,)</f>
        <v>cái</v>
      </c>
      <c r="H1798" s="1845">
        <f>$D1798</f>
        <v>0</v>
      </c>
      <c r="I1798" s="1845"/>
      <c r="J1798" s="1845"/>
      <c r="K1798" s="1845">
        <f>D1798</f>
        <v>0</v>
      </c>
      <c r="L1798" s="1845"/>
      <c r="M1798" s="1845"/>
      <c r="N1798" s="1845"/>
      <c r="O1798" s="1845"/>
      <c r="P1798" s="1845">
        <f t="shared" si="325"/>
        <v>0</v>
      </c>
      <c r="Q1798" s="1056"/>
      <c r="R1798" s="1056"/>
      <c r="S1798" s="1056"/>
      <c r="T1798" s="2059">
        <f>IFERROR(HLOOKUP(B1798,pp3p1m!50:52,3,0),0)</f>
        <v>0</v>
      </c>
    </row>
    <row r="1799" spans="1:20" ht="22.15" hidden="1" customHeight="1">
      <c r="A1799" s="59"/>
      <c r="B1799" s="1586" t="s">
        <v>1271</v>
      </c>
      <c r="C1799" s="1015" t="str">
        <f t="shared" si="328"/>
        <v xml:space="preserve"> </v>
      </c>
      <c r="D1799" s="1544">
        <f>D1797</f>
        <v>0</v>
      </c>
      <c r="E1799" s="1047"/>
      <c r="F1799" s="1059" t="str">
        <f>VLOOKUP($B1799,DG!A:D,DG!$C$2,)</f>
        <v>Chân sứ đỉnh thẳng dài 870mm</v>
      </c>
      <c r="G1799" s="1047" t="str">
        <f>VLOOKUP($B1799,DG!A:D,DG!$D$2,)</f>
        <v>cái</v>
      </c>
      <c r="H1799" s="1845">
        <f>$D1799</f>
        <v>0</v>
      </c>
      <c r="I1799" s="1845"/>
      <c r="J1799" s="1845"/>
      <c r="K1799" s="1845">
        <f>D1799</f>
        <v>0</v>
      </c>
      <c r="L1799" s="1845"/>
      <c r="M1799" s="1845"/>
      <c r="N1799" s="1845"/>
      <c r="O1799" s="1845"/>
      <c r="P1799" s="1845">
        <f t="shared" si="325"/>
        <v>0</v>
      </c>
      <c r="Q1799" s="1056"/>
      <c r="R1799" s="1056"/>
      <c r="S1799" s="1056"/>
      <c r="T1799" s="2059">
        <f>IFERROR(HLOOKUP(B1799,pp3p1m!51:53,3,0),0)</f>
        <v>0</v>
      </c>
    </row>
    <row r="1800" spans="1:20" ht="22.15" hidden="1" customHeight="1">
      <c r="A1800" s="59"/>
      <c r="B1800" s="1586" t="s">
        <v>1614</v>
      </c>
      <c r="C1800" s="1015" t="str">
        <f t="shared" si="328"/>
        <v xml:space="preserve"> </v>
      </c>
      <c r="D1800" s="1544">
        <f>D1797*2</f>
        <v>0</v>
      </c>
      <c r="E1800" s="1047"/>
      <c r="F1800" s="1059" t="str">
        <f>VLOOKUP($B1800,DG!A:D,DG!$C$2,)</f>
        <v>Boulon 16x250+ 2 long đền vuông D18-50x50x3/Zn</v>
      </c>
      <c r="G1800" s="1047" t="str">
        <f>VLOOKUP($B1800,DG!A:D,DG!$D$2,)</f>
        <v>bộ</v>
      </c>
      <c r="H1800" s="1845">
        <f>$D1800</f>
        <v>0</v>
      </c>
      <c r="I1800" s="1845"/>
      <c r="J1800" s="1845"/>
      <c r="K1800" s="1845">
        <f>D1800</f>
        <v>0</v>
      </c>
      <c r="L1800" s="1845"/>
      <c r="M1800" s="1845"/>
      <c r="N1800" s="1845"/>
      <c r="O1800" s="1845"/>
      <c r="P1800" s="1845">
        <f t="shared" si="325"/>
        <v>0</v>
      </c>
      <c r="Q1800" s="1056"/>
      <c r="R1800" s="1056"/>
      <c r="S1800" s="1056"/>
      <c r="T1800" s="2059">
        <f>IFERROR(HLOOKUP(B1800,pp3p1m!52:54,3,0),0)</f>
        <v>0</v>
      </c>
    </row>
    <row r="1801" spans="1:20" ht="22.15" hidden="1" customHeight="1">
      <c r="A1801" s="63"/>
      <c r="B1801" s="1608" t="s">
        <v>2517</v>
      </c>
      <c r="C1801" s="1015" t="str">
        <f t="shared" si="328"/>
        <v xml:space="preserve"> </v>
      </c>
      <c r="D1801" s="1558"/>
      <c r="E1801" s="1051"/>
      <c r="F1801" s="1065" t="s">
        <v>2518</v>
      </c>
      <c r="G1801" s="1286" t="s">
        <v>2448</v>
      </c>
      <c r="H1801" s="1843">
        <f>SUM(I1801:O1801)</f>
        <v>0</v>
      </c>
      <c r="I1801" s="1846"/>
      <c r="J1801" s="1846"/>
      <c r="K1801" s="1844">
        <f>IFERROR(HLOOKUP(B1801,pp3p1m!$1:$3,3,0),0)</f>
        <v>0</v>
      </c>
      <c r="L1801" s="1846"/>
      <c r="M1801" s="1846"/>
      <c r="N1801" s="1846"/>
      <c r="O1801" s="1846"/>
      <c r="P1801" s="1845">
        <f t="shared" si="325"/>
        <v>0</v>
      </c>
      <c r="Q1801" s="1056"/>
      <c r="R1801" s="1056"/>
      <c r="S1801" s="1056"/>
      <c r="T1801" s="2059">
        <f>IFERROR(HLOOKUP(B1801,pp3p1m!53:55,3,0),0)</f>
        <v>0</v>
      </c>
    </row>
    <row r="1802" spans="1:20" ht="22.15" hidden="1" customHeight="1">
      <c r="A1802" s="63"/>
      <c r="B1802" s="1586" t="s">
        <v>698</v>
      </c>
      <c r="C1802" s="1015" t="str">
        <f t="shared" si="328"/>
        <v xml:space="preserve"> </v>
      </c>
      <c r="D1802" s="1547">
        <f>D1801*2</f>
        <v>0</v>
      </c>
      <c r="E1802" s="1051"/>
      <c r="F1802" s="1059" t="str">
        <f>VLOOKUP($B1802,DG!A:D,DG!$C$2,)</f>
        <v xml:space="preserve">Sứ đứng 24KV </v>
      </c>
      <c r="G1802" s="1047" t="str">
        <f>VLOOKUP($B1802,DG!A:D,DG!$D$2,)</f>
        <v>cái</v>
      </c>
      <c r="H1802" s="1845">
        <f>$D1802</f>
        <v>0</v>
      </c>
      <c r="I1802" s="1846"/>
      <c r="J1802" s="1846"/>
      <c r="K1802" s="1845">
        <f>D1802</f>
        <v>0</v>
      </c>
      <c r="L1802" s="1846"/>
      <c r="M1802" s="1846"/>
      <c r="N1802" s="1846"/>
      <c r="O1802" s="1846"/>
      <c r="P1802" s="1845">
        <f t="shared" si="325"/>
        <v>0</v>
      </c>
      <c r="Q1802" s="1056"/>
      <c r="R1802" s="1056"/>
      <c r="S1802" s="1056"/>
      <c r="T1802" s="2059">
        <f>IFERROR(HLOOKUP(B1802,pp3p1m!54:56,3,0),0)</f>
        <v>0</v>
      </c>
    </row>
    <row r="1803" spans="1:20" ht="22.15" hidden="1" customHeight="1">
      <c r="A1803" s="63"/>
      <c r="B1803" s="1586" t="s">
        <v>590</v>
      </c>
      <c r="C1803" s="1015" t="str">
        <f t="shared" si="328"/>
        <v xml:space="preserve"> </v>
      </c>
      <c r="D1803" s="1547">
        <f>D1801*2</f>
        <v>0</v>
      </c>
      <c r="E1803" s="1051"/>
      <c r="F1803" s="1059" t="str">
        <f>VLOOKUP($B1803,DG!A:D,DG!$C$2,)</f>
        <v>Chân sứ đỉnh đỡ góc dài 870mm</v>
      </c>
      <c r="G1803" s="1047" t="str">
        <f>VLOOKUP($B1803,DG!A:D,DG!$D$2,)</f>
        <v>cái</v>
      </c>
      <c r="H1803" s="1845">
        <f>$D1803</f>
        <v>0</v>
      </c>
      <c r="I1803" s="1846"/>
      <c r="J1803" s="1846"/>
      <c r="K1803" s="1845">
        <f>D1803</f>
        <v>0</v>
      </c>
      <c r="L1803" s="1846"/>
      <c r="M1803" s="1846"/>
      <c r="N1803" s="1846"/>
      <c r="O1803" s="1846"/>
      <c r="P1803" s="1845">
        <f t="shared" si="325"/>
        <v>0</v>
      </c>
      <c r="Q1803" s="1056"/>
      <c r="R1803" s="1056"/>
      <c r="S1803" s="1056"/>
      <c r="T1803" s="2059">
        <f>IFERROR(HLOOKUP(B1803,pp3p1m!55:57,3,0),0)</f>
        <v>0</v>
      </c>
    </row>
    <row r="1804" spans="1:20" ht="22.15" hidden="1" customHeight="1">
      <c r="A1804" s="63"/>
      <c r="B1804" s="1586" t="s">
        <v>1614</v>
      </c>
      <c r="C1804" s="1015" t="str">
        <f t="shared" si="328"/>
        <v xml:space="preserve"> </v>
      </c>
      <c r="D1804" s="1547"/>
      <c r="E1804" s="1051"/>
      <c r="F1804" s="1059" t="str">
        <f>VLOOKUP($B1804,DG!A:D,DG!$C$2,)</f>
        <v>Boulon 16x250+ 2 long đền vuông D18-50x50x3/Zn</v>
      </c>
      <c r="G1804" s="1047" t="str">
        <f>VLOOKUP($B1804,DG!A:D,DG!$D$2,)</f>
        <v>bộ</v>
      </c>
      <c r="H1804" s="1845">
        <f>$D1804</f>
        <v>0</v>
      </c>
      <c r="I1804" s="1846"/>
      <c r="J1804" s="1846"/>
      <c r="K1804" s="1845">
        <f>D1804</f>
        <v>0</v>
      </c>
      <c r="L1804" s="1846"/>
      <c r="M1804" s="1846"/>
      <c r="N1804" s="1846"/>
      <c r="O1804" s="1846"/>
      <c r="P1804" s="1845">
        <f t="shared" si="325"/>
        <v>0</v>
      </c>
      <c r="Q1804" s="1056"/>
      <c r="R1804" s="1056"/>
      <c r="S1804" s="1056"/>
      <c r="T1804" s="2059">
        <f>IFERROR(HLOOKUP(B1804,pp3p1m!56:58,3,0),0)</f>
        <v>0</v>
      </c>
    </row>
    <row r="1805" spans="1:20" ht="22.15" hidden="1" customHeight="1">
      <c r="A1805" s="59"/>
      <c r="B1805" s="1606" t="s">
        <v>2519</v>
      </c>
      <c r="C1805" s="1015" t="str">
        <f t="shared" si="328"/>
        <v xml:space="preserve"> </v>
      </c>
      <c r="D1805" s="1557"/>
      <c r="E1805" s="1047"/>
      <c r="F1805" s="1065" t="s">
        <v>2537</v>
      </c>
      <c r="G1805" s="1066" t="s">
        <v>2521</v>
      </c>
      <c r="H1805" s="1843">
        <f>SUM(I1805:O1805)</f>
        <v>0</v>
      </c>
      <c r="I1805" s="1845"/>
      <c r="J1805" s="1845"/>
      <c r="K1805" s="1844">
        <f>IFERROR(HLOOKUP(B1805,pp3p1m!$1:$3,3,0),0)</f>
        <v>0</v>
      </c>
      <c r="L1805" s="1845"/>
      <c r="M1805" s="1845"/>
      <c r="N1805" s="1845"/>
      <c r="O1805" s="1845"/>
      <c r="P1805" s="1845">
        <f t="shared" si="325"/>
        <v>0</v>
      </c>
      <c r="Q1805" s="1056"/>
      <c r="R1805" s="1056"/>
      <c r="S1805" s="1056"/>
      <c r="T1805" s="2059">
        <f>IFERROR(HLOOKUP(B1805,pp3p1m!57:59,3,0),0)</f>
        <v>0</v>
      </c>
    </row>
    <row r="1806" spans="1:20" ht="22.15" hidden="1" customHeight="1">
      <c r="A1806" s="59"/>
      <c r="B1806" s="1586" t="s">
        <v>1272</v>
      </c>
      <c r="C1806" s="1015" t="str">
        <f t="shared" si="328"/>
        <v xml:space="preserve"> </v>
      </c>
      <c r="D1806" s="1544">
        <f>D1805*2</f>
        <v>0</v>
      </c>
      <c r="E1806" s="1047"/>
      <c r="F1806" s="1059" t="str">
        <f>VLOOKUP($B1806,DG!A:D,DG!$C$2,)</f>
        <v>Sứ treo loại 70kN</v>
      </c>
      <c r="G1806" s="1047" t="str">
        <f>VLOOKUP($B1806,DG!A:D,DG!$D$2,)</f>
        <v>bát</v>
      </c>
      <c r="H1806" s="1845">
        <f>$D1806</f>
        <v>0</v>
      </c>
      <c r="I1806" s="1845"/>
      <c r="J1806" s="1845"/>
      <c r="K1806" s="1845">
        <f>D1806</f>
        <v>0</v>
      </c>
      <c r="L1806" s="1845"/>
      <c r="M1806" s="1845"/>
      <c r="N1806" s="1845"/>
      <c r="O1806" s="1845"/>
      <c r="P1806" s="1845">
        <f t="shared" si="325"/>
        <v>0</v>
      </c>
      <c r="Q1806" s="1056"/>
      <c r="R1806" s="1056"/>
      <c r="S1806" s="1056"/>
      <c r="T1806" s="2059">
        <f>IFERROR(HLOOKUP(B1806,pp3p1m!58:60,3,0),0)</f>
        <v>0</v>
      </c>
    </row>
    <row r="1807" spans="1:20" ht="22.15" hidden="1" customHeight="1">
      <c r="A1807" s="59"/>
      <c r="B1807" s="1586" t="s">
        <v>1491</v>
      </c>
      <c r="C1807" s="1015" t="str">
        <f t="shared" si="328"/>
        <v xml:space="preserve"> </v>
      </c>
      <c r="D1807" s="1544">
        <f>D1805*2</f>
        <v>0</v>
      </c>
      <c r="E1807" s="1047"/>
      <c r="F1807" s="1059" t="str">
        <f>VLOOKUP($B1807,DG!A:D,DG!$C$2,)</f>
        <v xml:space="preserve">Móc treo chữ U </v>
      </c>
      <c r="G1807" s="1047" t="str">
        <f>VLOOKUP($B1807,DG!A:D,DG!$D$2,)</f>
        <v>cái</v>
      </c>
      <c r="H1807" s="1845">
        <f>$D1807</f>
        <v>0</v>
      </c>
      <c r="I1807" s="1845"/>
      <c r="J1807" s="1845"/>
      <c r="K1807" s="1845">
        <f>D1807</f>
        <v>0</v>
      </c>
      <c r="L1807" s="1845"/>
      <c r="M1807" s="1845"/>
      <c r="N1807" s="1845"/>
      <c r="O1807" s="1845"/>
      <c r="P1807" s="1845">
        <f t="shared" si="325"/>
        <v>0</v>
      </c>
      <c r="Q1807" s="1056"/>
      <c r="R1807" s="1056"/>
      <c r="S1807" s="1056"/>
      <c r="T1807" s="2059">
        <f>IFERROR(HLOOKUP(B1807,pp3p1m!59:61,3,0),0)</f>
        <v>0</v>
      </c>
    </row>
    <row r="1808" spans="1:20" ht="22.15" hidden="1" customHeight="1">
      <c r="A1808" s="59"/>
      <c r="B1808" s="1586" t="s">
        <v>1574</v>
      </c>
      <c r="C1808" s="1015" t="str">
        <f t="shared" si="328"/>
        <v xml:space="preserve"> </v>
      </c>
      <c r="D1808" s="1544">
        <f>D1805</f>
        <v>0</v>
      </c>
      <c r="E1808" s="1047"/>
      <c r="F1808" s="1059" t="str">
        <f>VLOOKUP($B1808,DG!A:D,DG!$C$2,)</f>
        <v>Vòng treo đầu tròn</v>
      </c>
      <c r="G1808" s="1047" t="str">
        <f>VLOOKUP($B1808,DG!A:D,DG!$D$2,)</f>
        <v>cái</v>
      </c>
      <c r="H1808" s="1845">
        <f>$D1808</f>
        <v>0</v>
      </c>
      <c r="I1808" s="1845"/>
      <c r="J1808" s="1845"/>
      <c r="K1808" s="1845">
        <f>D1808</f>
        <v>0</v>
      </c>
      <c r="L1808" s="1845"/>
      <c r="M1808" s="1845"/>
      <c r="N1808" s="1845"/>
      <c r="O1808" s="1845"/>
      <c r="P1808" s="1845">
        <f t="shared" si="325"/>
        <v>0</v>
      </c>
      <c r="Q1808" s="1056"/>
      <c r="R1808" s="1056"/>
      <c r="S1808" s="1056"/>
      <c r="T1808" s="2059">
        <f>IFERROR(HLOOKUP(B1808,pp3p1m!60:62,3,0),0)</f>
        <v>0</v>
      </c>
    </row>
    <row r="1809" spans="1:20" ht="22.15" hidden="1" customHeight="1">
      <c r="A1809" s="59"/>
      <c r="B1809" s="1586" t="s">
        <v>1489</v>
      </c>
      <c r="C1809" s="1015" t="str">
        <f t="shared" si="328"/>
        <v xml:space="preserve"> </v>
      </c>
      <c r="D1809" s="1544">
        <f>D1805</f>
        <v>0</v>
      </c>
      <c r="E1809" s="1047"/>
      <c r="F1809" s="1059" t="str">
        <f>VLOOKUP($B1809,DG!A:D,DG!$C$2,)</f>
        <v>Mắt nối đơn</v>
      </c>
      <c r="G1809" s="1047" t="str">
        <f>VLOOKUP($B1809,DG!A:D,DG!$D$2,)</f>
        <v>cái</v>
      </c>
      <c r="H1809" s="1845">
        <f>$D1809</f>
        <v>0</v>
      </c>
      <c r="I1809" s="1845"/>
      <c r="J1809" s="1845"/>
      <c r="K1809" s="1845">
        <f>D1809</f>
        <v>0</v>
      </c>
      <c r="L1809" s="1845"/>
      <c r="M1809" s="1845"/>
      <c r="N1809" s="1845"/>
      <c r="O1809" s="1845"/>
      <c r="P1809" s="1845">
        <f t="shared" si="325"/>
        <v>0</v>
      </c>
      <c r="Q1809" s="1056"/>
      <c r="R1809" s="1056"/>
      <c r="S1809" s="1056"/>
      <c r="T1809" s="2059">
        <f>IFERROR(HLOOKUP(B1809,pp3p1m!61:63,3,0),0)</f>
        <v>0</v>
      </c>
    </row>
    <row r="1810" spans="1:20" ht="22.15" hidden="1" customHeight="1">
      <c r="A1810" s="59"/>
      <c r="B1810" s="1586" t="s">
        <v>1273</v>
      </c>
      <c r="C1810" s="1015" t="str">
        <f t="shared" si="328"/>
        <v xml:space="preserve"> </v>
      </c>
      <c r="D1810" s="1544">
        <f>D1805</f>
        <v>0</v>
      </c>
      <c r="E1810" s="1047"/>
      <c r="F1810" s="1059" t="str">
        <f>VLOOKUP($B1810,DG!A:D,DG!$C$2,)</f>
        <v>Boulon mắt 16x300+ 2 long đền vuông D18-50x50x3/Zn</v>
      </c>
      <c r="G1810" s="1047" t="str">
        <f>VLOOKUP($B1810,DG!A:D,DG!$D$2,)</f>
        <v>bộ</v>
      </c>
      <c r="H1810" s="1845">
        <f>$D1810</f>
        <v>0</v>
      </c>
      <c r="I1810" s="1845"/>
      <c r="J1810" s="1845"/>
      <c r="K1810" s="1845">
        <f>D1810</f>
        <v>0</v>
      </c>
      <c r="L1810" s="1845"/>
      <c r="M1810" s="1845"/>
      <c r="N1810" s="1845"/>
      <c r="O1810" s="1845"/>
      <c r="P1810" s="1845">
        <f t="shared" si="325"/>
        <v>0</v>
      </c>
      <c r="Q1810" s="1056"/>
      <c r="R1810" s="1056"/>
      <c r="S1810" s="1056"/>
      <c r="T1810" s="2059">
        <f>IFERROR(HLOOKUP(B1810,pp3p1m!62:64,3,0),0)</f>
        <v>0</v>
      </c>
    </row>
    <row r="1811" spans="1:20" ht="22.15" hidden="1" customHeight="1">
      <c r="A1811" s="59"/>
      <c r="B1811" s="1606" t="s">
        <v>2522</v>
      </c>
      <c r="C1811" s="1015" t="str">
        <f t="shared" si="328"/>
        <v xml:space="preserve"> </v>
      </c>
      <c r="D1811" s="1557"/>
      <c r="E1811" s="1047"/>
      <c r="F1811" s="1065" t="s">
        <v>2550</v>
      </c>
      <c r="G1811" s="1066" t="s">
        <v>2521</v>
      </c>
      <c r="H1811" s="1843">
        <f>SUM(I1811:O1811)</f>
        <v>0</v>
      </c>
      <c r="I1811" s="1845"/>
      <c r="J1811" s="1845"/>
      <c r="K1811" s="1844">
        <f>IFERROR(HLOOKUP(B1811,pp3p1m!$1:$3,3,0),0)</f>
        <v>0</v>
      </c>
      <c r="L1811" s="1845"/>
      <c r="M1811" s="1845"/>
      <c r="N1811" s="1845"/>
      <c r="O1811" s="1845"/>
      <c r="P1811" s="1845">
        <f t="shared" si="325"/>
        <v>0</v>
      </c>
      <c r="Q1811" s="1056"/>
      <c r="R1811" s="1056"/>
      <c r="S1811" s="1056"/>
      <c r="T1811" s="2059">
        <f>IFERROR(HLOOKUP(B1811,pp3p1m!63:65,3,0),0)</f>
        <v>0</v>
      </c>
    </row>
    <row r="1812" spans="1:20" ht="22.15" hidden="1" customHeight="1">
      <c r="A1812" s="59"/>
      <c r="B1812" s="1586" t="s">
        <v>112</v>
      </c>
      <c r="C1812" s="1015" t="str">
        <f t="shared" si="328"/>
        <v xml:space="preserve"> </v>
      </c>
      <c r="D1812" s="1544"/>
      <c r="E1812" s="1047"/>
      <c r="F1812" s="1059" t="str">
        <f>VLOOKUP($B1812,DG!A:D,DG!$C$2,)</f>
        <v>Sứ treo loại 70kN</v>
      </c>
      <c r="G1812" s="1047" t="str">
        <f>VLOOKUP($B1812,DG!A:D,DG!$D$2,)</f>
        <v>bát</v>
      </c>
      <c r="H1812" s="1845">
        <f>$D1812</f>
        <v>0</v>
      </c>
      <c r="I1812" s="1845"/>
      <c r="J1812" s="1845"/>
      <c r="K1812" s="1845">
        <f>D1812</f>
        <v>0</v>
      </c>
      <c r="L1812" s="1845"/>
      <c r="M1812" s="1845"/>
      <c r="N1812" s="1845"/>
      <c r="O1812" s="1845"/>
      <c r="P1812" s="1845">
        <f t="shared" si="325"/>
        <v>0</v>
      </c>
      <c r="Q1812" s="1056"/>
      <c r="R1812" s="1056"/>
      <c r="S1812" s="1056"/>
      <c r="T1812" s="2059">
        <f>IFERROR(HLOOKUP(B1812,pp3p1m!64:66,3,0),0)</f>
        <v>0</v>
      </c>
    </row>
    <row r="1813" spans="1:20" ht="22.15" hidden="1" customHeight="1">
      <c r="A1813" s="59"/>
      <c r="B1813" s="1586" t="s">
        <v>1491</v>
      </c>
      <c r="C1813" s="1015" t="str">
        <f t="shared" si="328"/>
        <v xml:space="preserve"> </v>
      </c>
      <c r="D1813" s="1544">
        <f>D1811*2</f>
        <v>0</v>
      </c>
      <c r="E1813" s="1047"/>
      <c r="F1813" s="1059" t="str">
        <f>VLOOKUP($B1813,DG!A:D,DG!$C$2,)</f>
        <v xml:space="preserve">Móc treo chữ U </v>
      </c>
      <c r="G1813" s="1047" t="str">
        <f>VLOOKUP($B1813,DG!A:D,DG!$D$2,)</f>
        <v>cái</v>
      </c>
      <c r="H1813" s="1845">
        <f>$D1813</f>
        <v>0</v>
      </c>
      <c r="I1813" s="1845"/>
      <c r="J1813" s="1845"/>
      <c r="K1813" s="1845">
        <f>D1813</f>
        <v>0</v>
      </c>
      <c r="L1813" s="1845"/>
      <c r="M1813" s="1845"/>
      <c r="N1813" s="1845"/>
      <c r="O1813" s="1845"/>
      <c r="P1813" s="1845">
        <f t="shared" si="325"/>
        <v>0</v>
      </c>
      <c r="Q1813" s="1056"/>
      <c r="R1813" s="1056"/>
      <c r="S1813" s="1056"/>
      <c r="T1813" s="2059">
        <f>IFERROR(HLOOKUP(B1813,pp3p1m!65:67,3,0),0)</f>
        <v>0</v>
      </c>
    </row>
    <row r="1814" spans="1:20" ht="22.15" customHeight="1">
      <c r="B1814" s="1591" t="s">
        <v>2551</v>
      </c>
      <c r="C1814" s="1854" t="str">
        <f t="shared" si="328"/>
        <v>x</v>
      </c>
      <c r="D1814" s="1557">
        <f>H1814</f>
        <v>24</v>
      </c>
      <c r="E1814" s="1047"/>
      <c r="F1814" s="1065" t="s">
        <v>2525</v>
      </c>
      <c r="G1814" s="1047" t="s">
        <v>2521</v>
      </c>
      <c r="H1814" s="1843">
        <f>SUM(I1814:O1814)</f>
        <v>24</v>
      </c>
      <c r="I1814" s="1845"/>
      <c r="J1814" s="1845"/>
      <c r="K1814" s="1844">
        <f>IFERROR(HLOOKUP(B1814,pp3p1m!$1:$3,3,0),0)</f>
        <v>24</v>
      </c>
      <c r="L1814" s="1845"/>
      <c r="M1814" s="1845"/>
      <c r="N1814" s="1845"/>
      <c r="O1814" s="1847"/>
      <c r="P1814" s="2271">
        <f t="shared" si="325"/>
        <v>24</v>
      </c>
      <c r="Q1814" s="1056"/>
      <c r="R1814" s="1056"/>
      <c r="S1814" s="1056"/>
      <c r="T1814" s="2059">
        <f>IFERROR(HLOOKUP(B1814,pp3p1m!66:68,3,0),0)</f>
        <v>0</v>
      </c>
    </row>
    <row r="1815" spans="1:20" ht="22.15" customHeight="1">
      <c r="B1815" s="1580" t="s">
        <v>1511</v>
      </c>
      <c r="C1815" s="1854" t="str">
        <f t="shared" si="328"/>
        <v>x</v>
      </c>
      <c r="D1815" s="1544">
        <v>1</v>
      </c>
      <c r="E1815" s="1047"/>
      <c r="F1815" s="1059" t="str">
        <f>VLOOKUP($B1815,DG!A:D,DG!$C$2,)</f>
        <v>Sứ treo polymer</v>
      </c>
      <c r="G1815" s="1047" t="str">
        <f>VLOOKUP($B1815,DG!A:D,DG!$D$2,)</f>
        <v>chuỗi</v>
      </c>
      <c r="H1815" s="1845">
        <f>H$1814*$D1815</f>
        <v>24</v>
      </c>
      <c r="I1815" s="1845">
        <f t="shared" ref="I1815:R1817" si="334">I$1814*$D1815</f>
        <v>0</v>
      </c>
      <c r="J1815" s="1845">
        <f t="shared" si="334"/>
        <v>0</v>
      </c>
      <c r="K1815" s="1845">
        <f t="shared" si="334"/>
        <v>24</v>
      </c>
      <c r="L1815" s="1845">
        <f t="shared" si="334"/>
        <v>0</v>
      </c>
      <c r="M1815" s="1845">
        <f t="shared" si="334"/>
        <v>0</v>
      </c>
      <c r="N1815" s="1845">
        <f t="shared" si="334"/>
        <v>0</v>
      </c>
      <c r="O1815" s="1845">
        <f t="shared" si="334"/>
        <v>0</v>
      </c>
      <c r="P1815" s="1845">
        <f t="shared" si="334"/>
        <v>24</v>
      </c>
      <c r="Q1815" s="1845">
        <f t="shared" si="334"/>
        <v>0</v>
      </c>
      <c r="R1815" s="1845">
        <f t="shared" si="334"/>
        <v>0</v>
      </c>
      <c r="S1815" s="1056"/>
      <c r="T1815" s="2059">
        <f>IFERROR(HLOOKUP(B1815,pp3p1m!67:69,3,0),0)</f>
        <v>0</v>
      </c>
    </row>
    <row r="1816" spans="1:20" ht="22.15" customHeight="1">
      <c r="B1816" s="1580" t="s">
        <v>1491</v>
      </c>
      <c r="C1816" s="1854" t="str">
        <f t="shared" si="328"/>
        <v>x</v>
      </c>
      <c r="D1816" s="1544">
        <v>2</v>
      </c>
      <c r="E1816" s="1047"/>
      <c r="F1816" s="1059" t="str">
        <f>VLOOKUP($B1816,DG!A:D,DG!$C$2,)&amp;""</f>
        <v xml:space="preserve">Móc treo chữ U </v>
      </c>
      <c r="G1816" s="1047" t="str">
        <f>VLOOKUP($B1816,DG!A:D,DG!$D$2,)</f>
        <v>cái</v>
      </c>
      <c r="H1816" s="1845">
        <f t="shared" ref="H1816:H1820" si="335">H$1814*$D1816</f>
        <v>48</v>
      </c>
      <c r="I1816" s="1845">
        <f t="shared" si="334"/>
        <v>0</v>
      </c>
      <c r="J1816" s="1845">
        <f t="shared" si="334"/>
        <v>0</v>
      </c>
      <c r="K1816" s="1845">
        <f t="shared" si="334"/>
        <v>48</v>
      </c>
      <c r="L1816" s="1845">
        <f t="shared" si="334"/>
        <v>0</v>
      </c>
      <c r="M1816" s="1845">
        <f t="shared" si="334"/>
        <v>0</v>
      </c>
      <c r="N1816" s="1845">
        <f t="shared" si="334"/>
        <v>0</v>
      </c>
      <c r="O1816" s="1845">
        <f t="shared" si="334"/>
        <v>0</v>
      </c>
      <c r="P1816" s="1845">
        <f t="shared" si="334"/>
        <v>48</v>
      </c>
      <c r="Q1816" s="1845">
        <f t="shared" si="334"/>
        <v>0</v>
      </c>
      <c r="R1816" s="1845">
        <f t="shared" si="334"/>
        <v>0</v>
      </c>
      <c r="S1816" s="1056"/>
      <c r="T1816" s="2059">
        <f>IFERROR(HLOOKUP(B1816,pp3p1m!68:70,3,0),0)</f>
        <v>0</v>
      </c>
    </row>
    <row r="1817" spans="1:20" ht="22.15" hidden="1" customHeight="1">
      <c r="B1817" s="1580" t="s">
        <v>385</v>
      </c>
      <c r="C1817" s="1854" t="str">
        <f t="shared" ref="C1817" si="336">IF(OR(P1817&lt;&gt;0,H1817&lt;&gt;0),"x"," ")</f>
        <v xml:space="preserve"> </v>
      </c>
      <c r="D1817" s="1544"/>
      <c r="E1817" s="1047"/>
      <c r="F1817" s="1059" t="str">
        <f>VLOOKUP($B1817,DG!A:D,DG!$C$2,)</f>
        <v>Khóa néo dây cỡ dây 185</v>
      </c>
      <c r="G1817" s="1047" t="str">
        <f>VLOOKUP($B1817,DG!A:D,DG!$D$2,)</f>
        <v>cái</v>
      </c>
      <c r="H1817" s="1845">
        <f t="shared" si="335"/>
        <v>0</v>
      </c>
      <c r="I1817" s="1845"/>
      <c r="J1817" s="1845"/>
      <c r="K1817" s="1845">
        <f t="shared" si="334"/>
        <v>0</v>
      </c>
      <c r="L1817" s="1845"/>
      <c r="M1817" s="1845"/>
      <c r="N1817" s="1845"/>
      <c r="O1817" s="1847"/>
      <c r="P1817" s="1845">
        <f t="shared" ref="P1817" si="337">H1817+Q1817-R1817</f>
        <v>0</v>
      </c>
      <c r="Q1817" s="1056"/>
      <c r="R1817" s="1056"/>
      <c r="S1817" s="1056"/>
      <c r="T1817" s="2059">
        <f>IFERROR(HLOOKUP(B1817,pp3p1m!69:71,3,0),0)</f>
        <v>0</v>
      </c>
    </row>
    <row r="1818" spans="1:20" ht="22.15" hidden="1" customHeight="1">
      <c r="B1818" s="1580" t="s">
        <v>4760</v>
      </c>
      <c r="C1818" s="1854" t="str">
        <f t="shared" si="328"/>
        <v xml:space="preserve"> </v>
      </c>
      <c r="D1818" s="1550">
        <f>K1818</f>
        <v>0</v>
      </c>
      <c r="E1818" s="1047"/>
      <c r="F1818" s="1059" t="str">
        <f>VLOOKUP($B1818,DG!A:D,DG!$C$2,)</f>
        <v>Khánh lắp chuỗi sứ polymer kép</v>
      </c>
      <c r="G1818" s="1047" t="str">
        <f>VLOOKUP($B1818,DG!A:D,DG!$D$2,)</f>
        <v>cái</v>
      </c>
      <c r="H1818" s="1970">
        <f>K1818</f>
        <v>0</v>
      </c>
      <c r="I1818" s="1845"/>
      <c r="J1818" s="1845"/>
      <c r="K1818" s="1844">
        <f>IFERROR(HLOOKUP(B1818,pp3p1m!$1:$3,3,0),0)</f>
        <v>0</v>
      </c>
      <c r="L1818" s="1845"/>
      <c r="M1818" s="1845"/>
      <c r="N1818" s="1845"/>
      <c r="O1818" s="1847"/>
      <c r="P1818" s="1970"/>
      <c r="Q1818" s="1056"/>
      <c r="R1818" s="1056"/>
      <c r="S1818" s="1056"/>
      <c r="T1818" s="2059">
        <f>IFERROR(HLOOKUP(B1818,pp3p1m!70:72,3,0),0)</f>
        <v>0</v>
      </c>
    </row>
    <row r="1819" spans="1:20" ht="22.15" customHeight="1">
      <c r="A1819" s="59"/>
      <c r="B1819" s="1586" t="s">
        <v>4762</v>
      </c>
      <c r="C1819" s="1015" t="str">
        <f t="shared" si="328"/>
        <v>x</v>
      </c>
      <c r="D1819" s="1544">
        <v>1</v>
      </c>
      <c r="E1819" s="1047"/>
      <c r="F1819" s="1059" t="str">
        <f>VLOOKUP($B1819,DG!A:D,DG!$C$2,)</f>
        <v>Giáp níu dừng dây bọc ACX50</v>
      </c>
      <c r="G1819" s="1047" t="str">
        <f>VLOOKUP($B1819,DG!A:D,DG!$D$2,)</f>
        <v>cái</v>
      </c>
      <c r="H1819" s="1845">
        <f t="shared" si="335"/>
        <v>24</v>
      </c>
      <c r="I1819" s="1845"/>
      <c r="J1819" s="1845"/>
      <c r="K1819" s="1845"/>
      <c r="L1819" s="1845"/>
      <c r="M1819" s="1845"/>
      <c r="N1819" s="1845"/>
      <c r="O1819" s="1845"/>
      <c r="P1819" s="1845">
        <f t="shared" ref="P1819:P1830" si="338">H1819+Q1819-R1819</f>
        <v>24</v>
      </c>
      <c r="Q1819" s="1056"/>
      <c r="R1819" s="1056"/>
      <c r="S1819" s="1056"/>
      <c r="T1819" s="2059">
        <f>IFERROR(HLOOKUP(B1819,pp3p1m!71:73,3,0),0)</f>
        <v>0</v>
      </c>
    </row>
    <row r="1820" spans="1:20" ht="22.15" hidden="1" customHeight="1">
      <c r="A1820" s="59"/>
      <c r="B1820" s="1603" t="s">
        <v>1801</v>
      </c>
      <c r="C1820" s="1015" t="str">
        <f t="shared" si="328"/>
        <v xml:space="preserve"> </v>
      </c>
      <c r="D1820" s="1544"/>
      <c r="E1820" s="1047"/>
      <c r="F1820" s="1059" t="str">
        <f>VLOOKUP($B1820,DG!A:D,DG!$C$2,)</f>
        <v>Kẹp 2 rãnh (APC) cỡ dây 240 mm2</v>
      </c>
      <c r="G1820" s="1047" t="str">
        <f>VLOOKUP($B1820,DG!A:D,DG!$D$2,)</f>
        <v>cái</v>
      </c>
      <c r="H1820" s="1845">
        <f t="shared" si="335"/>
        <v>0</v>
      </c>
      <c r="I1820" s="1845"/>
      <c r="J1820" s="1845"/>
      <c r="K1820" s="1845">
        <f>D1820</f>
        <v>0</v>
      </c>
      <c r="L1820" s="1845"/>
      <c r="M1820" s="1845"/>
      <c r="N1820" s="1845"/>
      <c r="O1820" s="1845"/>
      <c r="P1820" s="1845">
        <f t="shared" si="338"/>
        <v>0</v>
      </c>
      <c r="Q1820" s="1056"/>
      <c r="R1820" s="1056"/>
      <c r="S1820" s="1056"/>
      <c r="T1820" s="2059">
        <f>IFERROR(HLOOKUP(B1820,pp3p1m!72:74,3,0),0)</f>
        <v>0</v>
      </c>
    </row>
    <row r="1821" spans="1:20" ht="22.15" hidden="1" customHeight="1">
      <c r="A1821" s="59"/>
      <c r="B1821" s="1606" t="s">
        <v>2552</v>
      </c>
      <c r="C1821" s="1015" t="str">
        <f t="shared" si="328"/>
        <v xml:space="preserve"> </v>
      </c>
      <c r="D1821" s="1557"/>
      <c r="E1821" s="1047"/>
      <c r="F1821" s="1065" t="s">
        <v>2553</v>
      </c>
      <c r="G1821" s="1047" t="s">
        <v>2521</v>
      </c>
      <c r="H1821" s="1843">
        <f>SUM(I1821:O1821)</f>
        <v>0</v>
      </c>
      <c r="I1821" s="1845"/>
      <c r="J1821" s="1845"/>
      <c r="K1821" s="1844">
        <f>IFERROR(HLOOKUP(B1821,pp3p1m!$1:$3,3,0),0)</f>
        <v>0</v>
      </c>
      <c r="L1821" s="1845"/>
      <c r="M1821" s="1845"/>
      <c r="N1821" s="1845"/>
      <c r="O1821" s="1845"/>
      <c r="P1821" s="1845">
        <f t="shared" si="338"/>
        <v>0</v>
      </c>
      <c r="Q1821" s="1056"/>
      <c r="R1821" s="1056"/>
      <c r="S1821" s="1056"/>
      <c r="T1821" s="2059">
        <f>IFERROR(HLOOKUP(B1821,pp3p1m!73:75,3,0),0)</f>
        <v>0</v>
      </c>
    </row>
    <row r="1822" spans="1:20" ht="22.15" hidden="1" customHeight="1">
      <c r="A1822" s="59"/>
      <c r="B1822" s="1586" t="s">
        <v>1511</v>
      </c>
      <c r="C1822" s="1015" t="str">
        <f t="shared" si="328"/>
        <v xml:space="preserve"> </v>
      </c>
      <c r="D1822" s="1544">
        <f>D1821</f>
        <v>0</v>
      </c>
      <c r="E1822" s="1047"/>
      <c r="F1822" s="1059" t="str">
        <f>VLOOKUP($B1822,DG!A:D,DG!$C$2,)&amp;" "</f>
        <v xml:space="preserve">Sứ treo polymer </v>
      </c>
      <c r="G1822" s="1047" t="str">
        <f>VLOOKUP($B1822,DG!A:D,DG!$D$2,)</f>
        <v>chuỗi</v>
      </c>
      <c r="H1822" s="1845">
        <f t="shared" ref="H1822:H1827" si="339">$D1822</f>
        <v>0</v>
      </c>
      <c r="I1822" s="1845"/>
      <c r="J1822" s="1845"/>
      <c r="K1822" s="1845">
        <f t="shared" ref="K1822:K1827" si="340">D1822</f>
        <v>0</v>
      </c>
      <c r="L1822" s="1845"/>
      <c r="M1822" s="1845"/>
      <c r="N1822" s="1845"/>
      <c r="O1822" s="1845"/>
      <c r="P1822" s="1845">
        <f t="shared" si="338"/>
        <v>0</v>
      </c>
      <c r="Q1822" s="1056"/>
      <c r="R1822" s="1056"/>
      <c r="S1822" s="1056"/>
      <c r="T1822" s="2059">
        <f>IFERROR(HLOOKUP(B1822,pp3p1m!74:76,3,0),0)</f>
        <v>0</v>
      </c>
    </row>
    <row r="1823" spans="1:20" ht="22.15" hidden="1" customHeight="1">
      <c r="A1823" s="59"/>
      <c r="B1823" s="1586" t="s">
        <v>1491</v>
      </c>
      <c r="C1823" s="1015" t="str">
        <f t="shared" si="328"/>
        <v xml:space="preserve"> </v>
      </c>
      <c r="D1823" s="1544">
        <f>D1821*2</f>
        <v>0</v>
      </c>
      <c r="E1823" s="1047"/>
      <c r="F1823" s="1059" t="str">
        <f>VLOOKUP($B1823,DG!A:D,DG!$C$2,)&amp;""</f>
        <v xml:space="preserve">Móc treo chữ U </v>
      </c>
      <c r="G1823" s="1047" t="str">
        <f>VLOOKUP($B1823,DG!A:D,DG!$D$2,)</f>
        <v>cái</v>
      </c>
      <c r="H1823" s="1845">
        <f t="shared" si="339"/>
        <v>0</v>
      </c>
      <c r="I1823" s="1845"/>
      <c r="J1823" s="1845"/>
      <c r="K1823" s="1845">
        <f t="shared" si="340"/>
        <v>0</v>
      </c>
      <c r="L1823" s="1845"/>
      <c r="M1823" s="1845"/>
      <c r="N1823" s="1845"/>
      <c r="O1823" s="1845"/>
      <c r="P1823" s="1845">
        <f t="shared" si="338"/>
        <v>0</v>
      </c>
      <c r="Q1823" s="1056"/>
      <c r="R1823" s="1056"/>
      <c r="S1823" s="1056"/>
      <c r="T1823" s="2059">
        <f>IFERROR(HLOOKUP(B1823,pp3p1m!75:77,3,0),0)</f>
        <v>0</v>
      </c>
    </row>
    <row r="1824" spans="1:20" ht="22.15" hidden="1" customHeight="1">
      <c r="A1824" s="59"/>
      <c r="B1824" s="1586" t="s">
        <v>1748</v>
      </c>
      <c r="C1824" s="1015" t="str">
        <f t="shared" si="328"/>
        <v xml:space="preserve"> </v>
      </c>
      <c r="D1824" s="1544">
        <f>D1821</f>
        <v>0</v>
      </c>
      <c r="E1824" s="1047"/>
      <c r="F1824" s="1059" t="str">
        <f>VLOOKUP($B1824,DG!A:D,DG!$C$2,)</f>
        <v>Khóa néo dây cỡ dây 185</v>
      </c>
      <c r="G1824" s="1047" t="str">
        <f>VLOOKUP($B1824,DG!A:D,DG!$D$2,)</f>
        <v>cái</v>
      </c>
      <c r="H1824" s="1845">
        <f t="shared" si="339"/>
        <v>0</v>
      </c>
      <c r="I1824" s="1845"/>
      <c r="J1824" s="1845"/>
      <c r="K1824" s="1845">
        <f t="shared" si="340"/>
        <v>0</v>
      </c>
      <c r="L1824" s="1845"/>
      <c r="M1824" s="1845"/>
      <c r="N1824" s="1845"/>
      <c r="O1824" s="1845"/>
      <c r="P1824" s="1845">
        <f t="shared" si="338"/>
        <v>0</v>
      </c>
      <c r="Q1824" s="1056"/>
      <c r="R1824" s="1056"/>
      <c r="S1824" s="1056"/>
      <c r="T1824" s="2059">
        <f>IFERROR(HLOOKUP(B1824,pp3p1m!76:78,3,0),0)</f>
        <v>0</v>
      </c>
    </row>
    <row r="1825" spans="1:20" ht="22.15" hidden="1" customHeight="1">
      <c r="A1825" s="59"/>
      <c r="B1825" s="1586" t="s">
        <v>417</v>
      </c>
      <c r="C1825" s="1015" t="str">
        <f t="shared" si="328"/>
        <v xml:space="preserve"> </v>
      </c>
      <c r="D1825" s="1544">
        <f>D1821</f>
        <v>0</v>
      </c>
      <c r="E1825" s="1047"/>
      <c r="F1825" s="1059" t="str">
        <f>VLOOKUP($B1825,DG!A:D,DG!$C$2,)</f>
        <v>Boulon mắt 16x300+ 2 long đền vuông D18-50x50x3/Zn</v>
      </c>
      <c r="G1825" s="1047" t="str">
        <f>VLOOKUP($B1825,DG!A:D,DG!$D$2,)</f>
        <v>bộ</v>
      </c>
      <c r="H1825" s="1845">
        <f t="shared" si="339"/>
        <v>0</v>
      </c>
      <c r="I1825" s="1845"/>
      <c r="J1825" s="1845"/>
      <c r="K1825" s="1845">
        <f t="shared" si="340"/>
        <v>0</v>
      </c>
      <c r="L1825" s="1845"/>
      <c r="M1825" s="1845"/>
      <c r="N1825" s="1845"/>
      <c r="O1825" s="1845"/>
      <c r="P1825" s="1845">
        <f t="shared" si="338"/>
        <v>0</v>
      </c>
      <c r="Q1825" s="1056"/>
      <c r="R1825" s="1056"/>
      <c r="S1825" s="1056"/>
      <c r="T1825" s="2059">
        <f>IFERROR(HLOOKUP(B1825,pp3p1m!77:79,3,0),0)</f>
        <v>0</v>
      </c>
    </row>
    <row r="1826" spans="1:20" ht="22.15" hidden="1" customHeight="1">
      <c r="A1826" s="59"/>
      <c r="B1826" s="1600" t="s">
        <v>2429</v>
      </c>
      <c r="C1826" s="1015" t="str">
        <f t="shared" si="328"/>
        <v xml:space="preserve"> </v>
      </c>
      <c r="D1826" s="1560"/>
      <c r="E1826" s="1047"/>
      <c r="F1826" s="1059" t="str">
        <f>VLOOKUP($B1826,DG!A:D,DG!$C$2,)&amp;""</f>
        <v>Cổ dê bắt xà + bulon</v>
      </c>
      <c r="G1826" s="1047" t="s">
        <v>2448</v>
      </c>
      <c r="H1826" s="1845">
        <f t="shared" si="339"/>
        <v>0</v>
      </c>
      <c r="I1826" s="1845"/>
      <c r="J1826" s="1845"/>
      <c r="K1826" s="1845">
        <f t="shared" si="340"/>
        <v>0</v>
      </c>
      <c r="L1826" s="1845"/>
      <c r="M1826" s="1845"/>
      <c r="N1826" s="1845"/>
      <c r="O1826" s="1845"/>
      <c r="P1826" s="1845">
        <f t="shared" si="338"/>
        <v>0</v>
      </c>
      <c r="Q1826" s="1056"/>
      <c r="R1826" s="1056"/>
      <c r="S1826" s="1056"/>
      <c r="T1826" s="2059">
        <f>IFERROR(HLOOKUP(B1826,pp3p1m!78:80,3,0),0)</f>
        <v>0</v>
      </c>
    </row>
    <row r="1827" spans="1:20" ht="22.15" hidden="1" customHeight="1">
      <c r="A1827" s="59"/>
      <c r="B1827" s="1600" t="s">
        <v>1277</v>
      </c>
      <c r="C1827" s="1015" t="str">
        <f t="shared" si="328"/>
        <v xml:space="preserve"> </v>
      </c>
      <c r="D1827" s="1560"/>
      <c r="E1827" s="1047"/>
      <c r="F1827" s="1059" t="str">
        <f>VLOOKUP($B1827,DG!A:D,DG!$C$2,)&amp;""</f>
        <v xml:space="preserve">Cổ dê giữ ống D140 vào trụ + Bulon </v>
      </c>
      <c r="G1827" s="1047" t="s">
        <v>2448</v>
      </c>
      <c r="H1827" s="1845">
        <f t="shared" si="339"/>
        <v>0</v>
      </c>
      <c r="I1827" s="1845"/>
      <c r="J1827" s="1845"/>
      <c r="K1827" s="1845">
        <f t="shared" si="340"/>
        <v>0</v>
      </c>
      <c r="L1827" s="1845"/>
      <c r="M1827" s="1845"/>
      <c r="N1827" s="1845"/>
      <c r="O1827" s="1845"/>
      <c r="P1827" s="1845">
        <f t="shared" si="338"/>
        <v>0</v>
      </c>
      <c r="Q1827" s="1056"/>
      <c r="R1827" s="1056"/>
      <c r="S1827" s="1056"/>
      <c r="T1827" s="2059">
        <f>IFERROR(HLOOKUP(B1827,pp3p1m!79:81,3,0),0)</f>
        <v>0</v>
      </c>
    </row>
    <row r="1828" spans="1:20" ht="22.15" hidden="1" customHeight="1">
      <c r="A1828" s="59"/>
      <c r="B1828" s="1606" t="s">
        <v>2522</v>
      </c>
      <c r="C1828" s="1015" t="str">
        <f t="shared" si="328"/>
        <v xml:space="preserve"> </v>
      </c>
      <c r="D1828" s="1557"/>
      <c r="E1828" s="1047"/>
      <c r="F1828" s="1065" t="s">
        <v>2554</v>
      </c>
      <c r="G1828" s="1047" t="s">
        <v>2448</v>
      </c>
      <c r="H1828" s="1843">
        <f>SUM(I1828:O1828)</f>
        <v>0</v>
      </c>
      <c r="I1828" s="1845"/>
      <c r="J1828" s="1845"/>
      <c r="K1828" s="1844">
        <f>IFERROR(HLOOKUP(B1828,pp3p1m!$1:$3,3,0),0)</f>
        <v>0</v>
      </c>
      <c r="L1828" s="1845"/>
      <c r="M1828" s="1845"/>
      <c r="N1828" s="1845"/>
      <c r="O1828" s="1845"/>
      <c r="P1828" s="1845">
        <f t="shared" si="338"/>
        <v>0</v>
      </c>
      <c r="Q1828" s="1056"/>
      <c r="R1828" s="1056"/>
      <c r="S1828" s="1056"/>
      <c r="T1828" s="2059">
        <f>IFERROR(HLOOKUP(B1828,pp3p1m!80:82,3,0),0)</f>
        <v>0</v>
      </c>
    </row>
    <row r="1829" spans="1:20" ht="22.15" hidden="1" customHeight="1">
      <c r="A1829" s="59"/>
      <c r="B1829" s="1586" t="s">
        <v>2114</v>
      </c>
      <c r="C1829" s="1015" t="str">
        <f t="shared" si="328"/>
        <v xml:space="preserve"> </v>
      </c>
      <c r="D1829" s="1554">
        <f>2.826*(3.14159*0.225+0.06*4)*D1828</f>
        <v>0</v>
      </c>
      <c r="E1829" s="1047"/>
      <c r="F1829" s="1059" t="str">
        <f>VLOOKUP($B1829,DG!A:D,DG!$C$2,)&amp;""</f>
        <v>Sắt dẹt 50x5</v>
      </c>
      <c r="G1829" s="1047" t="str">
        <f>VLOOKUP($B1829,DG!A:D,DG!$D$2,)</f>
        <v>kg</v>
      </c>
      <c r="H1829" s="1845"/>
      <c r="I1829" s="1845"/>
      <c r="J1829" s="1845"/>
      <c r="K1829" s="1845"/>
      <c r="L1829" s="1845"/>
      <c r="M1829" s="1845"/>
      <c r="N1829" s="1845"/>
      <c r="O1829" s="1845"/>
      <c r="P1829" s="1845">
        <f t="shared" si="338"/>
        <v>0</v>
      </c>
      <c r="Q1829" s="1056"/>
      <c r="R1829" s="1056"/>
      <c r="S1829" s="1056"/>
      <c r="T1829" s="2059">
        <f>IFERROR(HLOOKUP(B1829,pp3p1m!81:83,3,0),0)</f>
        <v>0</v>
      </c>
    </row>
    <row r="1830" spans="1:20" ht="22.15" hidden="1" customHeight="1">
      <c r="A1830" s="59"/>
      <c r="B1830" s="1586" t="s">
        <v>1803</v>
      </c>
      <c r="C1830" s="1015" t="str">
        <f t="shared" si="328"/>
        <v xml:space="preserve"> </v>
      </c>
      <c r="D1830" s="1557">
        <f t="shared" ref="D1830:D1870" si="341">K1830</f>
        <v>0</v>
      </c>
      <c r="E1830" s="1047"/>
      <c r="F1830" s="1059" t="str">
        <f>VLOOKUP($B1830,DG!A:D,DG!$C$2,)&amp;""</f>
        <v>Boulon 10x40+ 2 long đền vuông D12-50x50x3/Zn</v>
      </c>
      <c r="G1830" s="1047" t="str">
        <f>VLOOKUP($B1830,DG!A:D,DG!$D$2,)</f>
        <v>bộ</v>
      </c>
      <c r="H1830" s="1845"/>
      <c r="I1830" s="1845"/>
      <c r="J1830" s="1845"/>
      <c r="K1830" s="1845"/>
      <c r="L1830" s="1845"/>
      <c r="M1830" s="1845"/>
      <c r="N1830" s="1845"/>
      <c r="O1830" s="1845"/>
      <c r="P1830" s="1845">
        <f t="shared" si="338"/>
        <v>0</v>
      </c>
      <c r="Q1830" s="1056"/>
      <c r="R1830" s="1056"/>
      <c r="S1830" s="1056"/>
      <c r="T1830" s="2059">
        <f>IFERROR(HLOOKUP(B1830,pp3p1m!82:84,3,0),0)</f>
        <v>0</v>
      </c>
    </row>
    <row r="1831" spans="1:20" ht="22.15" customHeight="1">
      <c r="A1831" s="66"/>
      <c r="B1831" s="1614"/>
      <c r="C1831" s="1015" t="str">
        <f>IF(SUM(I1831:O1831)&gt;0,"x","")</f>
        <v>x</v>
      </c>
      <c r="D1831" s="1557">
        <f t="shared" si="341"/>
        <v>117</v>
      </c>
      <c r="E1831" s="1410"/>
      <c r="F1831" s="1065" t="s">
        <v>2555</v>
      </c>
      <c r="G1831" s="1410"/>
      <c r="H1831" s="1843">
        <f>IF(SUM(I1831:O1831)&gt;0,1,0)</f>
        <v>1</v>
      </c>
      <c r="I1831" s="1844">
        <f>SUM(I1832:I1923)</f>
        <v>0</v>
      </c>
      <c r="J1831" s="1844">
        <f t="shared" ref="J1831:O1831" si="342">SUM(J1832:J1923)</f>
        <v>0</v>
      </c>
      <c r="K1831" s="1844">
        <f t="shared" si="342"/>
        <v>117</v>
      </c>
      <c r="L1831" s="1844">
        <f>IFERROR(HLOOKUP(chitiet!B1831,pp1p!$1:$3,3,0),0)</f>
        <v>0</v>
      </c>
      <c r="M1831" s="1844">
        <f t="shared" si="342"/>
        <v>0</v>
      </c>
      <c r="N1831" s="1844">
        <f t="shared" si="342"/>
        <v>0</v>
      </c>
      <c r="O1831" s="1844">
        <f t="shared" si="342"/>
        <v>0</v>
      </c>
      <c r="P1831" s="1848">
        <f>H1831</f>
        <v>1</v>
      </c>
      <c r="Q1831" s="1411"/>
      <c r="R1831" s="1411"/>
      <c r="S1831" s="1411"/>
      <c r="T1831" s="2059">
        <f>IFERROR(HLOOKUP(B1831,pp3p1m!83:85,3,0),0)</f>
        <v>0</v>
      </c>
    </row>
    <row r="1832" spans="1:20" ht="22.15" hidden="1" customHeight="1">
      <c r="A1832" s="59"/>
      <c r="B1832" s="1593" t="s">
        <v>1146</v>
      </c>
      <c r="C1832" s="1015" t="str">
        <f>IF(OR(P1832&lt;&gt;0,H1832&lt;&gt;0),"x","")</f>
        <v/>
      </c>
      <c r="D1832" s="1557">
        <f t="shared" si="341"/>
        <v>0</v>
      </c>
      <c r="E1832" s="1047"/>
      <c r="F1832" s="1059" t="str">
        <f>VLOOKUP($B1832,DG!A:D,DG!$C$2,)</f>
        <v>Khóa đỡ dây cỡ dây 240</v>
      </c>
      <c r="G1832" s="1047" t="str">
        <f>VLOOKUP($B1832,DG!A:D,DG!$D$2,)</f>
        <v>cái</v>
      </c>
      <c r="H1832" s="1845">
        <f>K1832</f>
        <v>0</v>
      </c>
      <c r="I1832" s="1845"/>
      <c r="J1832" s="1845"/>
      <c r="K1832" s="1844">
        <f>IFERROR(HLOOKUP(B1832,pp3p1m!$1:$3,3,0),0)</f>
        <v>0</v>
      </c>
      <c r="L1832" s="1845"/>
      <c r="M1832" s="1845"/>
      <c r="N1832" s="1969"/>
      <c r="O1832" s="1845"/>
      <c r="P1832" s="1845">
        <f t="shared" ref="P1832:P1847" si="343">P$1831*$D1832</f>
        <v>0</v>
      </c>
      <c r="Q1832" s="1845"/>
      <c r="R1832" s="1845"/>
      <c r="S1832" s="1056"/>
      <c r="T1832" s="2059">
        <f>IFERROR(HLOOKUP(B1832,pp3p1m!84:86,3,0),0)</f>
        <v>0</v>
      </c>
    </row>
    <row r="1833" spans="1:20" ht="22.15" hidden="1" customHeight="1">
      <c r="A1833" s="59"/>
      <c r="B1833" s="1593" t="s">
        <v>1145</v>
      </c>
      <c r="C1833" s="1015" t="str">
        <f t="shared" si="328"/>
        <v xml:space="preserve"> </v>
      </c>
      <c r="D1833" s="1557">
        <f t="shared" si="341"/>
        <v>0</v>
      </c>
      <c r="E1833" s="1047"/>
      <c r="F1833" s="1059" t="str">
        <f>VLOOKUP($B1833,DG!A:D,DG!$C$2,)</f>
        <v>Khóa đỡ dây cỡ dây 185</v>
      </c>
      <c r="G1833" s="1047" t="str">
        <f>VLOOKUP($B1833,DG!A:D,DG!$D$2,)</f>
        <v>cái</v>
      </c>
      <c r="H1833" s="1845">
        <f t="shared" ref="H1833:H1898" si="344">K1833</f>
        <v>0</v>
      </c>
      <c r="I1833" s="1845"/>
      <c r="J1833" s="1845"/>
      <c r="K1833" s="1844">
        <f>IFERROR(HLOOKUP(B1833,pp3p1m!$1:$3,3,0),0)</f>
        <v>0</v>
      </c>
      <c r="L1833" s="1845"/>
      <c r="M1833" s="1845"/>
      <c r="N1833" s="1845"/>
      <c r="O1833" s="1845"/>
      <c r="P1833" s="1845">
        <f t="shared" si="343"/>
        <v>0</v>
      </c>
      <c r="Q1833" s="1056"/>
      <c r="R1833" s="1056"/>
      <c r="S1833" s="1056"/>
      <c r="T1833" s="2059">
        <f>IFERROR(HLOOKUP(B1833,pp3p1m!85:87,3,0),0)</f>
        <v>0</v>
      </c>
    </row>
    <row r="1834" spans="1:20" ht="22.15" hidden="1" customHeight="1">
      <c r="A1834" s="59"/>
      <c r="B1834" s="1593" t="s">
        <v>1144</v>
      </c>
      <c r="C1834" s="1015" t="str">
        <f t="shared" si="328"/>
        <v xml:space="preserve"> </v>
      </c>
      <c r="D1834" s="1557">
        <f t="shared" si="341"/>
        <v>0</v>
      </c>
      <c r="E1834" s="1047"/>
      <c r="F1834" s="1059" t="str">
        <f>VLOOKUP($B1834,DG!A:D,DG!$C$2,)</f>
        <v>Khóa đỡ dây cỡ dây 150</v>
      </c>
      <c r="G1834" s="1047" t="str">
        <f>VLOOKUP($B1834,DG!A:D,DG!$D$2,)</f>
        <v>cái</v>
      </c>
      <c r="H1834" s="1845">
        <f t="shared" si="344"/>
        <v>0</v>
      </c>
      <c r="I1834" s="1845"/>
      <c r="J1834" s="1845"/>
      <c r="K1834" s="1844">
        <f>IFERROR(HLOOKUP(B1834,pp3p1m!$1:$3,3,0),0)</f>
        <v>0</v>
      </c>
      <c r="L1834" s="1845"/>
      <c r="M1834" s="1845"/>
      <c r="N1834" s="1845"/>
      <c r="O1834" s="1845"/>
      <c r="P1834" s="1845">
        <f t="shared" si="343"/>
        <v>0</v>
      </c>
      <c r="Q1834" s="1056"/>
      <c r="R1834" s="1056"/>
      <c r="S1834" s="1056"/>
      <c r="T1834" s="2059">
        <f>IFERROR(HLOOKUP(B1834,pp3p1m!86:88,3,0),0)</f>
        <v>0</v>
      </c>
    </row>
    <row r="1835" spans="1:20" ht="22.15" hidden="1" customHeight="1">
      <c r="A1835" s="59"/>
      <c r="B1835" s="1593" t="s">
        <v>1143</v>
      </c>
      <c r="C1835" s="1015" t="str">
        <f t="shared" si="328"/>
        <v xml:space="preserve"> </v>
      </c>
      <c r="D1835" s="1557">
        <f t="shared" si="341"/>
        <v>0</v>
      </c>
      <c r="E1835" s="1047"/>
      <c r="F1835" s="1059" t="str">
        <f>VLOOKUP($B1835,DG!A:D,DG!$C$2,)</f>
        <v>Khóa đỡ dây cỡ dây 120</v>
      </c>
      <c r="G1835" s="1047" t="str">
        <f>VLOOKUP($B1835,DG!A:D,DG!$D$2,)</f>
        <v>cái</v>
      </c>
      <c r="H1835" s="1845">
        <f t="shared" si="344"/>
        <v>0</v>
      </c>
      <c r="I1835" s="1845"/>
      <c r="J1835" s="1845"/>
      <c r="K1835" s="1844">
        <f>IFERROR(HLOOKUP(B1835,pp3p1m!$1:$3,3,0),0)</f>
        <v>0</v>
      </c>
      <c r="L1835" s="1845"/>
      <c r="M1835" s="1845"/>
      <c r="N1835" s="1845"/>
      <c r="O1835" s="1845"/>
      <c r="P1835" s="1845">
        <f t="shared" si="343"/>
        <v>0</v>
      </c>
      <c r="Q1835" s="1056"/>
      <c r="R1835" s="1056"/>
      <c r="S1835" s="1056"/>
      <c r="T1835" s="2059">
        <f>IFERROR(HLOOKUP(B1835,pp3p1m!87:89,3,0),0)</f>
        <v>0</v>
      </c>
    </row>
    <row r="1836" spans="1:20" ht="22.15" hidden="1" customHeight="1">
      <c r="A1836" s="59"/>
      <c r="B1836" s="1593" t="s">
        <v>101</v>
      </c>
      <c r="C1836" s="1015" t="str">
        <f t="shared" si="328"/>
        <v xml:space="preserve"> </v>
      </c>
      <c r="D1836" s="1557">
        <f t="shared" si="341"/>
        <v>0</v>
      </c>
      <c r="E1836" s="1047"/>
      <c r="F1836" s="1059" t="str">
        <f>VLOOKUP($B1836,DG!A:D,DG!$C$2,)</f>
        <v>Khóa đỡ dây cỡ dây 95</v>
      </c>
      <c r="G1836" s="1047" t="str">
        <f>VLOOKUP($B1836,DG!A:D,DG!$D$2,)</f>
        <v>cái</v>
      </c>
      <c r="H1836" s="1845">
        <f t="shared" si="344"/>
        <v>0</v>
      </c>
      <c r="I1836" s="1845"/>
      <c r="J1836" s="1845"/>
      <c r="K1836" s="1844">
        <f>IFERROR(HLOOKUP(B1836,pp3p1m!$1:$3,3,0),0)</f>
        <v>0</v>
      </c>
      <c r="L1836" s="1845"/>
      <c r="M1836" s="1845"/>
      <c r="N1836" s="1845"/>
      <c r="O1836" s="1845"/>
      <c r="P1836" s="1845">
        <f t="shared" si="343"/>
        <v>0</v>
      </c>
      <c r="Q1836" s="1056"/>
      <c r="R1836" s="1056"/>
      <c r="S1836" s="1056"/>
      <c r="T1836" s="2059">
        <f>IFERROR(HLOOKUP(B1836,pp3p1m!88:90,3,0),0)</f>
        <v>0</v>
      </c>
    </row>
    <row r="1837" spans="1:20" ht="22.15" hidden="1" customHeight="1">
      <c r="A1837" s="59"/>
      <c r="B1837" s="1593" t="s">
        <v>1486</v>
      </c>
      <c r="C1837" s="1015" t="str">
        <f t="shared" si="328"/>
        <v xml:space="preserve"> </v>
      </c>
      <c r="D1837" s="1557">
        <f t="shared" si="341"/>
        <v>0</v>
      </c>
      <c r="E1837" s="1047"/>
      <c r="F1837" s="1059" t="str">
        <f>VLOOKUP($B1837,DG!A:D,DG!$C$2,)</f>
        <v>Khóa đỡ dây cỡ dây 70</v>
      </c>
      <c r="G1837" s="1047" t="str">
        <f>VLOOKUP($B1837,DG!A:D,DG!$D$2,)</f>
        <v>cái</v>
      </c>
      <c r="H1837" s="1845">
        <f t="shared" si="344"/>
        <v>0</v>
      </c>
      <c r="I1837" s="1845"/>
      <c r="J1837" s="1845"/>
      <c r="K1837" s="1844">
        <f>IFERROR(HLOOKUP(B1837,pp3p1m!$1:$3,3,0),0)</f>
        <v>0</v>
      </c>
      <c r="L1837" s="1845"/>
      <c r="M1837" s="1845"/>
      <c r="N1837" s="1845"/>
      <c r="O1837" s="1845"/>
      <c r="P1837" s="1845">
        <f t="shared" si="343"/>
        <v>0</v>
      </c>
      <c r="Q1837" s="1056"/>
      <c r="R1837" s="1056"/>
      <c r="S1837" s="1056"/>
      <c r="T1837" s="2059">
        <f>IFERROR(HLOOKUP(B1837,pp3p1m!89:91,3,0),0)</f>
        <v>0</v>
      </c>
    </row>
    <row r="1838" spans="1:20" ht="22.15" hidden="1" customHeight="1">
      <c r="A1838" s="59"/>
      <c r="B1838" s="1593" t="s">
        <v>1177</v>
      </c>
      <c r="C1838" s="1015" t="str">
        <f t="shared" si="328"/>
        <v xml:space="preserve"> </v>
      </c>
      <c r="D1838" s="1557">
        <f t="shared" si="341"/>
        <v>0</v>
      </c>
      <c r="E1838" s="1047"/>
      <c r="F1838" s="1059" t="str">
        <f>VLOOKUP($B1838,DG!A:D,DG!$C$2,)</f>
        <v>Khóa đỡ dây cỡ dây 50</v>
      </c>
      <c r="G1838" s="1047" t="str">
        <f>VLOOKUP($B1838,DG!A:D,DG!$D$2,)</f>
        <v>cái</v>
      </c>
      <c r="H1838" s="1845">
        <f t="shared" si="344"/>
        <v>0</v>
      </c>
      <c r="I1838" s="1845"/>
      <c r="J1838" s="1845"/>
      <c r="K1838" s="1844">
        <f>IFERROR(HLOOKUP(B1838,pp3p1m!$1:$3,3,0),0)</f>
        <v>0</v>
      </c>
      <c r="L1838" s="1845"/>
      <c r="M1838" s="1845"/>
      <c r="N1838" s="1845"/>
      <c r="O1838" s="1845"/>
      <c r="P1838" s="1845">
        <f t="shared" si="343"/>
        <v>0</v>
      </c>
      <c r="Q1838" s="1056"/>
      <c r="R1838" s="1056"/>
      <c r="S1838" s="1056"/>
      <c r="T1838" s="2059">
        <f>IFERROR(HLOOKUP(B1838,pp3p1m!90:92,3,0),0)</f>
        <v>0</v>
      </c>
    </row>
    <row r="1839" spans="1:20" ht="22.15" hidden="1" customHeight="1">
      <c r="A1839" s="59"/>
      <c r="B1839" s="1593" t="s">
        <v>1747</v>
      </c>
      <c r="C1839" s="1015" t="str">
        <f t="shared" si="328"/>
        <v xml:space="preserve"> </v>
      </c>
      <c r="D1839" s="1557">
        <f t="shared" si="341"/>
        <v>0</v>
      </c>
      <c r="E1839" s="1047"/>
      <c r="F1839" s="1059" t="str">
        <f>VLOOKUP($B1839,DG!A:D,DG!$C$2,)</f>
        <v>Khóa néo dây cỡ dây 240</v>
      </c>
      <c r="G1839" s="1047" t="str">
        <f>VLOOKUP($B1839,DG!A:D,DG!$D$2,)</f>
        <v>cái</v>
      </c>
      <c r="H1839" s="1845">
        <f t="shared" si="344"/>
        <v>0</v>
      </c>
      <c r="I1839" s="1845"/>
      <c r="J1839" s="1845"/>
      <c r="K1839" s="1844">
        <f>IFERROR(HLOOKUP(B1839,pp3p1m!$1:$3,3,0),0)</f>
        <v>0</v>
      </c>
      <c r="L1839" s="1845"/>
      <c r="M1839" s="1845"/>
      <c r="N1839" s="1845"/>
      <c r="O1839" s="1845"/>
      <c r="P1839" s="1845">
        <f t="shared" si="343"/>
        <v>0</v>
      </c>
      <c r="Q1839" s="1056"/>
      <c r="R1839" s="1056"/>
      <c r="S1839" s="1056"/>
      <c r="T1839" s="2059">
        <f>IFERROR(HLOOKUP(B1839,pp3p1m!91:93,3,0),0)</f>
        <v>0</v>
      </c>
    </row>
    <row r="1840" spans="1:20" ht="22.15" hidden="1" customHeight="1">
      <c r="A1840" s="59"/>
      <c r="B1840" s="1593" t="s">
        <v>906</v>
      </c>
      <c r="C1840" s="1015" t="str">
        <f t="shared" si="328"/>
        <v xml:space="preserve"> </v>
      </c>
      <c r="D1840" s="1557">
        <f t="shared" si="341"/>
        <v>0</v>
      </c>
      <c r="E1840" s="1047"/>
      <c r="F1840" s="1059" t="str">
        <f>VLOOKUP($B1840,DG!A:D,DG!$C$2,)</f>
        <v>Khóa néo dây cỡ dây 50</v>
      </c>
      <c r="G1840" s="1047" t="str">
        <f>VLOOKUP($B1840,DG!A:D,DG!$D$2,)</f>
        <v>cái</v>
      </c>
      <c r="H1840" s="1845">
        <f t="shared" si="344"/>
        <v>0</v>
      </c>
      <c r="I1840" s="1845"/>
      <c r="J1840" s="1845"/>
      <c r="K1840" s="1844">
        <f>IFERROR(HLOOKUP(B1840,pp3p1m!$1:$3,3,0),0)</f>
        <v>0</v>
      </c>
      <c r="L1840" s="1845"/>
      <c r="M1840" s="1845"/>
      <c r="N1840" s="1845"/>
      <c r="O1840" s="1845"/>
      <c r="P1840" s="1845">
        <f t="shared" si="343"/>
        <v>0</v>
      </c>
      <c r="Q1840" s="1056"/>
      <c r="R1840" s="1056"/>
      <c r="S1840" s="1056"/>
      <c r="T1840" s="2059">
        <f>IFERROR(HLOOKUP(B1840,pp3p1m!92:94,3,0),0)</f>
        <v>0</v>
      </c>
    </row>
    <row r="1841" spans="1:20" ht="22.15" hidden="1" customHeight="1">
      <c r="A1841" s="59"/>
      <c r="B1841" s="1593" t="s">
        <v>2117</v>
      </c>
      <c r="C1841" s="1015" t="str">
        <f t="shared" si="328"/>
        <v xml:space="preserve"> </v>
      </c>
      <c r="D1841" s="1557">
        <f t="shared" si="341"/>
        <v>0</v>
      </c>
      <c r="E1841" s="1047"/>
      <c r="F1841" s="1059" t="str">
        <f>VLOOKUP($B1841,DG!A:D,DG!$C$2,)</f>
        <v>Khóa néo dây cỡ dây 150</v>
      </c>
      <c r="G1841" s="1047" t="str">
        <f>VLOOKUP($B1841,DG!A:D,DG!$D$2,)</f>
        <v>cái</v>
      </c>
      <c r="H1841" s="1845">
        <f t="shared" si="344"/>
        <v>0</v>
      </c>
      <c r="I1841" s="1845"/>
      <c r="J1841" s="1845"/>
      <c r="K1841" s="1844">
        <f>IFERROR(HLOOKUP(B1841,pp3p1m!$1:$3,3,0),0)</f>
        <v>0</v>
      </c>
      <c r="L1841" s="1845"/>
      <c r="M1841" s="1845"/>
      <c r="N1841" s="1845"/>
      <c r="O1841" s="1845"/>
      <c r="P1841" s="1845">
        <f t="shared" si="343"/>
        <v>0</v>
      </c>
      <c r="Q1841" s="1056"/>
      <c r="R1841" s="1056"/>
      <c r="S1841" s="1056"/>
      <c r="T1841" s="2059">
        <f>IFERROR(HLOOKUP(B1841,pp3p1m!93:95,3,0),0)</f>
        <v>0</v>
      </c>
    </row>
    <row r="1842" spans="1:20" ht="22.15" hidden="1" customHeight="1">
      <c r="A1842" s="59"/>
      <c r="B1842" s="1593" t="s">
        <v>431</v>
      </c>
      <c r="C1842" s="1015" t="str">
        <f t="shared" si="328"/>
        <v xml:space="preserve"> </v>
      </c>
      <c r="D1842" s="1557">
        <f t="shared" si="341"/>
        <v>0</v>
      </c>
      <c r="E1842" s="1047"/>
      <c r="F1842" s="1059" t="str">
        <f>VLOOKUP($B1842,DG!A:D,DG!$C$2,)</f>
        <v>Khóa néo dây cỡ dây 120</v>
      </c>
      <c r="G1842" s="1047" t="str">
        <f>VLOOKUP($B1842,DG!A:D,DG!$D$2,)</f>
        <v>cái</v>
      </c>
      <c r="H1842" s="1845">
        <f t="shared" si="344"/>
        <v>0</v>
      </c>
      <c r="I1842" s="1845"/>
      <c r="J1842" s="1845"/>
      <c r="K1842" s="1844">
        <f>IFERROR(HLOOKUP(B1842,pp3p1m!$1:$3,3,0),0)</f>
        <v>0</v>
      </c>
      <c r="L1842" s="1845"/>
      <c r="M1842" s="1845"/>
      <c r="N1842" s="1845"/>
      <c r="O1842" s="1845"/>
      <c r="P1842" s="1845">
        <f t="shared" si="343"/>
        <v>0</v>
      </c>
      <c r="Q1842" s="1056"/>
      <c r="R1842" s="1056"/>
      <c r="S1842" s="1056"/>
      <c r="T1842" s="2059">
        <f>IFERROR(HLOOKUP(B1842,pp3p1m!94:96,3,0),0)</f>
        <v>0</v>
      </c>
    </row>
    <row r="1843" spans="1:20" ht="22.15" hidden="1" customHeight="1">
      <c r="A1843" s="59"/>
      <c r="B1843" s="1593" t="s">
        <v>1262</v>
      </c>
      <c r="C1843" s="1015" t="str">
        <f t="shared" si="328"/>
        <v xml:space="preserve"> </v>
      </c>
      <c r="D1843" s="1557">
        <f t="shared" si="341"/>
        <v>0</v>
      </c>
      <c r="E1843" s="1047"/>
      <c r="F1843" s="1059" t="str">
        <f>VLOOKUP($B1843,DG!A:D,DG!$C$2,)</f>
        <v>Khóa néo dây cỡ dây 95</v>
      </c>
      <c r="G1843" s="1047" t="str">
        <f>VLOOKUP($B1843,DG!A:D,DG!$D$2,)</f>
        <v>cái</v>
      </c>
      <c r="H1843" s="1845">
        <f t="shared" si="344"/>
        <v>0</v>
      </c>
      <c r="I1843" s="1845"/>
      <c r="J1843" s="1845"/>
      <c r="K1843" s="1844">
        <f>IFERROR(HLOOKUP(B1843,pp3p1m!$1:$3,3,0),0)</f>
        <v>0</v>
      </c>
      <c r="L1843" s="1845"/>
      <c r="M1843" s="1845"/>
      <c r="N1843" s="1845"/>
      <c r="O1843" s="1845"/>
      <c r="P1843" s="1845">
        <f t="shared" si="343"/>
        <v>0</v>
      </c>
      <c r="Q1843" s="1056"/>
      <c r="R1843" s="1056"/>
      <c r="S1843" s="1056"/>
      <c r="T1843" s="2059">
        <f>IFERROR(HLOOKUP(B1843,pp3p1m!95:97,3,0),0)</f>
        <v>0</v>
      </c>
    </row>
    <row r="1844" spans="1:20" ht="22.15" hidden="1" customHeight="1">
      <c r="A1844" s="59"/>
      <c r="B1844" s="1593" t="s">
        <v>2239</v>
      </c>
      <c r="C1844" s="1015" t="str">
        <f t="shared" ref="C1844:C1911" si="345">IF(OR(P1844&lt;&gt;0,H1844&lt;&gt;0),"x"," ")</f>
        <v xml:space="preserve"> </v>
      </c>
      <c r="D1844" s="1557">
        <f t="shared" si="341"/>
        <v>0</v>
      </c>
      <c r="E1844" s="1047"/>
      <c r="F1844" s="1059" t="str">
        <f>VLOOKUP($B1844,DG!A:D,DG!$C$2,)</f>
        <v>Khóa néo dây cỡ dây 70</v>
      </c>
      <c r="G1844" s="1047" t="str">
        <f>VLOOKUP($B1844,DG!A:D,DG!$D$2,)</f>
        <v>cái</v>
      </c>
      <c r="H1844" s="1845">
        <f t="shared" si="344"/>
        <v>0</v>
      </c>
      <c r="I1844" s="1845"/>
      <c r="J1844" s="1845"/>
      <c r="K1844" s="1844">
        <f>IFERROR(HLOOKUP(B1844,pp3p1m!$1:$3,3,0),0)</f>
        <v>0</v>
      </c>
      <c r="L1844" s="1845"/>
      <c r="M1844" s="1845"/>
      <c r="N1844" s="1845"/>
      <c r="O1844" s="1845"/>
      <c r="P1844" s="1845">
        <f t="shared" si="343"/>
        <v>0</v>
      </c>
      <c r="Q1844" s="1056"/>
      <c r="R1844" s="1056"/>
      <c r="S1844" s="1056"/>
      <c r="T1844" s="2059">
        <f>IFERROR(HLOOKUP(B1844,pp3p1m!96:98,3,0),0)</f>
        <v>0</v>
      </c>
    </row>
    <row r="1845" spans="1:20" ht="22.15" hidden="1" customHeight="1">
      <c r="A1845" s="59"/>
      <c r="B1845" s="1615" t="s">
        <v>1487</v>
      </c>
      <c r="C1845" s="1015" t="str">
        <f t="shared" si="345"/>
        <v xml:space="preserve"> </v>
      </c>
      <c r="D1845" s="1557">
        <f t="shared" si="341"/>
        <v>0</v>
      </c>
      <c r="E1845" s="1047"/>
      <c r="F1845" s="1059" t="str">
        <f>VLOOKUP($B1845,DG!A:D,DG!$C$2,)</f>
        <v>Khóa néo dây cỡ dây 50</v>
      </c>
      <c r="G1845" s="1047" t="str">
        <f>VLOOKUP($B1845,DG!A:D,DG!$D$2,)</f>
        <v>cái</v>
      </c>
      <c r="H1845" s="1845">
        <f t="shared" si="344"/>
        <v>0</v>
      </c>
      <c r="I1845" s="1845"/>
      <c r="J1845" s="1845"/>
      <c r="K1845" s="1844">
        <f>IFERROR(HLOOKUP(B1845,pp3p1m!$1:$3,3,0),0)</f>
        <v>0</v>
      </c>
      <c r="L1845" s="1845"/>
      <c r="M1845" s="1845"/>
      <c r="N1845" s="1845"/>
      <c r="O1845" s="1845"/>
      <c r="P1845" s="1845">
        <f t="shared" si="343"/>
        <v>0</v>
      </c>
      <c r="Q1845" s="1056"/>
      <c r="R1845" s="1056"/>
      <c r="S1845" s="1056"/>
      <c r="T1845" s="2059">
        <f>IFERROR(HLOOKUP(B1845,pp3p1m!97:99,3,0),0)</f>
        <v>0</v>
      </c>
    </row>
    <row r="1846" spans="1:20" ht="22.15" hidden="1" customHeight="1">
      <c r="A1846" s="59"/>
      <c r="B1846" s="1593" t="s">
        <v>818</v>
      </c>
      <c r="C1846" s="1015" t="str">
        <f t="shared" si="345"/>
        <v xml:space="preserve"> </v>
      </c>
      <c r="D1846" s="1557">
        <f t="shared" si="341"/>
        <v>0</v>
      </c>
      <c r="E1846" s="1047"/>
      <c r="F1846" s="1059" t="str">
        <f>VLOOKUP($B1846,DG!A:D,DG!$C$2,)</f>
        <v>Ốc siết cáp cỡ 25mm2</v>
      </c>
      <c r="G1846" s="1047" t="str">
        <f>VLOOKUP($B1846,DG!A:D,DG!$D$2,)</f>
        <v>cái</v>
      </c>
      <c r="H1846" s="1845">
        <f t="shared" si="344"/>
        <v>0</v>
      </c>
      <c r="I1846" s="1845"/>
      <c r="J1846" s="1845"/>
      <c r="K1846" s="1844">
        <f>IFERROR(HLOOKUP(B1846,pp3p1m!$1:$3,3,0),0)</f>
        <v>0</v>
      </c>
      <c r="L1846" s="1845"/>
      <c r="M1846" s="1845"/>
      <c r="N1846" s="1845"/>
      <c r="O1846" s="1845"/>
      <c r="P1846" s="1845">
        <f t="shared" si="343"/>
        <v>0</v>
      </c>
      <c r="Q1846" s="1056"/>
      <c r="R1846" s="1056"/>
      <c r="S1846" s="1056"/>
      <c r="T1846" s="2059">
        <f>IFERROR(HLOOKUP(B1846,pp3p1m!98:100,3,0),0)</f>
        <v>0</v>
      </c>
    </row>
    <row r="1847" spans="1:20" ht="22.15" hidden="1" customHeight="1">
      <c r="A1847" s="59"/>
      <c r="B1847" s="1593" t="s">
        <v>1363</v>
      </c>
      <c r="C1847" s="1015" t="str">
        <f t="shared" si="345"/>
        <v xml:space="preserve"> </v>
      </c>
      <c r="D1847" s="1557">
        <f t="shared" si="341"/>
        <v>0</v>
      </c>
      <c r="E1847" s="1047"/>
      <c r="F1847" s="1059" t="str">
        <f>VLOOKUP($B1847,DG!A:D,DG!$C$2,)</f>
        <v xml:space="preserve">Ốc siết cáp cỡ 50mm2 </v>
      </c>
      <c r="G1847" s="1047" t="str">
        <f>VLOOKUP($B1847,DG!A:D,DG!$D$2,)</f>
        <v>cái</v>
      </c>
      <c r="H1847" s="1845">
        <f t="shared" si="344"/>
        <v>0</v>
      </c>
      <c r="I1847" s="1845"/>
      <c r="J1847" s="1845"/>
      <c r="K1847" s="1844">
        <f>IFERROR(HLOOKUP(B1847,pp3p1m!$1:$3,3,0),0)</f>
        <v>0</v>
      </c>
      <c r="L1847" s="1845"/>
      <c r="M1847" s="1845"/>
      <c r="N1847" s="1845"/>
      <c r="O1847" s="1845"/>
      <c r="P1847" s="1845">
        <f t="shared" si="343"/>
        <v>0</v>
      </c>
      <c r="Q1847" s="1056"/>
      <c r="R1847" s="1056"/>
      <c r="S1847" s="1056"/>
      <c r="T1847" s="2059">
        <f>IFERROR(HLOOKUP(B1847,pp3p1m!99:101,3,0),0)</f>
        <v>0</v>
      </c>
    </row>
    <row r="1848" spans="1:20" ht="22.15" hidden="1" customHeight="1">
      <c r="A1848" s="59"/>
      <c r="B1848" s="1593" t="s">
        <v>1969</v>
      </c>
      <c r="C1848" s="1015" t="str">
        <f t="shared" si="345"/>
        <v xml:space="preserve"> </v>
      </c>
      <c r="D1848" s="1557">
        <f t="shared" si="341"/>
        <v>0</v>
      </c>
      <c r="E1848" s="1047"/>
      <c r="F1848" s="1059" t="str">
        <f>VLOOKUP($B1848,DG!A:D,DG!$C$2,)</f>
        <v>Kẹp ép WR cỡ dây 35mm2</v>
      </c>
      <c r="G1848" s="1047" t="str">
        <f>VLOOKUP($B1848,DG!A:D,DG!$D$2,)</f>
        <v>cái</v>
      </c>
      <c r="H1848" s="1845">
        <f t="shared" si="344"/>
        <v>0</v>
      </c>
      <c r="I1848" s="1845"/>
      <c r="J1848" s="1845"/>
      <c r="K1848" s="1844">
        <f>IFERROR(HLOOKUP(B1848,pp3p1m!$1:$3,3,0),0)</f>
        <v>0</v>
      </c>
      <c r="L1848" s="1845"/>
      <c r="M1848" s="1845"/>
      <c r="N1848" s="1845"/>
      <c r="O1848" s="1845"/>
      <c r="P1848" s="1845">
        <f t="shared" ref="P1848:P1864" si="346">P$1831*$D1848</f>
        <v>0</v>
      </c>
      <c r="Q1848" s="1056"/>
      <c r="R1848" s="1056"/>
      <c r="S1848" s="1056"/>
      <c r="T1848" s="2059">
        <f>IFERROR(HLOOKUP(B1848,pp3p1m!100:102,3,0),0)</f>
        <v>0</v>
      </c>
    </row>
    <row r="1849" spans="1:20" ht="22.15" customHeight="1">
      <c r="B1849" s="1592" t="s">
        <v>907</v>
      </c>
      <c r="C1849" s="1854" t="str">
        <f t="shared" si="345"/>
        <v>x</v>
      </c>
      <c r="D1849" s="1557">
        <f t="shared" si="341"/>
        <v>18</v>
      </c>
      <c r="E1849" s="1047"/>
      <c r="F1849" s="1059" t="str">
        <f>VLOOKUP($B1849,DG!A:D,DG!$C$2,)</f>
        <v>Kẹp ép WR cỡ dây 50mm2</v>
      </c>
      <c r="G1849" s="1047" t="str">
        <f>VLOOKUP($B1849,DG!A:D,DG!$D$2,)</f>
        <v>cái</v>
      </c>
      <c r="H1849" s="1845">
        <f>D1849</f>
        <v>18</v>
      </c>
      <c r="I1849" s="1845"/>
      <c r="J1849" s="1845"/>
      <c r="K1849" s="1844">
        <f>IFERROR(HLOOKUP(B1849,pp3p1m!$1:$3,3,0),0)</f>
        <v>18</v>
      </c>
      <c r="L1849" s="1845"/>
      <c r="M1849" s="1845"/>
      <c r="N1849" s="1845"/>
      <c r="O1849" s="1845"/>
      <c r="P1849" s="1845">
        <f>T1849</f>
        <v>18</v>
      </c>
      <c r="Q1849" s="1056"/>
      <c r="R1849" s="1056"/>
      <c r="S1849" s="1056"/>
      <c r="T1849" s="2059">
        <f>IFERROR(HLOOKUP(B1849,pp3p1m!$1:$3,3,0),0)</f>
        <v>18</v>
      </c>
    </row>
    <row r="1850" spans="1:20" ht="22.15" hidden="1" customHeight="1">
      <c r="A1850" s="59"/>
      <c r="B1850" s="1593" t="s">
        <v>35</v>
      </c>
      <c r="C1850" s="1015" t="str">
        <f t="shared" si="345"/>
        <v xml:space="preserve"> </v>
      </c>
      <c r="D1850" s="1557">
        <f t="shared" si="341"/>
        <v>0</v>
      </c>
      <c r="E1850" s="1047"/>
      <c r="F1850" s="1059" t="str">
        <f>VLOOKUP($B1850,DG!A:D,DG!$C$2,)</f>
        <v>Kẹp ép WR cỡ dây 70mm2</v>
      </c>
      <c r="G1850" s="1047" t="str">
        <f>VLOOKUP($B1850,DG!A:D,DG!$D$2,)</f>
        <v>cái</v>
      </c>
      <c r="H1850" s="1845">
        <f t="shared" si="344"/>
        <v>0</v>
      </c>
      <c r="I1850" s="1845"/>
      <c r="J1850" s="1845"/>
      <c r="K1850" s="1844">
        <f>IFERROR(HLOOKUP(B1850,pp3p1m!$1:$3,3,0),0)</f>
        <v>0</v>
      </c>
      <c r="L1850" s="1845"/>
      <c r="M1850" s="1845"/>
      <c r="N1850" s="1845"/>
      <c r="O1850" s="1845"/>
      <c r="P1850" s="1845">
        <f t="shared" si="346"/>
        <v>0</v>
      </c>
      <c r="Q1850" s="1056"/>
      <c r="R1850" s="1056"/>
      <c r="S1850" s="1056"/>
      <c r="T1850" s="2059">
        <f>IFERROR(HLOOKUP(B1850,pp3p1m!102:104,3,0),0)</f>
        <v>0</v>
      </c>
    </row>
    <row r="1851" spans="1:20" ht="22.15" hidden="1" customHeight="1">
      <c r="A1851" s="59"/>
      <c r="B1851" s="1593" t="s">
        <v>36</v>
      </c>
      <c r="C1851" s="1015" t="str">
        <f t="shared" si="345"/>
        <v xml:space="preserve"> </v>
      </c>
      <c r="D1851" s="1557">
        <f t="shared" si="341"/>
        <v>0</v>
      </c>
      <c r="E1851" s="1047"/>
      <c r="F1851" s="1059" t="str">
        <f>VLOOKUP($B1851,DG!A:D,DG!$C$2,)</f>
        <v>Kẹp ép WR cỡ dây 95mm2</v>
      </c>
      <c r="G1851" s="1047" t="str">
        <f>VLOOKUP($B1851,DG!A:D,DG!$D$2,)</f>
        <v>cái</v>
      </c>
      <c r="H1851" s="1845">
        <f t="shared" si="344"/>
        <v>0</v>
      </c>
      <c r="I1851" s="1845"/>
      <c r="J1851" s="1845"/>
      <c r="K1851" s="1844">
        <f>IFERROR(HLOOKUP(B1851,pp3p1m!$1:$3,3,0),0)</f>
        <v>0</v>
      </c>
      <c r="L1851" s="1845"/>
      <c r="M1851" s="1845"/>
      <c r="N1851" s="1845"/>
      <c r="O1851" s="1845"/>
      <c r="P1851" s="1845">
        <f t="shared" si="346"/>
        <v>0</v>
      </c>
      <c r="Q1851" s="1056"/>
      <c r="R1851" s="1056"/>
      <c r="S1851" s="1056"/>
      <c r="T1851" s="2059">
        <f>IFERROR(HLOOKUP(B1851,pp3p1m!103:105,3,0),0)</f>
        <v>0</v>
      </c>
    </row>
    <row r="1852" spans="1:20" ht="22.15" hidden="1" customHeight="1">
      <c r="A1852" s="59"/>
      <c r="B1852" s="1593" t="s">
        <v>13</v>
      </c>
      <c r="C1852" s="1015" t="str">
        <f t="shared" si="345"/>
        <v xml:space="preserve"> </v>
      </c>
      <c r="D1852" s="1557">
        <f t="shared" si="341"/>
        <v>0</v>
      </c>
      <c r="E1852" s="1047"/>
      <c r="F1852" s="1059" t="str">
        <f>VLOOKUP($B1852,DG!A:D,DG!$C$2,)</f>
        <v>Kẹp ép WR cỡ dây 120mm2</v>
      </c>
      <c r="G1852" s="1047" t="str">
        <f>VLOOKUP($B1852,DG!A:D,DG!$D$2,)</f>
        <v>cái</v>
      </c>
      <c r="H1852" s="1845">
        <f t="shared" si="344"/>
        <v>0</v>
      </c>
      <c r="I1852" s="1845">
        <f>H1852</f>
        <v>0</v>
      </c>
      <c r="J1852" s="1845"/>
      <c r="K1852" s="1844">
        <f>IFERROR(HLOOKUP(B1852,pp3p1m!$1:$3,3,0),0)</f>
        <v>0</v>
      </c>
      <c r="L1852" s="1845"/>
      <c r="M1852" s="1845"/>
      <c r="N1852" s="1845"/>
      <c r="O1852" s="1845"/>
      <c r="P1852" s="1845">
        <f>H1852</f>
        <v>0</v>
      </c>
      <c r="Q1852" s="1056"/>
      <c r="R1852" s="1056"/>
      <c r="S1852" s="1056"/>
      <c r="T1852" s="2059">
        <f>IFERROR(HLOOKUP(B1852,pp3p1m!104:106,3,0),0)</f>
        <v>0</v>
      </c>
    </row>
    <row r="1853" spans="1:20" ht="22.15" hidden="1" customHeight="1">
      <c r="A1853" s="59"/>
      <c r="B1853" s="1593" t="s">
        <v>142</v>
      </c>
      <c r="C1853" s="1015" t="str">
        <f t="shared" si="345"/>
        <v xml:space="preserve"> </v>
      </c>
      <c r="D1853" s="1557">
        <f t="shared" si="341"/>
        <v>0</v>
      </c>
      <c r="E1853" s="1047"/>
      <c r="F1853" s="1059" t="str">
        <f>VLOOKUP($B1853,DG!A:D,DG!$C$2,)</f>
        <v>Kẹp ép WR cỡ dây 150mm2</v>
      </c>
      <c r="G1853" s="1047" t="str">
        <f>VLOOKUP($B1853,DG!A:D,DG!$D$2,)</f>
        <v>cái</v>
      </c>
      <c r="H1853" s="1845">
        <f t="shared" si="344"/>
        <v>0</v>
      </c>
      <c r="I1853" s="1845"/>
      <c r="J1853" s="1845"/>
      <c r="K1853" s="1844">
        <f>IFERROR(HLOOKUP(B1853,pp3p1m!$1:$3,3,0),0)</f>
        <v>0</v>
      </c>
      <c r="L1853" s="1845"/>
      <c r="M1853" s="1845"/>
      <c r="N1853" s="1845"/>
      <c r="O1853" s="1845"/>
      <c r="P1853" s="1845">
        <f t="shared" si="346"/>
        <v>0</v>
      </c>
      <c r="Q1853" s="1056"/>
      <c r="R1853" s="1056"/>
      <c r="S1853" s="1056"/>
      <c r="T1853" s="2059">
        <f>IFERROR(HLOOKUP(B1853,pp3p1m!105:107,3,0),0)</f>
        <v>0</v>
      </c>
    </row>
    <row r="1854" spans="1:20" ht="22.15" hidden="1" customHeight="1">
      <c r="A1854" s="59"/>
      <c r="B1854" s="1593" t="s">
        <v>14</v>
      </c>
      <c r="C1854" s="1015" t="str">
        <f t="shared" si="345"/>
        <v xml:space="preserve"> </v>
      </c>
      <c r="D1854" s="1557">
        <f t="shared" si="341"/>
        <v>0</v>
      </c>
      <c r="E1854" s="1047"/>
      <c r="F1854" s="1059" t="str">
        <f>VLOOKUP($B1854,DG!A:D,DG!$C$2,)</f>
        <v>Kẹp ép WR cỡ dây 185mm2</v>
      </c>
      <c r="G1854" s="1047" t="str">
        <f>VLOOKUP($B1854,DG!A:D,DG!$D$2,)</f>
        <v>cái</v>
      </c>
      <c r="H1854" s="1845">
        <f t="shared" si="344"/>
        <v>0</v>
      </c>
      <c r="I1854" s="1845"/>
      <c r="J1854" s="1845"/>
      <c r="K1854" s="1844">
        <f>IFERROR(HLOOKUP(B1854,pp3p1m!$1:$3,3,0),0)</f>
        <v>0</v>
      </c>
      <c r="L1854" s="1845"/>
      <c r="M1854" s="1845"/>
      <c r="N1854" s="1845"/>
      <c r="O1854" s="1845"/>
      <c r="P1854" s="1845">
        <f t="shared" si="346"/>
        <v>0</v>
      </c>
      <c r="Q1854" s="1056"/>
      <c r="R1854" s="1056"/>
      <c r="S1854" s="1056"/>
      <c r="T1854" s="2059">
        <f>IFERROR(HLOOKUP(B1854,pp3p1m!106:108,3,0),0)</f>
        <v>0</v>
      </c>
    </row>
    <row r="1855" spans="1:20" ht="22.15" hidden="1" customHeight="1">
      <c r="A1855" s="59"/>
      <c r="B1855" s="1593" t="s">
        <v>15</v>
      </c>
      <c r="C1855" s="1015" t="str">
        <f t="shared" si="345"/>
        <v xml:space="preserve"> </v>
      </c>
      <c r="D1855" s="1557">
        <f t="shared" si="341"/>
        <v>0</v>
      </c>
      <c r="E1855" s="1047"/>
      <c r="F1855" s="1059" t="str">
        <f>VLOOKUP($B1855,DG!A:D,DG!$C$2,)</f>
        <v>Kẹp ép WR cỡ dây 240mm2</v>
      </c>
      <c r="G1855" s="1047" t="str">
        <f>VLOOKUP($B1855,DG!A:D,DG!$D$2,)</f>
        <v>cái</v>
      </c>
      <c r="H1855" s="1845">
        <f t="shared" si="344"/>
        <v>0</v>
      </c>
      <c r="I1855" s="1845"/>
      <c r="J1855" s="1845"/>
      <c r="K1855" s="1844">
        <f>IFERROR(HLOOKUP(B1855,pp3p1m!$1:$3,3,0),0)</f>
        <v>0</v>
      </c>
      <c r="L1855" s="1845"/>
      <c r="M1855" s="1845"/>
      <c r="N1855" s="1845"/>
      <c r="O1855" s="1845"/>
      <c r="P1855" s="1845">
        <f t="shared" si="346"/>
        <v>0</v>
      </c>
      <c r="Q1855" s="1056"/>
      <c r="R1855" s="1056"/>
      <c r="S1855" s="1056"/>
      <c r="T1855" s="2059">
        <f>IFERROR(HLOOKUP(B1855,pp3p1m!107:109,3,0),0)</f>
        <v>0</v>
      </c>
    </row>
    <row r="1856" spans="1:20" ht="22.15" hidden="1" customHeight="1">
      <c r="A1856" s="59"/>
      <c r="B1856" s="1593" t="s">
        <v>1587</v>
      </c>
      <c r="C1856" s="1015" t="str">
        <f t="shared" si="345"/>
        <v xml:space="preserve"> </v>
      </c>
      <c r="D1856" s="1557">
        <f t="shared" si="341"/>
        <v>0</v>
      </c>
      <c r="E1856" s="1047"/>
      <c r="F1856" s="1059" t="str">
        <f>VLOOKUP($B1856,DG!A:D,DG!$C$2,)</f>
        <v>Kẹp 2 rãnh (APC) cỡ dây 50mm2</v>
      </c>
      <c r="G1856" s="1047" t="str">
        <f>VLOOKUP($B1856,DG!A:D,DG!$D$2,)</f>
        <v>cái</v>
      </c>
      <c r="H1856" s="1845">
        <f t="shared" si="344"/>
        <v>0</v>
      </c>
      <c r="I1856" s="1845"/>
      <c r="J1856" s="1845"/>
      <c r="K1856" s="1844">
        <f>IFERROR(HLOOKUP(B1856,pp3p1m!$1:$3,3,0),0)</f>
        <v>0</v>
      </c>
      <c r="L1856" s="1845"/>
      <c r="M1856" s="1845"/>
      <c r="N1856" s="1845"/>
      <c r="O1856" s="1845"/>
      <c r="P1856" s="1845">
        <f t="shared" si="346"/>
        <v>0</v>
      </c>
      <c r="Q1856" s="1056"/>
      <c r="R1856" s="1056"/>
      <c r="S1856" s="1056"/>
      <c r="T1856" s="2059">
        <f>IFERROR(HLOOKUP(B1856,pp3p1m!108:110,3,0),0)</f>
        <v>0</v>
      </c>
    </row>
    <row r="1857" spans="1:20" ht="22.15" hidden="1" customHeight="1">
      <c r="A1857" s="59"/>
      <c r="B1857" s="1593" t="s">
        <v>1586</v>
      </c>
      <c r="C1857" s="1015" t="str">
        <f t="shared" si="345"/>
        <v xml:space="preserve"> </v>
      </c>
      <c r="D1857" s="1557">
        <f t="shared" si="341"/>
        <v>0</v>
      </c>
      <c r="E1857" s="1047"/>
      <c r="F1857" s="1059" t="str">
        <f>VLOOKUP($B1857,DG!A:D,DG!$C$2,)</f>
        <v>Kẹp 2 rãnh (APC) cỡ dây 70mm2</v>
      </c>
      <c r="G1857" s="1047" t="str">
        <f>VLOOKUP($B1857,DG!A:D,DG!$D$2,)</f>
        <v>cái</v>
      </c>
      <c r="H1857" s="1845">
        <f t="shared" si="344"/>
        <v>0</v>
      </c>
      <c r="I1857" s="1845"/>
      <c r="J1857" s="1845"/>
      <c r="K1857" s="1844">
        <f>IFERROR(HLOOKUP(B1857,pp3p1m!$1:$3,3,0),0)</f>
        <v>0</v>
      </c>
      <c r="L1857" s="1845"/>
      <c r="M1857" s="1845"/>
      <c r="N1857" s="1845"/>
      <c r="O1857" s="1845"/>
      <c r="P1857" s="1845">
        <f t="shared" si="346"/>
        <v>0</v>
      </c>
      <c r="Q1857" s="1056"/>
      <c r="R1857" s="1056"/>
      <c r="S1857" s="1056"/>
      <c r="T1857" s="2059">
        <f>IFERROR(HLOOKUP(B1857,pp3p1m!109:111,3,0),0)</f>
        <v>0</v>
      </c>
    </row>
    <row r="1858" spans="1:20" ht="22.15" hidden="1" customHeight="1">
      <c r="A1858" s="59"/>
      <c r="B1858" s="1593" t="s">
        <v>1024</v>
      </c>
      <c r="C1858" s="1015" t="str">
        <f t="shared" si="345"/>
        <v xml:space="preserve"> </v>
      </c>
      <c r="D1858" s="1557">
        <f t="shared" si="341"/>
        <v>0</v>
      </c>
      <c r="E1858" s="1047"/>
      <c r="F1858" s="1059" t="str">
        <f>VLOOKUP($B1858,DG!A:D,DG!$C$2,)</f>
        <v>Kẹp 2 rãnh (APC) cỡ dây 95mm2</v>
      </c>
      <c r="G1858" s="1047" t="str">
        <f>VLOOKUP($B1858,DG!A:D,DG!$D$2,)</f>
        <v>cái</v>
      </c>
      <c r="H1858" s="1845">
        <f t="shared" si="344"/>
        <v>0</v>
      </c>
      <c r="I1858" s="1845"/>
      <c r="J1858" s="1845"/>
      <c r="K1858" s="1844">
        <f>IFERROR(HLOOKUP(B1858,pp3p1m!$1:$3,3,0),0)</f>
        <v>0</v>
      </c>
      <c r="L1858" s="1845"/>
      <c r="M1858" s="1845"/>
      <c r="N1858" s="1845"/>
      <c r="O1858" s="1845"/>
      <c r="P1858" s="1845">
        <f t="shared" si="346"/>
        <v>0</v>
      </c>
      <c r="Q1858" s="1056"/>
      <c r="R1858" s="1056"/>
      <c r="S1858" s="1056"/>
      <c r="T1858" s="2059">
        <f>IFERROR(HLOOKUP(B1858,pp3p1m!110:112,3,0),0)</f>
        <v>0</v>
      </c>
    </row>
    <row r="1859" spans="1:20" ht="22.15" hidden="1" customHeight="1">
      <c r="A1859" s="59"/>
      <c r="B1859" s="1593" t="s">
        <v>1255</v>
      </c>
      <c r="C1859" s="1015" t="str">
        <f t="shared" si="345"/>
        <v xml:space="preserve"> </v>
      </c>
      <c r="D1859" s="1557">
        <f t="shared" si="341"/>
        <v>0</v>
      </c>
      <c r="E1859" s="1047"/>
      <c r="F1859" s="1059" t="str">
        <f>VLOOKUP($B1859,DG!A:D,DG!$C$2,)</f>
        <v>Kẹp 2 rãnh (APC) cỡ dây 150mm2</v>
      </c>
      <c r="G1859" s="1047" t="str">
        <f>VLOOKUP($B1859,DG!A:D,DG!$D$2,)</f>
        <v>cái</v>
      </c>
      <c r="H1859" s="1845">
        <f t="shared" si="344"/>
        <v>0</v>
      </c>
      <c r="I1859" s="1845"/>
      <c r="J1859" s="1845"/>
      <c r="K1859" s="1844">
        <f>IFERROR(HLOOKUP(B1859,pp3p1m!$1:$3,3,0),0)</f>
        <v>0</v>
      </c>
      <c r="L1859" s="1845"/>
      <c r="M1859" s="1845"/>
      <c r="N1859" s="1845"/>
      <c r="O1859" s="1845"/>
      <c r="P1859" s="1845">
        <f t="shared" si="346"/>
        <v>0</v>
      </c>
      <c r="Q1859" s="1056"/>
      <c r="R1859" s="1056"/>
      <c r="S1859" s="1056"/>
      <c r="T1859" s="2059">
        <f>IFERROR(HLOOKUP(B1859,pp3p1m!111:113,3,0),0)</f>
        <v>0</v>
      </c>
    </row>
    <row r="1860" spans="1:20" ht="22.15" hidden="1" customHeight="1">
      <c r="A1860" s="59"/>
      <c r="B1860" s="1593" t="s">
        <v>780</v>
      </c>
      <c r="C1860" s="1015" t="str">
        <f t="shared" si="345"/>
        <v xml:space="preserve"> </v>
      </c>
      <c r="D1860" s="1557">
        <f t="shared" si="341"/>
        <v>0</v>
      </c>
      <c r="E1860" s="1047"/>
      <c r="F1860" s="1059" t="str">
        <f>VLOOKUP($B1860,DG!A:D,DG!$C$2,)</f>
        <v>Kẹp 2 rãnh (APC) cỡ dây 185mm2</v>
      </c>
      <c r="G1860" s="1047" t="str">
        <f>VLOOKUP($B1860,DG!A:D,DG!$D$2,)</f>
        <v>cái</v>
      </c>
      <c r="H1860" s="1845">
        <f t="shared" si="344"/>
        <v>0</v>
      </c>
      <c r="I1860" s="1845"/>
      <c r="J1860" s="1845"/>
      <c r="K1860" s="1844">
        <f>IFERROR(HLOOKUP(B1860,pp3p1m!$1:$3,3,0),0)</f>
        <v>0</v>
      </c>
      <c r="L1860" s="1845"/>
      <c r="M1860" s="1845"/>
      <c r="N1860" s="1845"/>
      <c r="O1860" s="1845"/>
      <c r="P1860" s="1845">
        <f t="shared" si="346"/>
        <v>0</v>
      </c>
      <c r="Q1860" s="1056"/>
      <c r="R1860" s="1056"/>
      <c r="S1860" s="1056"/>
      <c r="T1860" s="2059">
        <f>IFERROR(HLOOKUP(B1860,pp3p1m!112:114,3,0),0)</f>
        <v>0</v>
      </c>
    </row>
    <row r="1861" spans="1:20" ht="22.15" hidden="1" customHeight="1">
      <c r="A1861" s="59"/>
      <c r="B1861" s="1593" t="s">
        <v>1587</v>
      </c>
      <c r="C1861" s="1015" t="str">
        <f t="shared" si="345"/>
        <v xml:space="preserve"> </v>
      </c>
      <c r="D1861" s="1557">
        <f t="shared" si="341"/>
        <v>0</v>
      </c>
      <c r="E1861" s="1047"/>
      <c r="F1861" s="1059" t="str">
        <f>VLOOKUP($B1861,DG!A:D,DG!$C$2,)</f>
        <v>Kẹp 2 rãnh (APC) cỡ dây 50mm2</v>
      </c>
      <c r="G1861" s="1047" t="str">
        <f>VLOOKUP($B1861,DG!A:D,DG!$D$2,)</f>
        <v>cái</v>
      </c>
      <c r="H1861" s="1845">
        <f t="shared" si="344"/>
        <v>0</v>
      </c>
      <c r="I1861" s="1845"/>
      <c r="J1861" s="1845"/>
      <c r="K1861" s="1844">
        <f>IFERROR(HLOOKUP(B1861,pp3p1m!$1:$3,3,0),0)</f>
        <v>0</v>
      </c>
      <c r="L1861" s="1845"/>
      <c r="M1861" s="1845"/>
      <c r="N1861" s="1845"/>
      <c r="O1861" s="1845"/>
      <c r="P1861" s="1845">
        <f t="shared" si="346"/>
        <v>0</v>
      </c>
      <c r="Q1861" s="1056"/>
      <c r="R1861" s="1056"/>
      <c r="S1861" s="1056"/>
      <c r="T1861" s="2059">
        <f>IFERROR(HLOOKUP(B1861,pp3p1m!113:115,3,0),0)</f>
        <v>0</v>
      </c>
    </row>
    <row r="1862" spans="1:20" ht="22.15" hidden="1" customHeight="1">
      <c r="A1862" s="59"/>
      <c r="B1862" s="1593" t="s">
        <v>908</v>
      </c>
      <c r="C1862" s="1015" t="str">
        <f t="shared" si="345"/>
        <v xml:space="preserve"> </v>
      </c>
      <c r="D1862" s="1557">
        <f t="shared" si="341"/>
        <v>0</v>
      </c>
      <c r="E1862" s="1047" t="str">
        <f>VLOOKUP($B1862,DG!A:D,DG!$B$2,)</f>
        <v>03.4002</v>
      </c>
      <c r="F1862" s="1059" t="str">
        <f>VLOOKUP($B1862,DG!A:D,DG!$C$2,)</f>
        <v>Đầu cosse ép Cu-Al 50mm2</v>
      </c>
      <c r="G1862" s="1047" t="str">
        <f>VLOOKUP($B1862,DG!A:D,DG!$D$2,)</f>
        <v>cái</v>
      </c>
      <c r="H1862" s="1845">
        <f t="shared" si="344"/>
        <v>0</v>
      </c>
      <c r="I1862" s="1845"/>
      <c r="J1862" s="1845"/>
      <c r="K1862" s="1844">
        <f>IFERROR(HLOOKUP(B1862,pp3p1m!$1:$3,3,0),0)</f>
        <v>0</v>
      </c>
      <c r="L1862" s="1845"/>
      <c r="M1862" s="1845"/>
      <c r="N1862" s="1845"/>
      <c r="O1862" s="1845"/>
      <c r="P1862" s="1845">
        <f t="shared" si="346"/>
        <v>0</v>
      </c>
      <c r="Q1862" s="1056"/>
      <c r="R1862" s="1056"/>
      <c r="S1862" s="1056"/>
      <c r="T1862" s="2059">
        <f>IFERROR(HLOOKUP(B1862,pp3p1m!114:116,3,0),0)</f>
        <v>0</v>
      </c>
    </row>
    <row r="1863" spans="1:20" ht="22.15" hidden="1" customHeight="1">
      <c r="A1863" s="59"/>
      <c r="B1863" s="1593" t="s">
        <v>1077</v>
      </c>
      <c r="C1863" s="1015" t="str">
        <f t="shared" si="345"/>
        <v xml:space="preserve"> </v>
      </c>
      <c r="D1863" s="1557">
        <f t="shared" si="341"/>
        <v>0</v>
      </c>
      <c r="E1863" s="1047" t="str">
        <f>VLOOKUP($B1863,DG!A:D,DG!$B$2,)</f>
        <v>03.4004</v>
      </c>
      <c r="F1863" s="1059" t="str">
        <f>VLOOKUP($B1863,DG!A:D,DG!$C$2,)</f>
        <v>Đầu cosse ép Cu 95mm2</v>
      </c>
      <c r="G1863" s="1047" t="str">
        <f>VLOOKUP($B1863,DG!A:D,DG!$D$2,)</f>
        <v>cái</v>
      </c>
      <c r="H1863" s="1845">
        <f t="shared" si="344"/>
        <v>0</v>
      </c>
      <c r="I1863" s="1845"/>
      <c r="J1863" s="1845"/>
      <c r="K1863" s="1844">
        <f>IFERROR(HLOOKUP(B1863,pp3p1m!$1:$3,3,0),0)</f>
        <v>0</v>
      </c>
      <c r="L1863" s="1845"/>
      <c r="M1863" s="1845"/>
      <c r="N1863" s="1845"/>
      <c r="O1863" s="1845"/>
      <c r="P1863" s="1845">
        <f t="shared" si="346"/>
        <v>0</v>
      </c>
      <c r="Q1863" s="1056"/>
      <c r="R1863" s="1056"/>
      <c r="S1863" s="1056"/>
      <c r="T1863" s="2059">
        <f>IFERROR(HLOOKUP(B1863,pp3p1m!115:117,3,0),0)</f>
        <v>0</v>
      </c>
    </row>
    <row r="1864" spans="1:20" ht="22.15" hidden="1" customHeight="1">
      <c r="A1864" s="59"/>
      <c r="B1864" s="1593" t="s">
        <v>50</v>
      </c>
      <c r="C1864" s="1015" t="str">
        <f t="shared" si="345"/>
        <v xml:space="preserve"> </v>
      </c>
      <c r="D1864" s="1557">
        <f t="shared" si="341"/>
        <v>0</v>
      </c>
      <c r="E1864" s="1047" t="str">
        <f>VLOOKUP($B1864,DG!A:D,DG!$B$2,)</f>
        <v>03.4005</v>
      </c>
      <c r="F1864" s="1059" t="str">
        <f>VLOOKUP($B1864,DG!A:D,DG!$C$2,)</f>
        <v>Đầu cosse ép Cu 120mm2</v>
      </c>
      <c r="G1864" s="1047" t="str">
        <f>VLOOKUP($B1864,DG!A:D,DG!$D$2,)</f>
        <v>cái</v>
      </c>
      <c r="H1864" s="1845">
        <f t="shared" si="344"/>
        <v>0</v>
      </c>
      <c r="I1864" s="1845"/>
      <c r="J1864" s="1845"/>
      <c r="K1864" s="1844">
        <f>IFERROR(HLOOKUP(B1864,pp3p1m!$1:$3,3,0),0)</f>
        <v>0</v>
      </c>
      <c r="L1864" s="1845"/>
      <c r="M1864" s="1845"/>
      <c r="N1864" s="1845"/>
      <c r="O1864" s="1845"/>
      <c r="P1864" s="1845">
        <f t="shared" si="346"/>
        <v>0</v>
      </c>
      <c r="Q1864" s="1056"/>
      <c r="R1864" s="1056"/>
      <c r="S1864" s="1056"/>
      <c r="T1864" s="2059">
        <f>IFERROR(HLOOKUP(B1864,pp3p1m!116:118,3,0),0)</f>
        <v>0</v>
      </c>
    </row>
    <row r="1865" spans="1:20" ht="22.15" hidden="1" customHeight="1">
      <c r="A1865" s="59"/>
      <c r="B1865" s="1593" t="s">
        <v>0</v>
      </c>
      <c r="C1865" s="1015" t="str">
        <f t="shared" si="345"/>
        <v xml:space="preserve"> </v>
      </c>
      <c r="D1865" s="1557">
        <f t="shared" si="341"/>
        <v>0</v>
      </c>
      <c r="E1865" s="1047" t="str">
        <f>VLOOKUP($B1865,DG!A:D,DG!$B$2,)</f>
        <v>03.4006</v>
      </c>
      <c r="F1865" s="1059" t="str">
        <f>VLOOKUP($B1865,DG!A:D,DG!$C$2,)</f>
        <v>Đầu cosse ép Cu 150mm2</v>
      </c>
      <c r="G1865" s="1047" t="str">
        <f>VLOOKUP($B1865,DG!A:D,DG!$D$2,)</f>
        <v>cái</v>
      </c>
      <c r="H1865" s="1845">
        <f t="shared" si="344"/>
        <v>0</v>
      </c>
      <c r="I1865" s="1845"/>
      <c r="J1865" s="1845"/>
      <c r="K1865" s="1844">
        <f>IFERROR(HLOOKUP(B1865,pp3p1m!$1:$3,3,0),0)</f>
        <v>0</v>
      </c>
      <c r="L1865" s="1845"/>
      <c r="M1865" s="1845"/>
      <c r="N1865" s="1845"/>
      <c r="O1865" s="1845"/>
      <c r="P1865" s="1845">
        <f t="shared" ref="P1865:P1896" si="347">P$1831*$D1865</f>
        <v>0</v>
      </c>
      <c r="Q1865" s="1056"/>
      <c r="R1865" s="1056"/>
      <c r="S1865" s="1056"/>
      <c r="T1865" s="2059">
        <f>IFERROR(HLOOKUP(B1865,pp3p1m!117:119,3,0),0)</f>
        <v>0</v>
      </c>
    </row>
    <row r="1866" spans="1:20" ht="22.15" hidden="1" customHeight="1">
      <c r="A1866" s="59"/>
      <c r="B1866" s="1593" t="s">
        <v>1022</v>
      </c>
      <c r="C1866" s="1015" t="str">
        <f t="shared" ref="C1866:C1867" si="348">IF(OR(P1866&lt;&gt;0,H1866&lt;&gt;0),"x"," ")</f>
        <v xml:space="preserve"> </v>
      </c>
      <c r="D1866" s="1557">
        <f t="shared" si="341"/>
        <v>0</v>
      </c>
      <c r="E1866" s="1047" t="str">
        <f>VLOOKUP($B1866,DG!A:D,DG!$B$2,)</f>
        <v>03.4007</v>
      </c>
      <c r="F1866" s="1059" t="str">
        <f>VLOOKUP($B1866,DG!A:D,DG!$C$2,)</f>
        <v>Đầu cosse ép Cu-Al 185mm2</v>
      </c>
      <c r="G1866" s="1047" t="str">
        <f>VLOOKUP($B1866,DG!A:D,DG!$D$2,)</f>
        <v>cái</v>
      </c>
      <c r="H1866" s="1845">
        <f t="shared" si="344"/>
        <v>0</v>
      </c>
      <c r="I1866" s="1845"/>
      <c r="J1866" s="1845"/>
      <c r="K1866" s="1844">
        <f>IFERROR(HLOOKUP(B1866,pp3p1m!$1:$3,3,0),0)</f>
        <v>0</v>
      </c>
      <c r="L1866" s="1845"/>
      <c r="M1866" s="1845"/>
      <c r="N1866" s="1845"/>
      <c r="O1866" s="1845"/>
      <c r="P1866" s="1845">
        <f t="shared" ref="P1866:P1867" si="349">P$1831*$D1866</f>
        <v>0</v>
      </c>
      <c r="Q1866" s="1056"/>
      <c r="R1866" s="1056"/>
      <c r="S1866" s="1056"/>
      <c r="T1866" s="2059">
        <f>IFERROR(HLOOKUP(B1866,pp3p1m!118:120,3,0),0)</f>
        <v>0</v>
      </c>
    </row>
    <row r="1867" spans="1:20" ht="22.15" hidden="1" customHeight="1">
      <c r="A1867" s="59"/>
      <c r="B1867" s="1593" t="s">
        <v>1837</v>
      </c>
      <c r="C1867" s="1015" t="str">
        <f t="shared" si="348"/>
        <v xml:space="preserve"> </v>
      </c>
      <c r="D1867" s="1557">
        <f t="shared" si="341"/>
        <v>0</v>
      </c>
      <c r="E1867" s="1047" t="str">
        <f>VLOOKUP($B1867,DG!A:D,DG!$B$2,)</f>
        <v>03.4008</v>
      </c>
      <c r="F1867" s="1059" t="str">
        <f>VLOOKUP($B1867,DG!A:D,DG!$C$2,)</f>
        <v>Đầu cosse ép Cu-Al 240mm2</v>
      </c>
      <c r="G1867" s="1047" t="str">
        <f>VLOOKUP($B1867,DG!A:D,DG!$D$2,)</f>
        <v>cái</v>
      </c>
      <c r="H1867" s="1845">
        <f t="shared" si="344"/>
        <v>0</v>
      </c>
      <c r="I1867" s="1845"/>
      <c r="J1867" s="1845"/>
      <c r="K1867" s="1844">
        <f>IFERROR(HLOOKUP(B1867,pp3p1m!$1:$3,3,0),0)</f>
        <v>0</v>
      </c>
      <c r="L1867" s="1845"/>
      <c r="M1867" s="1845"/>
      <c r="N1867" s="1845"/>
      <c r="O1867" s="1845"/>
      <c r="P1867" s="1845">
        <f t="shared" si="349"/>
        <v>0</v>
      </c>
      <c r="Q1867" s="1056"/>
      <c r="R1867" s="1056"/>
      <c r="S1867" s="1056"/>
      <c r="T1867" s="2059">
        <f>IFERROR(HLOOKUP(B1867,pp3p1m!119:121,3,0),0)</f>
        <v>0</v>
      </c>
    </row>
    <row r="1868" spans="1:20" ht="22.15" customHeight="1">
      <c r="A1868" s="59"/>
      <c r="B1868" s="1593" t="s">
        <v>4754</v>
      </c>
      <c r="C1868" s="1015" t="str">
        <f t="shared" si="345"/>
        <v>x</v>
      </c>
      <c r="D1868" s="1557">
        <f t="shared" si="341"/>
        <v>63</v>
      </c>
      <c r="E1868" s="1047">
        <f>VLOOKUP($B1868,DG!A:D,DG!$B$2,)</f>
        <v>0</v>
      </c>
      <c r="F1868" s="1059" t="str">
        <f>VLOOKUP($B1868,DG!A:D,DG!$C$2,)</f>
        <v>Dây buộc đầu sứ TTF cỡ dây 50mm2</v>
      </c>
      <c r="G1868" s="1047" t="str">
        <f>VLOOKUP($B1868,DG!A:D,DG!$D$2,)</f>
        <v>cái</v>
      </c>
      <c r="H1868" s="1845">
        <f t="shared" si="344"/>
        <v>63</v>
      </c>
      <c r="I1868" s="1845"/>
      <c r="J1868" s="1845"/>
      <c r="K1868" s="1844">
        <f>IFERROR(HLOOKUP(B1868,pp3p1m!$1:$3,3,0),0)</f>
        <v>63</v>
      </c>
      <c r="L1868" s="1845"/>
      <c r="M1868" s="1845"/>
      <c r="N1868" s="1845"/>
      <c r="O1868" s="1845"/>
      <c r="P1868" s="1845">
        <f>H1868</f>
        <v>63</v>
      </c>
      <c r="Q1868" s="1056"/>
      <c r="R1868" s="1056"/>
      <c r="S1868" s="1056"/>
      <c r="T1868" s="2059">
        <f>IFERROR(HLOOKUP(B1868,pp3p1m!$1:$3,3,0),0)</f>
        <v>63</v>
      </c>
    </row>
    <row r="1869" spans="1:20" ht="22.15" customHeight="1">
      <c r="A1869" s="59"/>
      <c r="B1869" s="1593" t="s">
        <v>4755</v>
      </c>
      <c r="C1869" s="1015" t="str">
        <f t="shared" si="345"/>
        <v>x</v>
      </c>
      <c r="D1869" s="1557">
        <f t="shared" si="341"/>
        <v>6</v>
      </c>
      <c r="E1869" s="1047">
        <f>VLOOKUP($B1869,DG!A:D,DG!$B$2,)</f>
        <v>0</v>
      </c>
      <c r="F1869" s="1059" t="str">
        <f>VLOOKUP($B1869,DG!A:D,DG!$C$2,)</f>
        <v>Dây buộc cổ sứ từ tính dây 50</v>
      </c>
      <c r="G1869" s="1047" t="str">
        <f>VLOOKUP($B1869,DG!A:D,DG!$D$2,)</f>
        <v>cái</v>
      </c>
      <c r="H1869" s="1845">
        <f t="shared" si="344"/>
        <v>6</v>
      </c>
      <c r="I1869" s="1845"/>
      <c r="J1869" s="1845"/>
      <c r="K1869" s="1844">
        <f>IFERROR(HLOOKUP(B1869,pp3p1m!$1:$3,3,0),0)</f>
        <v>6</v>
      </c>
      <c r="L1869" s="1845"/>
      <c r="M1869" s="1845"/>
      <c r="N1869" s="1845"/>
      <c r="O1869" s="1845"/>
      <c r="P1869" s="1845">
        <f t="shared" si="347"/>
        <v>6</v>
      </c>
      <c r="Q1869" s="1056"/>
      <c r="R1869" s="1056"/>
      <c r="S1869" s="1056"/>
      <c r="T1869" s="2059">
        <f>IFERROR(HLOOKUP(B1869,pp3p1m!$1:$3,3,0),0)</f>
        <v>6</v>
      </c>
    </row>
    <row r="1870" spans="1:20" ht="22.15" hidden="1" customHeight="1">
      <c r="A1870" s="59"/>
      <c r="B1870" s="1593" t="s">
        <v>437</v>
      </c>
      <c r="C1870" s="1015" t="str">
        <f t="shared" si="345"/>
        <v xml:space="preserve"> </v>
      </c>
      <c r="D1870" s="1557">
        <f t="shared" si="341"/>
        <v>0</v>
      </c>
      <c r="E1870" s="1047">
        <f>VLOOKUP($B1870,DG!A:D,DG!$B$2,)</f>
        <v>0</v>
      </c>
      <c r="F1870" s="1059" t="str">
        <f>VLOOKUP($B1870,DG!A:D,DG!$C$2,)</f>
        <v>Boulon 12x30+ 2 long đền vuông D14-50x50x3/Zn</v>
      </c>
      <c r="G1870" s="1047" t="str">
        <f>VLOOKUP($B1870,DG!A:D,DG!$D$2,)</f>
        <v>bộ</v>
      </c>
      <c r="H1870" s="1845">
        <f t="shared" si="344"/>
        <v>0</v>
      </c>
      <c r="I1870" s="1845"/>
      <c r="J1870" s="1845"/>
      <c r="K1870" s="1844">
        <f>IFERROR(HLOOKUP(B1870,pp3p1m!$1:$3,3,0),0)</f>
        <v>0</v>
      </c>
      <c r="L1870" s="1845"/>
      <c r="M1870" s="1845"/>
      <c r="N1870" s="1845"/>
      <c r="O1870" s="1845"/>
      <c r="P1870" s="1845">
        <f t="shared" si="347"/>
        <v>0</v>
      </c>
      <c r="Q1870" s="1056"/>
      <c r="R1870" s="1056"/>
      <c r="S1870" s="1056"/>
      <c r="T1870" s="2059">
        <f>IFERROR(HLOOKUP(B1870,pp3p1m!122:124,3,0),0)</f>
        <v>0</v>
      </c>
    </row>
    <row r="1871" spans="1:20" ht="22.15" customHeight="1">
      <c r="B1871" s="1586" t="s">
        <v>4494</v>
      </c>
      <c r="C1871" s="1854" t="str">
        <f t="shared" si="345"/>
        <v>x</v>
      </c>
      <c r="D1871" s="1557">
        <f>K1871</f>
        <v>6</v>
      </c>
      <c r="E1871" s="1047" t="str">
        <f>VLOOKUP($B1871,DG!A:D,DG!$B$2,)</f>
        <v>04.3007</v>
      </c>
      <c r="F1871" s="1059" t="str">
        <f>VLOOKUP($B1871,DG!A:D,DG!$C$2,)</f>
        <v>Kẹp quai 2/0 + chụp cách điện</v>
      </c>
      <c r="G1871" s="1047" t="str">
        <f>VLOOKUP($B1871,DG!A:D,DG!$D$2,)</f>
        <v>bộ</v>
      </c>
      <c r="H1871" s="1845">
        <f>D1871</f>
        <v>6</v>
      </c>
      <c r="I1871" s="1845"/>
      <c r="J1871" s="1845"/>
      <c r="K1871" s="1844">
        <f>IFERROR(HLOOKUP(B1871,pp3p1m!$1:$3,3,0),0)</f>
        <v>6</v>
      </c>
      <c r="L1871" s="1845"/>
      <c r="M1871" s="1845"/>
      <c r="N1871" s="1845"/>
      <c r="O1871" s="1845"/>
      <c r="P1871" s="1845">
        <f>H1871</f>
        <v>6</v>
      </c>
      <c r="Q1871" s="1056"/>
      <c r="R1871" s="1056"/>
      <c r="S1871" s="1056"/>
      <c r="T1871" s="2059">
        <f>IFERROR(HLOOKUP(B1871,pp3p1m!$1:$3,3,0),0)</f>
        <v>6</v>
      </c>
    </row>
    <row r="1872" spans="1:20" ht="22.15" hidden="1" customHeight="1">
      <c r="A1872" s="59"/>
      <c r="B1872" s="1586" t="s">
        <v>236</v>
      </c>
      <c r="C1872" s="1015" t="str">
        <f t="shared" si="345"/>
        <v xml:space="preserve"> </v>
      </c>
      <c r="D1872" s="1557">
        <f t="shared" ref="D1872:D1875" si="350">K1872</f>
        <v>0</v>
      </c>
      <c r="E1872" s="1047" t="str">
        <f>VLOOKUP($B1872,DG!A:D,DG!$B$2,)</f>
        <v>04.3007</v>
      </c>
      <c r="F1872" s="1059" t="str">
        <f>VLOOKUP($B1872,DG!A:D,DG!$C$2,)</f>
        <v>Kẹp quai 4/0</v>
      </c>
      <c r="G1872" s="1047" t="str">
        <f>VLOOKUP($B1872,DG!A:D,DG!$D$2,)</f>
        <v>cái</v>
      </c>
      <c r="H1872" s="1845">
        <f t="shared" ref="H1872:H1873" si="351">D1872</f>
        <v>0</v>
      </c>
      <c r="I1872" s="1845"/>
      <c r="J1872" s="1845"/>
      <c r="K1872" s="1844">
        <f>IFERROR(HLOOKUP(B1872,pp3p1m!$1:$3,3,0),0)</f>
        <v>0</v>
      </c>
      <c r="L1872" s="1845"/>
      <c r="M1872" s="1845"/>
      <c r="N1872" s="1845"/>
      <c r="O1872" s="1845"/>
      <c r="P1872" s="1845">
        <f t="shared" si="347"/>
        <v>0</v>
      </c>
      <c r="Q1872" s="1056"/>
      <c r="R1872" s="1056"/>
      <c r="S1872" s="1056"/>
      <c r="T1872" s="2059">
        <f>IFERROR(HLOOKUP(B1872,pp3p1m!124:126,3,0),0)</f>
        <v>0</v>
      </c>
    </row>
    <row r="1873" spans="1:20" ht="22.15" customHeight="1">
      <c r="B1873" s="1586" t="s">
        <v>1482</v>
      </c>
      <c r="C1873" s="1854" t="str">
        <f t="shared" si="345"/>
        <v>x</v>
      </c>
      <c r="D1873" s="1557">
        <f t="shared" si="350"/>
        <v>6</v>
      </c>
      <c r="E1873" s="1047" t="str">
        <f>VLOOKUP($B1873,DG!A:D,DG!$B$2,)</f>
        <v>04.3007</v>
      </c>
      <c r="F1873" s="1059" t="str">
        <f>VLOOKUP($B1873,DG!A:D,DG!$C$2,)</f>
        <v>Kẹp hotline 2/0</v>
      </c>
      <c r="G1873" s="1047" t="str">
        <f>VLOOKUP($B1873,DG!A:D,DG!$D$2,)</f>
        <v>cái</v>
      </c>
      <c r="H1873" s="1845">
        <f t="shared" si="351"/>
        <v>6</v>
      </c>
      <c r="I1873" s="1845"/>
      <c r="J1873" s="1845"/>
      <c r="K1873" s="1844">
        <f>IFERROR(HLOOKUP(B1873,pp3p1m!$1:$3,3,0),0)</f>
        <v>6</v>
      </c>
      <c r="L1873" s="1845"/>
      <c r="M1873" s="1845"/>
      <c r="N1873" s="1845"/>
      <c r="O1873" s="1845"/>
      <c r="P1873" s="1845">
        <f>H1873</f>
        <v>6</v>
      </c>
      <c r="Q1873" s="1056"/>
      <c r="R1873" s="1056"/>
      <c r="S1873" s="1056"/>
      <c r="T1873" s="2059">
        <f>IFERROR(HLOOKUP(B1873,pp3p1m!$1:$3,3,0),0)</f>
        <v>6</v>
      </c>
    </row>
    <row r="1874" spans="1:20" ht="22.15" hidden="1" customHeight="1">
      <c r="A1874" s="59"/>
      <c r="B1874" s="1586" t="s">
        <v>1051</v>
      </c>
      <c r="C1874" s="1854" t="str">
        <f t="shared" si="345"/>
        <v xml:space="preserve"> </v>
      </c>
      <c r="D1874" s="1557">
        <f t="shared" si="350"/>
        <v>0</v>
      </c>
      <c r="E1874" s="1047" t="str">
        <f>VLOOKUP($B1874,DG!A:D,DG!$B$2,)</f>
        <v>04.3007</v>
      </c>
      <c r="F1874" s="1059" t="str">
        <f>VLOOKUP($B1874,DG!A:D,DG!$C$2,)</f>
        <v>Kẹp hotline 4/0</v>
      </c>
      <c r="G1874" s="1047" t="str">
        <f>VLOOKUP($B1874,DG!A:D,DG!$D$2,)</f>
        <v>cái</v>
      </c>
      <c r="H1874" s="1845">
        <f t="shared" si="344"/>
        <v>0</v>
      </c>
      <c r="I1874" s="1845"/>
      <c r="J1874" s="1845"/>
      <c r="K1874" s="1844">
        <f>IFERROR(HLOOKUP(B1874,pp3p1m!$1:$3,3,0),0)</f>
        <v>0</v>
      </c>
      <c r="L1874" s="1845"/>
      <c r="M1874" s="1845"/>
      <c r="N1874" s="1845"/>
      <c r="O1874" s="1845"/>
      <c r="P1874" s="1845">
        <f t="shared" si="347"/>
        <v>0</v>
      </c>
      <c r="Q1874" s="1056"/>
      <c r="R1874" s="1056"/>
      <c r="S1874" s="1056"/>
      <c r="T1874" s="2059">
        <f>IFERROR(HLOOKUP(B1874,pp3p1m!126:128,3,0),0)</f>
        <v>0</v>
      </c>
    </row>
    <row r="1875" spans="1:20" ht="22.15" hidden="1" customHeight="1">
      <c r="A1875" s="59"/>
      <c r="B1875" s="1586" t="s">
        <v>780</v>
      </c>
      <c r="C1875" s="1854" t="str">
        <f t="shared" si="345"/>
        <v xml:space="preserve"> </v>
      </c>
      <c r="D1875" s="1557">
        <f t="shared" si="350"/>
        <v>0</v>
      </c>
      <c r="E1875" s="1047"/>
      <c r="F1875" s="1059" t="str">
        <f>VLOOKUP($B1875,DG!A:D,DG!$C$2,)</f>
        <v>Kẹp 2 rãnh (APC) cỡ dây 185mm2</v>
      </c>
      <c r="G1875" s="1047" t="str">
        <f>VLOOKUP($B1875,DG!A:D,DG!$D$2,)</f>
        <v>cái</v>
      </c>
      <c r="H1875" s="1845">
        <f t="shared" si="344"/>
        <v>0</v>
      </c>
      <c r="I1875" s="1845"/>
      <c r="J1875" s="1845"/>
      <c r="K1875" s="1844">
        <f>IFERROR(HLOOKUP(B1875,pp3p1m!$1:$3,3,0),0)</f>
        <v>0</v>
      </c>
      <c r="L1875" s="1845"/>
      <c r="M1875" s="1845"/>
      <c r="N1875" s="1845"/>
      <c r="O1875" s="1845"/>
      <c r="P1875" s="1845">
        <f t="shared" si="347"/>
        <v>0</v>
      </c>
      <c r="Q1875" s="1056"/>
      <c r="R1875" s="1056"/>
      <c r="S1875" s="1056"/>
      <c r="T1875" s="2059">
        <f>IFERROR(HLOOKUP(B1875,pp3p1m!127:129,3,0),0)</f>
        <v>0</v>
      </c>
    </row>
    <row r="1876" spans="1:20" ht="22.15" customHeight="1">
      <c r="A1876" s="59"/>
      <c r="B1876" s="1586" t="s">
        <v>699</v>
      </c>
      <c r="C1876" s="1854" t="str">
        <f t="shared" si="345"/>
        <v>x</v>
      </c>
      <c r="D1876" s="1550">
        <v>9</v>
      </c>
      <c r="E1876" s="1412"/>
      <c r="F1876" s="1398" t="str">
        <f>VLOOKUP($B1876,DG!A:D,DG!$C$2,)</f>
        <v>Cáp 24KV CX-25mm2</v>
      </c>
      <c r="G1876" s="1047" t="str">
        <f>VLOOKUP($B1876,DG!A:D,DG!$D$2,)</f>
        <v>mét</v>
      </c>
      <c r="H1876" s="1845">
        <f>D1876</f>
        <v>9</v>
      </c>
      <c r="I1876" s="1845"/>
      <c r="J1876" s="1845"/>
      <c r="K1876" s="1844">
        <f>IFERROR(HLOOKUP(B1876,pp3p1m!$1:$3,3,0),0)</f>
        <v>9</v>
      </c>
      <c r="L1876" s="1845"/>
      <c r="M1876" s="1845"/>
      <c r="N1876" s="1845"/>
      <c r="O1876" s="1845"/>
      <c r="P1876" s="1845">
        <f t="shared" si="347"/>
        <v>9</v>
      </c>
      <c r="Q1876" s="1056"/>
      <c r="R1876" s="1056"/>
      <c r="S1876" s="1056"/>
      <c r="T1876" s="2059">
        <f>IFERROR(HLOOKUP(B1876,pp3p1m!128:130,3,0),0)</f>
        <v>0</v>
      </c>
    </row>
    <row r="1877" spans="1:20" ht="22.15" hidden="1" customHeight="1">
      <c r="B1877" s="1586" t="s">
        <v>699</v>
      </c>
      <c r="C1877" s="1854" t="str">
        <f t="shared" si="345"/>
        <v xml:space="preserve"> </v>
      </c>
      <c r="D1877" s="1544"/>
      <c r="E1877" s="1412"/>
      <c r="F1877" s="1059" t="str">
        <f>VLOOKUP($B1877,DG!A:D,DG!$C$2,)&amp;" : đấu nối FCO"</f>
        <v>Cáp 24KV CX-25mm2 : đấu nối FCO</v>
      </c>
      <c r="G1877" s="1047" t="str">
        <f>VLOOKUP($B1877,DG!A:D,DG!$D$2,)</f>
        <v>mét</v>
      </c>
      <c r="H1877" s="1845"/>
      <c r="I1877" s="1845">
        <f>H1877</f>
        <v>0</v>
      </c>
      <c r="J1877" s="1845"/>
      <c r="K1877" s="1844">
        <f>IFERROR(HLOOKUP(B1877,pp3p1m!$1:$3,3,0),0)</f>
        <v>9</v>
      </c>
      <c r="L1877" s="1845"/>
      <c r="M1877" s="1845"/>
      <c r="N1877" s="1845"/>
      <c r="O1877" s="1845"/>
      <c r="P1877" s="1845">
        <f>H1877</f>
        <v>0</v>
      </c>
      <c r="Q1877" s="1056"/>
      <c r="R1877" s="1056"/>
      <c r="S1877" s="1056"/>
      <c r="T1877" s="2059">
        <f>IFERROR(HLOOKUP(B1877,pp3p1m!129:131,3,0),0)</f>
        <v>0</v>
      </c>
    </row>
    <row r="1878" spans="1:20" ht="22.15" customHeight="1">
      <c r="B1878" s="1586" t="s">
        <v>908</v>
      </c>
      <c r="C1878" s="1854" t="str">
        <f t="shared" ref="C1878:C1879" si="352">IF(OR(P1878&lt;&gt;0,H1878&lt;&gt;0),"x"," ")</f>
        <v>x</v>
      </c>
      <c r="D1878" s="1544">
        <v>3</v>
      </c>
      <c r="E1878" s="1412"/>
      <c r="F1878" s="1059" t="str">
        <f>VLOOKUP($B1878,DG!A:D,DG!$C$2,)</f>
        <v>Đầu cosse ép Cu-Al 50mm2</v>
      </c>
      <c r="G1878" s="1047" t="str">
        <f>VLOOKUP($B1878,DG!A:D,DG!$D$2,)</f>
        <v>cái</v>
      </c>
      <c r="H1878" s="1845">
        <f>D1878</f>
        <v>3</v>
      </c>
      <c r="I1878" s="1845"/>
      <c r="J1878" s="1845"/>
      <c r="K1878" s="1844">
        <f>IFERROR(HLOOKUP(B1878,pp3p1m!$1:$3,3,0),0)</f>
        <v>0</v>
      </c>
      <c r="L1878" s="1845"/>
      <c r="M1878" s="1845"/>
      <c r="N1878" s="1845"/>
      <c r="O1878" s="1845"/>
      <c r="P1878" s="1845">
        <f t="shared" si="347"/>
        <v>3</v>
      </c>
      <c r="Q1878" s="1056"/>
      <c r="R1878" s="1056"/>
      <c r="S1878" s="1056"/>
      <c r="T1878" s="2059">
        <f>IFERROR(HLOOKUP(B1878,pp3p1m!129:131,3,0),0)</f>
        <v>0</v>
      </c>
    </row>
    <row r="1879" spans="1:20" ht="22.15" customHeight="1">
      <c r="B1879" s="1586" t="s">
        <v>381</v>
      </c>
      <c r="C1879" s="1854" t="str">
        <f t="shared" si="352"/>
        <v>x</v>
      </c>
      <c r="D1879" s="1544">
        <v>3</v>
      </c>
      <c r="E1879" s="1412"/>
      <c r="F1879" s="1059" t="str">
        <f>VLOOKUP($B1879,DG!A:D,DG!$C$2,)</f>
        <v>Chụp đầu cực FCO (bộ 2 cái)</v>
      </c>
      <c r="G1879" s="1047" t="str">
        <f>VLOOKUP($B1879,DG!A:D,DG!$D$2,)</f>
        <v>bộ</v>
      </c>
      <c r="H1879" s="1845">
        <f>D1879</f>
        <v>3</v>
      </c>
      <c r="I1879" s="1845"/>
      <c r="J1879" s="1845"/>
      <c r="K1879" s="1844">
        <f>IFERROR(HLOOKUP(B1879,pp3p1m!$1:$3,3,0),0)</f>
        <v>0</v>
      </c>
      <c r="L1879" s="1845"/>
      <c r="M1879" s="1845"/>
      <c r="N1879" s="1845"/>
      <c r="O1879" s="1845"/>
      <c r="P1879" s="1845">
        <f t="shared" si="347"/>
        <v>3</v>
      </c>
      <c r="Q1879" s="1056"/>
      <c r="R1879" s="1056"/>
      <c r="S1879" s="1056"/>
      <c r="T1879" s="2059">
        <f>IFERROR(HLOOKUP(B1879,pp3p1m!129:131,3,0),0)</f>
        <v>0</v>
      </c>
    </row>
    <row r="1880" spans="1:20" ht="22.15" hidden="1" customHeight="1">
      <c r="B1880" s="1586" t="s">
        <v>4495</v>
      </c>
      <c r="C1880" s="1854" t="str">
        <f t="shared" si="345"/>
        <v xml:space="preserve"> </v>
      </c>
      <c r="D1880" s="1544"/>
      <c r="E1880" s="1412"/>
      <c r="F1880" s="1059" t="str">
        <f>VLOOKUP($B1880,DG!A:D,DG!$C$2,)</f>
        <v>Nắp chụp kẹp quai + hotline</v>
      </c>
      <c r="G1880" s="1047" t="str">
        <f>VLOOKUP($B1880,DG!A:D,DG!$D$2,)</f>
        <v>bộ</v>
      </c>
      <c r="H1880" s="1845">
        <f t="shared" si="344"/>
        <v>0</v>
      </c>
      <c r="I1880" s="1845"/>
      <c r="J1880" s="1845"/>
      <c r="K1880" s="1844">
        <f>IFERROR(HLOOKUP(B1880,pp3p1m!$1:$3,3,0),0)</f>
        <v>0</v>
      </c>
      <c r="L1880" s="1845"/>
      <c r="M1880" s="1845"/>
      <c r="N1880" s="1845"/>
      <c r="O1880" s="1845"/>
      <c r="P1880" s="1845">
        <f t="shared" si="347"/>
        <v>0</v>
      </c>
      <c r="Q1880" s="1056"/>
      <c r="R1880" s="1056"/>
      <c r="S1880" s="1056"/>
      <c r="T1880" s="2059">
        <f>IFERROR(HLOOKUP(B1880,pp3p1m!130:132,3,0),0)</f>
        <v>0</v>
      </c>
    </row>
    <row r="1881" spans="1:20" ht="22.15" hidden="1" customHeight="1">
      <c r="A1881" s="59"/>
      <c r="B1881" s="1586" t="s">
        <v>1492</v>
      </c>
      <c r="C1881" s="1015" t="str">
        <f t="shared" si="345"/>
        <v xml:space="preserve"> </v>
      </c>
      <c r="D1881" s="1544">
        <f>ROUND((E1756)*1.02/2000,0)*12</f>
        <v>0</v>
      </c>
      <c r="E1881" s="1047"/>
      <c r="F1881" s="1059" t="str">
        <f>VLOOKUP($B1881,DG!A:D,DG!$C$2,)</f>
        <v>Ống nối dây cỡ 50mm2</v>
      </c>
      <c r="G1881" s="1047" t="str">
        <f>VLOOKUP($B1881,DG!A:D,DG!$D$2,)</f>
        <v>cái</v>
      </c>
      <c r="H1881" s="1845">
        <f>D1881</f>
        <v>0</v>
      </c>
      <c r="I1881" s="1845"/>
      <c r="J1881" s="1845"/>
      <c r="K1881" s="1844">
        <f>IFERROR(HLOOKUP(B1881,pp3p1m!$1:$3,3,0),0)</f>
        <v>0</v>
      </c>
      <c r="L1881" s="1845"/>
      <c r="M1881" s="1845"/>
      <c r="N1881" s="1845"/>
      <c r="O1881" s="1845"/>
      <c r="P1881" s="1845">
        <f t="shared" si="347"/>
        <v>0</v>
      </c>
      <c r="Q1881" s="1056"/>
      <c r="R1881" s="1056"/>
      <c r="S1881" s="1056"/>
      <c r="T1881" s="2059">
        <f>IFERROR(HLOOKUP(B1881,pp3p1m!$1:$3,3,0),0)</f>
        <v>0</v>
      </c>
    </row>
    <row r="1882" spans="1:20" ht="22.15" hidden="1" customHeight="1">
      <c r="A1882" s="59"/>
      <c r="B1882" s="1586" t="s">
        <v>1493</v>
      </c>
      <c r="C1882" s="1015" t="str">
        <f t="shared" si="345"/>
        <v xml:space="preserve"> </v>
      </c>
      <c r="D1882" s="1544">
        <f>ROUND((E1755+E1767)*1.03/1400,0)</f>
        <v>0</v>
      </c>
      <c r="E1882" s="1047"/>
      <c r="F1882" s="1059" t="str">
        <f>VLOOKUP($B1882,DG!A:D,DG!$C$2,)</f>
        <v>Ống nối dây cỡ 70mm2</v>
      </c>
      <c r="G1882" s="1047" t="str">
        <f>VLOOKUP($B1882,DG!A:D,DG!$D$2,)</f>
        <v>cái</v>
      </c>
      <c r="H1882" s="1845">
        <f t="shared" si="344"/>
        <v>0</v>
      </c>
      <c r="I1882" s="1845"/>
      <c r="J1882" s="1845"/>
      <c r="K1882" s="1844">
        <f>IFERROR(HLOOKUP(B1882,pp3p1m!$1:$3,3,0),0)</f>
        <v>0</v>
      </c>
      <c r="L1882" s="1845"/>
      <c r="M1882" s="1845"/>
      <c r="N1882" s="1845"/>
      <c r="O1882" s="1845"/>
      <c r="P1882" s="1845">
        <f t="shared" si="347"/>
        <v>0</v>
      </c>
      <c r="Q1882" s="1056"/>
      <c r="R1882" s="1056"/>
      <c r="S1882" s="1056"/>
      <c r="T1882" s="2059">
        <f>IFERROR(HLOOKUP(B1882,pp3p1m!132:134,3,0),0)</f>
        <v>0</v>
      </c>
    </row>
    <row r="1883" spans="1:20" ht="22.15" hidden="1" customHeight="1">
      <c r="A1883" s="59"/>
      <c r="B1883" s="1586" t="s">
        <v>432</v>
      </c>
      <c r="C1883" s="1015" t="str">
        <f t="shared" si="345"/>
        <v xml:space="preserve"> </v>
      </c>
      <c r="D1883" s="1544">
        <f>ROUND((E1754+E1762)*1.03/1200,0)</f>
        <v>0</v>
      </c>
      <c r="E1883" s="1047"/>
      <c r="F1883" s="1059" t="str">
        <f>VLOOKUP($B1883,DG!A:D,DG!$C$2,)</f>
        <v>Ống nối dây cỡ 95mm2</v>
      </c>
      <c r="G1883" s="1047" t="str">
        <f>VLOOKUP($B1883,DG!A:D,DG!$D$2,)</f>
        <v>cái</v>
      </c>
      <c r="H1883" s="1845">
        <f t="shared" si="344"/>
        <v>0</v>
      </c>
      <c r="I1883" s="1845"/>
      <c r="J1883" s="1845"/>
      <c r="K1883" s="1844">
        <f>IFERROR(HLOOKUP(B1883,pp3p1m!$1:$3,3,0),0)</f>
        <v>0</v>
      </c>
      <c r="L1883" s="1845"/>
      <c r="M1883" s="1845"/>
      <c r="N1883" s="1845"/>
      <c r="O1883" s="1845"/>
      <c r="P1883" s="1845">
        <f t="shared" si="347"/>
        <v>0</v>
      </c>
      <c r="Q1883" s="1056"/>
      <c r="R1883" s="1056"/>
      <c r="S1883" s="1056"/>
      <c r="T1883" s="2059">
        <f>IFERROR(HLOOKUP(B1883,pp3p1m!133:135,3,0),0)</f>
        <v>0</v>
      </c>
    </row>
    <row r="1884" spans="1:20" ht="22.15" hidden="1" customHeight="1">
      <c r="A1884" s="59"/>
      <c r="B1884" s="1586" t="s">
        <v>573</v>
      </c>
      <c r="C1884" s="1015" t="str">
        <f t="shared" si="345"/>
        <v xml:space="preserve"> </v>
      </c>
      <c r="D1884" s="1544">
        <f>ROUND((E1753+E1761)*1.03/1200,0)</f>
        <v>0</v>
      </c>
      <c r="E1884" s="1047"/>
      <c r="F1884" s="1059" t="str">
        <f>VLOOKUP($B1884,DG!A:D,DG!$C$2,)</f>
        <v>Ống nối dây cỡ 120mm2</v>
      </c>
      <c r="G1884" s="1047" t="str">
        <f>VLOOKUP($B1884,DG!A:D,DG!$D$2,)</f>
        <v>cái</v>
      </c>
      <c r="H1884" s="1845">
        <f t="shared" si="344"/>
        <v>0</v>
      </c>
      <c r="I1884" s="1845"/>
      <c r="J1884" s="1845"/>
      <c r="K1884" s="1844">
        <f>IFERROR(HLOOKUP(B1884,pp3p1m!$1:$3,3,0),0)</f>
        <v>0</v>
      </c>
      <c r="L1884" s="1845"/>
      <c r="M1884" s="1845"/>
      <c r="N1884" s="1845"/>
      <c r="O1884" s="1845"/>
      <c r="P1884" s="1845">
        <f t="shared" si="347"/>
        <v>0</v>
      </c>
      <c r="Q1884" s="1056"/>
      <c r="R1884" s="1056"/>
      <c r="S1884" s="1056"/>
      <c r="T1884" s="2059">
        <f>IFERROR(HLOOKUP(B1884,pp3p1m!134:136,3,0),0)</f>
        <v>0</v>
      </c>
    </row>
    <row r="1885" spans="1:20" ht="22.15" hidden="1" customHeight="1">
      <c r="A1885" s="59"/>
      <c r="B1885" s="1586" t="s">
        <v>939</v>
      </c>
      <c r="C1885" s="1015" t="str">
        <f t="shared" si="345"/>
        <v xml:space="preserve"> </v>
      </c>
      <c r="D1885" s="1544">
        <f>ROUND((E1752+E1760)*1.03/1200,0)</f>
        <v>0</v>
      </c>
      <c r="E1885" s="1047"/>
      <c r="F1885" s="1059" t="str">
        <f>VLOOKUP($B1885,DG!A:D,DG!$C$2,)</f>
        <v>Ống nối dây cỡ 150mm2</v>
      </c>
      <c r="G1885" s="1047" t="str">
        <f>VLOOKUP($B1885,DG!A:D,DG!$D$2,)</f>
        <v>cái</v>
      </c>
      <c r="H1885" s="1845">
        <f t="shared" si="344"/>
        <v>0</v>
      </c>
      <c r="I1885" s="1845"/>
      <c r="J1885" s="1845"/>
      <c r="K1885" s="1844">
        <f>IFERROR(HLOOKUP(B1885,pp3p1m!$1:$3,3,0),0)</f>
        <v>0</v>
      </c>
      <c r="L1885" s="1845"/>
      <c r="M1885" s="1845"/>
      <c r="N1885" s="1845"/>
      <c r="O1885" s="1845"/>
      <c r="P1885" s="1845">
        <f t="shared" si="347"/>
        <v>0</v>
      </c>
      <c r="Q1885" s="1056"/>
      <c r="R1885" s="1056"/>
      <c r="S1885" s="1056"/>
      <c r="T1885" s="2059">
        <f>IFERROR(HLOOKUP(B1885,pp3p1m!135:137,3,0),0)</f>
        <v>0</v>
      </c>
    </row>
    <row r="1886" spans="1:20" ht="22.15" hidden="1" customHeight="1">
      <c r="A1886" s="59"/>
      <c r="B1886" s="1586" t="s">
        <v>572</v>
      </c>
      <c r="C1886" s="1015" t="str">
        <f t="shared" si="345"/>
        <v xml:space="preserve"> </v>
      </c>
      <c r="D1886" s="1544">
        <f>ROUND((E1751+E1759)*1.03/1200,0)</f>
        <v>0</v>
      </c>
      <c r="E1886" s="1047"/>
      <c r="F1886" s="1059" t="str">
        <f>VLOOKUP($B1886,DG!A:D,DG!$C$2,)</f>
        <v>Ống nối dây cỡ 185mm2</v>
      </c>
      <c r="G1886" s="1047" t="str">
        <f>VLOOKUP($B1886,DG!A:D,DG!$D$2,)</f>
        <v>cái</v>
      </c>
      <c r="H1886" s="1845">
        <f t="shared" si="344"/>
        <v>0</v>
      </c>
      <c r="I1886" s="1845"/>
      <c r="J1886" s="1845"/>
      <c r="K1886" s="1844">
        <f>IFERROR(HLOOKUP(B1886,pp3p1m!$1:$3,3,0),0)</f>
        <v>0</v>
      </c>
      <c r="L1886" s="1845"/>
      <c r="M1886" s="1845"/>
      <c r="N1886" s="1845"/>
      <c r="O1886" s="1845"/>
      <c r="P1886" s="1845">
        <f t="shared" si="347"/>
        <v>0</v>
      </c>
      <c r="Q1886" s="1056"/>
      <c r="R1886" s="1056"/>
      <c r="S1886" s="1056"/>
      <c r="T1886" s="2059">
        <f>IFERROR(HLOOKUP(B1886,pp3p1m!136:138,3,0),0)</f>
        <v>0</v>
      </c>
    </row>
    <row r="1887" spans="1:20" ht="22.15" hidden="1" customHeight="1">
      <c r="A1887" s="59"/>
      <c r="B1887" s="1586" t="s">
        <v>571</v>
      </c>
      <c r="C1887" s="1015" t="str">
        <f t="shared" si="345"/>
        <v xml:space="preserve"> </v>
      </c>
      <c r="D1887" s="1544">
        <f>ROUND((E1750+E1758)*1.03/1200,0)</f>
        <v>0</v>
      </c>
      <c r="E1887" s="1047"/>
      <c r="F1887" s="1059" t="str">
        <f>VLOOKUP($B1887,DG!A:D,DG!$C$2,)</f>
        <v>Ống nối dây cỡ 240mm2</v>
      </c>
      <c r="G1887" s="1047" t="str">
        <f>VLOOKUP($B1887,DG!A:D,DG!$D$2,)</f>
        <v>cái</v>
      </c>
      <c r="H1887" s="1845">
        <f t="shared" si="344"/>
        <v>0</v>
      </c>
      <c r="I1887" s="1845"/>
      <c r="J1887" s="1845"/>
      <c r="K1887" s="1844">
        <f>IFERROR(HLOOKUP(B1887,pp3p1m!$1:$3,3,0),0)</f>
        <v>0</v>
      </c>
      <c r="L1887" s="1845"/>
      <c r="M1887" s="1845"/>
      <c r="N1887" s="1845"/>
      <c r="O1887" s="1845"/>
      <c r="P1887" s="1845">
        <f t="shared" si="347"/>
        <v>0</v>
      </c>
      <c r="Q1887" s="1056"/>
      <c r="R1887" s="1056"/>
      <c r="S1887" s="1056"/>
      <c r="T1887" s="2059">
        <f>IFERROR(HLOOKUP(B1887,pp3p1m!137:139,3,0),0)</f>
        <v>0</v>
      </c>
    </row>
    <row r="1888" spans="1:20" ht="22.15" hidden="1" customHeight="1">
      <c r="A1888" s="59"/>
      <c r="B1888" s="1586" t="s">
        <v>1882</v>
      </c>
      <c r="C1888" s="1015" t="str">
        <f t="shared" si="345"/>
        <v xml:space="preserve"> </v>
      </c>
      <c r="D1888" s="1561"/>
      <c r="E1888" s="1047"/>
      <c r="F1888" s="1059" t="str">
        <f>VLOOKUP($B1888,DG!A:D,DG!$C$2,)</f>
        <v>Cổ dê trụ đôi bắt sứ treo</v>
      </c>
      <c r="G1888" s="1047" t="str">
        <f>VLOOKUP($B1888,DG!A:D,DG!$D$2,)</f>
        <v>bộ</v>
      </c>
      <c r="H1888" s="1845">
        <f t="shared" si="344"/>
        <v>0</v>
      </c>
      <c r="I1888" s="1845"/>
      <c r="J1888" s="1845"/>
      <c r="K1888" s="1844">
        <f>IFERROR(HLOOKUP(B1888,pp3p1m!$1:$3,3,0),0)</f>
        <v>0</v>
      </c>
      <c r="L1888" s="1845"/>
      <c r="M1888" s="1845"/>
      <c r="N1888" s="1845"/>
      <c r="O1888" s="1845"/>
      <c r="P1888" s="1845">
        <f t="shared" si="347"/>
        <v>0</v>
      </c>
      <c r="Q1888" s="1056"/>
      <c r="R1888" s="1056"/>
      <c r="S1888" s="1056"/>
      <c r="T1888" s="2059">
        <f>IFERROR(HLOOKUP(B1888,pp3p1m!138:140,3,0),0)</f>
        <v>0</v>
      </c>
    </row>
    <row r="1889" spans="1:20" ht="22.15" hidden="1" customHeight="1">
      <c r="A1889" s="59"/>
      <c r="B1889" s="1586" t="s">
        <v>1387</v>
      </c>
      <c r="C1889" s="1015" t="str">
        <f t="shared" si="345"/>
        <v xml:space="preserve"> </v>
      </c>
      <c r="D1889" s="1561"/>
      <c r="E1889" s="1047"/>
      <c r="F1889" s="1059" t="str">
        <f>VLOOKUP($B1889,DG!A:D,DG!$C$2,)&amp;": bắt xà trụ ghép"</f>
        <v>Boulon 16x600VRS+ 4 long đền vuông D18-50x50x3/Zn: bắt xà trụ ghép</v>
      </c>
      <c r="G1889" s="1047" t="str">
        <f>VLOOKUP($B1889,DG!A:D,DG!$D$2,)</f>
        <v>bộ</v>
      </c>
      <c r="H1889" s="1845">
        <f t="shared" si="344"/>
        <v>0</v>
      </c>
      <c r="I1889" s="1845"/>
      <c r="J1889" s="1845"/>
      <c r="K1889" s="1844">
        <f>IFERROR(HLOOKUP(B1889,pp3p1m!$1:$3,3,0),0)</f>
        <v>0</v>
      </c>
      <c r="L1889" s="1845"/>
      <c r="M1889" s="1845"/>
      <c r="N1889" s="1845"/>
      <c r="O1889" s="1845"/>
      <c r="P1889" s="1845">
        <f t="shared" si="347"/>
        <v>0</v>
      </c>
      <c r="Q1889" s="1056"/>
      <c r="R1889" s="1056"/>
      <c r="S1889" s="1056"/>
      <c r="T1889" s="2059">
        <f>IFERROR(HLOOKUP(B1889,pp3p1m!139:141,3,0),0)</f>
        <v>0</v>
      </c>
    </row>
    <row r="1890" spans="1:20" ht="22.15" hidden="1" customHeight="1">
      <c r="A1890" s="59"/>
      <c r="B1890" s="1586" t="s">
        <v>4873</v>
      </c>
      <c r="C1890" s="1015" t="str">
        <f t="shared" si="345"/>
        <v xml:space="preserve"> </v>
      </c>
      <c r="D1890" s="1557"/>
      <c r="E1890" s="1047"/>
      <c r="F1890" s="2276" t="str">
        <f>VLOOKUP($B1890,DG!A:D,DG!$C$2,)&amp;": bắt trụ đôi"</f>
        <v>Boulon 16x450VRS+ 4 long đền vuông D18-50x50x3/Zn: bắt trụ đôi</v>
      </c>
      <c r="G1890" s="1047" t="str">
        <f>VLOOKUP($B1890,DG!A:D,DG!$D$2,)</f>
        <v>bộ</v>
      </c>
      <c r="H1890" s="1845">
        <f>D1890</f>
        <v>0</v>
      </c>
      <c r="I1890" s="1845"/>
      <c r="J1890" s="1845"/>
      <c r="K1890" s="1844">
        <f>IFERROR(HLOOKUP(B1890,pp3p1m!$1:$3,3,0),0)</f>
        <v>0</v>
      </c>
      <c r="L1890" s="1845"/>
      <c r="M1890" s="1845"/>
      <c r="N1890" s="1845"/>
      <c r="O1890" s="1845"/>
      <c r="P1890" s="1845">
        <f t="shared" si="347"/>
        <v>0</v>
      </c>
      <c r="Q1890" s="1056"/>
      <c r="R1890" s="1056"/>
      <c r="S1890" s="1056"/>
      <c r="T1890" s="2059">
        <f>IFERROR(HLOOKUP(B1890,pp3p1m!140:142,3,0),0)</f>
        <v>0</v>
      </c>
    </row>
    <row r="1891" spans="1:20" ht="22.15" hidden="1" customHeight="1">
      <c r="A1891" s="59"/>
      <c r="B1891" s="1586" t="s">
        <v>532</v>
      </c>
      <c r="C1891" s="1015" t="str">
        <f t="shared" si="345"/>
        <v xml:space="preserve"> </v>
      </c>
      <c r="D1891" s="1557"/>
      <c r="E1891" s="1047"/>
      <c r="F1891" s="2276" t="str">
        <f>VLOOKUP($B1891,DG!A:D,DG!$C$2,)&amp;": bắt trụ đôi"</f>
        <v>Boulon 16x550VRS+ 4 long đền vuông D18-50x50x3/Zn: bắt trụ đôi</v>
      </c>
      <c r="G1891" s="1047" t="str">
        <f>VLOOKUP($B1891,DG!A:D,DG!$D$2,)</f>
        <v>bộ</v>
      </c>
      <c r="H1891" s="1845">
        <f t="shared" ref="H1891:H1892" si="353">D1891</f>
        <v>0</v>
      </c>
      <c r="I1891" s="1845"/>
      <c r="J1891" s="1845"/>
      <c r="K1891" s="1844">
        <f>IFERROR(HLOOKUP(B1891,pp3p1m!$1:$3,3,0),0)</f>
        <v>0</v>
      </c>
      <c r="L1891" s="1845"/>
      <c r="M1891" s="1845"/>
      <c r="N1891" s="1845"/>
      <c r="O1891" s="1845"/>
      <c r="P1891" s="1845">
        <f t="shared" si="347"/>
        <v>0</v>
      </c>
      <c r="Q1891" s="1056"/>
      <c r="R1891" s="1056"/>
      <c r="S1891" s="1056"/>
      <c r="T1891" s="2059">
        <f>IFERROR(HLOOKUP(B1891,pp3p1m!141:143,3,0),0)</f>
        <v>0</v>
      </c>
    </row>
    <row r="1892" spans="1:20" ht="22.15" hidden="1" customHeight="1">
      <c r="A1892" s="59"/>
      <c r="B1892" s="1586" t="s">
        <v>1387</v>
      </c>
      <c r="C1892" s="1015" t="str">
        <f t="shared" si="345"/>
        <v xml:space="preserve"> </v>
      </c>
      <c r="D1892" s="1557"/>
      <c r="E1892" s="1047"/>
      <c r="F1892" s="2276" t="str">
        <f>VLOOKUP($B1892,DG!A:D,DG!$C$2,)&amp;": bắt trụ đôi"</f>
        <v>Boulon 16x600VRS+ 4 long đền vuông D18-50x50x3/Zn: bắt trụ đôi</v>
      </c>
      <c r="G1892" s="1047" t="str">
        <f>VLOOKUP($B1892,DG!A:D,DG!$D$2,)</f>
        <v>bộ</v>
      </c>
      <c r="H1892" s="1845">
        <f t="shared" si="353"/>
        <v>0</v>
      </c>
      <c r="I1892" s="1845"/>
      <c r="J1892" s="1845"/>
      <c r="K1892" s="1844">
        <f>IFERROR(HLOOKUP(B1892,pp3p1m!$1:$3,3,0),0)</f>
        <v>0</v>
      </c>
      <c r="L1892" s="1845"/>
      <c r="M1892" s="1845"/>
      <c r="N1892" s="1845"/>
      <c r="O1892" s="1845"/>
      <c r="P1892" s="1845">
        <f t="shared" si="347"/>
        <v>0</v>
      </c>
      <c r="Q1892" s="1056"/>
      <c r="R1892" s="1056"/>
      <c r="S1892" s="1056"/>
      <c r="T1892" s="2059">
        <f>IFERROR(HLOOKUP(B1892,pp3p1m!142:144,3,0),0)</f>
        <v>0</v>
      </c>
    </row>
    <row r="1893" spans="1:20" ht="22.15" hidden="1" customHeight="1">
      <c r="A1893" s="59"/>
      <c r="B1893" s="1586" t="s">
        <v>1063</v>
      </c>
      <c r="C1893" s="1015" t="str">
        <f t="shared" si="345"/>
        <v xml:space="preserve"> </v>
      </c>
      <c r="D1893" s="1557"/>
      <c r="E1893" s="1047"/>
      <c r="F1893" s="2276" t="str">
        <f>VLOOKUP($B1893,DG!A:D,DG!$C$2,)&amp;": baét söù treo Polymer truï TBA 11"</f>
        <v>Boulon mắt 16x250+ 2 long đền vuông D18-50x50x3/Zn: baét söù treo Polymer truï TBA 11</v>
      </c>
      <c r="G1893" s="1047" t="str">
        <f>VLOOKUP($B1893,DG!A:D,DG!$D$2,)</f>
        <v>bộ</v>
      </c>
      <c r="H1893" s="1845">
        <f t="shared" si="344"/>
        <v>0</v>
      </c>
      <c r="I1893" s="1845"/>
      <c r="J1893" s="1845"/>
      <c r="K1893" s="1844">
        <f>IFERROR(HLOOKUP(B1893,pp3p1m!$1:$3,3,0),0)</f>
        <v>0</v>
      </c>
      <c r="L1893" s="1845"/>
      <c r="M1893" s="1845"/>
      <c r="N1893" s="1845"/>
      <c r="O1893" s="1845"/>
      <c r="P1893" s="1845">
        <f t="shared" si="347"/>
        <v>0</v>
      </c>
      <c r="Q1893" s="1056"/>
      <c r="R1893" s="1056"/>
      <c r="S1893" s="1056"/>
      <c r="T1893" s="2059">
        <f>IFERROR(HLOOKUP(B1893,pp3p1m!143:145,3,0),0)</f>
        <v>0</v>
      </c>
    </row>
    <row r="1894" spans="1:20" ht="22.15" hidden="1" customHeight="1">
      <c r="A1894" s="59"/>
      <c r="B1894" s="1586" t="s">
        <v>2267</v>
      </c>
      <c r="C1894" s="1015" t="str">
        <f t="shared" si="345"/>
        <v xml:space="preserve"> </v>
      </c>
      <c r="D1894" s="1554"/>
      <c r="E1894" s="1047"/>
      <c r="F1894" s="1059" t="str">
        <f>VLOOKUP($B1894,DG!A:D,DG!$C$2,)&amp;" + bulon"</f>
        <v>Rack 2 sứ + sứ ống chỉ + bulon</v>
      </c>
      <c r="G1894" s="1047" t="str">
        <f>VLOOKUP($B1894,DG!A:D,DG!$D$2,)</f>
        <v>bộ</v>
      </c>
      <c r="H1894" s="1845">
        <f t="shared" si="344"/>
        <v>0</v>
      </c>
      <c r="I1894" s="1845"/>
      <c r="J1894" s="1845"/>
      <c r="K1894" s="1844">
        <f>IFERROR(HLOOKUP(B1894,pp3p1m!$1:$3,3,0),0)</f>
        <v>0</v>
      </c>
      <c r="L1894" s="1845"/>
      <c r="M1894" s="1845"/>
      <c r="N1894" s="1845"/>
      <c r="O1894" s="1845"/>
      <c r="P1894" s="1845">
        <f t="shared" si="347"/>
        <v>0</v>
      </c>
      <c r="Q1894" s="1062"/>
      <c r="R1894" s="1062"/>
      <c r="S1894" s="1062"/>
      <c r="T1894" s="2059">
        <f>IFERROR(HLOOKUP(B1894,pp3p1m!144:146,3,0),0)</f>
        <v>0</v>
      </c>
    </row>
    <row r="1895" spans="1:20" ht="22.15" hidden="1" customHeight="1">
      <c r="A1895" s="59"/>
      <c r="B1895" s="1586" t="s">
        <v>667</v>
      </c>
      <c r="C1895" s="1015" t="str">
        <f t="shared" si="345"/>
        <v xml:space="preserve"> </v>
      </c>
      <c r="D1895" s="1554"/>
      <c r="E1895" s="1047"/>
      <c r="F1895" s="1059" t="str">
        <f>VLOOKUP($B1895,DG!A:D,DG!$C$2,)&amp;" + bulon"</f>
        <v>Rack 3 sứ + sứ ống chỉ + bulon</v>
      </c>
      <c r="G1895" s="1047" t="str">
        <f>VLOOKUP($B1895,DG!A:D,DG!$D$2,)</f>
        <v>bộ</v>
      </c>
      <c r="H1895" s="1845">
        <f t="shared" si="344"/>
        <v>0</v>
      </c>
      <c r="I1895" s="1845"/>
      <c r="J1895" s="1845"/>
      <c r="K1895" s="1844">
        <f>IFERROR(HLOOKUP(B1895,pp3p1m!$1:$3,3,0),0)</f>
        <v>0</v>
      </c>
      <c r="L1895" s="1845"/>
      <c r="M1895" s="1845"/>
      <c r="N1895" s="1845"/>
      <c r="O1895" s="1845"/>
      <c r="P1895" s="1845">
        <f t="shared" si="347"/>
        <v>0</v>
      </c>
      <c r="Q1895" s="1062"/>
      <c r="R1895" s="1062"/>
      <c r="S1895" s="1062"/>
      <c r="T1895" s="2059">
        <f>IFERROR(HLOOKUP(B1895,pp3p1m!145:147,3,0),0)</f>
        <v>0</v>
      </c>
    </row>
    <row r="1896" spans="1:20" ht="22.15" hidden="1" customHeight="1">
      <c r="A1896" s="59"/>
      <c r="B1896" s="1586" t="s">
        <v>51</v>
      </c>
      <c r="C1896" s="1015" t="str">
        <f t="shared" si="345"/>
        <v xml:space="preserve"> </v>
      </c>
      <c r="D1896" s="1554"/>
      <c r="E1896" s="1047"/>
      <c r="F1896" s="1059" t="str">
        <f>VLOOKUP($B1896,DG!A:D,DG!$C$2,)&amp;" + bulon"</f>
        <v>Rack 4 + bulon</v>
      </c>
      <c r="G1896" s="1047" t="str">
        <f>VLOOKUP($B1896,DG!A:D,DG!$D$2,)</f>
        <v>cái</v>
      </c>
      <c r="H1896" s="1845">
        <f t="shared" si="344"/>
        <v>0</v>
      </c>
      <c r="I1896" s="1845"/>
      <c r="J1896" s="1845"/>
      <c r="K1896" s="1844">
        <f>IFERROR(HLOOKUP(B1896,pp3p1m!$1:$3,3,0),0)</f>
        <v>0</v>
      </c>
      <c r="L1896" s="1845"/>
      <c r="M1896" s="1845"/>
      <c r="N1896" s="1845"/>
      <c r="O1896" s="1845"/>
      <c r="P1896" s="1845">
        <f t="shared" si="347"/>
        <v>0</v>
      </c>
      <c r="Q1896" s="1062"/>
      <c r="R1896" s="1062"/>
      <c r="S1896" s="1062"/>
      <c r="T1896" s="2059">
        <f>IFERROR(HLOOKUP(B1896,pp3p1m!146:148,3,0),0)</f>
        <v>0</v>
      </c>
    </row>
    <row r="1897" spans="1:20" ht="22.15" hidden="1" customHeight="1">
      <c r="A1897" s="59"/>
      <c r="B1897" s="1586" t="s">
        <v>1187</v>
      </c>
      <c r="C1897" s="1015" t="str">
        <f t="shared" si="345"/>
        <v xml:space="preserve"> </v>
      </c>
      <c r="D1897" s="1554"/>
      <c r="E1897" s="1047"/>
      <c r="F1897" s="1059" t="str">
        <f>VLOOKUP($B1897,DG!A:D,DG!$C$2,)</f>
        <v>Boulon 16x350+ 2 long đền vuông D18-50x50x3/Zn</v>
      </c>
      <c r="G1897" s="1047" t="str">
        <f>VLOOKUP($B1897,DG!A:D,DG!$D$2,)</f>
        <v>bộ</v>
      </c>
      <c r="H1897" s="1845">
        <f t="shared" si="344"/>
        <v>0</v>
      </c>
      <c r="I1897" s="1845"/>
      <c r="J1897" s="1845"/>
      <c r="K1897" s="1844">
        <f>IFERROR(HLOOKUP(B1897,pp3p1m!$1:$3,3,0),0)</f>
        <v>0</v>
      </c>
      <c r="L1897" s="1845"/>
      <c r="M1897" s="1845"/>
      <c r="N1897" s="1845"/>
      <c r="O1897" s="1845"/>
      <c r="P1897" s="1845">
        <f t="shared" ref="P1897:P1928" si="354">P$1831*$D1897</f>
        <v>0</v>
      </c>
      <c r="Q1897" s="1062"/>
      <c r="R1897" s="1062"/>
      <c r="S1897" s="1062"/>
      <c r="T1897" s="2059">
        <f>IFERROR(HLOOKUP(B1897,pp3p1m!147:149,3,0),0)</f>
        <v>0</v>
      </c>
    </row>
    <row r="1898" spans="1:20" ht="22.15" hidden="1" customHeight="1">
      <c r="A1898" s="59"/>
      <c r="B1898" s="1586" t="s">
        <v>550</v>
      </c>
      <c r="C1898" s="1854" t="str">
        <f t="shared" si="345"/>
        <v xml:space="preserve"> </v>
      </c>
      <c r="D1898" s="1554"/>
      <c r="E1898" s="1047"/>
      <c r="F1898" s="1059" t="str">
        <f>VLOOKUP($B1898,DG!A:D,DG!$C$2,)</f>
        <v>Bass LI bắt FCO</v>
      </c>
      <c r="G1898" s="1047" t="str">
        <f>VLOOKUP($B1898,DG!A:D,DG!$D$2,)</f>
        <v>Bộ</v>
      </c>
      <c r="H1898" s="1845">
        <f t="shared" si="344"/>
        <v>0</v>
      </c>
      <c r="I1898" s="1845"/>
      <c r="J1898" s="1845"/>
      <c r="K1898" s="1844">
        <f>IFERROR(HLOOKUP(B1898,pp3p1m!$1:$3,3,0),0)</f>
        <v>0</v>
      </c>
      <c r="L1898" s="1845"/>
      <c r="M1898" s="1845"/>
      <c r="N1898" s="1845"/>
      <c r="O1898" s="1845"/>
      <c r="P1898" s="1845">
        <f>T1898</f>
        <v>0</v>
      </c>
      <c r="Q1898" s="1056"/>
      <c r="R1898" s="1056"/>
      <c r="S1898" s="1056"/>
      <c r="T1898" s="2059">
        <f>IFERROR(HLOOKUP(B1898,pp3p1m!$1:$3,3,0),0)</f>
        <v>0</v>
      </c>
    </row>
    <row r="1899" spans="1:20" ht="22.15" hidden="1" customHeight="1">
      <c r="A1899" s="59"/>
      <c r="B1899" s="1586" t="s">
        <v>688</v>
      </c>
      <c r="C1899" s="1015" t="str">
        <f t="shared" si="345"/>
        <v xml:space="preserve"> </v>
      </c>
      <c r="D1899" s="1554"/>
      <c r="E1899" s="1047"/>
      <c r="F1899" s="1059" t="str">
        <f>VLOOKUP($B1899,DG!A:D,DG!$C$2,)</f>
        <v>Bass LI bắt LA</v>
      </c>
      <c r="G1899" s="1047" t="str">
        <f>VLOOKUP($B1899,DG!A:D,DG!$D$2,)</f>
        <v>Bộ</v>
      </c>
      <c r="H1899" s="1845">
        <f t="shared" ref="H1899:H1953" si="355">K1899</f>
        <v>0</v>
      </c>
      <c r="I1899" s="1845"/>
      <c r="J1899" s="1845"/>
      <c r="K1899" s="1844">
        <f>IFERROR(HLOOKUP(B1899,pp3p1m!$1:$3,3,0),0)</f>
        <v>0</v>
      </c>
      <c r="L1899" s="1845"/>
      <c r="M1899" s="1845"/>
      <c r="N1899" s="1845"/>
      <c r="O1899" s="1845"/>
      <c r="P1899" s="1845">
        <f t="shared" si="354"/>
        <v>0</v>
      </c>
      <c r="Q1899" s="1062"/>
      <c r="R1899" s="1062"/>
      <c r="S1899" s="1062"/>
      <c r="T1899" s="2059">
        <f>IFERROR(HLOOKUP(B1899,pp3p1m!149:151,3,0),0)</f>
        <v>0</v>
      </c>
    </row>
    <row r="1900" spans="1:20" ht="22.15" hidden="1" customHeight="1">
      <c r="B1900" s="1580" t="s">
        <v>4497</v>
      </c>
      <c r="C1900" s="1854" t="str">
        <f t="shared" si="345"/>
        <v xml:space="preserve"> </v>
      </c>
      <c r="D1900" s="1554"/>
      <c r="E1900" s="1047"/>
      <c r="F1900" s="1059" t="str">
        <f>VLOOKUP($B1900,DG!A:D,DG!$C$2,)</f>
        <v>Cáp nhôm A-70: buộc cổ sứ</v>
      </c>
      <c r="G1900" s="1047" t="str">
        <f>VLOOKUP($B1900,DG!A:D,DG!$D$2,)</f>
        <v>kg</v>
      </c>
      <c r="H1900" s="1845">
        <f t="shared" si="355"/>
        <v>0</v>
      </c>
      <c r="I1900" s="1845"/>
      <c r="J1900" s="1845"/>
      <c r="K1900" s="1844">
        <f>IFERROR(HLOOKUP(B1900,pp3p1m!$1:$3,3,0),0)</f>
        <v>0</v>
      </c>
      <c r="L1900" s="1845"/>
      <c r="M1900" s="1845"/>
      <c r="N1900" s="1845"/>
      <c r="O1900" s="1845"/>
      <c r="P1900" s="1845">
        <f t="shared" si="354"/>
        <v>0</v>
      </c>
      <c r="Q1900" s="1062"/>
      <c r="R1900" s="1062"/>
      <c r="S1900" s="1062"/>
      <c r="T1900" s="2059">
        <f>IFERROR(HLOOKUP(B1900,pp3p1m!150:152,3,0),0)</f>
        <v>0</v>
      </c>
    </row>
    <row r="1901" spans="1:20" ht="22.15" hidden="1" customHeight="1">
      <c r="A1901" s="59"/>
      <c r="B1901" s="1586" t="s">
        <v>4372</v>
      </c>
      <c r="C1901" s="1854" t="str">
        <f t="shared" si="345"/>
        <v xml:space="preserve"> </v>
      </c>
      <c r="D1901" s="1544"/>
      <c r="E1901" s="1047"/>
      <c r="F1901" s="1059" t="str">
        <f>VLOOKUP($B1901,DG!A:D,DG!$C$2,)</f>
        <v>Chụp cách điện đầu cực FCO (trên + dưới)</v>
      </c>
      <c r="G1901" s="1047" t="str">
        <f>VLOOKUP($B1901,DG!A:D,DG!$D$2,)</f>
        <v>bộ</v>
      </c>
      <c r="H1901" s="1845">
        <f t="shared" si="355"/>
        <v>0</v>
      </c>
      <c r="I1901" s="1845"/>
      <c r="J1901" s="1845"/>
      <c r="K1901" s="1844">
        <f>IFERROR(HLOOKUP(B1901,pp3p1m!$1:$3,3,0),0)</f>
        <v>0</v>
      </c>
      <c r="L1901" s="1845"/>
      <c r="M1901" s="1845"/>
      <c r="N1901" s="1845"/>
      <c r="O1901" s="1845"/>
      <c r="P1901" s="1845">
        <f>T1901</f>
        <v>0</v>
      </c>
      <c r="Q1901" s="1056"/>
      <c r="R1901" s="1062"/>
      <c r="S1901" s="1062"/>
      <c r="T1901" s="2059">
        <f>IFERROR(HLOOKUP(B1901,pp3p1m!$1:$3,3,0),0)</f>
        <v>0</v>
      </c>
    </row>
    <row r="1902" spans="1:20" ht="22.15" hidden="1" customHeight="1">
      <c r="A1902" s="1017"/>
      <c r="B1902" s="1580" t="s">
        <v>1575</v>
      </c>
      <c r="C1902" s="1015" t="str">
        <f t="shared" si="345"/>
        <v xml:space="preserve"> </v>
      </c>
      <c r="D1902" s="1544"/>
      <c r="E1902" s="1047"/>
      <c r="F1902" s="1059" t="str">
        <f>VLOOKUP($B1902,DG!A:D,DG!$C$2,)</f>
        <v>Biển số - Bảng nguy hiểm</v>
      </c>
      <c r="G1902" s="1047" t="str">
        <f>VLOOKUP($B1902,DG!A:D,DG!$D$2,)</f>
        <v>cái</v>
      </c>
      <c r="H1902" s="1845">
        <f>D1902</f>
        <v>0</v>
      </c>
      <c r="I1902" s="1845"/>
      <c r="J1902" s="1845"/>
      <c r="K1902" s="1844">
        <f>IFERROR(HLOOKUP(B1902,pp3p1m!$1:$3,3,0),0)</f>
        <v>0</v>
      </c>
      <c r="L1902" s="1845"/>
      <c r="M1902" s="1845"/>
      <c r="N1902" s="1845"/>
      <c r="O1902" s="1845"/>
      <c r="P1902" s="1845">
        <f t="shared" si="354"/>
        <v>0</v>
      </c>
      <c r="Q1902" s="1056"/>
      <c r="R1902" s="1056"/>
      <c r="S1902" s="1056"/>
      <c r="T1902" s="2059">
        <f>IFERROR(HLOOKUP(B1902,pp3p1m!$1:$3,3,0),0)</f>
        <v>0</v>
      </c>
    </row>
    <row r="1903" spans="1:20" ht="22.15" customHeight="1">
      <c r="A1903" s="1017"/>
      <c r="B1903" s="1580" t="s">
        <v>1274</v>
      </c>
      <c r="C1903" s="1854" t="str">
        <f t="shared" si="345"/>
        <v>x</v>
      </c>
      <c r="D1903" s="1542">
        <f>(E1756)/1000</f>
        <v>0.75570000000000004</v>
      </c>
      <c r="E1903" s="1047" t="str">
        <f>VLOOKUP($B1903,DG!A:D,DG!$B$2,)</f>
        <v>06.6114</v>
      </c>
      <c r="F1903" s="1052" t="str">
        <f>VLOOKUP($B1903,DG!A:D,DG!$C$2,)</f>
        <v>Kéo dây nhôm lõi thép cỡ dây 50mm2</v>
      </c>
      <c r="G1903" s="1047" t="str">
        <f>VLOOKUP($B1903,DG!A:D,DG!$D$2,)</f>
        <v>km</v>
      </c>
      <c r="H1903" s="1845">
        <f>D1903</f>
        <v>0.75570000000000004</v>
      </c>
      <c r="I1903" s="1845"/>
      <c r="J1903" s="1845"/>
      <c r="K1903" s="1844">
        <f>IFERROR(HLOOKUP(B1903,pp3p1m!$1:$3,3,0),0)</f>
        <v>0</v>
      </c>
      <c r="L1903" s="1845"/>
      <c r="M1903" s="1845"/>
      <c r="N1903" s="1845"/>
      <c r="O1903" s="1845"/>
      <c r="P1903" s="1845">
        <f>H1903</f>
        <v>0.75570000000000004</v>
      </c>
      <c r="Q1903" s="1056"/>
      <c r="R1903" s="1056"/>
      <c r="S1903" s="1056"/>
      <c r="T1903" s="2059">
        <f>IFERROR(HLOOKUP(B1903,pp3p1m!153:155,3,0),0)</f>
        <v>0</v>
      </c>
    </row>
    <row r="1904" spans="1:20" ht="22.15" hidden="1" customHeight="1">
      <c r="A1904" s="59"/>
      <c r="B1904" s="1586" t="s">
        <v>1419</v>
      </c>
      <c r="C1904" s="1015" t="str">
        <f t="shared" si="345"/>
        <v xml:space="preserve"> </v>
      </c>
      <c r="D1904" s="1542">
        <f>(E1755)/1000</f>
        <v>0</v>
      </c>
      <c r="E1904" s="1047" t="str">
        <f>VLOOKUP($B1904,DG!A:D,DG!$B$2,)</f>
        <v>06.6105</v>
      </c>
      <c r="F1904" s="1052" t="str">
        <f>VLOOKUP($B1904,DG!A:D,DG!$C$2,)</f>
        <v>Kéo dây nhôm lõi thép cỡ dây 70mm2</v>
      </c>
      <c r="G1904" s="1047" t="str">
        <f>VLOOKUP($B1904,DG!A:D,DG!$D$2,)</f>
        <v>km</v>
      </c>
      <c r="H1904" s="2158">
        <f t="shared" ref="H1904:H1930" si="356">D1904</f>
        <v>0</v>
      </c>
      <c r="I1904" s="1845"/>
      <c r="J1904" s="1845"/>
      <c r="K1904" s="1844">
        <f>IFERROR(HLOOKUP(B1904,pp3p1m!$1:$3,3,0),0)</f>
        <v>0</v>
      </c>
      <c r="L1904" s="1845"/>
      <c r="M1904" s="1845"/>
      <c r="N1904" s="1845"/>
      <c r="O1904" s="1845"/>
      <c r="P1904" s="1845">
        <f t="shared" si="354"/>
        <v>0</v>
      </c>
      <c r="Q1904" s="1056"/>
      <c r="R1904" s="1056"/>
      <c r="S1904" s="1056"/>
      <c r="T1904" s="2059">
        <f>IFERROR(HLOOKUP(B1904,pp3p1m!154:156,3,0),0)</f>
        <v>0</v>
      </c>
    </row>
    <row r="1905" spans="1:20" ht="22.15" hidden="1" customHeight="1">
      <c r="A1905" s="59"/>
      <c r="B1905" s="1586" t="s">
        <v>1529</v>
      </c>
      <c r="C1905" s="1015" t="str">
        <f t="shared" si="345"/>
        <v xml:space="preserve"> </v>
      </c>
      <c r="D1905" s="1542">
        <f>(E1754)/1000</f>
        <v>0</v>
      </c>
      <c r="E1905" s="1047" t="str">
        <f>VLOOKUP($B1905,DG!A:D,DG!$B$2,)</f>
        <v>06.6106</v>
      </c>
      <c r="F1905" s="1052" t="str">
        <f>VLOOKUP($B1905,DG!A:D,DG!$C$2,)</f>
        <v>Kéo dây nhôm lõi thép cỡ dây 95mm2</v>
      </c>
      <c r="G1905" s="1047" t="str">
        <f>VLOOKUP($B1905,DG!A:D,DG!$D$2,)</f>
        <v>km</v>
      </c>
      <c r="H1905" s="2158">
        <f t="shared" si="356"/>
        <v>0</v>
      </c>
      <c r="I1905" s="1845"/>
      <c r="J1905" s="1845"/>
      <c r="K1905" s="1844">
        <f>IFERROR(HLOOKUP(B1905,pp3p1m!$1:$3,3,0),0)</f>
        <v>0</v>
      </c>
      <c r="L1905" s="1845"/>
      <c r="M1905" s="1845"/>
      <c r="N1905" s="1845"/>
      <c r="O1905" s="1845"/>
      <c r="P1905" s="1845">
        <f t="shared" si="354"/>
        <v>0</v>
      </c>
      <c r="Q1905" s="1056"/>
      <c r="R1905" s="1056"/>
      <c r="S1905" s="1056"/>
      <c r="T1905" s="2059">
        <f>IFERROR(HLOOKUP(B1905,pp3p1m!155:157,3,0),0)</f>
        <v>0</v>
      </c>
    </row>
    <row r="1906" spans="1:20" ht="22.15" hidden="1" customHeight="1">
      <c r="A1906" s="59"/>
      <c r="B1906" s="1586" t="s">
        <v>139</v>
      </c>
      <c r="C1906" s="1015" t="str">
        <f t="shared" si="345"/>
        <v xml:space="preserve"> </v>
      </c>
      <c r="D1906" s="1542">
        <f>(E1753)/1000</f>
        <v>0</v>
      </c>
      <c r="E1906" s="1047" t="str">
        <f>VLOOKUP($B1906,DG!A:D,DG!$B$2,)</f>
        <v>06.6107</v>
      </c>
      <c r="F1906" s="1052" t="str">
        <f>VLOOKUP($B1906,DG!A:D,DG!$C$2,)</f>
        <v>Kéo dây nhôm lõi thép cỡ dây 120mm2</v>
      </c>
      <c r="G1906" s="1047" t="str">
        <f>VLOOKUP($B1906,DG!A:D,DG!$D$2,)</f>
        <v>km</v>
      </c>
      <c r="H1906" s="2158">
        <f t="shared" si="356"/>
        <v>0</v>
      </c>
      <c r="I1906" s="1845"/>
      <c r="J1906" s="1845"/>
      <c r="K1906" s="1844">
        <f>IFERROR(HLOOKUP(B1906,pp3p1m!$1:$3,3,0),0)</f>
        <v>0</v>
      </c>
      <c r="L1906" s="1845"/>
      <c r="M1906" s="1845"/>
      <c r="N1906" s="1845"/>
      <c r="O1906" s="1845"/>
      <c r="P1906" s="1845">
        <f t="shared" si="354"/>
        <v>0</v>
      </c>
      <c r="Q1906" s="1056"/>
      <c r="R1906" s="1056"/>
      <c r="S1906" s="1056"/>
      <c r="T1906" s="2059">
        <f>IFERROR(HLOOKUP(B1906,pp3p1m!156:158,3,0),0)</f>
        <v>0</v>
      </c>
    </row>
    <row r="1907" spans="1:20" ht="22.15" hidden="1" customHeight="1">
      <c r="A1907" s="59"/>
      <c r="B1907" s="1586" t="s">
        <v>793</v>
      </c>
      <c r="C1907" s="1015" t="str">
        <f t="shared" si="345"/>
        <v xml:space="preserve"> </v>
      </c>
      <c r="D1907" s="1542">
        <f>(E1752)/1000</f>
        <v>0</v>
      </c>
      <c r="E1907" s="1047" t="str">
        <f>VLOOKUP($B1907,DG!A:D,DG!$B$2,)</f>
        <v>06.6108</v>
      </c>
      <c r="F1907" s="1052" t="str">
        <f>VLOOKUP($B1907,DG!A:D,DG!$C$2,)</f>
        <v>Kéo dây nhôm lõi thép cỡ dây 150mm2</v>
      </c>
      <c r="G1907" s="1047" t="str">
        <f>VLOOKUP($B1907,DG!A:D,DG!$D$2,)</f>
        <v>km</v>
      </c>
      <c r="H1907" s="2158">
        <f t="shared" si="356"/>
        <v>0</v>
      </c>
      <c r="I1907" s="1845"/>
      <c r="J1907" s="1845"/>
      <c r="K1907" s="1844">
        <f>IFERROR(HLOOKUP(B1907,pp3p1m!$1:$3,3,0),0)</f>
        <v>0</v>
      </c>
      <c r="L1907" s="1845"/>
      <c r="M1907" s="1845"/>
      <c r="N1907" s="1845"/>
      <c r="O1907" s="1845"/>
      <c r="P1907" s="1845">
        <f t="shared" si="354"/>
        <v>0</v>
      </c>
      <c r="Q1907" s="1056"/>
      <c r="R1907" s="1056"/>
      <c r="S1907" s="1056"/>
      <c r="T1907" s="2059">
        <f>IFERROR(HLOOKUP(B1907,pp3p1m!157:159,3,0),0)</f>
        <v>0</v>
      </c>
    </row>
    <row r="1908" spans="1:20" ht="22.15" hidden="1" customHeight="1">
      <c r="A1908" s="59"/>
      <c r="B1908" s="1586" t="s">
        <v>140</v>
      </c>
      <c r="C1908" s="1015" t="str">
        <f t="shared" si="345"/>
        <v xml:space="preserve"> </v>
      </c>
      <c r="D1908" s="1542">
        <f>(E1751)/1000</f>
        <v>0</v>
      </c>
      <c r="E1908" s="1047" t="str">
        <f>VLOOKUP($B1908,DG!A:D,DG!$B$2,)</f>
        <v>06.6109</v>
      </c>
      <c r="F1908" s="1052" t="str">
        <f>VLOOKUP($B1908,DG!A:D,DG!$C$2,)</f>
        <v>Kéo dây nhôm lõi thép cỡ dây 185mm2</v>
      </c>
      <c r="G1908" s="1047" t="str">
        <f>VLOOKUP($B1908,DG!A:D,DG!$D$2,)</f>
        <v>km</v>
      </c>
      <c r="H1908" s="2158">
        <f t="shared" si="356"/>
        <v>0</v>
      </c>
      <c r="I1908" s="1845"/>
      <c r="J1908" s="1845"/>
      <c r="K1908" s="1844">
        <f>IFERROR(HLOOKUP(B1908,pp3p1m!$1:$3,3,0),0)</f>
        <v>0</v>
      </c>
      <c r="L1908" s="1845"/>
      <c r="M1908" s="1845"/>
      <c r="N1908" s="1845"/>
      <c r="O1908" s="1845"/>
      <c r="P1908" s="1845">
        <f t="shared" si="354"/>
        <v>0</v>
      </c>
      <c r="Q1908" s="1056"/>
      <c r="R1908" s="1056"/>
      <c r="S1908" s="1056"/>
      <c r="T1908" s="2059">
        <f>IFERROR(HLOOKUP(B1908,pp3p1m!158:160,3,0),0)</f>
        <v>0</v>
      </c>
    </row>
    <row r="1909" spans="1:20" ht="22.15" hidden="1" customHeight="1">
      <c r="A1909" s="59"/>
      <c r="B1909" s="1586" t="s">
        <v>713</v>
      </c>
      <c r="C1909" s="1015" t="str">
        <f t="shared" si="345"/>
        <v xml:space="preserve"> </v>
      </c>
      <c r="D1909" s="1542">
        <f>(E1750)/1000</f>
        <v>0</v>
      </c>
      <c r="E1909" s="1047" t="str">
        <f>VLOOKUP($B1909,DG!A:D,DG!$B$2,)</f>
        <v>06.6110</v>
      </c>
      <c r="F1909" s="1052" t="str">
        <f>VLOOKUP($B1909,DG!A:D,DG!$C$2,)</f>
        <v>Kéo dây nhôm lõi thép cỡ dây 240mm2</v>
      </c>
      <c r="G1909" s="1047" t="str">
        <f>VLOOKUP($B1909,DG!A:D,DG!$D$2,)</f>
        <v>km</v>
      </c>
      <c r="H1909" s="2158">
        <f t="shared" si="356"/>
        <v>0</v>
      </c>
      <c r="I1909" s="1845"/>
      <c r="J1909" s="1845"/>
      <c r="K1909" s="1844">
        <f>IFERROR(HLOOKUP(B1909,pp3p1m!$1:$3,3,0),0)</f>
        <v>0</v>
      </c>
      <c r="L1909" s="1845"/>
      <c r="M1909" s="1845"/>
      <c r="N1909" s="1845"/>
      <c r="O1909" s="1845"/>
      <c r="P1909" s="1845">
        <f t="shared" si="354"/>
        <v>0</v>
      </c>
      <c r="Q1909" s="1056"/>
      <c r="R1909" s="1056"/>
      <c r="S1909" s="1056"/>
      <c r="T1909" s="2059">
        <f>IFERROR(HLOOKUP(B1909,pp3p1m!159:161,3,0),0)</f>
        <v>0</v>
      </c>
    </row>
    <row r="1910" spans="1:20" ht="22.15" customHeight="1">
      <c r="A1910" s="1017"/>
      <c r="B1910" s="1580" t="s">
        <v>366</v>
      </c>
      <c r="C1910" s="1854" t="str">
        <f t="shared" si="345"/>
        <v>x</v>
      </c>
      <c r="D1910" s="1542">
        <f>E1757/1000</f>
        <v>2.2679999999999998</v>
      </c>
      <c r="E1910" s="1047" t="str">
        <f>VLOOKUP($B1910,DG!A:D,DG!$B$2,)</f>
        <v>06.6114</v>
      </c>
      <c r="F1910" s="1052" t="str">
        <f>VLOOKUP($B1910,DG!A:D,DG!$C$2,)</f>
        <v>Kéo dây nhôm bọc cỡ dây 50mm2</v>
      </c>
      <c r="G1910" s="1047" t="str">
        <f>VLOOKUP($B1910,DG!A:D,DG!$D$2,)</f>
        <v>km</v>
      </c>
      <c r="H1910" s="1845">
        <f t="shared" si="356"/>
        <v>2.2679999999999998</v>
      </c>
      <c r="I1910" s="1845"/>
      <c r="J1910" s="1845"/>
      <c r="K1910" s="1844">
        <f>IFERROR(HLOOKUP(B1910,pp3p1m!$1:$3,3,0),0)</f>
        <v>0</v>
      </c>
      <c r="L1910" s="1845"/>
      <c r="M1910" s="1845"/>
      <c r="N1910" s="1845"/>
      <c r="O1910" s="1845"/>
      <c r="P1910" s="1845">
        <f>H1910</f>
        <v>2.2679999999999998</v>
      </c>
      <c r="Q1910" s="1056"/>
      <c r="R1910" s="1056"/>
      <c r="S1910" s="1056"/>
      <c r="T1910" s="2059">
        <f>IFERROR(HLOOKUP(B1910,pp3p1m!160:162,3,0),0)</f>
        <v>0</v>
      </c>
    </row>
    <row r="1911" spans="1:20" ht="22.15" hidden="1" customHeight="1">
      <c r="A1911" s="59"/>
      <c r="B1911" s="1586" t="s">
        <v>679</v>
      </c>
      <c r="C1911" s="1015" t="str">
        <f t="shared" si="345"/>
        <v xml:space="preserve"> </v>
      </c>
      <c r="D1911" s="1542">
        <f>E1767/1000</f>
        <v>0</v>
      </c>
      <c r="E1911" s="1047" t="str">
        <f>VLOOKUP($B1911,DG!A:D,DG!$B$2,)</f>
        <v>06.6142</v>
      </c>
      <c r="F1911" s="1052" t="str">
        <f>VLOOKUP($B1911,DG!A:D,DG!$C$2,)</f>
        <v>Kéo dây đồng trần 25mm2</v>
      </c>
      <c r="G1911" s="1047" t="str">
        <f>VLOOKUP($B1911,DG!A:D,DG!$D$2,)</f>
        <v>km</v>
      </c>
      <c r="H1911" s="2158">
        <f t="shared" si="356"/>
        <v>0</v>
      </c>
      <c r="I1911" s="1845"/>
      <c r="J1911" s="1845"/>
      <c r="K1911" s="1844">
        <f>IFERROR(HLOOKUP(B1911,pp3p1m!$1:$3,3,0),0)</f>
        <v>0</v>
      </c>
      <c r="L1911" s="1845"/>
      <c r="M1911" s="1845"/>
      <c r="N1911" s="1845"/>
      <c r="O1911" s="1845"/>
      <c r="P1911" s="1845">
        <f t="shared" si="354"/>
        <v>0</v>
      </c>
      <c r="Q1911" s="1067"/>
      <c r="R1911" s="1067"/>
      <c r="S1911" s="1067"/>
      <c r="T1911" s="2059">
        <f>IFERROR(HLOOKUP(B1911,pp3p1m!161:163,3,0),0)</f>
        <v>0</v>
      </c>
    </row>
    <row r="1912" spans="1:20" ht="22.15" hidden="1" customHeight="1">
      <c r="A1912" s="59"/>
      <c r="B1912" s="1586" t="s">
        <v>97</v>
      </c>
      <c r="C1912" s="1015" t="str">
        <f t="shared" ref="C1912:C1977" si="357">IF(OR(P1912&lt;&gt;0,H1912&lt;&gt;0),"x"," ")</f>
        <v xml:space="preserve"> </v>
      </c>
      <c r="D1912" s="1542">
        <f>E1765/1000</f>
        <v>0</v>
      </c>
      <c r="E1912" s="1047" t="str">
        <f>VLOOKUP($B1912,DG!A:D,DG!$B$2,)</f>
        <v>06.6142</v>
      </c>
      <c r="F1912" s="1052" t="str">
        <f>VLOOKUP($B1912,DG!A:D,DG!$C$2,)</f>
        <v>Kéo dây đồng bọc 25mm2</v>
      </c>
      <c r="G1912" s="1047" t="str">
        <f>VLOOKUP($B1912,DG!A:D,DG!$D$2,)</f>
        <v>km</v>
      </c>
      <c r="H1912" s="2158">
        <f t="shared" si="356"/>
        <v>0</v>
      </c>
      <c r="I1912" s="1845"/>
      <c r="J1912" s="1845"/>
      <c r="K1912" s="1844">
        <f>IFERROR(HLOOKUP(B1912,pp3p1m!$1:$3,3,0),0)</f>
        <v>0</v>
      </c>
      <c r="L1912" s="1845"/>
      <c r="M1912" s="1845"/>
      <c r="N1912" s="1845"/>
      <c r="O1912" s="1845"/>
      <c r="P1912" s="1845">
        <f t="shared" si="354"/>
        <v>0</v>
      </c>
      <c r="Q1912" s="1067"/>
      <c r="R1912" s="1067"/>
      <c r="S1912" s="1067"/>
      <c r="T1912" s="2059">
        <f>IFERROR(HLOOKUP(B1912,pp3p1m!162:164,3,0),0)</f>
        <v>0</v>
      </c>
    </row>
    <row r="1913" spans="1:20" ht="22.15" hidden="1" customHeight="1">
      <c r="A1913" s="59"/>
      <c r="B1913" s="1586" t="s">
        <v>252</v>
      </c>
      <c r="C1913" s="1015" t="str">
        <f t="shared" si="357"/>
        <v xml:space="preserve"> </v>
      </c>
      <c r="D1913" s="1542">
        <f>E1766/1000</f>
        <v>0</v>
      </c>
      <c r="E1913" s="1047" t="str">
        <f>VLOOKUP($B1913,DG!A:D,DG!$B$2,)</f>
        <v>06.6144</v>
      </c>
      <c r="F1913" s="1052" t="str">
        <f>VLOOKUP($B1913,DG!A:D,DG!$C$2,)</f>
        <v>Kéo dây đồng bọc 50mm3</v>
      </c>
      <c r="G1913" s="1047" t="str">
        <f>VLOOKUP($B1913,DG!A:D,DG!$D$2,)</f>
        <v>km</v>
      </c>
      <c r="H1913" s="2158">
        <f t="shared" si="356"/>
        <v>0</v>
      </c>
      <c r="I1913" s="1845"/>
      <c r="J1913" s="1845"/>
      <c r="K1913" s="1844">
        <f>IFERROR(HLOOKUP(B1913,pp3p1m!$1:$3,3,0),0)</f>
        <v>0</v>
      </c>
      <c r="L1913" s="1845"/>
      <c r="M1913" s="1845"/>
      <c r="N1913" s="1845"/>
      <c r="O1913" s="1845"/>
      <c r="P1913" s="1845">
        <f t="shared" si="354"/>
        <v>0</v>
      </c>
      <c r="Q1913" s="1067"/>
      <c r="R1913" s="1067"/>
      <c r="S1913" s="1067"/>
      <c r="T1913" s="2059">
        <f>IFERROR(HLOOKUP(B1913,pp3p1m!163:165,3,0),0)</f>
        <v>0</v>
      </c>
    </row>
    <row r="1914" spans="1:20" ht="22.15" hidden="1" customHeight="1">
      <c r="A1914" s="59"/>
      <c r="B1914" s="1593" t="s">
        <v>451</v>
      </c>
      <c r="C1914" s="1015" t="str">
        <f t="shared" si="357"/>
        <v xml:space="preserve"> </v>
      </c>
      <c r="D1914" s="1542">
        <f>E1764/1000</f>
        <v>0</v>
      </c>
      <c r="E1914" s="1047" t="str">
        <f>VLOOKUP($B1914,DG!A:D,DG!$B$2,)</f>
        <v>06.6124</v>
      </c>
      <c r="F1914" s="1052" t="str">
        <f>VLOOKUP($B1914,DG!A:D,DG!$C$2,)</f>
        <v>Kéo dây nhôm bọc 50mm2</v>
      </c>
      <c r="G1914" s="1047" t="str">
        <f>VLOOKUP($B1914,DG!A:D,DG!$D$2,)</f>
        <v>km</v>
      </c>
      <c r="H1914" s="2158">
        <f t="shared" si="356"/>
        <v>0</v>
      </c>
      <c r="I1914" s="1845"/>
      <c r="J1914" s="1845"/>
      <c r="K1914" s="1844">
        <f>IFERROR(HLOOKUP(B1914,pp3p1m!$1:$3,3,0),0)</f>
        <v>0</v>
      </c>
      <c r="L1914" s="1845"/>
      <c r="M1914" s="1845"/>
      <c r="N1914" s="1845"/>
      <c r="O1914" s="1845"/>
      <c r="P1914" s="1845">
        <f t="shared" si="354"/>
        <v>0</v>
      </c>
      <c r="Q1914" s="1067"/>
      <c r="R1914" s="1067"/>
      <c r="S1914" s="1067"/>
      <c r="T1914" s="2059">
        <f>IFERROR(HLOOKUP(B1914,pp3p1m!164:166,3,0),0)</f>
        <v>0</v>
      </c>
    </row>
    <row r="1915" spans="1:20" ht="22.15" hidden="1" customHeight="1">
      <c r="A1915" s="59"/>
      <c r="B1915" s="1593" t="s">
        <v>79</v>
      </c>
      <c r="C1915" s="1015" t="str">
        <f t="shared" si="357"/>
        <v xml:space="preserve"> </v>
      </c>
      <c r="D1915" s="1542">
        <f>E1763/1000</f>
        <v>0</v>
      </c>
      <c r="E1915" s="1047" t="str">
        <f>VLOOKUP($B1915,DG!A:D,DG!$B$2,)</f>
        <v>06.6105</v>
      </c>
      <c r="F1915" s="1052" t="str">
        <f>VLOOKUP($B1915,DG!A:D,DG!$C$2,)</f>
        <v>Kéo dây nhôm bọc 70mm2</v>
      </c>
      <c r="G1915" s="1047" t="str">
        <f>VLOOKUP($B1915,DG!A:D,DG!$D$2,)</f>
        <v>km</v>
      </c>
      <c r="H1915" s="2158">
        <f t="shared" si="356"/>
        <v>0</v>
      </c>
      <c r="I1915" s="1845"/>
      <c r="J1915" s="1845"/>
      <c r="K1915" s="1844">
        <f>IFERROR(HLOOKUP(B1915,pp3p1m!$1:$3,3,0),0)</f>
        <v>0</v>
      </c>
      <c r="L1915" s="1845"/>
      <c r="M1915" s="1845"/>
      <c r="N1915" s="1845"/>
      <c r="O1915" s="1845"/>
      <c r="P1915" s="1845">
        <f t="shared" si="354"/>
        <v>0</v>
      </c>
      <c r="Q1915" s="1056"/>
      <c r="R1915" s="1056"/>
      <c r="S1915" s="1056"/>
      <c r="T1915" s="2059">
        <f>IFERROR(HLOOKUP(B1915,pp3p1m!165:167,3,0),0)</f>
        <v>0</v>
      </c>
    </row>
    <row r="1916" spans="1:20" ht="22.15" hidden="1" customHeight="1">
      <c r="A1916" s="59"/>
      <c r="B1916" s="1593" t="s">
        <v>1514</v>
      </c>
      <c r="C1916" s="1015" t="str">
        <f t="shared" si="357"/>
        <v xml:space="preserve"> </v>
      </c>
      <c r="D1916" s="1542">
        <f>E1762/1000</f>
        <v>0</v>
      </c>
      <c r="E1916" s="1047" t="str">
        <f>VLOOKUP($B1916,DG!A:D,DG!$B$2,)</f>
        <v>06.6106</v>
      </c>
      <c r="F1916" s="1052" t="str">
        <f>VLOOKUP($B1916,DG!A:D,DG!$C$2,)</f>
        <v>Kéo dây nhôm bọc 95mm2</v>
      </c>
      <c r="G1916" s="1047" t="str">
        <f>VLOOKUP($B1916,DG!A:D,DG!$D$2,)</f>
        <v>km</v>
      </c>
      <c r="H1916" s="2158">
        <f t="shared" si="356"/>
        <v>0</v>
      </c>
      <c r="I1916" s="1845"/>
      <c r="J1916" s="1845"/>
      <c r="K1916" s="1844">
        <f>IFERROR(HLOOKUP(B1916,pp3p1m!$1:$3,3,0),0)</f>
        <v>0</v>
      </c>
      <c r="L1916" s="1845"/>
      <c r="M1916" s="1845"/>
      <c r="N1916" s="1845"/>
      <c r="O1916" s="1845"/>
      <c r="P1916" s="1845">
        <f t="shared" si="354"/>
        <v>0</v>
      </c>
      <c r="Q1916" s="1056"/>
      <c r="R1916" s="1056"/>
      <c r="S1916" s="1056"/>
      <c r="T1916" s="2059">
        <f>IFERROR(HLOOKUP(B1916,pp3p1m!166:168,3,0),0)</f>
        <v>0</v>
      </c>
    </row>
    <row r="1917" spans="1:20" ht="22.15" hidden="1" customHeight="1">
      <c r="A1917" s="59"/>
      <c r="B1917" s="1593" t="s">
        <v>1176</v>
      </c>
      <c r="C1917" s="1015" t="str">
        <f t="shared" si="357"/>
        <v xml:space="preserve"> </v>
      </c>
      <c r="D1917" s="1542">
        <f>E1761/1000</f>
        <v>0</v>
      </c>
      <c r="E1917" s="1047" t="str">
        <f>VLOOKUP($B1917,DG!A:D,DG!$B$2,)</f>
        <v>06.6107</v>
      </c>
      <c r="F1917" s="1052" t="str">
        <f>VLOOKUP($B1917,DG!A:D,DG!$C$2,)</f>
        <v>Kéo dây nhôm bọc 120mm2</v>
      </c>
      <c r="G1917" s="1047" t="str">
        <f>VLOOKUP($B1917,DG!A:D,DG!$D$2,)</f>
        <v>km</v>
      </c>
      <c r="H1917" s="2158">
        <f t="shared" si="356"/>
        <v>0</v>
      </c>
      <c r="I1917" s="1845"/>
      <c r="J1917" s="1845"/>
      <c r="K1917" s="1844">
        <f>IFERROR(HLOOKUP(B1917,pp3p1m!$1:$3,3,0),0)</f>
        <v>0</v>
      </c>
      <c r="L1917" s="1845"/>
      <c r="M1917" s="1845"/>
      <c r="N1917" s="1845"/>
      <c r="O1917" s="1845"/>
      <c r="P1917" s="1845">
        <f t="shared" si="354"/>
        <v>0</v>
      </c>
      <c r="Q1917" s="1056"/>
      <c r="R1917" s="1056"/>
      <c r="S1917" s="1056"/>
      <c r="T1917" s="2059">
        <f>IFERROR(HLOOKUP(B1917,pp3p1m!167:169,3,0),0)</f>
        <v>0</v>
      </c>
    </row>
    <row r="1918" spans="1:20" ht="22.15" hidden="1" customHeight="1">
      <c r="A1918" s="59"/>
      <c r="B1918" s="1593" t="s">
        <v>926</v>
      </c>
      <c r="C1918" s="1015" t="str">
        <f t="shared" si="357"/>
        <v xml:space="preserve"> </v>
      </c>
      <c r="D1918" s="1542">
        <f>E1760/1000</f>
        <v>0</v>
      </c>
      <c r="E1918" s="1047" t="str">
        <f>VLOOKUP($B1918,DG!A:D,DG!$B$2,)</f>
        <v>06.6108</v>
      </c>
      <c r="F1918" s="1052" t="str">
        <f>VLOOKUP($B1918,DG!A:D,DG!$C$2,)</f>
        <v>Kéo dây nhôm bọc 150mm2</v>
      </c>
      <c r="G1918" s="1047" t="str">
        <f>VLOOKUP($B1918,DG!A:D,DG!$D$2,)</f>
        <v>km</v>
      </c>
      <c r="H1918" s="2158">
        <f t="shared" si="356"/>
        <v>0</v>
      </c>
      <c r="I1918" s="1845"/>
      <c r="J1918" s="1845"/>
      <c r="K1918" s="1844">
        <f>IFERROR(HLOOKUP(B1918,pp3p1m!$1:$3,3,0),0)</f>
        <v>0</v>
      </c>
      <c r="L1918" s="1845"/>
      <c r="M1918" s="1845"/>
      <c r="N1918" s="1845"/>
      <c r="O1918" s="1845"/>
      <c r="P1918" s="1845">
        <f t="shared" si="354"/>
        <v>0</v>
      </c>
      <c r="Q1918" s="1056"/>
      <c r="R1918" s="1056"/>
      <c r="S1918" s="1056"/>
      <c r="T1918" s="2059">
        <f>IFERROR(HLOOKUP(B1918,pp3p1m!168:170,3,0),0)</f>
        <v>0</v>
      </c>
    </row>
    <row r="1919" spans="1:20" ht="22.15" hidden="1" customHeight="1">
      <c r="A1919" s="59"/>
      <c r="B1919" s="1593" t="s">
        <v>927</v>
      </c>
      <c r="C1919" s="1015" t="str">
        <f t="shared" si="357"/>
        <v xml:space="preserve"> </v>
      </c>
      <c r="D1919" s="1542">
        <f>E1759/1000</f>
        <v>0</v>
      </c>
      <c r="E1919" s="1047" t="str">
        <f>VLOOKUP($B1919,DG!A:D,DG!$B$2,)</f>
        <v>06.6109</v>
      </c>
      <c r="F1919" s="1052" t="str">
        <f>VLOOKUP($B1919,DG!A:D,DG!$C$2,)</f>
        <v>Kéo dây nhôm bọc 185mm2</v>
      </c>
      <c r="G1919" s="1047" t="str">
        <f>VLOOKUP($B1919,DG!A:D,DG!$D$2,)</f>
        <v>km</v>
      </c>
      <c r="H1919" s="2158">
        <f t="shared" si="356"/>
        <v>0</v>
      </c>
      <c r="I1919" s="1845"/>
      <c r="J1919" s="1845"/>
      <c r="K1919" s="1844">
        <f>IFERROR(HLOOKUP(B1919,pp3p1m!$1:$3,3,0),0)</f>
        <v>0</v>
      </c>
      <c r="L1919" s="1845"/>
      <c r="M1919" s="1845"/>
      <c r="N1919" s="1845"/>
      <c r="O1919" s="1845"/>
      <c r="P1919" s="1845">
        <f t="shared" si="354"/>
        <v>0</v>
      </c>
      <c r="Q1919" s="1056"/>
      <c r="R1919" s="1056"/>
      <c r="S1919" s="1056"/>
      <c r="T1919" s="2059">
        <f>IFERROR(HLOOKUP(B1919,pp3p1m!169:171,3,0),0)</f>
        <v>0</v>
      </c>
    </row>
    <row r="1920" spans="1:20" ht="22.15" hidden="1" customHeight="1">
      <c r="A1920" s="59"/>
      <c r="B1920" s="1593" t="s">
        <v>1446</v>
      </c>
      <c r="C1920" s="1015" t="str">
        <f t="shared" si="357"/>
        <v xml:space="preserve"> </v>
      </c>
      <c r="D1920" s="1542">
        <f>E1758/1000</f>
        <v>0</v>
      </c>
      <c r="E1920" s="1047" t="str">
        <f>VLOOKUP($B1920,DG!A:D,DG!$B$2,)</f>
        <v>06.6110</v>
      </c>
      <c r="F1920" s="1052" t="str">
        <f>VLOOKUP($B1920,DG!A:D,DG!$C$2,)</f>
        <v>Kéo dây nhôm bọc 240mm2</v>
      </c>
      <c r="G1920" s="1047" t="str">
        <f>VLOOKUP($B1920,DG!A:D,DG!$D$2,)</f>
        <v>km</v>
      </c>
      <c r="H1920" s="2158">
        <f t="shared" si="356"/>
        <v>0</v>
      </c>
      <c r="I1920" s="1845"/>
      <c r="J1920" s="1845"/>
      <c r="K1920" s="1844">
        <f>IFERROR(HLOOKUP(B1920,pp3p1m!$1:$3,3,0),0)</f>
        <v>0</v>
      </c>
      <c r="L1920" s="1845"/>
      <c r="M1920" s="1845"/>
      <c r="N1920" s="1845"/>
      <c r="O1920" s="1845"/>
      <c r="P1920" s="1845">
        <f t="shared" si="354"/>
        <v>0</v>
      </c>
      <c r="Q1920" s="1056"/>
      <c r="R1920" s="1056"/>
      <c r="S1920" s="1056"/>
      <c r="T1920" s="2059">
        <f>IFERROR(HLOOKUP(B1920,pp3p1m!170:172,3,0),0)</f>
        <v>0</v>
      </c>
    </row>
    <row r="1921" spans="1:20" ht="22.15" hidden="1" customHeight="1">
      <c r="A1921" s="59"/>
      <c r="B1921" s="1586" t="s">
        <v>1512</v>
      </c>
      <c r="C1921" s="1015" t="str">
        <f t="shared" si="357"/>
        <v xml:space="preserve"> </v>
      </c>
      <c r="D1921" s="1544"/>
      <c r="E1921" s="1047" t="str">
        <f>VLOOKUP($B1921,DG!A:D,DG!$B$2,)</f>
        <v>06.2201</v>
      </c>
      <c r="F1921" s="1052" t="s">
        <v>2556</v>
      </c>
      <c r="G1921" s="1047" t="str">
        <f>VLOOKUP($B1921,DG!A:D,DG!$D$2,)</f>
        <v>chuỗi</v>
      </c>
      <c r="H1921" s="2158">
        <f t="shared" si="356"/>
        <v>0</v>
      </c>
      <c r="I1921" s="1845"/>
      <c r="J1921" s="1845"/>
      <c r="K1921" s="1844">
        <f>IFERROR(HLOOKUP(B1921,pp3p1m!$1:$3,3,0),0)</f>
        <v>0</v>
      </c>
      <c r="L1921" s="1845"/>
      <c r="M1921" s="1845"/>
      <c r="N1921" s="1845"/>
      <c r="O1921" s="1845"/>
      <c r="P1921" s="1845">
        <f t="shared" si="354"/>
        <v>0</v>
      </c>
      <c r="Q1921" s="1061"/>
      <c r="R1921" s="1061"/>
      <c r="S1921" s="1061"/>
      <c r="T1921" s="2059">
        <f>IFERROR(HLOOKUP(B1921,pp3p1m!171:173,3,0),0)</f>
        <v>0</v>
      </c>
    </row>
    <row r="1922" spans="1:20" ht="22.15" hidden="1" customHeight="1">
      <c r="A1922" s="59"/>
      <c r="B1922" s="1586" t="s">
        <v>347</v>
      </c>
      <c r="C1922" s="1015" t="str">
        <f t="shared" si="357"/>
        <v xml:space="preserve"> </v>
      </c>
      <c r="D1922" s="1544"/>
      <c r="E1922" s="1047" t="str">
        <f>VLOOKUP($B1922,DG!A:D,DG!$B$2,)</f>
        <v>06.1115</v>
      </c>
      <c r="F1922" s="1052" t="s">
        <v>2557</v>
      </c>
      <c r="G1922" s="1047" t="str">
        <f>VLOOKUP($B1922,DG!A:D,DG!$D$2,)</f>
        <v>bộ</v>
      </c>
      <c r="H1922" s="2158">
        <f t="shared" si="356"/>
        <v>0</v>
      </c>
      <c r="I1922" s="1845"/>
      <c r="J1922" s="1845"/>
      <c r="K1922" s="1844">
        <f>IFERROR(HLOOKUP(B1922,pp3p1m!$1:$3,3,0),0)</f>
        <v>0</v>
      </c>
      <c r="L1922" s="1845"/>
      <c r="M1922" s="1845"/>
      <c r="N1922" s="1845"/>
      <c r="O1922" s="1845"/>
      <c r="P1922" s="1845">
        <f t="shared" si="354"/>
        <v>0</v>
      </c>
      <c r="Q1922" s="1056"/>
      <c r="R1922" s="1056"/>
      <c r="S1922" s="1056"/>
      <c r="T1922" s="2059">
        <f>IFERROR(HLOOKUP(B1922,pp3p1m!172:174,3,0),0)</f>
        <v>0</v>
      </c>
    </row>
    <row r="1923" spans="1:20" ht="22.15" customHeight="1">
      <c r="A1923" s="1017"/>
      <c r="B1923" s="1580" t="s">
        <v>347</v>
      </c>
      <c r="C1923" s="1854" t="str">
        <f t="shared" ca="1" si="357"/>
        <v>x</v>
      </c>
      <c r="D1923" s="1544">
        <f ca="1">SUMIF(pp3p1m!1:3,pp3p1m!DE1,pp3p1m!3:3)</f>
        <v>69</v>
      </c>
      <c r="E1923" s="1047" t="str">
        <f>VLOOKUP($B1923,DG!A:D,DG!$B$2,)</f>
        <v>06.1115</v>
      </c>
      <c r="F1923" s="1052" t="str">
        <f>VLOOKUP($B1923,DG!A:D,DG!$C$2,)</f>
        <v>Lắp sứ đứng 24KV</v>
      </c>
      <c r="G1923" s="1047" t="str">
        <f>VLOOKUP($B1923,DG!A:D,DG!$D$2,)</f>
        <v>bộ</v>
      </c>
      <c r="H1923" s="1845">
        <f t="shared" ca="1" si="356"/>
        <v>69</v>
      </c>
      <c r="I1923" s="1845"/>
      <c r="J1923" s="1845"/>
      <c r="K1923" s="1844">
        <f>IFERROR(HLOOKUP(B1923,pp3p1m!$1:$3,3,0),0)</f>
        <v>0</v>
      </c>
      <c r="L1923" s="1845"/>
      <c r="M1923" s="1845"/>
      <c r="N1923" s="1845"/>
      <c r="O1923" s="1845"/>
      <c r="P1923" s="1845">
        <f ca="1">H1923</f>
        <v>69</v>
      </c>
      <c r="Q1923" s="1056"/>
      <c r="R1923" s="1056"/>
      <c r="S1923" s="1056"/>
      <c r="T1923" s="2059">
        <f>IFERROR(HLOOKUP(B1923,pp3p1m!173:175,3,0),0)</f>
        <v>0</v>
      </c>
    </row>
    <row r="1924" spans="1:20" ht="22.15" hidden="1" customHeight="1">
      <c r="A1924" s="59"/>
      <c r="B1924" s="1586" t="s">
        <v>1232</v>
      </c>
      <c r="C1924" s="1015" t="str">
        <f t="shared" si="357"/>
        <v xml:space="preserve"> </v>
      </c>
      <c r="D1924" s="1544">
        <f>D1795*0</f>
        <v>0</v>
      </c>
      <c r="E1924" s="1047" t="str">
        <f>VLOOKUP($B1924,DG!A:D,DG!$B$2,)</f>
        <v>06.1115</v>
      </c>
      <c r="F1924" s="1052" t="str">
        <f>VLOOKUP($B1924,DG!A:D,DG!$C$2,)</f>
        <v>Tháo sứ đứng 24KV</v>
      </c>
      <c r="G1924" s="1047" t="str">
        <f>VLOOKUP($B1924,DG!A:D,DG!$D$2,)</f>
        <v>bộ</v>
      </c>
      <c r="H1924" s="2158">
        <f t="shared" si="356"/>
        <v>0</v>
      </c>
      <c r="I1924" s="1845"/>
      <c r="J1924" s="1845"/>
      <c r="K1924" s="1844">
        <f>IFERROR(HLOOKUP(B1924,pp3p1m!$1:$3,3,0),0)</f>
        <v>0</v>
      </c>
      <c r="L1924" s="1845"/>
      <c r="M1924" s="1845"/>
      <c r="N1924" s="1845"/>
      <c r="O1924" s="1845"/>
      <c r="P1924" s="1845">
        <f t="shared" si="354"/>
        <v>0</v>
      </c>
      <c r="Q1924" s="1056"/>
      <c r="R1924" s="1056"/>
      <c r="S1924" s="1056"/>
      <c r="T1924" s="2059">
        <f>IFERROR(HLOOKUP(B1924,pp3p1m!174:176,3,0),0)</f>
        <v>0</v>
      </c>
    </row>
    <row r="1925" spans="1:20" ht="22.15" hidden="1" customHeight="1">
      <c r="A1925" s="59"/>
      <c r="B1925" s="1586" t="s">
        <v>348</v>
      </c>
      <c r="C1925" s="1015" t="str">
        <f t="shared" si="357"/>
        <v xml:space="preserve"> </v>
      </c>
      <c r="D1925" s="1544">
        <f>D1797+D1801*2</f>
        <v>0</v>
      </c>
      <c r="E1925" s="1047" t="str">
        <f>VLOOKUP($B1925,DG!A:D,DG!$B$2,)</f>
        <v>06.3231</v>
      </c>
      <c r="F1925" s="1052" t="str">
        <f>VLOOKUP($B1925,DG!A:D,DG!$C$2,)</f>
        <v>Lắp chân sứ đỉnh</v>
      </c>
      <c r="G1925" s="1047" t="str">
        <f>VLOOKUP($B1925,DG!A:D,DG!$D$2,)</f>
        <v>cái</v>
      </c>
      <c r="H1925" s="1845">
        <f t="shared" si="356"/>
        <v>0</v>
      </c>
      <c r="I1925" s="1845"/>
      <c r="J1925" s="1845"/>
      <c r="K1925" s="1844">
        <f>IFERROR(HLOOKUP(B1925,pp3p1m!$1:$3,3,0),0)</f>
        <v>0</v>
      </c>
      <c r="L1925" s="1845"/>
      <c r="M1925" s="1845"/>
      <c r="N1925" s="1845"/>
      <c r="O1925" s="1845"/>
      <c r="P1925" s="1845">
        <f>H1925</f>
        <v>0</v>
      </c>
      <c r="Q1925" s="1056"/>
      <c r="R1925" s="1056"/>
      <c r="S1925" s="1056"/>
      <c r="T1925" s="2059">
        <f>IFERROR(HLOOKUP(B1925,pp3p1m!175:177,3,0),0)</f>
        <v>0</v>
      </c>
    </row>
    <row r="1926" spans="1:20" ht="22.15" hidden="1" customHeight="1">
      <c r="A1926" s="59"/>
      <c r="B1926" s="1586" t="s">
        <v>349</v>
      </c>
      <c r="C1926" s="1015" t="str">
        <f t="shared" si="357"/>
        <v xml:space="preserve"> </v>
      </c>
      <c r="D1926" s="1544">
        <f>-SUM(D1832:D1832)</f>
        <v>0</v>
      </c>
      <c r="E1926" s="1047" t="str">
        <f>VLOOKUP($B1926,DG!A:D,DG!$B$2,)</f>
        <v>06.1410</v>
      </c>
      <c r="F1926" s="1052" t="str">
        <f>VLOOKUP($B1926,DG!A:D,DG!$C$2,)</f>
        <v>Lắp chuỗi sứ đỡ 2 bát/chuỗi</v>
      </c>
      <c r="G1926" s="1047" t="str">
        <f>VLOOKUP($B1926,DG!A:D,DG!$D$2,)</f>
        <v>chuỗi</v>
      </c>
      <c r="H1926" s="2158">
        <f t="shared" si="356"/>
        <v>0</v>
      </c>
      <c r="I1926" s="1845"/>
      <c r="J1926" s="1845"/>
      <c r="K1926" s="1844">
        <f>IFERROR(HLOOKUP(B1926,pp3p1m!$1:$3,3,0),0)</f>
        <v>0</v>
      </c>
      <c r="L1926" s="1845"/>
      <c r="M1926" s="1845"/>
      <c r="N1926" s="1845"/>
      <c r="O1926" s="1845"/>
      <c r="P1926" s="1845">
        <f t="shared" si="354"/>
        <v>0</v>
      </c>
      <c r="Q1926" s="1056"/>
      <c r="R1926" s="1056"/>
      <c r="S1926" s="1056"/>
      <c r="T1926" s="2059">
        <f>IFERROR(HLOOKUP(B1926,pp3p1m!176:178,3,0),0)</f>
        <v>0</v>
      </c>
    </row>
    <row r="1927" spans="1:20" ht="22.15" hidden="1" customHeight="1">
      <c r="A1927" s="59"/>
      <c r="B1927" s="1586" t="s">
        <v>350</v>
      </c>
      <c r="C1927" s="1015" t="str">
        <f t="shared" si="357"/>
        <v xml:space="preserve"> </v>
      </c>
      <c r="D1927" s="1544"/>
      <c r="E1927" s="1047" t="str">
        <f>VLOOKUP($B1927,DG!A:D,DG!$B$2,)</f>
        <v>06.1511</v>
      </c>
      <c r="F1927" s="1052" t="s">
        <v>2558</v>
      </c>
      <c r="G1927" s="1047" t="str">
        <f>VLOOKUP($B1927,DG!A:D,DG!$D$2,)</f>
        <v>chuỗi</v>
      </c>
      <c r="H1927" s="2158">
        <f t="shared" si="356"/>
        <v>0</v>
      </c>
      <c r="I1927" s="1845"/>
      <c r="J1927" s="1845"/>
      <c r="K1927" s="1844">
        <f>IFERROR(HLOOKUP(B1927,pp3p1m!$1:$3,3,0),0)</f>
        <v>0</v>
      </c>
      <c r="L1927" s="1845"/>
      <c r="M1927" s="1845"/>
      <c r="N1927" s="1845"/>
      <c r="O1927" s="1845"/>
      <c r="P1927" s="1845">
        <f t="shared" si="354"/>
        <v>0</v>
      </c>
      <c r="Q1927" s="1056"/>
      <c r="R1927" s="1056"/>
      <c r="S1927" s="1056"/>
      <c r="T1927" s="2059">
        <f>IFERROR(HLOOKUP(B1927,pp3p1m!177:179,3,0),0)</f>
        <v>0</v>
      </c>
    </row>
    <row r="1928" spans="1:20" ht="22.15" hidden="1" customHeight="1">
      <c r="A1928" s="59"/>
      <c r="B1928" s="1586" t="s">
        <v>350</v>
      </c>
      <c r="C1928" s="1015" t="str">
        <f t="shared" si="357"/>
        <v xml:space="preserve"> </v>
      </c>
      <c r="D1928" s="1544"/>
      <c r="E1928" s="1047" t="str">
        <f>VLOOKUP($B1928,DG!A:D,DG!$B$2,)</f>
        <v>06.1511</v>
      </c>
      <c r="F1928" s="1052" t="str">
        <f>VLOOKUP($B1928,DG!A:D,DG!$C$2,)</f>
        <v>Lắp chuỗi sứ néo 2 bát/chuỗi</v>
      </c>
      <c r="G1928" s="1047" t="str">
        <f>VLOOKUP($B1928,DG!A:D,DG!$D$2,)</f>
        <v>chuỗi</v>
      </c>
      <c r="H1928" s="2158">
        <f t="shared" si="356"/>
        <v>0</v>
      </c>
      <c r="I1928" s="1845"/>
      <c r="J1928" s="1845"/>
      <c r="K1928" s="1844">
        <f>IFERROR(HLOOKUP(B1928,pp3p1m!$1:$3,3,0),0)</f>
        <v>0</v>
      </c>
      <c r="L1928" s="1845"/>
      <c r="M1928" s="1845"/>
      <c r="N1928" s="1845"/>
      <c r="O1928" s="1845"/>
      <c r="P1928" s="1845">
        <f t="shared" si="354"/>
        <v>0</v>
      </c>
      <c r="Q1928" s="1061"/>
      <c r="R1928" s="1061"/>
      <c r="S1928" s="1061"/>
      <c r="T1928" s="2059">
        <f>IFERROR(HLOOKUP(B1928,pp3p1m!178:180,3,0),0)</f>
        <v>0</v>
      </c>
    </row>
    <row r="1929" spans="1:20" ht="22.15" customHeight="1">
      <c r="A1929" s="1017"/>
      <c r="B1929" s="1580" t="s">
        <v>1512</v>
      </c>
      <c r="C1929" s="1854" t="str">
        <f t="shared" si="357"/>
        <v>x</v>
      </c>
      <c r="D1929" s="1544">
        <f>+D1814+D1921-D2235*3+D1821</f>
        <v>24</v>
      </c>
      <c r="E1929" s="1047" t="str">
        <f>VLOOKUP($B1929,DG!A:D,DG!$B$2,)</f>
        <v>06.2201</v>
      </c>
      <c r="F1929" s="1052" t="str">
        <f>VLOOKUP($B1929,DG!A:D,DG!$C$2,)</f>
        <v>Lắp chuỗi sứ néo Polymer</v>
      </c>
      <c r="G1929" s="1047" t="str">
        <f>VLOOKUP($B1929,DG!A:D,DG!$D$2,)</f>
        <v>chuỗi</v>
      </c>
      <c r="H1929" s="1845">
        <f t="shared" si="356"/>
        <v>24</v>
      </c>
      <c r="I1929" s="1845"/>
      <c r="J1929" s="1845"/>
      <c r="K1929" s="1844">
        <f>IFERROR(HLOOKUP(B1929,pp3p1m!$1:$3,3,0),0)</f>
        <v>0</v>
      </c>
      <c r="L1929" s="1845"/>
      <c r="M1929" s="1845"/>
      <c r="N1929" s="1845"/>
      <c r="O1929" s="1845"/>
      <c r="P1929" s="1845">
        <f>H1929</f>
        <v>24</v>
      </c>
      <c r="Q1929" s="1061"/>
      <c r="R1929" s="1061"/>
      <c r="S1929" s="1061"/>
      <c r="T1929" s="2059">
        <f>IFERROR(HLOOKUP(B1929,pp3p1m!179:181,3,0),0)</f>
        <v>0</v>
      </c>
    </row>
    <row r="1930" spans="1:20" ht="22.15" hidden="1" customHeight="1">
      <c r="A1930" s="59"/>
      <c r="B1930" s="1586" t="s">
        <v>1657</v>
      </c>
      <c r="C1930" s="1015" t="str">
        <f t="shared" si="357"/>
        <v xml:space="preserve"> </v>
      </c>
      <c r="D1930" s="1544"/>
      <c r="E1930" s="1047" t="str">
        <f>VLOOKUP($B1930,DG!A:D,DG!$B$2,)</f>
        <v>02.3155</v>
      </c>
      <c r="F1930" s="1059" t="str">
        <f>"Tháo "&amp;VLOOKUP($B1930,DG!A:D,DG!$C$2,)&amp;" hiện hữu sử dụng lại"</f>
        <v>Tháo FCO 27kV - 100A hiện hữu sử dụng lại</v>
      </c>
      <c r="G1930" s="1047" t="str">
        <f>VLOOKUP($B1930,DG!A:D,DG!$D$2,)</f>
        <v>cái</v>
      </c>
      <c r="H1930" s="2158">
        <f t="shared" si="356"/>
        <v>0</v>
      </c>
      <c r="I1930" s="1845"/>
      <c r="J1930" s="1845"/>
      <c r="K1930" s="1844">
        <f>IFERROR(HLOOKUP(B1930,pp3p1m!$1:$3,3,0),0)</f>
        <v>3</v>
      </c>
      <c r="L1930" s="1845"/>
      <c r="M1930" s="1845"/>
      <c r="N1930" s="1845"/>
      <c r="O1930" s="1845"/>
      <c r="P1930" s="1845">
        <f t="shared" ref="P1930:P1953" si="358">P$1831*$D1930</f>
        <v>0</v>
      </c>
      <c r="Q1930" s="1061"/>
      <c r="R1930" s="1061"/>
      <c r="S1930" s="1061"/>
      <c r="T1930" s="2059">
        <f>IFERROR(HLOOKUP(B1930,pp3p1m!180:182,3,0),0)</f>
        <v>0</v>
      </c>
    </row>
    <row r="1931" spans="1:20" ht="22.15" hidden="1" customHeight="1">
      <c r="A1931" s="59"/>
      <c r="B1931" s="1586" t="s">
        <v>4516</v>
      </c>
      <c r="C1931" s="1015" t="str">
        <f t="shared" si="357"/>
        <v xml:space="preserve"> </v>
      </c>
      <c r="D1931" s="1544"/>
      <c r="E1931" s="1047" t="str">
        <f>VLOOKUP($B1931,DG!A:D,DG!$B$2,)</f>
        <v>02.5114</v>
      </c>
      <c r="F1931" s="1059" t="str">
        <f>"Thaùo "&amp;VLOOKUP($B1931,DG!A:D,DG!$C$2,)</f>
        <v>Thaùo Chống sét van LA-18KV-10KA</v>
      </c>
      <c r="G1931" s="1047" t="str">
        <f>VLOOKUP($B1931,DG!A:D,DG!$D$2,)</f>
        <v>cái</v>
      </c>
      <c r="H1931" s="1845">
        <f t="shared" si="355"/>
        <v>0</v>
      </c>
      <c r="I1931" s="1845"/>
      <c r="J1931" s="1845"/>
      <c r="K1931" s="1844">
        <f>IFERROR(HLOOKUP(B1931,pp3p1m!$1:$3,3,0),0)</f>
        <v>0</v>
      </c>
      <c r="L1931" s="1845"/>
      <c r="M1931" s="1845"/>
      <c r="N1931" s="1845"/>
      <c r="O1931" s="1845"/>
      <c r="P1931" s="1845">
        <f t="shared" si="358"/>
        <v>0</v>
      </c>
      <c r="Q1931" s="1061"/>
      <c r="R1931" s="1061"/>
      <c r="S1931" s="1061"/>
      <c r="T1931" s="2059">
        <f>IFERROR(HLOOKUP(B1931,pp3p1m!181:183,3,0),0)</f>
        <v>0</v>
      </c>
    </row>
    <row r="1932" spans="1:20" ht="22.15" hidden="1" customHeight="1">
      <c r="A1932" s="59"/>
      <c r="B1932" s="1586" t="s">
        <v>1657</v>
      </c>
      <c r="C1932" s="1015" t="str">
        <f t="shared" si="357"/>
        <v xml:space="preserve"> </v>
      </c>
      <c r="D1932" s="1544"/>
      <c r="E1932" s="1047" t="str">
        <f>VLOOKUP($B1932,DG!A:D,DG!$B$2,)</f>
        <v>02.3155</v>
      </c>
      <c r="F1932" s="1059" t="str">
        <f>"Lắp "&amp;VLOOKUP($B1932,DG!A:D,DG!$C$2,)</f>
        <v>Lắp FCO 27kV - 100A</v>
      </c>
      <c r="G1932" s="1047" t="str">
        <f>VLOOKUP($B1932,DG!A:D,DG!$D$2,)</f>
        <v>cái</v>
      </c>
      <c r="H1932" s="1845"/>
      <c r="I1932" s="1845"/>
      <c r="J1932" s="1845"/>
      <c r="K1932" s="1844">
        <f>IFERROR(HLOOKUP(B1932,pp3p1m!$1:$3,3,0),0)</f>
        <v>3</v>
      </c>
      <c r="L1932" s="1845"/>
      <c r="M1932" s="1845"/>
      <c r="N1932" s="1845"/>
      <c r="O1932" s="1845"/>
      <c r="P1932" s="1845">
        <f t="shared" si="358"/>
        <v>0</v>
      </c>
      <c r="Q1932" s="1061"/>
      <c r="R1932" s="1061"/>
      <c r="S1932" s="1061"/>
      <c r="T1932" s="2059">
        <f>IFERROR(HLOOKUP(B1932,pp3p1m!182:184,3,0),0)</f>
        <v>0</v>
      </c>
    </row>
    <row r="1933" spans="1:20" ht="22.15" hidden="1" customHeight="1">
      <c r="A1933" s="59"/>
      <c r="B1933" s="1586" t="s">
        <v>1434</v>
      </c>
      <c r="C1933" s="1015" t="str">
        <f t="shared" ref="C1933:C1934" si="359">IF(OR(P1933&lt;&gt;0,H1933&lt;&gt;0),"x"," ")</f>
        <v xml:space="preserve"> </v>
      </c>
      <c r="D1933" s="1544"/>
      <c r="E1933" s="1047">
        <f>VLOOKUP($B1933,DG!A:D,DG!$B$2,)</f>
        <v>0</v>
      </c>
      <c r="F1933" s="1059" t="str">
        <f>"Lắp "&amp;VLOOKUP($B1933,DG!A:D,DG!$C$2,)</f>
        <v>Lắp Kẹp ngừng cáp ABC4x95mm2</v>
      </c>
      <c r="G1933" s="1047" t="str">
        <f>VLOOKUP($B1933,DG!A:D,DG!$D$2,)</f>
        <v>cái</v>
      </c>
      <c r="H1933" s="1845">
        <f t="shared" si="355"/>
        <v>0</v>
      </c>
      <c r="I1933" s="1845"/>
      <c r="J1933" s="1845"/>
      <c r="K1933" s="1844">
        <f>IFERROR(HLOOKUP(B1933,pp3p1m!$1:$3,3,0),0)</f>
        <v>0</v>
      </c>
      <c r="L1933" s="1845"/>
      <c r="M1933" s="1845"/>
      <c r="N1933" s="1845"/>
      <c r="O1933" s="1845"/>
      <c r="P1933" s="1845">
        <f>H1933</f>
        <v>0</v>
      </c>
      <c r="Q1933" s="1061"/>
      <c r="R1933" s="1061"/>
      <c r="S1933" s="1061"/>
      <c r="T1933" s="2059">
        <f>IFERROR(HLOOKUP(B1933,pp3p1m!183:185,3,0),0)</f>
        <v>0</v>
      </c>
    </row>
    <row r="1934" spans="1:20" ht="22.15" hidden="1" customHeight="1">
      <c r="A1934" s="59"/>
      <c r="B1934" s="1586" t="s">
        <v>854</v>
      </c>
      <c r="C1934" s="1015" t="str">
        <f t="shared" si="359"/>
        <v xml:space="preserve"> </v>
      </c>
      <c r="D1934" s="1544"/>
      <c r="E1934" s="1047">
        <f>VLOOKUP($B1934,DG!A:D,DG!$B$2,)</f>
        <v>0</v>
      </c>
      <c r="F1934" s="1059" t="str">
        <f>"Lắp "&amp;VLOOKUP($B1934,DG!A:D,DG!$C$2,)</f>
        <v>Lắp Boulon móc 16x300+ long đền vuông D18-50x50x3/Zn</v>
      </c>
      <c r="G1934" s="1047" t="str">
        <f>VLOOKUP($B1934,DG!A:D,DG!$D$2,)</f>
        <v>bộ</v>
      </c>
      <c r="H1934" s="1845">
        <f t="shared" si="355"/>
        <v>0</v>
      </c>
      <c r="I1934" s="1845"/>
      <c r="J1934" s="1845"/>
      <c r="K1934" s="1844">
        <f>IFERROR(HLOOKUP(B1934,pp3p1m!$1:$3,3,0),0)</f>
        <v>0</v>
      </c>
      <c r="L1934" s="1845"/>
      <c r="M1934" s="1845"/>
      <c r="N1934" s="1845"/>
      <c r="O1934" s="1845"/>
      <c r="P1934" s="1845">
        <f>H1934</f>
        <v>0</v>
      </c>
      <c r="Q1934" s="1061"/>
      <c r="R1934" s="1061"/>
      <c r="S1934" s="1061"/>
      <c r="T1934" s="2059">
        <f>IFERROR(HLOOKUP(B1934,pp3p1m!184:186,3,0),0)</f>
        <v>0</v>
      </c>
    </row>
    <row r="1935" spans="1:20" ht="22.15" hidden="1" customHeight="1">
      <c r="A1935" s="59"/>
      <c r="B1935" s="1586" t="s">
        <v>4516</v>
      </c>
      <c r="C1935" s="1015" t="str">
        <f t="shared" si="357"/>
        <v xml:space="preserve"> </v>
      </c>
      <c r="D1935" s="1544"/>
      <c r="E1935" s="1047" t="str">
        <f>VLOOKUP($B1935,DG!A:D,DG!$B$2,)</f>
        <v>02.5114</v>
      </c>
      <c r="F1935" s="1059" t="str">
        <f>"Lắp "&amp;VLOOKUP($B1935,DG!A:D,DG!$C$2,)</f>
        <v>Lắp Chống sét van LA-18KV-10KA</v>
      </c>
      <c r="G1935" s="1047" t="str">
        <f>VLOOKUP($B1935,DG!A:D,DG!$D$2,)</f>
        <v>cái</v>
      </c>
      <c r="H1935" s="1845">
        <f t="shared" si="355"/>
        <v>0</v>
      </c>
      <c r="I1935" s="1845"/>
      <c r="J1935" s="1845"/>
      <c r="K1935" s="1844">
        <f>IFERROR(HLOOKUP(B1935,pp3p1m!$1:$3,3,0),0)</f>
        <v>0</v>
      </c>
      <c r="L1935" s="1845"/>
      <c r="M1935" s="1845"/>
      <c r="N1935" s="1845"/>
      <c r="O1935" s="1845"/>
      <c r="P1935" s="1845">
        <f t="shared" si="358"/>
        <v>0</v>
      </c>
      <c r="Q1935" s="1061"/>
      <c r="R1935" s="1061"/>
      <c r="S1935" s="1061"/>
      <c r="T1935" s="2059">
        <f>IFERROR(HLOOKUP(B1935,pp3p1m!185:187,3,0),0)</f>
        <v>0</v>
      </c>
    </row>
    <row r="1936" spans="1:20" ht="22.15" hidden="1" customHeight="1">
      <c r="A1936" s="59"/>
      <c r="B1936" s="1586" t="s">
        <v>147</v>
      </c>
      <c r="C1936" s="1015" t="str">
        <f t="shared" si="357"/>
        <v xml:space="preserve"> </v>
      </c>
      <c r="D1936" s="1544"/>
      <c r="E1936" s="1047" t="str">
        <f>VLOOKUP($B1936,DG!A:D,DG!$B$2,)</f>
        <v>05.6001</v>
      </c>
      <c r="F1936" s="1052" t="s">
        <v>2559</v>
      </c>
      <c r="G1936" s="1047" t="str">
        <f>VLOOKUP($B1936,DG!A:D,DG!$D$2,)</f>
        <v>Kg</v>
      </c>
      <c r="H1936" s="1845">
        <f t="shared" si="355"/>
        <v>0</v>
      </c>
      <c r="I1936" s="1845"/>
      <c r="J1936" s="1845"/>
      <c r="K1936" s="1844">
        <f>IFERROR(HLOOKUP(B1936,pp3p1m!$1:$3,3,0),0)</f>
        <v>0</v>
      </c>
      <c r="L1936" s="1845"/>
      <c r="M1936" s="1845"/>
      <c r="N1936" s="1845"/>
      <c r="O1936" s="1845"/>
      <c r="P1936" s="1845">
        <f t="shared" si="358"/>
        <v>0</v>
      </c>
      <c r="Q1936" s="1056"/>
      <c r="R1936" s="1056"/>
      <c r="S1936" s="1056"/>
      <c r="T1936" s="2059">
        <f>IFERROR(HLOOKUP(B1936,pp3p1m!186:188,3,0),0)</f>
        <v>0</v>
      </c>
    </row>
    <row r="1937" spans="1:20" ht="22.15" hidden="1" customHeight="1">
      <c r="A1937" s="59"/>
      <c r="B1937" s="1586" t="s">
        <v>1650</v>
      </c>
      <c r="C1937" s="1015" t="str">
        <f t="shared" si="357"/>
        <v xml:space="preserve"> </v>
      </c>
      <c r="D1937" s="1544"/>
      <c r="E1937" s="1047" t="str">
        <f>VLOOKUP($B1937,DG!A:D,DG!$B$2,)</f>
        <v>05.6100</v>
      </c>
      <c r="F1937" s="1052" t="str">
        <f>"Lắp "&amp;VLOOKUP($B1937,DG!A:D,DG!$C$2,)</f>
        <v>Lắp Giá U 80x600 lắp FCO</v>
      </c>
      <c r="G1937" s="1047" t="str">
        <f>VLOOKUP($B1937,DG!A:D,DG!$D$2,)</f>
        <v>bộ</v>
      </c>
      <c r="H1937" s="1845">
        <f t="shared" si="355"/>
        <v>0</v>
      </c>
      <c r="I1937" s="1845"/>
      <c r="J1937" s="1845"/>
      <c r="K1937" s="1844">
        <f>IFERROR(HLOOKUP(B1937,pp3p1m!$1:$3,3,0),0)</f>
        <v>0</v>
      </c>
      <c r="L1937" s="1845"/>
      <c r="M1937" s="1845"/>
      <c r="N1937" s="1845"/>
      <c r="O1937" s="1845"/>
      <c r="P1937" s="1845">
        <f t="shared" si="358"/>
        <v>0</v>
      </c>
      <c r="Q1937" s="1056"/>
      <c r="R1937" s="1056"/>
      <c r="S1937" s="1056"/>
      <c r="T1937" s="2059">
        <f>IFERROR(HLOOKUP(B1937,pp3p1m!187:189,3,0),0)</f>
        <v>0</v>
      </c>
    </row>
    <row r="1938" spans="1:20" ht="22.15" hidden="1" customHeight="1">
      <c r="A1938" s="59"/>
      <c r="B1938" s="1586" t="s">
        <v>348</v>
      </c>
      <c r="C1938" s="1015" t="str">
        <f t="shared" si="357"/>
        <v xml:space="preserve"> </v>
      </c>
      <c r="D1938" s="1544"/>
      <c r="E1938" s="1047" t="str">
        <f>VLOOKUP($B1938,DG!A:D,DG!$B$2,)</f>
        <v>06.3231</v>
      </c>
      <c r="F1938" s="1052" t="s">
        <v>2560</v>
      </c>
      <c r="G1938" s="1047" t="str">
        <f>VLOOKUP($B1938,DG!A:D,DG!$D$2,)</f>
        <v>cái</v>
      </c>
      <c r="H1938" s="1845">
        <f t="shared" si="355"/>
        <v>0</v>
      </c>
      <c r="I1938" s="1845"/>
      <c r="J1938" s="1845"/>
      <c r="K1938" s="1844">
        <f>IFERROR(HLOOKUP(B1938,pp3p1m!$1:$3,3,0),0)</f>
        <v>0</v>
      </c>
      <c r="L1938" s="1845"/>
      <c r="M1938" s="1845"/>
      <c r="N1938" s="1845"/>
      <c r="O1938" s="1845"/>
      <c r="P1938" s="1845">
        <f t="shared" si="358"/>
        <v>0</v>
      </c>
      <c r="Q1938" s="1056"/>
      <c r="R1938" s="1056"/>
      <c r="S1938" s="1056"/>
      <c r="T1938" s="2059">
        <f>IFERROR(HLOOKUP(B1938,pp3p1m!188:190,3,0),0)</f>
        <v>0</v>
      </c>
    </row>
    <row r="1939" spans="1:20" ht="22.15" hidden="1" customHeight="1">
      <c r="A1939" s="59"/>
      <c r="B1939" s="1586" t="s">
        <v>1912</v>
      </c>
      <c r="C1939" s="1015" t="str">
        <f t="shared" si="357"/>
        <v xml:space="preserve"> </v>
      </c>
      <c r="D1939" s="1544"/>
      <c r="E1939" s="1047" t="str">
        <f>VLOOKUP($B1939,DG!A:D,DG!$B$2,)</f>
        <v>05.6011</v>
      </c>
      <c r="F1939" s="1052" t="s">
        <v>2561</v>
      </c>
      <c r="G1939" s="1047" t="str">
        <f>VLOOKUP($B1939,DG!A:D,DG!$D$2,)</f>
        <v>bộ</v>
      </c>
      <c r="H1939" s="1845">
        <f t="shared" si="355"/>
        <v>0</v>
      </c>
      <c r="I1939" s="1845"/>
      <c r="J1939" s="1845"/>
      <c r="K1939" s="1844">
        <f>IFERROR(HLOOKUP(B1939,pp3p1m!$1:$3,3,0),0)</f>
        <v>0</v>
      </c>
      <c r="L1939" s="1845"/>
      <c r="M1939" s="1845"/>
      <c r="N1939" s="1845"/>
      <c r="O1939" s="1845"/>
      <c r="P1939" s="1845">
        <f t="shared" si="358"/>
        <v>0</v>
      </c>
      <c r="Q1939" s="1056"/>
      <c r="R1939" s="1056"/>
      <c r="S1939" s="1056"/>
      <c r="T1939" s="2059">
        <f>IFERROR(HLOOKUP(B1939,pp3p1m!189:191,3,0),0)</f>
        <v>0</v>
      </c>
    </row>
    <row r="1940" spans="1:20" ht="22.15" hidden="1" customHeight="1">
      <c r="A1940" s="59"/>
      <c r="B1940" s="1586" t="s">
        <v>351</v>
      </c>
      <c r="C1940" s="1015" t="str">
        <f t="shared" si="357"/>
        <v xml:space="preserve"> </v>
      </c>
      <c r="D1940" s="1544"/>
      <c r="E1940" s="1047" t="str">
        <f>VLOOKUP($B1940,DG!A:D,DG!$B$2,)</f>
        <v>06.1211</v>
      </c>
      <c r="F1940" s="1052" t="s">
        <v>2562</v>
      </c>
      <c r="G1940" s="1047" t="str">
        <f>VLOOKUP($B1940,DG!A:D,DG!$D$2,)</f>
        <v>bộ</v>
      </c>
      <c r="H1940" s="1845">
        <f t="shared" si="355"/>
        <v>0</v>
      </c>
      <c r="I1940" s="1845"/>
      <c r="J1940" s="1845"/>
      <c r="K1940" s="1844">
        <f>IFERROR(HLOOKUP(B1940,pp3p1m!$1:$3,3,0),0)</f>
        <v>0</v>
      </c>
      <c r="L1940" s="1845"/>
      <c r="M1940" s="1845"/>
      <c r="N1940" s="1845"/>
      <c r="O1940" s="1845"/>
      <c r="P1940" s="1845">
        <f t="shared" si="358"/>
        <v>0</v>
      </c>
      <c r="Q1940" s="1056"/>
      <c r="R1940" s="1056"/>
      <c r="S1940" s="1056"/>
      <c r="T1940" s="2059">
        <f>IFERROR(HLOOKUP(B1940,pp3p1m!190:192,3,0),0)</f>
        <v>0</v>
      </c>
    </row>
    <row r="1941" spans="1:20" ht="22.15" customHeight="1">
      <c r="A1941" s="1017"/>
      <c r="B1941" s="1580" t="s">
        <v>351</v>
      </c>
      <c r="C1941" s="1015" t="str">
        <f t="shared" si="357"/>
        <v>x</v>
      </c>
      <c r="D1941" s="2472">
        <v>17</v>
      </c>
      <c r="E1941" s="1047" t="str">
        <f>VLOOKUP($B1941,DG!A:D,DG!$B$2,)</f>
        <v>06.1211</v>
      </c>
      <c r="F1941" s="1052" t="str">
        <f>VLOOKUP($B1941,DG!A:D,DG!$C$2,)</f>
        <v>Lắp rack sứ + sứ ống chỉ</v>
      </c>
      <c r="G1941" s="1047" t="str">
        <f>VLOOKUP($B1941,DG!A:D,DG!$D$2,)</f>
        <v>bộ</v>
      </c>
      <c r="H1941" s="1845">
        <f>D1941</f>
        <v>17</v>
      </c>
      <c r="I1941" s="1845"/>
      <c r="J1941" s="1845"/>
      <c r="K1941" s="1844">
        <f>IFERROR(HLOOKUP(B1941,pp3p1m!$1:$3,3,0),0)</f>
        <v>0</v>
      </c>
      <c r="L1941" s="1845"/>
      <c r="M1941" s="1845"/>
      <c r="N1941" s="1845"/>
      <c r="O1941" s="1845"/>
      <c r="P1941" s="1845">
        <f>H1941</f>
        <v>17</v>
      </c>
      <c r="Q1941" s="1056"/>
      <c r="R1941" s="1056"/>
      <c r="S1941" s="1056"/>
      <c r="T1941" s="2059">
        <f>IFERROR(HLOOKUP(B1941,pp3p1m!191:193,3,0),0)</f>
        <v>0</v>
      </c>
    </row>
    <row r="1942" spans="1:20" ht="22.15" hidden="1" customHeight="1">
      <c r="A1942" s="59"/>
      <c r="B1942" s="1586" t="s">
        <v>324</v>
      </c>
      <c r="C1942" s="1015" t="str">
        <f t="shared" si="357"/>
        <v xml:space="preserve"> </v>
      </c>
      <c r="D1942" s="1544">
        <f>D1894</f>
        <v>0</v>
      </c>
      <c r="E1942" s="1047" t="str">
        <f>VLOOKUP($B1942,DG!A:D,DG!$B$2,)</f>
        <v>06.1213</v>
      </c>
      <c r="F1942" s="1052" t="str">
        <f>VLOOKUP($B1942,DG!A:D,DG!$C$2,)</f>
        <v>Lắp rack 2 sứ + sứ ống chỉ</v>
      </c>
      <c r="G1942" s="1047" t="str">
        <f>VLOOKUP($B1942,DG!A:D,DG!$D$2,)</f>
        <v>bộ</v>
      </c>
      <c r="H1942" s="1845">
        <f t="shared" si="355"/>
        <v>0</v>
      </c>
      <c r="I1942" s="1845"/>
      <c r="J1942" s="1845"/>
      <c r="K1942" s="1844">
        <f>IFERROR(HLOOKUP(B1942,pp3p1m!$1:$3,3,0),0)</f>
        <v>0</v>
      </c>
      <c r="L1942" s="1845"/>
      <c r="M1942" s="1845"/>
      <c r="N1942" s="1845"/>
      <c r="O1942" s="1845"/>
      <c r="P1942" s="1845">
        <f t="shared" si="358"/>
        <v>0</v>
      </c>
      <c r="Q1942" s="1056"/>
      <c r="R1942" s="1056"/>
      <c r="S1942" s="1056"/>
      <c r="T1942" s="2059">
        <f>IFERROR(HLOOKUP(B1942,pp3p1m!192:194,3,0),0)</f>
        <v>0</v>
      </c>
    </row>
    <row r="1943" spans="1:20" ht="22.15" hidden="1" customHeight="1">
      <c r="A1943" s="59"/>
      <c r="B1943" s="1586" t="s">
        <v>41</v>
      </c>
      <c r="C1943" s="1015" t="str">
        <f t="shared" si="357"/>
        <v xml:space="preserve"> </v>
      </c>
      <c r="D1943" s="1544"/>
      <c r="E1943" s="1047" t="str">
        <f>VLOOKUP($B1943,DG!A:D,DG!$B$2,)</f>
        <v>06.1214</v>
      </c>
      <c r="F1943" s="1052" t="s">
        <v>2563</v>
      </c>
      <c r="G1943" s="1047" t="str">
        <f>VLOOKUP($B1943,DG!A:D,DG!$D$2,)</f>
        <v>bộ</v>
      </c>
      <c r="H1943" s="1845">
        <f t="shared" si="355"/>
        <v>0</v>
      </c>
      <c r="I1943" s="1845"/>
      <c r="J1943" s="1845"/>
      <c r="K1943" s="1844">
        <f>IFERROR(HLOOKUP(B1943,pp3p1m!$1:$3,3,0),0)</f>
        <v>0</v>
      </c>
      <c r="L1943" s="1845"/>
      <c r="M1943" s="1845"/>
      <c r="N1943" s="1845"/>
      <c r="O1943" s="1845"/>
      <c r="P1943" s="1845">
        <f t="shared" si="358"/>
        <v>0</v>
      </c>
      <c r="Q1943" s="1056"/>
      <c r="R1943" s="1056"/>
      <c r="S1943" s="1056"/>
      <c r="T1943" s="2059">
        <f>IFERROR(HLOOKUP(B1943,pp3p1m!193:195,3,0),0)</f>
        <v>0</v>
      </c>
    </row>
    <row r="1944" spans="1:20" ht="22.15" hidden="1" customHeight="1">
      <c r="A1944" s="59"/>
      <c r="B1944" s="1586" t="s">
        <v>42</v>
      </c>
      <c r="C1944" s="1015" t="str">
        <f t="shared" si="357"/>
        <v xml:space="preserve"> </v>
      </c>
      <c r="D1944" s="1544"/>
      <c r="E1944" s="1047" t="str">
        <f>VLOOKUP($B1944,DG!A:D,DG!$B$2,)</f>
        <v>06.1214</v>
      </c>
      <c r="F1944" s="1052" t="str">
        <f>VLOOKUP($B1944,DG!A:D,DG!$C$2,)</f>
        <v>Lắp rack 3 sứ + sứ ống chỉ</v>
      </c>
      <c r="G1944" s="1047" t="str">
        <f>VLOOKUP($B1944,DG!A:D,DG!$D$2,)</f>
        <v>bộ</v>
      </c>
      <c r="H1944" s="1845">
        <f t="shared" si="355"/>
        <v>0</v>
      </c>
      <c r="I1944" s="1845"/>
      <c r="J1944" s="1845"/>
      <c r="K1944" s="1844">
        <f>IFERROR(HLOOKUP(B1944,pp3p1m!$1:$3,3,0),0)</f>
        <v>0</v>
      </c>
      <c r="L1944" s="1845"/>
      <c r="M1944" s="1845"/>
      <c r="N1944" s="1845"/>
      <c r="O1944" s="1845"/>
      <c r="P1944" s="1845">
        <f t="shared" si="358"/>
        <v>0</v>
      </c>
      <c r="Q1944" s="1056"/>
      <c r="R1944" s="1056"/>
      <c r="S1944" s="1056"/>
      <c r="T1944" s="2059">
        <f>IFERROR(HLOOKUP(B1944,pp3p1m!194:196,3,0),0)</f>
        <v>0</v>
      </c>
    </row>
    <row r="1945" spans="1:20" ht="22.15" hidden="1" customHeight="1">
      <c r="A1945" s="59"/>
      <c r="B1945" s="1586" t="s">
        <v>509</v>
      </c>
      <c r="C1945" s="1015" t="str">
        <f t="shared" si="357"/>
        <v xml:space="preserve"> </v>
      </c>
      <c r="D1945" s="1544"/>
      <c r="E1945" s="1047" t="str">
        <f>VLOOKUP($B1945,DG!A:D,DG!$B$2,)</f>
        <v>06.1215</v>
      </c>
      <c r="F1945" s="1052" t="s">
        <v>2564</v>
      </c>
      <c r="G1945" s="1047" t="str">
        <f>VLOOKUP($B1945,DG!A:D,DG!$D$2,)</f>
        <v>bộ</v>
      </c>
      <c r="H1945" s="1845">
        <f t="shared" si="355"/>
        <v>0</v>
      </c>
      <c r="I1945" s="1845"/>
      <c r="J1945" s="1845"/>
      <c r="K1945" s="1844">
        <f>IFERROR(HLOOKUP(B1945,pp3p1m!$1:$3,3,0),0)</f>
        <v>0</v>
      </c>
      <c r="L1945" s="1845"/>
      <c r="M1945" s="1845"/>
      <c r="N1945" s="1845"/>
      <c r="O1945" s="1845"/>
      <c r="P1945" s="1845">
        <f t="shared" si="358"/>
        <v>0</v>
      </c>
      <c r="Q1945" s="1056"/>
      <c r="R1945" s="1056"/>
      <c r="S1945" s="1056"/>
      <c r="T1945" s="2059">
        <f>IFERROR(HLOOKUP(B1945,pp3p1m!195:197,3,0),0)</f>
        <v>0</v>
      </c>
    </row>
    <row r="1946" spans="1:20" ht="22.15" hidden="1" customHeight="1">
      <c r="A1946" s="59"/>
      <c r="B1946" s="1586" t="s">
        <v>1786</v>
      </c>
      <c r="C1946" s="1015" t="str">
        <f t="shared" si="357"/>
        <v xml:space="preserve"> </v>
      </c>
      <c r="D1946" s="1544"/>
      <c r="E1946" s="1047" t="str">
        <f>VLOOKUP($B1946,DG!A:D,DG!$B$2,)</f>
        <v>06.1215</v>
      </c>
      <c r="F1946" s="1052" t="str">
        <f>VLOOKUP($B1946,DG!A:D,DG!$C$2,)</f>
        <v>Lắp rack 4 sứ + sứ ống chỉ</v>
      </c>
      <c r="G1946" s="1047" t="str">
        <f>VLOOKUP($B1946,DG!A:D,DG!$D$2,)</f>
        <v>bộ</v>
      </c>
      <c r="H1946" s="1845">
        <f t="shared" si="355"/>
        <v>0</v>
      </c>
      <c r="I1946" s="1845"/>
      <c r="J1946" s="1845"/>
      <c r="K1946" s="1844">
        <f>IFERROR(HLOOKUP(B1946,pp3p1m!$1:$3,3,0),0)</f>
        <v>0</v>
      </c>
      <c r="L1946" s="1845"/>
      <c r="M1946" s="1845"/>
      <c r="N1946" s="1845"/>
      <c r="O1946" s="1845"/>
      <c r="P1946" s="1845">
        <f t="shared" si="358"/>
        <v>0</v>
      </c>
      <c r="Q1946" s="1056"/>
      <c r="R1946" s="1056"/>
      <c r="S1946" s="1056"/>
      <c r="T1946" s="2059">
        <f>IFERROR(HLOOKUP(B1946,pp3p1m!196:198,3,0),0)</f>
        <v>0</v>
      </c>
    </row>
    <row r="1947" spans="1:20" ht="22.15" hidden="1" customHeight="1">
      <c r="A1947" s="59"/>
      <c r="B1947" s="1586" t="s">
        <v>353</v>
      </c>
      <c r="C1947" s="1015" t="str">
        <f t="shared" si="357"/>
        <v xml:space="preserve"> </v>
      </c>
      <c r="D1947" s="1562"/>
      <c r="E1947" s="1063" t="str">
        <f>VLOOKUP($B1947,DG!A:D,DG!$B$2,)</f>
        <v>06.5072</v>
      </c>
      <c r="F1947" s="1052" t="str">
        <f>VLOOKUP($B1947,DG!A:D,DG!$C$2,)</f>
        <v xml:space="preserve">Kéo dây qua vị trí bẻ góc dây </v>
      </c>
      <c r="G1947" s="1063" t="str">
        <f>VLOOKUP($B1947,DG!A:D,DG!$D$2,)</f>
        <v>vị trí</v>
      </c>
      <c r="H1947" s="1845">
        <f t="shared" si="355"/>
        <v>0</v>
      </c>
      <c r="I1947" s="1845"/>
      <c r="J1947" s="1845"/>
      <c r="K1947" s="1844">
        <f>IFERROR(HLOOKUP(B1947,pp3p1m!$1:$3,3,0),0)</f>
        <v>0</v>
      </c>
      <c r="L1947" s="1845"/>
      <c r="M1947" s="1845"/>
      <c r="N1947" s="1845"/>
      <c r="O1947" s="1845"/>
      <c r="P1947" s="1845">
        <f t="shared" si="358"/>
        <v>0</v>
      </c>
      <c r="Q1947" s="1061"/>
      <c r="R1947" s="1061"/>
      <c r="S1947" s="1061"/>
      <c r="T1947" s="2059">
        <f>IFERROR(HLOOKUP(B1947,pp3p1m!197:199,3,0),0)</f>
        <v>0</v>
      </c>
    </row>
    <row r="1948" spans="1:20" ht="22.15" hidden="1" customHeight="1">
      <c r="A1948" s="59"/>
      <c r="B1948" s="1586" t="s">
        <v>354</v>
      </c>
      <c r="C1948" s="1015" t="str">
        <f t="shared" si="357"/>
        <v xml:space="preserve"> </v>
      </c>
      <c r="D1948" s="1541"/>
      <c r="E1948" s="1047" t="str">
        <f>VLOOKUP($B1948,DG!A:D,DG!$B$2,)</f>
        <v>06.5082</v>
      </c>
      <c r="F1948" s="1052" t="str">
        <f>VLOOKUP($B1948,DG!A:D,DG!$C$2,)</f>
        <v>Kéo dây qua sông ( S&lt;=300)</v>
      </c>
      <c r="G1948" s="1047" t="str">
        <f>VLOOKUP($B1948,DG!A:D,DG!$D$2,)</f>
        <v>vị trí</v>
      </c>
      <c r="H1948" s="1845">
        <f t="shared" si="355"/>
        <v>0</v>
      </c>
      <c r="I1948" s="1845"/>
      <c r="J1948" s="1845"/>
      <c r="K1948" s="1844">
        <f>IFERROR(HLOOKUP(B1948,pp3p1m!$1:$3,3,0),0)</f>
        <v>0</v>
      </c>
      <c r="L1948" s="1845"/>
      <c r="M1948" s="1845"/>
      <c r="N1948" s="1845"/>
      <c r="O1948" s="1845"/>
      <c r="P1948" s="1845">
        <f t="shared" si="358"/>
        <v>0</v>
      </c>
      <c r="Q1948" s="1061"/>
      <c r="R1948" s="1061"/>
      <c r="S1948" s="1061"/>
      <c r="T1948" s="2059">
        <f>IFERROR(HLOOKUP(B1948,pp3p1m!198:200,3,0),0)</f>
        <v>0</v>
      </c>
    </row>
    <row r="1949" spans="1:20" ht="22.15" hidden="1" customHeight="1">
      <c r="A1949" s="59"/>
      <c r="B1949" s="1586" t="s">
        <v>355</v>
      </c>
      <c r="C1949" s="1015" t="str">
        <f t="shared" si="357"/>
        <v xml:space="preserve"> </v>
      </c>
      <c r="D1949" s="1543"/>
      <c r="E1949" s="1047" t="str">
        <f>VLOOKUP($B1949,DG!A:D,DG!$B$2,)</f>
        <v>02.1122</v>
      </c>
      <c r="F1949" s="1052" t="str">
        <f>VLOOKUP($B1949,DG!A:D,DG!$C$2,)</f>
        <v>Bốc dỡ dây</v>
      </c>
      <c r="G1949" s="1047" t="str">
        <f>VLOOKUP($B1949,DG!A:D,DG!$D$2,)</f>
        <v>tấn</v>
      </c>
      <c r="H1949" s="1845">
        <f t="shared" si="355"/>
        <v>0</v>
      </c>
      <c r="I1949" s="1845"/>
      <c r="J1949" s="1845"/>
      <c r="K1949" s="1844">
        <f>IFERROR(HLOOKUP(B1949,pp3p1m!$1:$3,3,0),0)</f>
        <v>0</v>
      </c>
      <c r="L1949" s="1845"/>
      <c r="M1949" s="1845"/>
      <c r="N1949" s="1845"/>
      <c r="O1949" s="1845"/>
      <c r="P1949" s="1845">
        <f t="shared" si="358"/>
        <v>0</v>
      </c>
      <c r="Q1949" s="1061"/>
      <c r="R1949" s="1061"/>
      <c r="S1949" s="1061"/>
      <c r="T1949" s="2059">
        <f>IFERROR(HLOOKUP(B1949,pp3p1m!199:201,3,0),0)</f>
        <v>0</v>
      </c>
    </row>
    <row r="1950" spans="1:20" ht="22.15" hidden="1" customHeight="1">
      <c r="A1950" s="59"/>
      <c r="B1950" s="1586" t="s">
        <v>1908</v>
      </c>
      <c r="C1950" s="1015" t="str">
        <f t="shared" si="357"/>
        <v xml:space="preserve"> </v>
      </c>
      <c r="D1950" s="1543"/>
      <c r="E1950" s="1047" t="str">
        <f>VLOOKUP($B1950,DG!A:D,DG!$B$2,)</f>
        <v>02.1120</v>
      </c>
      <c r="F1950" s="1052" t="str">
        <f>VLOOKUP($B1950,DG!A:D,DG!$C$2,)</f>
        <v>Bốc dỡ phụ kiện</v>
      </c>
      <c r="G1950" s="1047" t="str">
        <f>VLOOKUP($B1950,DG!A:D,DG!$D$2,)</f>
        <v>tấn</v>
      </c>
      <c r="H1950" s="1845">
        <f t="shared" si="355"/>
        <v>0</v>
      </c>
      <c r="I1950" s="1845"/>
      <c r="J1950" s="1845"/>
      <c r="K1950" s="1844">
        <f>IFERROR(HLOOKUP(B1950,pp3p1m!$1:$3,3,0),0)</f>
        <v>0</v>
      </c>
      <c r="L1950" s="1845"/>
      <c r="M1950" s="1845"/>
      <c r="N1950" s="1845"/>
      <c r="O1950" s="1845"/>
      <c r="P1950" s="1845">
        <f t="shared" si="358"/>
        <v>0</v>
      </c>
      <c r="Q1950" s="1061"/>
      <c r="R1950" s="1061"/>
      <c r="S1950" s="1061"/>
      <c r="T1950" s="2059">
        <f>IFERROR(HLOOKUP(B1950,pp3p1m!200:202,3,0),0)</f>
        <v>0</v>
      </c>
    </row>
    <row r="1951" spans="1:20" ht="22.15" hidden="1" customHeight="1">
      <c r="A1951" s="59"/>
      <c r="B1951" s="1600" t="s">
        <v>356</v>
      </c>
      <c r="C1951" s="1015" t="str">
        <f t="shared" si="357"/>
        <v xml:space="preserve"> </v>
      </c>
      <c r="D1951" s="1559"/>
      <c r="E1951" s="1047" t="str">
        <f>VLOOKUP($B1951,DG!A:D,DG!$B$2,)</f>
        <v>02.1421</v>
      </c>
      <c r="F1951" s="1052" t="str">
        <f>VLOOKUP($B1951,DG!A:D,DG!$C$2,)</f>
        <v>V/c phụ kiện vào vị trí (cự ly &lt;=100m)</v>
      </c>
      <c r="G1951" s="1047" t="str">
        <f>VLOOKUP($B1951,DG!A:D,DG!$D$2,)</f>
        <v>tấn</v>
      </c>
      <c r="H1951" s="1845">
        <f t="shared" si="355"/>
        <v>0</v>
      </c>
      <c r="I1951" s="1845"/>
      <c r="J1951" s="1845"/>
      <c r="K1951" s="1844">
        <f>IFERROR(HLOOKUP(B1951,pp3p1m!$1:$3,3,0),0)</f>
        <v>0</v>
      </c>
      <c r="L1951" s="1845"/>
      <c r="M1951" s="1845"/>
      <c r="N1951" s="1845"/>
      <c r="O1951" s="1845"/>
      <c r="P1951" s="1845">
        <f t="shared" si="358"/>
        <v>0</v>
      </c>
      <c r="Q1951" s="1061"/>
      <c r="R1951" s="1061"/>
      <c r="S1951" s="1061"/>
      <c r="T1951" s="2059">
        <f>IFERROR(HLOOKUP(B1951,pp3p1m!201:203,3,0),0)</f>
        <v>0</v>
      </c>
    </row>
    <row r="1952" spans="1:20" ht="22.15" hidden="1" customHeight="1">
      <c r="A1952" s="59"/>
      <c r="B1952" s="1600" t="s">
        <v>357</v>
      </c>
      <c r="C1952" s="1015" t="str">
        <f t="shared" si="357"/>
        <v xml:space="preserve"> </v>
      </c>
      <c r="D1952" s="1559"/>
      <c r="E1952" s="1047" t="str">
        <f>VLOOKUP($B1952,DG!A:D,DG!$B$2,)</f>
        <v>02.1441</v>
      </c>
      <c r="F1952" s="1052" t="str">
        <f>VLOOKUP($B1952,DG!A:D,DG!$C$2,)</f>
        <v>V/c dây vào vị trí (cự ly &lt;=100m)</v>
      </c>
      <c r="G1952" s="1047" t="str">
        <f>VLOOKUP($B1952,DG!A:D,DG!$D$2,)</f>
        <v>tấn</v>
      </c>
      <c r="H1952" s="1845">
        <f t="shared" si="355"/>
        <v>0</v>
      </c>
      <c r="I1952" s="1845"/>
      <c r="J1952" s="1845"/>
      <c r="K1952" s="1844">
        <f>IFERROR(HLOOKUP(B1952,pp3p1m!$1:$3,3,0),0)</f>
        <v>0</v>
      </c>
      <c r="L1952" s="1845"/>
      <c r="M1952" s="1845"/>
      <c r="N1952" s="1845"/>
      <c r="O1952" s="1845"/>
      <c r="P1952" s="1845">
        <f t="shared" si="358"/>
        <v>0</v>
      </c>
      <c r="Q1952" s="1061"/>
      <c r="R1952" s="1061"/>
      <c r="S1952" s="1061"/>
      <c r="T1952" s="2059">
        <f>IFERROR(HLOOKUP(B1952,pp3p1m!202:204,3,0),0)</f>
        <v>0</v>
      </c>
    </row>
    <row r="1953" spans="1:20" ht="22.15" hidden="1" customHeight="1">
      <c r="A1953" s="59"/>
      <c r="B1953" s="1598" t="s">
        <v>606</v>
      </c>
      <c r="C1953" s="1015" t="str">
        <f t="shared" si="357"/>
        <v xml:space="preserve"> </v>
      </c>
      <c r="D1953" s="1559"/>
      <c r="E1953" s="1047" t="str">
        <f>VLOOKUP($B1953,DG!A:D,DG!$B$2,)</f>
        <v>02.1482</v>
      </c>
      <c r="F1953" s="1052" t="str">
        <f>VLOOKUP($B1953,DG!A:D,DG!$C$2,)</f>
        <v>V/c dụng cụ thi công vào vị trí (cự ly &lt;=100m)</v>
      </c>
      <c r="G1953" s="1047" t="str">
        <f>VLOOKUP($B1953,DG!A:D,DG!$D$2,)</f>
        <v>tấn</v>
      </c>
      <c r="H1953" s="1845">
        <f t="shared" si="355"/>
        <v>0</v>
      </c>
      <c r="I1953" s="1845"/>
      <c r="J1953" s="1845"/>
      <c r="K1953" s="1844">
        <f>IFERROR(HLOOKUP(B1953,pp3p1m!$1:$3,3,0),0)</f>
        <v>0</v>
      </c>
      <c r="L1953" s="1845"/>
      <c r="M1953" s="1845"/>
      <c r="N1953" s="1845"/>
      <c r="O1953" s="1845"/>
      <c r="P1953" s="1845">
        <f t="shared" si="358"/>
        <v>0</v>
      </c>
      <c r="Q1953" s="1061"/>
      <c r="R1953" s="1061"/>
      <c r="S1953" s="1061"/>
      <c r="T1953" s="2059">
        <f>IFERROR(HLOOKUP(B1953,pp3p1m!203:205,3,0),0)</f>
        <v>0</v>
      </c>
    </row>
    <row r="1954" spans="1:20" ht="22.15" hidden="1" customHeight="1">
      <c r="A1954" s="56" t="s">
        <v>1984</v>
      </c>
      <c r="B1954" s="1583" t="s">
        <v>1984</v>
      </c>
      <c r="C1954" s="1015" t="str">
        <f t="shared" si="357"/>
        <v xml:space="preserve"> </v>
      </c>
      <c r="D1954" s="1541"/>
      <c r="E1954" s="1049" t="s">
        <v>2178</v>
      </c>
      <c r="F1954" s="1396" t="s">
        <v>4575</v>
      </c>
      <c r="G1954" s="1049" t="s">
        <v>2309</v>
      </c>
      <c r="H1954" s="1843">
        <f>SUM(I1954:O1954)</f>
        <v>0</v>
      </c>
      <c r="I1954" s="1844"/>
      <c r="J1954" s="1844"/>
      <c r="K1954" s="1844"/>
      <c r="L1954" s="1844">
        <f>IF(SUM(L1955:L1957)&gt;0,1,0)</f>
        <v>0</v>
      </c>
      <c r="M1954" s="1844"/>
      <c r="N1954" s="1844"/>
      <c r="O1954" s="1844"/>
      <c r="P1954" s="1844"/>
      <c r="Q1954" s="1050"/>
      <c r="R1954" s="1050"/>
      <c r="S1954" s="1050"/>
      <c r="T1954" s="2059">
        <f>IFERROR(HLOOKUP(B1954,pp1p!$1:$3,3,0),0)</f>
        <v>0</v>
      </c>
    </row>
    <row r="1955" spans="1:20" ht="22.15" hidden="1" customHeight="1">
      <c r="A1955" s="59"/>
      <c r="B1955" s="1586" t="s">
        <v>1244</v>
      </c>
      <c r="C1955" s="1015" t="str">
        <f t="shared" si="357"/>
        <v xml:space="preserve"> </v>
      </c>
      <c r="D1955" s="1544">
        <f>ROUND(E1955*1.03*0.276,2)</f>
        <v>0</v>
      </c>
      <c r="E1955" s="1064">
        <f>pp1p!C97</f>
        <v>0</v>
      </c>
      <c r="F1955" s="1059" t="str">
        <f>VLOOKUP($B1955,DG!A:D,DG!$C$2,)</f>
        <v>Cáp nhôm lõi thép AC-70/11</v>
      </c>
      <c r="G1955" s="1047" t="str">
        <f>VLOOKUP($B1955,DG!A:D,DG!$D$2,)</f>
        <v>kg</v>
      </c>
      <c r="H1955" s="1845">
        <f>L1955</f>
        <v>0</v>
      </c>
      <c r="I1955" s="1845"/>
      <c r="J1955" s="1845"/>
      <c r="K1955" s="1845">
        <f>D1955</f>
        <v>0</v>
      </c>
      <c r="L1955" s="1844">
        <f>IFERROR(HLOOKUP(chitiet!B1955,pp1p!$1:$3,3,0),0)</f>
        <v>0</v>
      </c>
      <c r="M1955" s="1845"/>
      <c r="N1955" s="1845"/>
      <c r="O1955" s="1845"/>
      <c r="P1955" s="1845">
        <f t="shared" ref="P1955:P2014" si="360">H1955+Q1955-R1955</f>
        <v>0</v>
      </c>
      <c r="Q1955" s="1056"/>
      <c r="R1955" s="1056"/>
      <c r="S1955" s="1056"/>
      <c r="T1955" s="2059">
        <f>IFERROR(HLOOKUP(B1955,pp1p!$1:$3,3,0),0)</f>
        <v>0</v>
      </c>
    </row>
    <row r="1956" spans="1:20" ht="22.15" hidden="1" customHeight="1">
      <c r="A1956" s="59"/>
      <c r="B1956" s="1586" t="s">
        <v>88</v>
      </c>
      <c r="C1956" s="1015" t="str">
        <f t="shared" si="357"/>
        <v xml:space="preserve"> </v>
      </c>
      <c r="D1956" s="1550">
        <f>ROUND(E1956*1.02*0.195,2)</f>
        <v>0</v>
      </c>
      <c r="E1956" s="1064">
        <f>pp1p!C98</f>
        <v>0</v>
      </c>
      <c r="F1956" s="1059" t="str">
        <f>VLOOKUP($B1956,DG!A:D,DG!$C$2,)</f>
        <v>Cáp nhôm lõi thép AC-50/8</v>
      </c>
      <c r="G1956" s="1047" t="str">
        <f>VLOOKUP($B1956,DG!A:D,DG!$D$2,)</f>
        <v>kg</v>
      </c>
      <c r="H1956" s="1970">
        <f>D1956</f>
        <v>0</v>
      </c>
      <c r="I1956" s="1969"/>
      <c r="J1956" s="1969"/>
      <c r="K1956" s="1969"/>
      <c r="L1956" s="2170">
        <f>IFERROR(HLOOKUP(chitiet!B1956,pp1p!$1:$3,3,0),0)</f>
        <v>0</v>
      </c>
      <c r="M1956" s="1969"/>
      <c r="N1956" s="1969"/>
      <c r="O1956" s="1969"/>
      <c r="P1956" s="1970">
        <f t="shared" si="360"/>
        <v>0</v>
      </c>
      <c r="Q1956" s="1056"/>
      <c r="R1956" s="1056"/>
      <c r="S1956" s="1056"/>
      <c r="T1956" s="2059">
        <f>IFERROR(HLOOKUP(B1956,pp1p!$1:$3,3,0),0)</f>
        <v>0</v>
      </c>
    </row>
    <row r="1957" spans="1:20" ht="22.15" hidden="1" customHeight="1">
      <c r="A1957" s="59"/>
      <c r="B1957" s="1586" t="s">
        <v>360</v>
      </c>
      <c r="C1957" s="1015" t="str">
        <f t="shared" si="357"/>
        <v xml:space="preserve"> </v>
      </c>
      <c r="D1957" s="1544">
        <f>ROUND(E1957*1.03,2)</f>
        <v>0</v>
      </c>
      <c r="E1957" s="1064">
        <f>pp1p!C101</f>
        <v>0</v>
      </c>
      <c r="F1957" s="1059" t="str">
        <f>VLOOKUP($B1957,DG!A:D,DG!$C$2,)</f>
        <v>Cáp 24KV ACX 50mm2</v>
      </c>
      <c r="G1957" s="1047" t="str">
        <f>VLOOKUP($B1957,DG!A:D,DG!$D$2,)</f>
        <v>mét</v>
      </c>
      <c r="H1957" s="1970">
        <f>D1957</f>
        <v>0</v>
      </c>
      <c r="I1957" s="1969"/>
      <c r="J1957" s="1969"/>
      <c r="K1957" s="1969"/>
      <c r="L1957" s="2170">
        <f>IFERROR(HLOOKUP(chitiet!B1957,pp1p!$1:$3,3,0),0)</f>
        <v>0</v>
      </c>
      <c r="M1957" s="1969"/>
      <c r="N1957" s="1969"/>
      <c r="O1957" s="1969"/>
      <c r="P1957" s="1970">
        <f t="shared" si="360"/>
        <v>0</v>
      </c>
      <c r="Q1957" s="1056"/>
      <c r="R1957" s="1056"/>
      <c r="S1957" s="1056"/>
      <c r="T1957" s="2059">
        <f>IFERROR(HLOOKUP(B1957,pp1p!$1:$3,3,0),0)</f>
        <v>0</v>
      </c>
    </row>
    <row r="1958" spans="1:20" ht="22.15" hidden="1" customHeight="1">
      <c r="A1958" s="59"/>
      <c r="B1958" s="1606" t="s">
        <v>2508</v>
      </c>
      <c r="C1958" s="1015" t="str">
        <f t="shared" si="357"/>
        <v xml:space="preserve"> </v>
      </c>
      <c r="D1958" s="1557">
        <f>pp1p!BX94</f>
        <v>0</v>
      </c>
      <c r="E1958" s="1047"/>
      <c r="F1958" s="1065" t="s">
        <v>2509</v>
      </c>
      <c r="G1958" s="1066" t="s">
        <v>2448</v>
      </c>
      <c r="H1958" s="1845">
        <f t="shared" ref="H1958:H1964" si="361">D1958</f>
        <v>0</v>
      </c>
      <c r="I1958" s="1845"/>
      <c r="J1958" s="1845"/>
      <c r="K1958" s="1845"/>
      <c r="L1958" s="1844">
        <f>IFERROR(HLOOKUP(chitiet!B1958,pp1p!$1:$3,3,0),0)</f>
        <v>0</v>
      </c>
      <c r="M1958" s="1845"/>
      <c r="N1958" s="1845"/>
      <c r="O1958" s="1845"/>
      <c r="P1958" s="1845">
        <f t="shared" si="360"/>
        <v>0</v>
      </c>
      <c r="Q1958" s="1056"/>
      <c r="R1958" s="1056"/>
      <c r="S1958" s="1056"/>
      <c r="T1958" s="2059">
        <f>IFERROR(HLOOKUP(B1958,pp1p!$1:$3,3,0),0)</f>
        <v>0</v>
      </c>
    </row>
    <row r="1959" spans="1:20" ht="22.15" hidden="1" customHeight="1">
      <c r="A1959" s="59"/>
      <c r="B1959" s="1586" t="s">
        <v>1915</v>
      </c>
      <c r="C1959" s="1015" t="str">
        <f t="shared" si="357"/>
        <v xml:space="preserve"> </v>
      </c>
      <c r="D1959" s="1544">
        <f>D1958</f>
        <v>0</v>
      </c>
      <c r="E1959" s="1047"/>
      <c r="F1959" s="1059" t="str">
        <f>VLOOKUP($B1959,DG!A:D,DG!$C$2,)</f>
        <v>Uclevis + sứ ống chỉ</v>
      </c>
      <c r="G1959" s="1047" t="str">
        <f>VLOOKUP($B1959,DG!A:D,DG!$D$2,)</f>
        <v>bộ</v>
      </c>
      <c r="H1959" s="1845">
        <f t="shared" si="361"/>
        <v>0</v>
      </c>
      <c r="I1959" s="1845"/>
      <c r="J1959" s="1845"/>
      <c r="K1959" s="1845"/>
      <c r="L1959" s="1845">
        <f t="shared" ref="L1959:L2002" si="362">H1959</f>
        <v>0</v>
      </c>
      <c r="M1959" s="1845"/>
      <c r="N1959" s="1845"/>
      <c r="O1959" s="1845"/>
      <c r="P1959" s="1845">
        <f t="shared" si="360"/>
        <v>0</v>
      </c>
      <c r="Q1959" s="1056"/>
      <c r="R1959" s="1056"/>
      <c r="S1959" s="1056"/>
      <c r="T1959" s="2059">
        <f>IFERROR(HLOOKUP(B1959,pp1p!$1:$3,3,0),0)</f>
        <v>0</v>
      </c>
    </row>
    <row r="1960" spans="1:20" ht="22.15" hidden="1" customHeight="1">
      <c r="A1960" s="59"/>
      <c r="B1960" s="1586" t="s">
        <v>1615</v>
      </c>
      <c r="C1960" s="1015" t="str">
        <f t="shared" si="357"/>
        <v xml:space="preserve"> </v>
      </c>
      <c r="D1960" s="1544">
        <f>D1958</f>
        <v>0</v>
      </c>
      <c r="E1960" s="1047"/>
      <c r="F1960" s="1059" t="str">
        <f>VLOOKUP($B1960,DG!A:D,DG!$C$2,)</f>
        <v>Boulon 16x300+ 2 long đền vuông D18-50x50x3/Zn</v>
      </c>
      <c r="G1960" s="1047" t="str">
        <f>VLOOKUP($B1960,DG!A:D,DG!$D$2,)</f>
        <v>bộ</v>
      </c>
      <c r="H1960" s="1845">
        <f t="shared" si="361"/>
        <v>0</v>
      </c>
      <c r="I1960" s="1845"/>
      <c r="J1960" s="1845"/>
      <c r="K1960" s="1845"/>
      <c r="L1960" s="1845">
        <f t="shared" si="362"/>
        <v>0</v>
      </c>
      <c r="M1960" s="1845"/>
      <c r="N1960" s="1845"/>
      <c r="O1960" s="1845"/>
      <c r="P1960" s="1845">
        <f t="shared" si="360"/>
        <v>0</v>
      </c>
      <c r="Q1960" s="1056"/>
      <c r="R1960" s="1056"/>
      <c r="S1960" s="1056"/>
      <c r="T1960" s="2059">
        <f>IFERROR(HLOOKUP(B1960,pp1p!$1:$3,3,0),0)</f>
        <v>0</v>
      </c>
    </row>
    <row r="1961" spans="1:20" ht="22.15" hidden="1" customHeight="1">
      <c r="A1961" s="59"/>
      <c r="B1961" s="1606" t="s">
        <v>1626</v>
      </c>
      <c r="C1961" s="1015" t="str">
        <f t="shared" si="357"/>
        <v xml:space="preserve"> </v>
      </c>
      <c r="D1961" s="1557">
        <f>pp1p!BY94</f>
        <v>0</v>
      </c>
      <c r="E1961" s="1047"/>
      <c r="F1961" s="1065" t="s">
        <v>2510</v>
      </c>
      <c r="G1961" s="1066" t="s">
        <v>2448</v>
      </c>
      <c r="H1961" s="1845">
        <f t="shared" si="361"/>
        <v>0</v>
      </c>
      <c r="I1961" s="1845"/>
      <c r="J1961" s="1845"/>
      <c r="K1961" s="1845"/>
      <c r="L1961" s="1844">
        <f>IFERROR(HLOOKUP(chitiet!B1961,pp1p!$1:$3,3,0),0)</f>
        <v>0</v>
      </c>
      <c r="M1961" s="1845"/>
      <c r="N1961" s="1845"/>
      <c r="O1961" s="1845"/>
      <c r="P1961" s="1845">
        <f t="shared" si="360"/>
        <v>0</v>
      </c>
      <c r="Q1961" s="1056"/>
      <c r="R1961" s="1056"/>
      <c r="S1961" s="1056"/>
      <c r="T1961" s="2059">
        <f>IFERROR(HLOOKUP(B1961,pp1p!$1:$3,3,0),0)</f>
        <v>0</v>
      </c>
    </row>
    <row r="1962" spans="1:20" ht="22.15" hidden="1" customHeight="1">
      <c r="A1962" s="59"/>
      <c r="B1962" s="1586" t="s">
        <v>1915</v>
      </c>
      <c r="C1962" s="1015" t="str">
        <f t="shared" si="357"/>
        <v xml:space="preserve"> </v>
      </c>
      <c r="D1962" s="1544">
        <f>D1961</f>
        <v>0</v>
      </c>
      <c r="E1962" s="1047"/>
      <c r="F1962" s="1059" t="str">
        <f>VLOOKUP($B1962,DG!A:D,DG!$C$2,)</f>
        <v>Uclevis + sứ ống chỉ</v>
      </c>
      <c r="G1962" s="1047" t="str">
        <f>VLOOKUP($B1962,DG!A:D,DG!$D$2,)</f>
        <v>bộ</v>
      </c>
      <c r="H1962" s="1845">
        <f t="shared" si="361"/>
        <v>0</v>
      </c>
      <c r="I1962" s="1845"/>
      <c r="J1962" s="1845"/>
      <c r="K1962" s="1845"/>
      <c r="L1962" s="1845">
        <f t="shared" si="362"/>
        <v>0</v>
      </c>
      <c r="M1962" s="1845"/>
      <c r="N1962" s="1845"/>
      <c r="O1962" s="1845"/>
      <c r="P1962" s="1845">
        <f t="shared" si="360"/>
        <v>0</v>
      </c>
      <c r="Q1962" s="1056"/>
      <c r="R1962" s="1056"/>
      <c r="S1962" s="1056"/>
      <c r="T1962" s="2059">
        <f>IFERROR(HLOOKUP(B1962,pp1p!$1:$3,3,0),0)</f>
        <v>0</v>
      </c>
    </row>
    <row r="1963" spans="1:20" ht="22.15" hidden="1" customHeight="1">
      <c r="A1963" s="59"/>
      <c r="B1963" s="1586" t="s">
        <v>1615</v>
      </c>
      <c r="C1963" s="1015" t="str">
        <f t="shared" si="357"/>
        <v xml:space="preserve"> </v>
      </c>
      <c r="D1963" s="1544">
        <f>D1961</f>
        <v>0</v>
      </c>
      <c r="E1963" s="1047"/>
      <c r="F1963" s="1059" t="str">
        <f>VLOOKUP($B1963,DG!A:D,DG!$C$2,)</f>
        <v>Boulon 16x300+ 2 long đền vuông D18-50x50x3/Zn</v>
      </c>
      <c r="G1963" s="1047" t="str">
        <f>VLOOKUP($B1963,DG!A:D,DG!$D$2,)</f>
        <v>bộ</v>
      </c>
      <c r="H1963" s="1845">
        <f t="shared" si="361"/>
        <v>0</v>
      </c>
      <c r="I1963" s="1845"/>
      <c r="J1963" s="1845"/>
      <c r="K1963" s="1845"/>
      <c r="L1963" s="1845">
        <f t="shared" si="362"/>
        <v>0</v>
      </c>
      <c r="M1963" s="1845"/>
      <c r="N1963" s="1845"/>
      <c r="O1963" s="1845"/>
      <c r="P1963" s="1845">
        <f t="shared" si="360"/>
        <v>0</v>
      </c>
      <c r="Q1963" s="1056"/>
      <c r="R1963" s="1056"/>
      <c r="S1963" s="1056"/>
      <c r="T1963" s="2059">
        <f>IFERROR(HLOOKUP(B1963,pp1p!$1:$3,3,0),0)</f>
        <v>0</v>
      </c>
    </row>
    <row r="1964" spans="1:20" ht="22.15" hidden="1" customHeight="1">
      <c r="A1964" s="59"/>
      <c r="B1964" s="1586" t="s">
        <v>1857</v>
      </c>
      <c r="C1964" s="1015" t="str">
        <f t="shared" si="357"/>
        <v xml:space="preserve"> </v>
      </c>
      <c r="D1964" s="1544">
        <f>D1961*6</f>
        <v>0</v>
      </c>
      <c r="E1964" s="1047"/>
      <c r="F1964" s="1059" t="str">
        <f>VLOOKUP($B1964,DG!A:D,DG!$C$2,)</f>
        <v>Kẹp 2 rãnh (APC) cỡ dây 50mm2</v>
      </c>
      <c r="G1964" s="1047" t="str">
        <f>VLOOKUP($B1964,DG!A:D,DG!$D$2,)</f>
        <v>cái</v>
      </c>
      <c r="H1964" s="1845">
        <f t="shared" si="361"/>
        <v>0</v>
      </c>
      <c r="I1964" s="1845"/>
      <c r="J1964" s="1845"/>
      <c r="K1964" s="1845"/>
      <c r="L1964" s="1845">
        <f t="shared" si="362"/>
        <v>0</v>
      </c>
      <c r="M1964" s="1845"/>
      <c r="N1964" s="1845"/>
      <c r="O1964" s="1845"/>
      <c r="P1964" s="1845">
        <f t="shared" si="360"/>
        <v>0</v>
      </c>
      <c r="Q1964" s="1056"/>
      <c r="R1964" s="1056"/>
      <c r="S1964" s="1056"/>
      <c r="T1964" s="2059">
        <f>IFERROR(HLOOKUP(B1964,pp1p!$1:$3,3,0),0)</f>
        <v>0</v>
      </c>
    </row>
    <row r="1965" spans="1:20" ht="22.15" hidden="1" customHeight="1">
      <c r="A1965" s="59"/>
      <c r="B1965" s="1606" t="s">
        <v>1627</v>
      </c>
      <c r="C1965" s="1015" t="str">
        <f t="shared" si="357"/>
        <v xml:space="preserve"> </v>
      </c>
      <c r="D1965" s="1557">
        <f>pp1p!BZ94</f>
        <v>0</v>
      </c>
      <c r="E1965" s="1047"/>
      <c r="F1965" s="1065" t="s">
        <v>2511</v>
      </c>
      <c r="G1965" s="1066" t="s">
        <v>2448</v>
      </c>
      <c r="H1965" s="1845">
        <f>$D1965</f>
        <v>0</v>
      </c>
      <c r="I1965" s="1845"/>
      <c r="J1965" s="1845"/>
      <c r="K1965" s="1845">
        <f>D1965*0</f>
        <v>0</v>
      </c>
      <c r="L1965" s="1844">
        <f>IFERROR(HLOOKUP(chitiet!B1965,pp1p!$1:$3,3,0),0)</f>
        <v>0</v>
      </c>
      <c r="M1965" s="1845"/>
      <c r="N1965" s="1845"/>
      <c r="O1965" s="1845"/>
      <c r="P1965" s="1845">
        <f t="shared" si="360"/>
        <v>0</v>
      </c>
      <c r="Q1965" s="1056"/>
      <c r="R1965" s="1056"/>
      <c r="S1965" s="1056"/>
      <c r="T1965" s="2059">
        <f>IFERROR(HLOOKUP(B1965,pp1p!$1:$3,3,0),0)</f>
        <v>0</v>
      </c>
    </row>
    <row r="1966" spans="1:20" ht="22.15" hidden="1" customHeight="1">
      <c r="A1966" s="59"/>
      <c r="B1966" s="1607" t="s">
        <v>906</v>
      </c>
      <c r="C1966" s="1015" t="str">
        <f t="shared" si="357"/>
        <v xml:space="preserve"> </v>
      </c>
      <c r="D1966" s="1544">
        <f>D1965</f>
        <v>0</v>
      </c>
      <c r="E1966" s="1047"/>
      <c r="F1966" s="1059" t="str">
        <f>VLOOKUP($B1966,DG!A:D,DG!$C$2,)</f>
        <v>Khóa néo dây cỡ dây 50</v>
      </c>
      <c r="G1966" s="1047" t="s">
        <v>2566</v>
      </c>
      <c r="H1966" s="1845">
        <f>$D1966</f>
        <v>0</v>
      </c>
      <c r="I1966" s="1845"/>
      <c r="J1966" s="1845"/>
      <c r="K1966" s="1845">
        <f>D1966*0</f>
        <v>0</v>
      </c>
      <c r="L1966" s="1845"/>
      <c r="M1966" s="1845"/>
      <c r="N1966" s="1845"/>
      <c r="O1966" s="1845"/>
      <c r="P1966" s="1845">
        <f t="shared" si="360"/>
        <v>0</v>
      </c>
      <c r="Q1966" s="1056"/>
      <c r="R1966" s="1056"/>
      <c r="S1966" s="1056"/>
      <c r="T1966" s="2059">
        <f>IFERROR(HLOOKUP(B1966,pp1p!$1:$3,3,0),0)</f>
        <v>0</v>
      </c>
    </row>
    <row r="1967" spans="1:20" ht="22.15" hidden="1" customHeight="1">
      <c r="A1967" s="59"/>
      <c r="B1967" s="1586" t="s">
        <v>1491</v>
      </c>
      <c r="C1967" s="1015" t="str">
        <f t="shared" si="357"/>
        <v xml:space="preserve"> </v>
      </c>
      <c r="D1967" s="1544">
        <f>D1965*2</f>
        <v>0</v>
      </c>
      <c r="E1967" s="1047"/>
      <c r="F1967" s="1059" t="str">
        <f>VLOOKUP($B1967,DG!A:D,DG!$C$2,)</f>
        <v xml:space="preserve">Móc treo chữ U </v>
      </c>
      <c r="G1967" s="1047" t="s">
        <v>2566</v>
      </c>
      <c r="H1967" s="1845">
        <f>$D1967</f>
        <v>0</v>
      </c>
      <c r="I1967" s="1845"/>
      <c r="J1967" s="1845"/>
      <c r="K1967" s="1845">
        <f>D1967*0</f>
        <v>0</v>
      </c>
      <c r="L1967" s="1845"/>
      <c r="M1967" s="1845"/>
      <c r="N1967" s="1845"/>
      <c r="O1967" s="1845"/>
      <c r="P1967" s="1845">
        <f t="shared" si="360"/>
        <v>0</v>
      </c>
      <c r="Q1967" s="1056"/>
      <c r="R1967" s="1056"/>
      <c r="S1967" s="1056"/>
      <c r="T1967" s="2059">
        <f>IFERROR(HLOOKUP(B1967,pp1p!$1:$3,3,0),0)</f>
        <v>0</v>
      </c>
    </row>
    <row r="1968" spans="1:20" ht="22.15" hidden="1" customHeight="1">
      <c r="A1968" s="59"/>
      <c r="B1968" s="1586" t="s">
        <v>417</v>
      </c>
      <c r="C1968" s="1015" t="str">
        <f t="shared" si="357"/>
        <v xml:space="preserve"> </v>
      </c>
      <c r="D1968" s="1544">
        <f>D1966</f>
        <v>0</v>
      </c>
      <c r="E1968" s="1047"/>
      <c r="F1968" s="1059" t="str">
        <f>VLOOKUP($B1968,DG!A:D,DG!$C$2,)</f>
        <v>Boulon mắt 16x300+ 2 long đền vuông D18-50x50x3/Zn</v>
      </c>
      <c r="G1968" s="1047" t="s">
        <v>2448</v>
      </c>
      <c r="H1968" s="1845">
        <f>$D1968</f>
        <v>0</v>
      </c>
      <c r="I1968" s="1845"/>
      <c r="J1968" s="1845"/>
      <c r="K1968" s="1845">
        <f>D1968*0</f>
        <v>0</v>
      </c>
      <c r="L1968" s="1845"/>
      <c r="M1968" s="1845"/>
      <c r="N1968" s="1845"/>
      <c r="O1968" s="1845"/>
      <c r="P1968" s="1845">
        <f t="shared" si="360"/>
        <v>0</v>
      </c>
      <c r="Q1968" s="1056"/>
      <c r="R1968" s="1056"/>
      <c r="S1968" s="1056"/>
      <c r="T1968" s="2059">
        <f>IFERROR(HLOOKUP(B1968,pp1p!$1:$3,3,0),0)</f>
        <v>0</v>
      </c>
    </row>
    <row r="1969" spans="1:20" ht="22.15" hidden="1" customHeight="1">
      <c r="A1969" s="59"/>
      <c r="B1969" s="1586" t="s">
        <v>1584</v>
      </c>
      <c r="C1969" s="1015" t="str">
        <f t="shared" si="357"/>
        <v xml:space="preserve"> </v>
      </c>
      <c r="D1969" s="1544">
        <f>D1965</f>
        <v>0</v>
      </c>
      <c r="E1969" s="1047"/>
      <c r="F1969" s="1059" t="str">
        <f>VLOOKUP($B1969,DG!A:D,DG!$C$2,)</f>
        <v>Kẹp ép WR cỡ dây 50mm2</v>
      </c>
      <c r="G1969" s="1047" t="s">
        <v>2566</v>
      </c>
      <c r="H1969" s="1845">
        <f>$D1969</f>
        <v>0</v>
      </c>
      <c r="I1969" s="1845"/>
      <c r="J1969" s="1845"/>
      <c r="K1969" s="1845">
        <f>D1969*0</f>
        <v>0</v>
      </c>
      <c r="L1969" s="1845"/>
      <c r="M1969" s="1845"/>
      <c r="N1969" s="1845"/>
      <c r="O1969" s="1845"/>
      <c r="P1969" s="1845">
        <f t="shared" si="360"/>
        <v>0</v>
      </c>
      <c r="Q1969" s="1056"/>
      <c r="R1969" s="1056"/>
      <c r="S1969" s="1056"/>
      <c r="T1969" s="2059">
        <f>IFERROR(HLOOKUP(B1969,pp1p!$1:$3,3,0),0)</f>
        <v>0</v>
      </c>
    </row>
    <row r="1970" spans="1:20" ht="22.15" hidden="1" customHeight="1">
      <c r="A1970" s="59"/>
      <c r="B1970" s="1606" t="s">
        <v>2513</v>
      </c>
      <c r="C1970" s="1015" t="str">
        <f t="shared" si="357"/>
        <v xml:space="preserve"> </v>
      </c>
      <c r="D1970" s="1557">
        <f>pp1p!BS94</f>
        <v>0</v>
      </c>
      <c r="E1970" s="1047"/>
      <c r="F1970" s="1065" t="s">
        <v>2514</v>
      </c>
      <c r="G1970" s="1066" t="s">
        <v>2448</v>
      </c>
      <c r="H1970" s="1845">
        <f t="shared" ref="H1970:H1986" si="363">D1970</f>
        <v>0</v>
      </c>
      <c r="I1970" s="1845"/>
      <c r="J1970" s="1845"/>
      <c r="K1970" s="1845"/>
      <c r="L1970" s="1844">
        <f>IFERROR(HLOOKUP(chitiet!B1970,pp1p!$1:$3,3,0),0)</f>
        <v>0</v>
      </c>
      <c r="M1970" s="1845"/>
      <c r="N1970" s="1845"/>
      <c r="O1970" s="1845"/>
      <c r="P1970" s="1845">
        <f t="shared" si="360"/>
        <v>0</v>
      </c>
      <c r="Q1970" s="1056"/>
      <c r="R1970" s="1056"/>
      <c r="S1970" s="1056"/>
      <c r="T1970" s="2059">
        <f>IFERROR(HLOOKUP(B1970,pp1p!$1:$3,3,0),0)</f>
        <v>0</v>
      </c>
    </row>
    <row r="1971" spans="1:20" ht="22.15" hidden="1" customHeight="1">
      <c r="A1971" s="59"/>
      <c r="B1971" s="1586" t="s">
        <v>698</v>
      </c>
      <c r="C1971" s="1015" t="str">
        <f t="shared" si="357"/>
        <v xml:space="preserve"> </v>
      </c>
      <c r="D1971" s="1544">
        <f>D1970</f>
        <v>0</v>
      </c>
      <c r="E1971" s="1047"/>
      <c r="F1971" s="1059" t="str">
        <f>VLOOKUP($B1971,DG!A:D,DG!$C$2,)</f>
        <v xml:space="preserve">Sứ đứng 24KV </v>
      </c>
      <c r="G1971" s="1047" t="str">
        <f>VLOOKUP($B1971,DG!A:D,DG!$D$2,)</f>
        <v>cái</v>
      </c>
      <c r="H1971" s="1845">
        <f t="shared" si="363"/>
        <v>0</v>
      </c>
      <c r="I1971" s="1845"/>
      <c r="J1971" s="1845"/>
      <c r="K1971" s="1845"/>
      <c r="L1971" s="1845">
        <f t="shared" si="362"/>
        <v>0</v>
      </c>
      <c r="M1971" s="1845"/>
      <c r="N1971" s="1845"/>
      <c r="O1971" s="1845"/>
      <c r="P1971" s="1845">
        <f t="shared" si="360"/>
        <v>0</v>
      </c>
      <c r="Q1971" s="1056"/>
      <c r="R1971" s="1056"/>
      <c r="S1971" s="1056"/>
      <c r="T1971" s="2059">
        <f>IFERROR(HLOOKUP(B1971,pp1p!$1:$3,3,0),0)</f>
        <v>0</v>
      </c>
    </row>
    <row r="1972" spans="1:20" ht="22.15" hidden="1" customHeight="1">
      <c r="A1972" s="59"/>
      <c r="B1972" s="1586" t="s">
        <v>1270</v>
      </c>
      <c r="C1972" s="1015" t="str">
        <f t="shared" si="357"/>
        <v xml:space="preserve"> </v>
      </c>
      <c r="D1972" s="1544">
        <f>D1970</f>
        <v>0</v>
      </c>
      <c r="E1972" s="1047"/>
      <c r="F1972" s="1059" t="str">
        <f>VLOOKUP($B1972,DG!A:D,DG!$C$2,)</f>
        <v>Chân sứ đứng D20</v>
      </c>
      <c r="G1972" s="1047" t="str">
        <f>VLOOKUP($B1972,DG!A:D,DG!$D$2,)</f>
        <v>cái</v>
      </c>
      <c r="H1972" s="1845">
        <f t="shared" si="363"/>
        <v>0</v>
      </c>
      <c r="I1972" s="1845"/>
      <c r="J1972" s="1845"/>
      <c r="K1972" s="1845"/>
      <c r="L1972" s="1845">
        <f t="shared" si="362"/>
        <v>0</v>
      </c>
      <c r="M1972" s="1845"/>
      <c r="N1972" s="1845"/>
      <c r="O1972" s="1845"/>
      <c r="P1972" s="1845">
        <f t="shared" si="360"/>
        <v>0</v>
      </c>
      <c r="Q1972" s="1056"/>
      <c r="R1972" s="1056"/>
      <c r="S1972" s="1056"/>
      <c r="T1972" s="2059">
        <f>IFERROR(HLOOKUP(B1972,pp1p!$1:$3,3,0),0)</f>
        <v>0</v>
      </c>
    </row>
    <row r="1973" spans="1:20" ht="22.15" hidden="1" customHeight="1">
      <c r="A1973" s="59"/>
      <c r="B1973" s="1606" t="s">
        <v>2515</v>
      </c>
      <c r="C1973" s="1015" t="str">
        <f t="shared" si="357"/>
        <v xml:space="preserve"> </v>
      </c>
      <c r="D1973" s="1557">
        <f>pp1p!BO94</f>
        <v>0</v>
      </c>
      <c r="E1973" s="1047"/>
      <c r="F1973" s="1065" t="s">
        <v>2516</v>
      </c>
      <c r="G1973" s="1066" t="s">
        <v>2448</v>
      </c>
      <c r="H1973" s="1845">
        <f t="shared" si="363"/>
        <v>0</v>
      </c>
      <c r="I1973" s="1845"/>
      <c r="J1973" s="1845"/>
      <c r="K1973" s="1845"/>
      <c r="L1973" s="1844">
        <f>IFERROR(HLOOKUP(chitiet!B1973,pp1p!$1:$3,3,0),0)</f>
        <v>0</v>
      </c>
      <c r="M1973" s="1845"/>
      <c r="N1973" s="1845"/>
      <c r="O1973" s="1845"/>
      <c r="P1973" s="1845">
        <f t="shared" si="360"/>
        <v>0</v>
      </c>
      <c r="Q1973" s="1056"/>
      <c r="R1973" s="1056"/>
      <c r="S1973" s="1056"/>
      <c r="T1973" s="2059">
        <f>IFERROR(HLOOKUP(B1973,pp1p!$1:$3,3,0),0)</f>
        <v>0</v>
      </c>
    </row>
    <row r="1974" spans="1:20" ht="22.15" hidden="1" customHeight="1">
      <c r="A1974" s="59"/>
      <c r="B1974" s="1586" t="s">
        <v>698</v>
      </c>
      <c r="C1974" s="1015" t="str">
        <f t="shared" si="357"/>
        <v xml:space="preserve"> </v>
      </c>
      <c r="D1974" s="1544">
        <f>D1973</f>
        <v>0</v>
      </c>
      <c r="E1974" s="1047"/>
      <c r="F1974" s="1059" t="str">
        <f>VLOOKUP($B1974,DG!A:D,DG!$C$2,)</f>
        <v xml:space="preserve">Sứ đứng 24KV </v>
      </c>
      <c r="G1974" s="1047" t="str">
        <f>VLOOKUP($B1974,DG!A:D,DG!$D$2,)</f>
        <v>cái</v>
      </c>
      <c r="H1974" s="1845">
        <f t="shared" si="363"/>
        <v>0</v>
      </c>
      <c r="I1974" s="1845"/>
      <c r="J1974" s="1845"/>
      <c r="K1974" s="1845"/>
      <c r="L1974" s="1845">
        <f t="shared" si="362"/>
        <v>0</v>
      </c>
      <c r="M1974" s="1845"/>
      <c r="N1974" s="1845"/>
      <c r="O1974" s="1845"/>
      <c r="P1974" s="1845">
        <f t="shared" si="360"/>
        <v>0</v>
      </c>
      <c r="Q1974" s="1056"/>
      <c r="R1974" s="1056"/>
      <c r="S1974" s="1056"/>
      <c r="T1974" s="2059">
        <f>IFERROR(HLOOKUP(B1974,pp1p!$1:$3,3,0),0)</f>
        <v>0</v>
      </c>
    </row>
    <row r="1975" spans="1:20" ht="22.15" hidden="1" customHeight="1">
      <c r="A1975" s="59"/>
      <c r="B1975" s="1586" t="s">
        <v>1271</v>
      </c>
      <c r="C1975" s="1015" t="str">
        <f t="shared" si="357"/>
        <v xml:space="preserve"> </v>
      </c>
      <c r="D1975" s="1544">
        <f>D1973</f>
        <v>0</v>
      </c>
      <c r="E1975" s="1047"/>
      <c r="F1975" s="1059" t="str">
        <f>VLOOKUP($B1975,DG!A:D,DG!$C$2,)</f>
        <v>Chân sứ đỉnh thẳng dài 870mm</v>
      </c>
      <c r="G1975" s="1047" t="str">
        <f>VLOOKUP($B1975,DG!A:D,DG!$D$2,)</f>
        <v>cái</v>
      </c>
      <c r="H1975" s="1845">
        <f t="shared" si="363"/>
        <v>0</v>
      </c>
      <c r="I1975" s="1845"/>
      <c r="J1975" s="1845"/>
      <c r="K1975" s="1845"/>
      <c r="L1975" s="1845">
        <f t="shared" si="362"/>
        <v>0</v>
      </c>
      <c r="M1975" s="1845"/>
      <c r="N1975" s="1845"/>
      <c r="O1975" s="1845"/>
      <c r="P1975" s="1845">
        <f t="shared" si="360"/>
        <v>0</v>
      </c>
      <c r="Q1975" s="1056"/>
      <c r="R1975" s="1056"/>
      <c r="S1975" s="1056"/>
      <c r="T1975" s="2059">
        <f>IFERROR(HLOOKUP(B1975,pp1p!$1:$3,3,0),0)</f>
        <v>0</v>
      </c>
    </row>
    <row r="1976" spans="1:20" ht="22.15" hidden="1" customHeight="1">
      <c r="A1976" s="59"/>
      <c r="B1976" s="1586" t="s">
        <v>1615</v>
      </c>
      <c r="C1976" s="1015" t="str">
        <f t="shared" si="357"/>
        <v xml:space="preserve"> </v>
      </c>
      <c r="D1976" s="1544">
        <f>D1973*2</f>
        <v>0</v>
      </c>
      <c r="E1976" s="1047"/>
      <c r="F1976" s="1059" t="str">
        <f>VLOOKUP($B1976,DG!A:D,DG!$C$2,)</f>
        <v>Boulon 16x300+ 2 long đền vuông D18-50x50x3/Zn</v>
      </c>
      <c r="G1976" s="1047" t="str">
        <f>VLOOKUP($B1976,DG!A:D,DG!$D$2,)</f>
        <v>bộ</v>
      </c>
      <c r="H1976" s="1845">
        <f t="shared" si="363"/>
        <v>0</v>
      </c>
      <c r="I1976" s="1845"/>
      <c r="J1976" s="1845"/>
      <c r="K1976" s="1845"/>
      <c r="L1976" s="1845">
        <f t="shared" si="362"/>
        <v>0</v>
      </c>
      <c r="M1976" s="1845"/>
      <c r="N1976" s="1845"/>
      <c r="O1976" s="1845"/>
      <c r="P1976" s="1845">
        <f t="shared" si="360"/>
        <v>0</v>
      </c>
      <c r="Q1976" s="1056"/>
      <c r="R1976" s="1056"/>
      <c r="S1976" s="1056"/>
      <c r="T1976" s="2059">
        <f>IFERROR(HLOOKUP(B1976,pp1p!$1:$3,3,0),0)</f>
        <v>0</v>
      </c>
    </row>
    <row r="1977" spans="1:20" ht="22.15" hidden="1" customHeight="1">
      <c r="A1977" s="63"/>
      <c r="B1977" s="1608" t="s">
        <v>2517</v>
      </c>
      <c r="C1977" s="1015" t="str">
        <f t="shared" si="357"/>
        <v xml:space="preserve"> </v>
      </c>
      <c r="D1977" s="1558">
        <f>pp1p!BP94</f>
        <v>0</v>
      </c>
      <c r="E1977" s="1051"/>
      <c r="F1977" s="1065" t="s">
        <v>2518</v>
      </c>
      <c r="G1977" s="1286" t="s">
        <v>2448</v>
      </c>
      <c r="H1977" s="1846">
        <f t="shared" si="363"/>
        <v>0</v>
      </c>
      <c r="I1977" s="1846"/>
      <c r="J1977" s="1846"/>
      <c r="K1977" s="1845"/>
      <c r="L1977" s="1844">
        <f>IFERROR(HLOOKUP(chitiet!B1977,pp1p!$1:$3,3,0),0)</f>
        <v>0</v>
      </c>
      <c r="M1977" s="1846"/>
      <c r="N1977" s="1846"/>
      <c r="O1977" s="1846"/>
      <c r="P1977" s="1845">
        <f t="shared" si="360"/>
        <v>0</v>
      </c>
      <c r="Q1977" s="1055"/>
      <c r="R1977" s="1055"/>
      <c r="S1977" s="1055"/>
      <c r="T1977" s="2059">
        <f>IFERROR(HLOOKUP(B1977,pp1p!$1:$3,3,0),0)</f>
        <v>0</v>
      </c>
    </row>
    <row r="1978" spans="1:20" ht="22.15" hidden="1" customHeight="1">
      <c r="A1978" s="63"/>
      <c r="B1978" s="1586" t="s">
        <v>698</v>
      </c>
      <c r="C1978" s="1015" t="str">
        <f t="shared" ref="C1978:C2043" si="364">IF(OR(P1978&lt;&gt;0,H1978&lt;&gt;0),"x"," ")</f>
        <v xml:space="preserve"> </v>
      </c>
      <c r="D1978" s="1547">
        <f>D1977*2</f>
        <v>0</v>
      </c>
      <c r="E1978" s="1051"/>
      <c r="F1978" s="1059" t="str">
        <f>VLOOKUP($B1978,DG!A:D,DG!$C$2,)</f>
        <v xml:space="preserve">Sứ đứng 24KV </v>
      </c>
      <c r="G1978" s="1047" t="str">
        <f>VLOOKUP($B1978,DG!A:D,DG!$D$2,)</f>
        <v>cái</v>
      </c>
      <c r="H1978" s="1846">
        <f t="shared" si="363"/>
        <v>0</v>
      </c>
      <c r="I1978" s="1846"/>
      <c r="J1978" s="1846"/>
      <c r="K1978" s="1845"/>
      <c r="L1978" s="1845">
        <f t="shared" si="362"/>
        <v>0</v>
      </c>
      <c r="M1978" s="1846"/>
      <c r="N1978" s="1846"/>
      <c r="O1978" s="1846"/>
      <c r="P1978" s="1845">
        <f t="shared" si="360"/>
        <v>0</v>
      </c>
      <c r="Q1978" s="1055"/>
      <c r="R1978" s="1055"/>
      <c r="S1978" s="1055"/>
      <c r="T1978" s="2059">
        <f>IFERROR(HLOOKUP(B1978,pp1p!$1:$3,3,0),0)</f>
        <v>0</v>
      </c>
    </row>
    <row r="1979" spans="1:20" ht="22.15" hidden="1" customHeight="1">
      <c r="A1979" s="63"/>
      <c r="B1979" s="1586" t="s">
        <v>590</v>
      </c>
      <c r="C1979" s="1015" t="str">
        <f t="shared" si="364"/>
        <v xml:space="preserve"> </v>
      </c>
      <c r="D1979" s="1547">
        <f>D1977*2</f>
        <v>0</v>
      </c>
      <c r="E1979" s="1051"/>
      <c r="F1979" s="1059" t="str">
        <f>VLOOKUP($B1979,DG!A:D,DG!$C$2,)</f>
        <v>Chân sứ đỉnh đỡ góc dài 870mm</v>
      </c>
      <c r="G1979" s="1047" t="str">
        <f>VLOOKUP($B1979,DG!A:D,DG!$D$2,)</f>
        <v>cái</v>
      </c>
      <c r="H1979" s="1846">
        <f t="shared" si="363"/>
        <v>0</v>
      </c>
      <c r="I1979" s="1846"/>
      <c r="J1979" s="1846"/>
      <c r="K1979" s="1845"/>
      <c r="L1979" s="1845">
        <f t="shared" si="362"/>
        <v>0</v>
      </c>
      <c r="M1979" s="1846"/>
      <c r="N1979" s="1846"/>
      <c r="O1979" s="1846"/>
      <c r="P1979" s="1845">
        <f t="shared" si="360"/>
        <v>0</v>
      </c>
      <c r="Q1979" s="1055"/>
      <c r="R1979" s="1055"/>
      <c r="S1979" s="1055"/>
      <c r="T1979" s="2059">
        <f>IFERROR(HLOOKUP(B1979,pp1p!$1:$3,3,0),0)</f>
        <v>0</v>
      </c>
    </row>
    <row r="1980" spans="1:20" ht="22.15" hidden="1" customHeight="1">
      <c r="A1980" s="63"/>
      <c r="B1980" s="1586" t="s">
        <v>1615</v>
      </c>
      <c r="C1980" s="1015" t="str">
        <f t="shared" si="364"/>
        <v xml:space="preserve"> </v>
      </c>
      <c r="D1980" s="1547">
        <f>D1977*2</f>
        <v>0</v>
      </c>
      <c r="E1980" s="1051"/>
      <c r="F1980" s="1059" t="str">
        <f>VLOOKUP($B1980,DG!A:D,DG!$C$2,)</f>
        <v>Boulon 16x300+ 2 long đền vuông D18-50x50x3/Zn</v>
      </c>
      <c r="G1980" s="1047" t="str">
        <f>VLOOKUP($B1980,DG!A:D,DG!$D$2,)</f>
        <v>bộ</v>
      </c>
      <c r="H1980" s="1846">
        <f t="shared" si="363"/>
        <v>0</v>
      </c>
      <c r="I1980" s="1846"/>
      <c r="J1980" s="1846"/>
      <c r="K1980" s="1845"/>
      <c r="L1980" s="1845">
        <f t="shared" si="362"/>
        <v>0</v>
      </c>
      <c r="M1980" s="1846"/>
      <c r="N1980" s="1846"/>
      <c r="O1980" s="1846"/>
      <c r="P1980" s="1845">
        <f t="shared" si="360"/>
        <v>0</v>
      </c>
      <c r="Q1980" s="1055"/>
      <c r="R1980" s="1055"/>
      <c r="S1980" s="1055"/>
      <c r="T1980" s="2059">
        <f>IFERROR(HLOOKUP(B1980,pp1p!$1:$3,3,0),0)</f>
        <v>0</v>
      </c>
    </row>
    <row r="1981" spans="1:20" ht="22.15" hidden="1" customHeight="1">
      <c r="A1981" s="59"/>
      <c r="B1981" s="1606" t="s">
        <v>2519</v>
      </c>
      <c r="C1981" s="1015" t="str">
        <f t="shared" si="364"/>
        <v xml:space="preserve"> </v>
      </c>
      <c r="D1981" s="1557">
        <f>pp1p!BV94</f>
        <v>0</v>
      </c>
      <c r="E1981" s="1047"/>
      <c r="F1981" s="1065" t="s">
        <v>2520</v>
      </c>
      <c r="G1981" s="1066" t="s">
        <v>2521</v>
      </c>
      <c r="H1981" s="1845">
        <f t="shared" si="363"/>
        <v>0</v>
      </c>
      <c r="I1981" s="1845"/>
      <c r="J1981" s="1845"/>
      <c r="K1981" s="1845"/>
      <c r="L1981" s="1844">
        <f>IFERROR(HLOOKUP(chitiet!B1981,pp1p!$1:$3,3,0),0)</f>
        <v>0</v>
      </c>
      <c r="M1981" s="1845"/>
      <c r="N1981" s="1845"/>
      <c r="O1981" s="1845"/>
      <c r="P1981" s="1845">
        <f t="shared" si="360"/>
        <v>0</v>
      </c>
      <c r="Q1981" s="1056"/>
      <c r="R1981" s="1056"/>
      <c r="S1981" s="1056"/>
      <c r="T1981" s="2059">
        <f>IFERROR(HLOOKUP(B1981,pp1p!$1:$3,3,0),0)</f>
        <v>0</v>
      </c>
    </row>
    <row r="1982" spans="1:20" ht="22.15" hidden="1" customHeight="1">
      <c r="A1982" s="59"/>
      <c r="B1982" s="1586" t="s">
        <v>1272</v>
      </c>
      <c r="C1982" s="1015" t="str">
        <f t="shared" si="364"/>
        <v xml:space="preserve"> </v>
      </c>
      <c r="D1982" s="1544">
        <f>D1981*2</f>
        <v>0</v>
      </c>
      <c r="E1982" s="1047"/>
      <c r="F1982" s="1059" t="str">
        <f>VLOOKUP($B1982,DG!A:D,DG!$C$2,)</f>
        <v>Sứ treo loại 70kN</v>
      </c>
      <c r="G1982" s="1047" t="str">
        <f>VLOOKUP($B1982,DG!A:D,DG!$D$2,)</f>
        <v>bát</v>
      </c>
      <c r="H1982" s="1845">
        <f t="shared" si="363"/>
        <v>0</v>
      </c>
      <c r="I1982" s="1845"/>
      <c r="J1982" s="1845"/>
      <c r="K1982" s="1845"/>
      <c r="L1982" s="1845">
        <f t="shared" si="362"/>
        <v>0</v>
      </c>
      <c r="M1982" s="1845"/>
      <c r="N1982" s="1845"/>
      <c r="O1982" s="1845"/>
      <c r="P1982" s="1845">
        <f t="shared" si="360"/>
        <v>0</v>
      </c>
      <c r="Q1982" s="1056"/>
      <c r="R1982" s="1056"/>
      <c r="S1982" s="1056"/>
      <c r="T1982" s="2059">
        <f>IFERROR(HLOOKUP(B1982,pp1p!$1:$3,3,0),0)</f>
        <v>0</v>
      </c>
    </row>
    <row r="1983" spans="1:20" ht="22.15" hidden="1" customHeight="1">
      <c r="A1983" s="59"/>
      <c r="B1983" s="1586" t="s">
        <v>1491</v>
      </c>
      <c r="C1983" s="1015" t="str">
        <f t="shared" si="364"/>
        <v xml:space="preserve"> </v>
      </c>
      <c r="D1983" s="1544">
        <f>D1981*2</f>
        <v>0</v>
      </c>
      <c r="E1983" s="1047"/>
      <c r="F1983" s="1059" t="str">
        <f>VLOOKUP($B1983,DG!A:D,DG!$C$2,)</f>
        <v xml:space="preserve">Móc treo chữ U </v>
      </c>
      <c r="G1983" s="1047" t="str">
        <f>VLOOKUP($B1983,DG!A:D,DG!$D$2,)</f>
        <v>cái</v>
      </c>
      <c r="H1983" s="1845">
        <f t="shared" si="363"/>
        <v>0</v>
      </c>
      <c r="I1983" s="1845"/>
      <c r="J1983" s="1845"/>
      <c r="K1983" s="1845"/>
      <c r="L1983" s="1845">
        <f t="shared" si="362"/>
        <v>0</v>
      </c>
      <c r="M1983" s="1845"/>
      <c r="N1983" s="1845"/>
      <c r="O1983" s="1845"/>
      <c r="P1983" s="1845">
        <f t="shared" si="360"/>
        <v>0</v>
      </c>
      <c r="Q1983" s="1056"/>
      <c r="R1983" s="1056"/>
      <c r="S1983" s="1056"/>
      <c r="T1983" s="2059">
        <f>IFERROR(HLOOKUP(B1983,pp1p!$1:$3,3,0),0)</f>
        <v>0</v>
      </c>
    </row>
    <row r="1984" spans="1:20" ht="22.15" hidden="1" customHeight="1">
      <c r="A1984" s="59"/>
      <c r="B1984" s="1586" t="s">
        <v>1574</v>
      </c>
      <c r="C1984" s="1015" t="str">
        <f t="shared" si="364"/>
        <v xml:space="preserve"> </v>
      </c>
      <c r="D1984" s="1544">
        <f>D1981</f>
        <v>0</v>
      </c>
      <c r="E1984" s="1047"/>
      <c r="F1984" s="1059" t="str">
        <f>VLOOKUP($B1984,DG!A:D,DG!$C$2,)</f>
        <v>Vòng treo đầu tròn</v>
      </c>
      <c r="G1984" s="1047" t="str">
        <f>VLOOKUP($B1984,DG!A:D,DG!$D$2,)</f>
        <v>cái</v>
      </c>
      <c r="H1984" s="1845">
        <f t="shared" si="363"/>
        <v>0</v>
      </c>
      <c r="I1984" s="1845"/>
      <c r="J1984" s="1845"/>
      <c r="K1984" s="1845"/>
      <c r="L1984" s="1845">
        <f t="shared" si="362"/>
        <v>0</v>
      </c>
      <c r="M1984" s="1845"/>
      <c r="N1984" s="1845"/>
      <c r="O1984" s="1845"/>
      <c r="P1984" s="1845">
        <f t="shared" si="360"/>
        <v>0</v>
      </c>
      <c r="Q1984" s="1056"/>
      <c r="R1984" s="1056"/>
      <c r="S1984" s="1056"/>
      <c r="T1984" s="2059">
        <f>IFERROR(HLOOKUP(B1984,pp1p!$1:$3,3,0),0)</f>
        <v>0</v>
      </c>
    </row>
    <row r="1985" spans="1:20" ht="22.15" hidden="1" customHeight="1">
      <c r="A1985" s="59"/>
      <c r="B1985" s="1586" t="s">
        <v>1489</v>
      </c>
      <c r="C1985" s="1015" t="str">
        <f t="shared" si="364"/>
        <v xml:space="preserve"> </v>
      </c>
      <c r="D1985" s="1544">
        <f>D1981</f>
        <v>0</v>
      </c>
      <c r="E1985" s="1047"/>
      <c r="F1985" s="1059" t="str">
        <f>VLOOKUP($B1985,DG!A:D,DG!$C$2,)</f>
        <v>Mắt nối đơn</v>
      </c>
      <c r="G1985" s="1047" t="str">
        <f>VLOOKUP($B1985,DG!A:D,DG!$D$2,)</f>
        <v>cái</v>
      </c>
      <c r="H1985" s="1845">
        <f t="shared" si="363"/>
        <v>0</v>
      </c>
      <c r="I1985" s="1845"/>
      <c r="J1985" s="1845"/>
      <c r="K1985" s="1845"/>
      <c r="L1985" s="1845">
        <f t="shared" si="362"/>
        <v>0</v>
      </c>
      <c r="M1985" s="1845"/>
      <c r="N1985" s="1845"/>
      <c r="O1985" s="1845"/>
      <c r="P1985" s="1845">
        <f t="shared" si="360"/>
        <v>0</v>
      </c>
      <c r="Q1985" s="1056"/>
      <c r="R1985" s="1056"/>
      <c r="S1985" s="1056"/>
      <c r="T1985" s="2059">
        <f>IFERROR(HLOOKUP(B1985,pp1p!$1:$3,3,0),0)</f>
        <v>0</v>
      </c>
    </row>
    <row r="1986" spans="1:20" ht="22.15" hidden="1" customHeight="1">
      <c r="A1986" s="59"/>
      <c r="B1986" s="1586" t="s">
        <v>1273</v>
      </c>
      <c r="C1986" s="1015" t="str">
        <f t="shared" si="364"/>
        <v xml:space="preserve"> </v>
      </c>
      <c r="D1986" s="1544">
        <f>D1981</f>
        <v>0</v>
      </c>
      <c r="E1986" s="1047"/>
      <c r="F1986" s="1059" t="str">
        <f>VLOOKUP($B1986,DG!A:D,DG!$C$2,)</f>
        <v>Boulon mắt 16x300+ 2 long đền vuông D18-50x50x3/Zn</v>
      </c>
      <c r="G1986" s="1047" t="str">
        <f>VLOOKUP($B1986,DG!A:D,DG!$D$2,)</f>
        <v>bộ</v>
      </c>
      <c r="H1986" s="1845">
        <f t="shared" si="363"/>
        <v>0</v>
      </c>
      <c r="I1986" s="1845"/>
      <c r="J1986" s="1845"/>
      <c r="K1986" s="1845"/>
      <c r="L1986" s="1845">
        <f t="shared" si="362"/>
        <v>0</v>
      </c>
      <c r="M1986" s="1845"/>
      <c r="N1986" s="1845"/>
      <c r="O1986" s="1845"/>
      <c r="P1986" s="1845">
        <f t="shared" si="360"/>
        <v>0</v>
      </c>
      <c r="Q1986" s="1056"/>
      <c r="R1986" s="1056"/>
      <c r="S1986" s="1056"/>
      <c r="T1986" s="2059">
        <f>IFERROR(HLOOKUP(B1986,pp1p!$1:$3,3,0),0)</f>
        <v>0</v>
      </c>
    </row>
    <row r="1987" spans="1:20" ht="22.15" hidden="1" customHeight="1">
      <c r="A1987" s="59"/>
      <c r="B1987" s="1606" t="s">
        <v>2551</v>
      </c>
      <c r="C1987" s="1015" t="str">
        <f t="shared" si="364"/>
        <v xml:space="preserve"> </v>
      </c>
      <c r="D1987" s="1557">
        <f>pp1p!BT94</f>
        <v>0</v>
      </c>
      <c r="E1987" s="1047"/>
      <c r="F1987" s="1065" t="s">
        <v>2525</v>
      </c>
      <c r="G1987" s="1047" t="s">
        <v>2521</v>
      </c>
      <c r="H1987" s="1845">
        <f>$D1987</f>
        <v>0</v>
      </c>
      <c r="I1987" s="1845"/>
      <c r="J1987" s="1845"/>
      <c r="K1987" s="1845">
        <f>D1987*0</f>
        <v>0</v>
      </c>
      <c r="L1987" s="1844">
        <f>IFERROR(HLOOKUP(chitiet!B1987,pp1p!$1:$3,3,0),0)</f>
        <v>0</v>
      </c>
      <c r="M1987" s="1845"/>
      <c r="N1987" s="1845"/>
      <c r="O1987" s="1845"/>
      <c r="P1987" s="1845">
        <f t="shared" si="360"/>
        <v>0</v>
      </c>
      <c r="Q1987" s="1056"/>
      <c r="R1987" s="1056"/>
      <c r="S1987" s="1056"/>
      <c r="T1987" s="2059">
        <f>IFERROR(HLOOKUP(B1987,pp1p!$1:$3,3,0),0)</f>
        <v>0</v>
      </c>
    </row>
    <row r="1988" spans="1:20" ht="22.15" hidden="1" customHeight="1">
      <c r="A1988" s="59"/>
      <c r="B1988" s="1586" t="s">
        <v>1511</v>
      </c>
      <c r="C1988" s="1015" t="str">
        <f t="shared" si="364"/>
        <v xml:space="preserve"> </v>
      </c>
      <c r="D1988" s="1544">
        <f>D1987</f>
        <v>0</v>
      </c>
      <c r="E1988" s="1047"/>
      <c r="F1988" s="1059" t="str">
        <f>VLOOKUP($B1988,DG!A:D,DG!$C$2,)</f>
        <v>Sứ treo polymer</v>
      </c>
      <c r="G1988" s="1047" t="s">
        <v>2521</v>
      </c>
      <c r="H1988" s="1845">
        <f>$D1988</f>
        <v>0</v>
      </c>
      <c r="I1988" s="1845"/>
      <c r="J1988" s="1845"/>
      <c r="K1988" s="1845">
        <f>D1988*0</f>
        <v>0</v>
      </c>
      <c r="L1988" s="1845">
        <f t="shared" si="362"/>
        <v>0</v>
      </c>
      <c r="M1988" s="1845"/>
      <c r="N1988" s="1845"/>
      <c r="O1988" s="1845"/>
      <c r="P1988" s="1845">
        <f t="shared" si="360"/>
        <v>0</v>
      </c>
      <c r="Q1988" s="1056"/>
      <c r="R1988" s="1056"/>
      <c r="S1988" s="1056"/>
      <c r="T1988" s="2059">
        <f>IFERROR(HLOOKUP(B1988,pp1p!$1:$3,3,0),0)</f>
        <v>0</v>
      </c>
    </row>
    <row r="1989" spans="1:20" ht="22.15" hidden="1" customHeight="1">
      <c r="A1989" s="59"/>
      <c r="B1989" s="1586" t="s">
        <v>1491</v>
      </c>
      <c r="C1989" s="1015" t="str">
        <f t="shared" si="364"/>
        <v xml:space="preserve"> </v>
      </c>
      <c r="D1989" s="1544">
        <f>D1987*2</f>
        <v>0</v>
      </c>
      <c r="E1989" s="1047"/>
      <c r="F1989" s="1059" t="str">
        <f>VLOOKUP($B1989,DG!A:D,DG!$C$2,)</f>
        <v xml:space="preserve">Móc treo chữ U </v>
      </c>
      <c r="G1989" s="1047" t="s">
        <v>2566</v>
      </c>
      <c r="H1989" s="1845">
        <f>$D1989</f>
        <v>0</v>
      </c>
      <c r="I1989" s="1845"/>
      <c r="J1989" s="1845"/>
      <c r="K1989" s="1845">
        <f>D1989*0</f>
        <v>0</v>
      </c>
      <c r="L1989" s="1845">
        <f t="shared" si="362"/>
        <v>0</v>
      </c>
      <c r="M1989" s="1845"/>
      <c r="N1989" s="1845"/>
      <c r="O1989" s="1845"/>
      <c r="P1989" s="1845">
        <f t="shared" si="360"/>
        <v>0</v>
      </c>
      <c r="Q1989" s="1056"/>
      <c r="R1989" s="1056"/>
      <c r="S1989" s="1056"/>
      <c r="T1989" s="2059">
        <f>IFERROR(HLOOKUP(B1989,pp1p!$1:$3,3,0),0)</f>
        <v>0</v>
      </c>
    </row>
    <row r="1990" spans="1:20" ht="22.15" hidden="1" customHeight="1">
      <c r="A1990" s="59"/>
      <c r="B1990" s="1586" t="s">
        <v>385</v>
      </c>
      <c r="C1990" s="1015" t="str">
        <f t="shared" si="364"/>
        <v xml:space="preserve"> </v>
      </c>
      <c r="D1990" s="1544">
        <f>D1987</f>
        <v>0</v>
      </c>
      <c r="E1990" s="1047"/>
      <c r="F1990" s="1059" t="str">
        <f>VLOOKUP($B1990,DG!A:D,DG!$C$2,)</f>
        <v>Khóa néo dây cỡ dây 185</v>
      </c>
      <c r="G1990" s="1047" t="str">
        <f>VLOOKUP($B1990,DG!A:D,DG!$D$2,)</f>
        <v>cái</v>
      </c>
      <c r="H1990" s="1845">
        <f>D1990</f>
        <v>0</v>
      </c>
      <c r="I1990" s="1845"/>
      <c r="J1990" s="1845"/>
      <c r="K1990" s="1845"/>
      <c r="L1990" s="1845">
        <f t="shared" si="362"/>
        <v>0</v>
      </c>
      <c r="M1990" s="1845"/>
      <c r="N1990" s="1845"/>
      <c r="O1990" s="1845"/>
      <c r="P1990" s="1845">
        <f t="shared" si="360"/>
        <v>0</v>
      </c>
      <c r="Q1990" s="1056"/>
      <c r="R1990" s="1056"/>
      <c r="S1990" s="1056"/>
      <c r="T1990" s="2059">
        <f>IFERROR(HLOOKUP(B1990,pp1p!$1:$3,3,0),0)</f>
        <v>0</v>
      </c>
    </row>
    <row r="1991" spans="1:20" ht="22.15" hidden="1" customHeight="1">
      <c r="A1991" s="59"/>
      <c r="B1991" s="1606" t="s">
        <v>2552</v>
      </c>
      <c r="C1991" s="1015" t="str">
        <f t="shared" si="364"/>
        <v xml:space="preserve"> </v>
      </c>
      <c r="D1991" s="1557">
        <f>pp1p!BU94</f>
        <v>0</v>
      </c>
      <c r="E1991" s="1047"/>
      <c r="F1991" s="1065" t="s">
        <v>2567</v>
      </c>
      <c r="G1991" s="1047" t="s">
        <v>2521</v>
      </c>
      <c r="H1991" s="1845">
        <f>$D1991</f>
        <v>0</v>
      </c>
      <c r="I1991" s="1845"/>
      <c r="J1991" s="1845"/>
      <c r="K1991" s="1845"/>
      <c r="L1991" s="1844">
        <f>IFERROR(HLOOKUP(chitiet!B1991,pp1p!$1:$3,3,0),0)</f>
        <v>0</v>
      </c>
      <c r="M1991" s="1845"/>
      <c r="N1991" s="1845"/>
      <c r="O1991" s="1845"/>
      <c r="P1991" s="1845">
        <f t="shared" si="360"/>
        <v>0</v>
      </c>
      <c r="Q1991" s="1056"/>
      <c r="R1991" s="1056"/>
      <c r="S1991" s="1056"/>
      <c r="T1991" s="2059">
        <f>IFERROR(HLOOKUP(B1991,pp1p!$1:$3,3,0),0)</f>
        <v>0</v>
      </c>
    </row>
    <row r="1992" spans="1:20" ht="22.15" hidden="1" customHeight="1">
      <c r="A1992" s="59"/>
      <c r="B1992" s="1586" t="s">
        <v>1511</v>
      </c>
      <c r="C1992" s="1015" t="str">
        <f t="shared" si="364"/>
        <v xml:space="preserve"> </v>
      </c>
      <c r="D1992" s="1544">
        <f>D1991</f>
        <v>0</v>
      </c>
      <c r="E1992" s="1047"/>
      <c r="F1992" s="1059" t="str">
        <f>VLOOKUP($B1992,DG!A:D,DG!$C$2,)</f>
        <v>Sứ treo polymer</v>
      </c>
      <c r="G1992" s="1047" t="s">
        <v>2521</v>
      </c>
      <c r="H1992" s="1845">
        <f>$D1992</f>
        <v>0</v>
      </c>
      <c r="I1992" s="1845"/>
      <c r="J1992" s="1845"/>
      <c r="K1992" s="1845"/>
      <c r="L1992" s="1845">
        <f t="shared" si="362"/>
        <v>0</v>
      </c>
      <c r="M1992" s="1845"/>
      <c r="N1992" s="1845"/>
      <c r="O1992" s="1845"/>
      <c r="P1992" s="1845">
        <f t="shared" si="360"/>
        <v>0</v>
      </c>
      <c r="Q1992" s="1056"/>
      <c r="R1992" s="1056"/>
      <c r="S1992" s="1056"/>
      <c r="T1992" s="2059">
        <f>IFERROR(HLOOKUP(B1992,pp1p!$1:$3,3,0),0)</f>
        <v>0</v>
      </c>
    </row>
    <row r="1993" spans="1:20" ht="22.15" hidden="1" customHeight="1">
      <c r="A1993" s="59"/>
      <c r="B1993" s="1586" t="s">
        <v>1487</v>
      </c>
      <c r="C1993" s="1015" t="str">
        <f t="shared" si="364"/>
        <v xml:space="preserve"> </v>
      </c>
      <c r="D1993" s="1544">
        <f>D1992</f>
        <v>0</v>
      </c>
      <c r="E1993" s="1047"/>
      <c r="F1993" s="1059" t="str">
        <f>VLOOKUP($B1993,DG!A:D,DG!$C$2,)</f>
        <v>Khóa néo dây cỡ dây 50</v>
      </c>
      <c r="G1993" s="1047" t="s">
        <v>2521</v>
      </c>
      <c r="H1993" s="1845">
        <f>$D1993</f>
        <v>0</v>
      </c>
      <c r="I1993" s="1845"/>
      <c r="J1993" s="1845"/>
      <c r="K1993" s="1845"/>
      <c r="L1993" s="1845">
        <f t="shared" si="362"/>
        <v>0</v>
      </c>
      <c r="M1993" s="1845"/>
      <c r="N1993" s="1845"/>
      <c r="O1993" s="1845"/>
      <c r="P1993" s="1845">
        <f t="shared" si="360"/>
        <v>0</v>
      </c>
      <c r="Q1993" s="1056"/>
      <c r="R1993" s="1056"/>
      <c r="S1993" s="1056"/>
      <c r="T1993" s="2059">
        <f>IFERROR(HLOOKUP(B1993,pp1p!$1:$3,3,0),0)</f>
        <v>0</v>
      </c>
    </row>
    <row r="1994" spans="1:20" ht="22.15" hidden="1" customHeight="1">
      <c r="A1994" s="59"/>
      <c r="B1994" s="1586" t="s">
        <v>1491</v>
      </c>
      <c r="C1994" s="1015" t="str">
        <f t="shared" si="364"/>
        <v xml:space="preserve"> </v>
      </c>
      <c r="D1994" s="1544">
        <f>D1993*2</f>
        <v>0</v>
      </c>
      <c r="E1994" s="1047"/>
      <c r="F1994" s="1059" t="str">
        <f>VLOOKUP($B1994,DG!A:D,DG!$C$2,)</f>
        <v xml:space="preserve">Móc treo chữ U </v>
      </c>
      <c r="G1994" s="1047" t="s">
        <v>2566</v>
      </c>
      <c r="H1994" s="1845">
        <f>$D1994</f>
        <v>0</v>
      </c>
      <c r="I1994" s="1845"/>
      <c r="J1994" s="1845"/>
      <c r="K1994" s="1845"/>
      <c r="L1994" s="1845">
        <f t="shared" si="362"/>
        <v>0</v>
      </c>
      <c r="M1994" s="1845"/>
      <c r="N1994" s="1845"/>
      <c r="O1994" s="1845"/>
      <c r="P1994" s="1845">
        <f t="shared" si="360"/>
        <v>0</v>
      </c>
      <c r="Q1994" s="1056"/>
      <c r="R1994" s="1056"/>
      <c r="S1994" s="1056"/>
      <c r="T1994" s="2059">
        <f>IFERROR(HLOOKUP(B1994,pp1p!$1:$3,3,0),0)</f>
        <v>0</v>
      </c>
    </row>
    <row r="1995" spans="1:20" ht="22.15" hidden="1" customHeight="1">
      <c r="A1995" s="59"/>
      <c r="B1995" s="1586" t="s">
        <v>4530</v>
      </c>
      <c r="C1995" s="1015" t="str">
        <f t="shared" si="364"/>
        <v xml:space="preserve"> </v>
      </c>
      <c r="D1995" s="1544">
        <f>D1991/2</f>
        <v>0</v>
      </c>
      <c r="E1995" s="1047"/>
      <c r="F1995" s="1059" t="str">
        <f>VLOOKUP($B1995,DG!A:D,DG!$C$2,)</f>
        <v>Khánh bắt sứ kép polymer</v>
      </c>
      <c r="G1995" s="1047" t="s">
        <v>2566</v>
      </c>
      <c r="H1995" s="1845">
        <f>$D1995</f>
        <v>0</v>
      </c>
      <c r="I1995" s="1845"/>
      <c r="J1995" s="1845"/>
      <c r="K1995" s="1845"/>
      <c r="L1995" s="1845">
        <f>H1995</f>
        <v>0</v>
      </c>
      <c r="M1995" s="1845"/>
      <c r="N1995" s="1845"/>
      <c r="O1995" s="1845"/>
      <c r="P1995" s="1845">
        <f t="shared" si="360"/>
        <v>0</v>
      </c>
      <c r="Q1995" s="1056"/>
      <c r="R1995" s="1056"/>
      <c r="S1995" s="1056"/>
      <c r="T1995" s="2059">
        <f>IFERROR(HLOOKUP(B1995,pp1p!$1:$3,3,0),0)</f>
        <v>0</v>
      </c>
    </row>
    <row r="1996" spans="1:20" ht="22.15" hidden="1" customHeight="1">
      <c r="A1996" s="59"/>
      <c r="B1996" s="1586" t="s">
        <v>1273</v>
      </c>
      <c r="C1996" s="1015" t="str">
        <f t="shared" si="364"/>
        <v xml:space="preserve"> </v>
      </c>
      <c r="D1996" s="1544">
        <f>D1993</f>
        <v>0</v>
      </c>
      <c r="E1996" s="1047"/>
      <c r="F1996" s="1059" t="str">
        <f>VLOOKUP($B1996,DG!A:D,DG!$C$2,)</f>
        <v>Boulon mắt 16x300+ 2 long đền vuông D18-50x50x3/Zn</v>
      </c>
      <c r="G1996" s="1047" t="str">
        <f>VLOOKUP($B1996,DG!A:D,DG!$D$2,)</f>
        <v>bộ</v>
      </c>
      <c r="H1996" s="1845">
        <f t="shared" ref="H1996:H2001" si="365">D1996</f>
        <v>0</v>
      </c>
      <c r="I1996" s="1845"/>
      <c r="J1996" s="1845"/>
      <c r="K1996" s="1845"/>
      <c r="L1996" s="1845">
        <f t="shared" si="362"/>
        <v>0</v>
      </c>
      <c r="M1996" s="1845"/>
      <c r="N1996" s="1845"/>
      <c r="O1996" s="1845"/>
      <c r="P1996" s="1845">
        <f t="shared" si="360"/>
        <v>0</v>
      </c>
      <c r="Q1996" s="1056"/>
      <c r="R1996" s="1056"/>
      <c r="S1996" s="1056"/>
      <c r="T1996" s="2059">
        <f>IFERROR(HLOOKUP(B1996,pp1p!$1:$3,3,0),0)</f>
        <v>0</v>
      </c>
    </row>
    <row r="1997" spans="1:20" ht="22.15" hidden="1" customHeight="1">
      <c r="A1997" s="59"/>
      <c r="B1997" s="1606" t="s">
        <v>2522</v>
      </c>
      <c r="C1997" s="1015" t="str">
        <f t="shared" si="364"/>
        <v xml:space="preserve"> </v>
      </c>
      <c r="D1997" s="1557">
        <f>pp1p!BW94</f>
        <v>0</v>
      </c>
      <c r="E1997" s="1047"/>
      <c r="F1997" s="1065" t="s">
        <v>2568</v>
      </c>
      <c r="G1997" s="1066" t="s">
        <v>2521</v>
      </c>
      <c r="H1997" s="1845">
        <f t="shared" si="365"/>
        <v>0</v>
      </c>
      <c r="I1997" s="1845"/>
      <c r="J1997" s="1845"/>
      <c r="K1997" s="1845"/>
      <c r="L1997" s="1844">
        <f>IFERROR(HLOOKUP(chitiet!B1997,pp1p!$1:$3,3,0),0)</f>
        <v>0</v>
      </c>
      <c r="M1997" s="1845"/>
      <c r="N1997" s="1845"/>
      <c r="O1997" s="1845"/>
      <c r="P1997" s="1845">
        <f t="shared" si="360"/>
        <v>0</v>
      </c>
      <c r="Q1997" s="1056"/>
      <c r="R1997" s="1056"/>
      <c r="S1997" s="1056"/>
      <c r="T1997" s="2059">
        <f>IFERROR(HLOOKUP(B1997,pp1p!$1:$3,3,0),0)</f>
        <v>0</v>
      </c>
    </row>
    <row r="1998" spans="1:20" ht="22.15" hidden="1" customHeight="1">
      <c r="A1998" s="59"/>
      <c r="B1998" s="1586" t="s">
        <v>112</v>
      </c>
      <c r="C1998" s="1015" t="str">
        <f t="shared" si="364"/>
        <v xml:space="preserve"> </v>
      </c>
      <c r="D1998" s="1544">
        <f>D1997*2</f>
        <v>0</v>
      </c>
      <c r="E1998" s="1047"/>
      <c r="F1998" s="1059" t="str">
        <f>VLOOKUP($B1998,DG!A:D,DG!$C$2,)</f>
        <v>Sứ treo loại 70kN</v>
      </c>
      <c r="G1998" s="1047" t="str">
        <f>VLOOKUP($B1998,DG!A:D,DG!$D$2,)</f>
        <v>bát</v>
      </c>
      <c r="H1998" s="1845">
        <f t="shared" si="365"/>
        <v>0</v>
      </c>
      <c r="I1998" s="1845"/>
      <c r="J1998" s="1845"/>
      <c r="K1998" s="1845"/>
      <c r="L1998" s="1845">
        <f t="shared" si="362"/>
        <v>0</v>
      </c>
      <c r="M1998" s="1845"/>
      <c r="N1998" s="1845"/>
      <c r="O1998" s="1845"/>
      <c r="P1998" s="1845">
        <f t="shared" si="360"/>
        <v>0</v>
      </c>
      <c r="Q1998" s="1056"/>
      <c r="R1998" s="1056"/>
      <c r="S1998" s="1056"/>
      <c r="T1998" s="2059">
        <f>IFERROR(HLOOKUP(B1998,pp1p!$1:$3,3,0),0)</f>
        <v>0</v>
      </c>
    </row>
    <row r="1999" spans="1:20" ht="22.15" hidden="1" customHeight="1">
      <c r="A1999" s="59"/>
      <c r="B1999" s="1586" t="s">
        <v>1491</v>
      </c>
      <c r="C1999" s="1015" t="str">
        <f t="shared" si="364"/>
        <v xml:space="preserve"> </v>
      </c>
      <c r="D1999" s="1544">
        <f>D1997*2</f>
        <v>0</v>
      </c>
      <c r="E1999" s="1047"/>
      <c r="F1999" s="1059" t="str">
        <f>VLOOKUP($B1999,DG!A:D,DG!$C$2,)</f>
        <v xml:space="preserve">Móc treo chữ U </v>
      </c>
      <c r="G1999" s="1047" t="str">
        <f>VLOOKUP($B1999,DG!A:D,DG!$D$2,)</f>
        <v>cái</v>
      </c>
      <c r="H1999" s="1845">
        <f t="shared" si="365"/>
        <v>0</v>
      </c>
      <c r="I1999" s="1845"/>
      <c r="J1999" s="1845"/>
      <c r="K1999" s="1845"/>
      <c r="L1999" s="1845">
        <f t="shared" si="362"/>
        <v>0</v>
      </c>
      <c r="M1999" s="1845"/>
      <c r="N1999" s="1845"/>
      <c r="O1999" s="1845"/>
      <c r="P1999" s="1845">
        <f t="shared" si="360"/>
        <v>0</v>
      </c>
      <c r="Q1999" s="1056"/>
      <c r="R1999" s="1056"/>
      <c r="S1999" s="1056"/>
      <c r="T1999" s="2059">
        <f>IFERROR(HLOOKUP(B1999,pp1p!$1:$3,3,0),0)</f>
        <v>0</v>
      </c>
    </row>
    <row r="2000" spans="1:20" ht="22.15" hidden="1" customHeight="1">
      <c r="A2000" s="59"/>
      <c r="B2000" s="1586" t="s">
        <v>1574</v>
      </c>
      <c r="C2000" s="1015" t="str">
        <f t="shared" si="364"/>
        <v xml:space="preserve"> </v>
      </c>
      <c r="D2000" s="1544">
        <f>D1997</f>
        <v>0</v>
      </c>
      <c r="E2000" s="1047"/>
      <c r="F2000" s="1059" t="str">
        <f>VLOOKUP($B2000,DG!A:D,DG!$C$2,)</f>
        <v>Vòng treo đầu tròn</v>
      </c>
      <c r="G2000" s="1047" t="str">
        <f>VLOOKUP($B2000,DG!A:D,DG!$D$2,)</f>
        <v>cái</v>
      </c>
      <c r="H2000" s="1845">
        <f t="shared" si="365"/>
        <v>0</v>
      </c>
      <c r="I2000" s="1845"/>
      <c r="J2000" s="1845"/>
      <c r="K2000" s="1845"/>
      <c r="L2000" s="1845">
        <f t="shared" si="362"/>
        <v>0</v>
      </c>
      <c r="M2000" s="1845"/>
      <c r="N2000" s="1845"/>
      <c r="O2000" s="1845"/>
      <c r="P2000" s="1845">
        <f t="shared" si="360"/>
        <v>0</v>
      </c>
      <c r="Q2000" s="1056"/>
      <c r="R2000" s="1056"/>
      <c r="S2000" s="1056"/>
      <c r="T2000" s="2059">
        <f>IFERROR(HLOOKUP(B2000,pp1p!$1:$3,3,0),0)</f>
        <v>0</v>
      </c>
    </row>
    <row r="2001" spans="1:20" ht="22.15" hidden="1" customHeight="1">
      <c r="A2001" s="59"/>
      <c r="B2001" s="1586" t="s">
        <v>1489</v>
      </c>
      <c r="C2001" s="1015" t="str">
        <f t="shared" si="364"/>
        <v xml:space="preserve"> </v>
      </c>
      <c r="D2001" s="1544">
        <f>D1997</f>
        <v>0</v>
      </c>
      <c r="E2001" s="1047"/>
      <c r="F2001" s="1059" t="str">
        <f>VLOOKUP($B2001,DG!A:D,DG!$C$2,)</f>
        <v>Mắt nối đơn</v>
      </c>
      <c r="G2001" s="1047" t="str">
        <f>VLOOKUP($B2001,DG!A:D,DG!$D$2,)</f>
        <v>cái</v>
      </c>
      <c r="H2001" s="1845">
        <f t="shared" si="365"/>
        <v>0</v>
      </c>
      <c r="I2001" s="1845"/>
      <c r="J2001" s="1845"/>
      <c r="K2001" s="1845"/>
      <c r="L2001" s="1845">
        <f t="shared" si="362"/>
        <v>0</v>
      </c>
      <c r="M2001" s="1845"/>
      <c r="N2001" s="1845"/>
      <c r="O2001" s="1845"/>
      <c r="P2001" s="1845">
        <f t="shared" si="360"/>
        <v>0</v>
      </c>
      <c r="Q2001" s="1056"/>
      <c r="R2001" s="1056"/>
      <c r="S2001" s="1056"/>
      <c r="T2001" s="2059">
        <f>IFERROR(HLOOKUP(B2001,pp1p!$1:$3,3,0),0)</f>
        <v>0</v>
      </c>
    </row>
    <row r="2002" spans="1:20" ht="22.15" hidden="1" customHeight="1">
      <c r="B2002" s="1593"/>
      <c r="C2002" s="1015" t="str">
        <f>IF(OR(D2002&gt;0),"x","")</f>
        <v/>
      </c>
      <c r="D2002" s="1665"/>
      <c r="E2002" s="1047"/>
      <c r="F2002" s="1506" t="s">
        <v>2555</v>
      </c>
      <c r="G2002" s="1047"/>
      <c r="H2002" s="1845"/>
      <c r="I2002" s="1845"/>
      <c r="J2002" s="1845"/>
      <c r="K2002" s="1845"/>
      <c r="L2002" s="1845">
        <f t="shared" si="362"/>
        <v>0</v>
      </c>
      <c r="M2002" s="1845"/>
      <c r="N2002" s="1845"/>
      <c r="O2002" s="1845"/>
      <c r="P2002" s="1845">
        <f t="shared" si="360"/>
        <v>0</v>
      </c>
      <c r="Q2002" s="1056"/>
      <c r="R2002" s="1056"/>
      <c r="S2002" s="1056"/>
      <c r="T2002" s="2059">
        <f>IFERROR(HLOOKUP(B2002,pp1p!$1:$3,3,0),0)</f>
        <v>0</v>
      </c>
    </row>
    <row r="2003" spans="1:20" ht="22.15" hidden="1" customHeight="1">
      <c r="A2003" s="59"/>
      <c r="B2003" s="1593" t="s">
        <v>1177</v>
      </c>
      <c r="C2003" s="1015" t="str">
        <f t="shared" si="364"/>
        <v xml:space="preserve"> </v>
      </c>
      <c r="D2003" s="1557">
        <f>pp1p!CZ94</f>
        <v>0</v>
      </c>
      <c r="E2003" s="1047"/>
      <c r="F2003" s="1059" t="str">
        <f>VLOOKUP($B2003,DG!A:D,DG!$C$2,)</f>
        <v>Khóa đỡ dây cỡ dây 50</v>
      </c>
      <c r="G2003" s="1047" t="str">
        <f>VLOOKUP($B2003,DG!A:D,DG!$D$2,)</f>
        <v>cái</v>
      </c>
      <c r="H2003" s="1845">
        <f>L2003</f>
        <v>0</v>
      </c>
      <c r="I2003" s="1845"/>
      <c r="J2003" s="1845"/>
      <c r="K2003" s="1845">
        <f>D2003</f>
        <v>0</v>
      </c>
      <c r="L2003" s="1844">
        <f>IFERROR(HLOOKUP(chitiet!B2003,pp1p!$1:$3,3,0),0)</f>
        <v>0</v>
      </c>
      <c r="M2003" s="1845"/>
      <c r="N2003" s="1845"/>
      <c r="O2003" s="1845"/>
      <c r="P2003" s="1845">
        <f t="shared" si="360"/>
        <v>0</v>
      </c>
      <c r="Q2003" s="1056"/>
      <c r="R2003" s="1056"/>
      <c r="S2003" s="1056"/>
      <c r="T2003" s="2059">
        <f>IFERROR(HLOOKUP(B2003,pp1p!$1:$3,3,0),0)</f>
        <v>0</v>
      </c>
    </row>
    <row r="2004" spans="1:20" ht="22.15" hidden="1" customHeight="1">
      <c r="A2004" s="59"/>
      <c r="B2004" s="1593" t="s">
        <v>1487</v>
      </c>
      <c r="C2004" s="1015" t="str">
        <f t="shared" si="364"/>
        <v xml:space="preserve"> </v>
      </c>
      <c r="D2004" s="1544">
        <f>(D1981+D1997)-D2003-D2005</f>
        <v>0</v>
      </c>
      <c r="E2004" s="1047"/>
      <c r="F2004" s="1059" t="str">
        <f>VLOOKUP($B2004,DG!A:D,DG!$C$2,)</f>
        <v>Khóa néo dây cỡ dây 50</v>
      </c>
      <c r="G2004" s="1047" t="str">
        <f>VLOOKUP($B2004,DG!A:D,DG!$D$2,)</f>
        <v>cái</v>
      </c>
      <c r="H2004" s="1845">
        <f t="shared" ref="H2004:H2041" si="366">D2004</f>
        <v>0</v>
      </c>
      <c r="I2004" s="1845"/>
      <c r="J2004" s="1845"/>
      <c r="K2004" s="1845"/>
      <c r="L2004" s="1844">
        <f>IFERROR(HLOOKUP(chitiet!B2004,pp1p!$1:$3,3,0),0)</f>
        <v>0</v>
      </c>
      <c r="M2004" s="1845"/>
      <c r="N2004" s="1845"/>
      <c r="O2004" s="1845"/>
      <c r="P2004" s="1845">
        <f t="shared" si="360"/>
        <v>0</v>
      </c>
      <c r="Q2004" s="1056"/>
      <c r="R2004" s="1056"/>
      <c r="S2004" s="1056"/>
      <c r="T2004" s="2059">
        <f>IFERROR(HLOOKUP(B2004,pp1p!$1:$3,3,0),0)</f>
        <v>0</v>
      </c>
    </row>
    <row r="2005" spans="1:20" ht="22.15" hidden="1" customHeight="1">
      <c r="A2005" s="59"/>
      <c r="B2005" s="1609" t="s">
        <v>1147</v>
      </c>
      <c r="C2005" s="1015" t="str">
        <f t="shared" si="364"/>
        <v xml:space="preserve"> </v>
      </c>
      <c r="D2005" s="1541"/>
      <c r="E2005" s="1047"/>
      <c r="F2005" s="1059" t="str">
        <f>VLOOKUP($B2005,DG!A:D,DG!$C$2,)</f>
        <v>Khóa néo dây cỡ dây 70</v>
      </c>
      <c r="G2005" s="1047" t="str">
        <f>VLOOKUP($B2005,DG!A:D,DG!$D$2,)</f>
        <v>cái</v>
      </c>
      <c r="H2005" s="1845">
        <f t="shared" si="366"/>
        <v>0</v>
      </c>
      <c r="I2005" s="1845"/>
      <c r="J2005" s="1845"/>
      <c r="K2005" s="1845">
        <f>D2005</f>
        <v>0</v>
      </c>
      <c r="L2005" s="1844">
        <f>IFERROR(HLOOKUP(chitiet!B2005,pp1p!$1:$3,3,0),0)</f>
        <v>0</v>
      </c>
      <c r="M2005" s="1845"/>
      <c r="N2005" s="1845"/>
      <c r="O2005" s="1845"/>
      <c r="P2005" s="1845">
        <f t="shared" si="360"/>
        <v>0</v>
      </c>
      <c r="Q2005" s="1056"/>
      <c r="R2005" s="1056"/>
      <c r="S2005" s="1056"/>
      <c r="T2005" s="2059">
        <f>IFERROR(HLOOKUP(B2005,pp1p!$1:$3,3,0),0)</f>
        <v>0</v>
      </c>
    </row>
    <row r="2006" spans="1:20" ht="22.15" hidden="1" customHeight="1">
      <c r="A2006" s="59"/>
      <c r="B2006" s="1593" t="s">
        <v>994</v>
      </c>
      <c r="C2006" s="1015" t="str">
        <f t="shared" si="364"/>
        <v xml:space="preserve"> </v>
      </c>
      <c r="D2006" s="1557">
        <f>pp1p!CC94</f>
        <v>0</v>
      </c>
      <c r="E2006" s="1047"/>
      <c r="F2006" s="1059" t="str">
        <f>VLOOKUP($B2006,DG!A:D,DG!$C$2,)</f>
        <v>Kẹp ép WR cỡ dây 50mm2</v>
      </c>
      <c r="G2006" s="1047" t="str">
        <f>VLOOKUP($B2006,DG!A:D,DG!$D$2,)</f>
        <v>cái</v>
      </c>
      <c r="H2006" s="1845">
        <f t="shared" si="366"/>
        <v>0</v>
      </c>
      <c r="I2006" s="1845"/>
      <c r="J2006" s="1845"/>
      <c r="K2006" s="1845"/>
      <c r="L2006" s="1844">
        <f>IFERROR(HLOOKUP(chitiet!B2006,pp1p!$1:$3,3,0),0)</f>
        <v>0</v>
      </c>
      <c r="M2006" s="1845"/>
      <c r="N2006" s="1845"/>
      <c r="O2006" s="1845"/>
      <c r="P2006" s="1845">
        <f t="shared" si="360"/>
        <v>0</v>
      </c>
      <c r="Q2006" s="1056"/>
      <c r="R2006" s="1056"/>
      <c r="S2006" s="1056"/>
      <c r="T2006" s="2059">
        <f>IFERROR(HLOOKUP(B2006,pp1p!$1:$3,3,0),0)</f>
        <v>0</v>
      </c>
    </row>
    <row r="2007" spans="1:20" ht="22.15" hidden="1" customHeight="1">
      <c r="A2007" s="59"/>
      <c r="B2007" s="1593" t="s">
        <v>35</v>
      </c>
      <c r="C2007" s="1015" t="str">
        <f t="shared" si="364"/>
        <v xml:space="preserve"> </v>
      </c>
      <c r="D2007" s="1557">
        <f>pp1p!CD94</f>
        <v>0</v>
      </c>
      <c r="E2007" s="1047"/>
      <c r="F2007" s="1059" t="str">
        <f>VLOOKUP($B2007,DG!A:D,DG!$C$2,)</f>
        <v>Kẹp ép WR cỡ dây 70mm2</v>
      </c>
      <c r="G2007" s="1047" t="str">
        <f>VLOOKUP($B2007,DG!A:D,DG!$D$2,)</f>
        <v>cái</v>
      </c>
      <c r="H2007" s="1845">
        <f t="shared" si="366"/>
        <v>0</v>
      </c>
      <c r="I2007" s="1845"/>
      <c r="J2007" s="1845"/>
      <c r="K2007" s="1845"/>
      <c r="L2007" s="1844">
        <f>IFERROR(HLOOKUP(chitiet!B2007,pp1p!$1:$3,3,0),0)</f>
        <v>0</v>
      </c>
      <c r="M2007" s="1845"/>
      <c r="N2007" s="1845"/>
      <c r="O2007" s="1845"/>
      <c r="P2007" s="1845">
        <f t="shared" si="360"/>
        <v>0</v>
      </c>
      <c r="Q2007" s="1056"/>
      <c r="R2007" s="1056"/>
      <c r="S2007" s="1056"/>
      <c r="T2007" s="2059">
        <f>IFERROR(HLOOKUP(B2007,pp1p!$1:$3,3,0),0)</f>
        <v>0</v>
      </c>
    </row>
    <row r="2008" spans="1:20" ht="22.15" hidden="1" customHeight="1">
      <c r="A2008" s="59"/>
      <c r="B2008" s="1593" t="s">
        <v>36</v>
      </c>
      <c r="C2008" s="1015" t="str">
        <f t="shared" si="364"/>
        <v xml:space="preserve"> </v>
      </c>
      <c r="D2008" s="1557">
        <f>pp1p!CE94</f>
        <v>0</v>
      </c>
      <c r="E2008" s="1047"/>
      <c r="F2008" s="1059" t="str">
        <f>VLOOKUP($B2008,DG!A:D,DG!$C$2,)</f>
        <v>Kẹp ép WR cỡ dây 95mm2</v>
      </c>
      <c r="G2008" s="1047" t="str">
        <f>VLOOKUP($B2008,DG!A:D,DG!$D$2,)</f>
        <v>cái</v>
      </c>
      <c r="H2008" s="1845">
        <f t="shared" si="366"/>
        <v>0</v>
      </c>
      <c r="I2008" s="1845"/>
      <c r="J2008" s="1845"/>
      <c r="K2008" s="1845"/>
      <c r="L2008" s="1844">
        <f>IFERROR(HLOOKUP(chitiet!B2008,pp1p!$1:$3,3,0),0)</f>
        <v>0</v>
      </c>
      <c r="M2008" s="1845"/>
      <c r="N2008" s="1845"/>
      <c r="O2008" s="1845"/>
      <c r="P2008" s="1845">
        <f t="shared" si="360"/>
        <v>0</v>
      </c>
      <c r="Q2008" s="1056"/>
      <c r="R2008" s="1056"/>
      <c r="S2008" s="1056"/>
      <c r="T2008" s="2059">
        <f>IFERROR(HLOOKUP(B2008,pp1p!$1:$3,3,0),0)</f>
        <v>0</v>
      </c>
    </row>
    <row r="2009" spans="1:20" ht="22.15" hidden="1" customHeight="1">
      <c r="A2009" s="59"/>
      <c r="B2009" s="1593" t="s">
        <v>13</v>
      </c>
      <c r="C2009" s="1015" t="str">
        <f t="shared" si="364"/>
        <v xml:space="preserve"> </v>
      </c>
      <c r="D2009" s="1557">
        <f>pp1p!CF94</f>
        <v>0</v>
      </c>
      <c r="E2009" s="1047"/>
      <c r="F2009" s="1059" t="str">
        <f>VLOOKUP($B2009,DG!A:D,DG!$C$2,)</f>
        <v>Kẹp ép WR cỡ dây 120mm2</v>
      </c>
      <c r="G2009" s="1047" t="str">
        <f>VLOOKUP($B2009,DG!A:D,DG!$D$2,)</f>
        <v>cái</v>
      </c>
      <c r="H2009" s="1845">
        <f t="shared" si="366"/>
        <v>0</v>
      </c>
      <c r="I2009" s="1845"/>
      <c r="J2009" s="1845"/>
      <c r="K2009" s="1845"/>
      <c r="L2009" s="1844">
        <f>IFERROR(HLOOKUP(chitiet!B2009,pp1p!$1:$3,3,0),0)</f>
        <v>0</v>
      </c>
      <c r="M2009" s="1845"/>
      <c r="N2009" s="1845"/>
      <c r="O2009" s="1845"/>
      <c r="P2009" s="1845">
        <f t="shared" si="360"/>
        <v>0</v>
      </c>
      <c r="Q2009" s="1056"/>
      <c r="R2009" s="1056"/>
      <c r="S2009" s="1056"/>
      <c r="T2009" s="2059">
        <f>IFERROR(HLOOKUP(B2009,pp1p!$1:$3,3,0),0)</f>
        <v>0</v>
      </c>
    </row>
    <row r="2010" spans="1:20" ht="22.15" hidden="1" customHeight="1">
      <c r="A2010" s="59"/>
      <c r="B2010" s="1593" t="s">
        <v>142</v>
      </c>
      <c r="C2010" s="1015" t="str">
        <f t="shared" si="364"/>
        <v xml:space="preserve"> </v>
      </c>
      <c r="D2010" s="1557">
        <f>pp1p!CG94</f>
        <v>0</v>
      </c>
      <c r="E2010" s="1047"/>
      <c r="F2010" s="1059" t="str">
        <f>VLOOKUP($B2010,DG!A:D,DG!$C$2,)</f>
        <v>Kẹp ép WR cỡ dây 150mm2</v>
      </c>
      <c r="G2010" s="1047" t="str">
        <f>VLOOKUP($B2010,DG!A:D,DG!$D$2,)</f>
        <v>cái</v>
      </c>
      <c r="H2010" s="1845">
        <f t="shared" si="366"/>
        <v>0</v>
      </c>
      <c r="I2010" s="1845"/>
      <c r="J2010" s="1845"/>
      <c r="K2010" s="1845"/>
      <c r="L2010" s="1844">
        <f>IFERROR(HLOOKUP(chitiet!B2010,pp1p!$1:$3,3,0),0)</f>
        <v>0</v>
      </c>
      <c r="M2010" s="1845"/>
      <c r="N2010" s="1845"/>
      <c r="O2010" s="1845"/>
      <c r="P2010" s="1845">
        <f t="shared" si="360"/>
        <v>0</v>
      </c>
      <c r="Q2010" s="1056"/>
      <c r="R2010" s="1056"/>
      <c r="S2010" s="1056"/>
      <c r="T2010" s="2059">
        <f>IFERROR(HLOOKUP(B2010,pp1p!$1:$3,3,0),0)</f>
        <v>0</v>
      </c>
    </row>
    <row r="2011" spans="1:20" ht="22.15" hidden="1" customHeight="1">
      <c r="A2011" s="59"/>
      <c r="B2011" s="1593" t="s">
        <v>14</v>
      </c>
      <c r="C2011" s="1015" t="str">
        <f t="shared" si="364"/>
        <v xml:space="preserve"> </v>
      </c>
      <c r="D2011" s="1557">
        <f>pp1p!CH94</f>
        <v>0</v>
      </c>
      <c r="E2011" s="1047"/>
      <c r="F2011" s="1059" t="str">
        <f>VLOOKUP($B2011,DG!A:D,DG!$C$2,)</f>
        <v>Kẹp ép WR cỡ dây 185mm2</v>
      </c>
      <c r="G2011" s="1047" t="str">
        <f>VLOOKUP($B2011,DG!A:D,DG!$D$2,)</f>
        <v>cái</v>
      </c>
      <c r="H2011" s="1845">
        <f t="shared" si="366"/>
        <v>0</v>
      </c>
      <c r="I2011" s="1845"/>
      <c r="J2011" s="1845"/>
      <c r="K2011" s="1845"/>
      <c r="L2011" s="1844">
        <f>IFERROR(HLOOKUP(chitiet!B2011,pp1p!$1:$3,3,0),0)</f>
        <v>0</v>
      </c>
      <c r="M2011" s="1845"/>
      <c r="N2011" s="1845"/>
      <c r="O2011" s="1845"/>
      <c r="P2011" s="1845">
        <f t="shared" si="360"/>
        <v>0</v>
      </c>
      <c r="Q2011" s="1056"/>
      <c r="R2011" s="1056"/>
      <c r="S2011" s="1056"/>
      <c r="T2011" s="2059">
        <f>IFERROR(HLOOKUP(B2011,pp1p!$1:$3,3,0),0)</f>
        <v>0</v>
      </c>
    </row>
    <row r="2012" spans="1:20" ht="22.15" hidden="1" customHeight="1">
      <c r="A2012" s="59"/>
      <c r="B2012" s="1593" t="s">
        <v>15</v>
      </c>
      <c r="C2012" s="1015" t="str">
        <f t="shared" si="364"/>
        <v xml:space="preserve"> </v>
      </c>
      <c r="D2012" s="1557">
        <f>pp1p!CI94</f>
        <v>0</v>
      </c>
      <c r="E2012" s="1047"/>
      <c r="F2012" s="1059" t="str">
        <f>VLOOKUP($B2012,DG!A:D,DG!$C$2,)</f>
        <v>Kẹp ép WR cỡ dây 240mm2</v>
      </c>
      <c r="G2012" s="1047" t="str">
        <f>VLOOKUP($B2012,DG!A:D,DG!$D$2,)</f>
        <v>cái</v>
      </c>
      <c r="H2012" s="1845">
        <f t="shared" si="366"/>
        <v>0</v>
      </c>
      <c r="I2012" s="1845"/>
      <c r="J2012" s="1845"/>
      <c r="K2012" s="1845"/>
      <c r="L2012" s="1844">
        <f>IFERROR(HLOOKUP(chitiet!B2012,pp1p!$1:$3,3,0),0)</f>
        <v>0</v>
      </c>
      <c r="M2012" s="1845"/>
      <c r="N2012" s="1845"/>
      <c r="O2012" s="1845"/>
      <c r="P2012" s="1845">
        <f t="shared" si="360"/>
        <v>0</v>
      </c>
      <c r="Q2012" s="1056"/>
      <c r="R2012" s="1056"/>
      <c r="S2012" s="1056"/>
      <c r="T2012" s="2059">
        <f>IFERROR(HLOOKUP(B2012,pp1p!$1:$3,3,0),0)</f>
        <v>0</v>
      </c>
    </row>
    <row r="2013" spans="1:20" ht="22.15" hidden="1" customHeight="1">
      <c r="A2013" s="59"/>
      <c r="B2013" s="1593" t="s">
        <v>1893</v>
      </c>
      <c r="C2013" s="1015" t="str">
        <f t="shared" si="364"/>
        <v xml:space="preserve"> </v>
      </c>
      <c r="D2013" s="1557">
        <f>pp1p!CJ94</f>
        <v>0</v>
      </c>
      <c r="E2013" s="1047" t="str">
        <f>VLOOKUP($B2013,DG!A:D,DG!$B$2,)</f>
        <v>03.4003</v>
      </c>
      <c r="F2013" s="1059" t="str">
        <f>VLOOKUP($B2013,DG!A:D,DG!$C$2,)</f>
        <v>Đầu cosse ép Cu-Al 70mm2</v>
      </c>
      <c r="G2013" s="1047" t="str">
        <f>VLOOKUP($B2013,DG!A:D,DG!$D$2,)</f>
        <v>cái</v>
      </c>
      <c r="H2013" s="1845">
        <f t="shared" si="366"/>
        <v>0</v>
      </c>
      <c r="I2013" s="1845"/>
      <c r="J2013" s="1845"/>
      <c r="K2013" s="1845"/>
      <c r="L2013" s="1844">
        <f>IFERROR(HLOOKUP(chitiet!B2013,pp1p!$1:$3,3,0),0)</f>
        <v>0</v>
      </c>
      <c r="M2013" s="1845"/>
      <c r="N2013" s="1845"/>
      <c r="O2013" s="1845"/>
      <c r="P2013" s="1845">
        <f t="shared" si="360"/>
        <v>0</v>
      </c>
      <c r="Q2013" s="1056"/>
      <c r="R2013" s="1056"/>
      <c r="S2013" s="1056"/>
      <c r="T2013" s="2059">
        <f>IFERROR(HLOOKUP(B2013,pp1p!$1:$3,3,0),0)</f>
        <v>0</v>
      </c>
    </row>
    <row r="2014" spans="1:20" ht="22.15" hidden="1" customHeight="1">
      <c r="A2014" s="59"/>
      <c r="B2014" s="1593" t="s">
        <v>1894</v>
      </c>
      <c r="C2014" s="1015" t="str">
        <f t="shared" si="364"/>
        <v xml:space="preserve"> </v>
      </c>
      <c r="D2014" s="1557">
        <f>pp1p!CK94</f>
        <v>0</v>
      </c>
      <c r="E2014" s="1047" t="str">
        <f>VLOOKUP($B2014,DG!A:D,DG!$B$2,)</f>
        <v>03.4004</v>
      </c>
      <c r="F2014" s="1059" t="str">
        <f>VLOOKUP($B2014,DG!A:D,DG!$C$2,)</f>
        <v>Đầu cosse ép Cu-Al 95mm2</v>
      </c>
      <c r="G2014" s="1047" t="str">
        <f>VLOOKUP($B2014,DG!A:D,DG!$D$2,)</f>
        <v>cái</v>
      </c>
      <c r="H2014" s="1845">
        <f t="shared" si="366"/>
        <v>0</v>
      </c>
      <c r="I2014" s="1845"/>
      <c r="J2014" s="1845"/>
      <c r="K2014" s="1845"/>
      <c r="L2014" s="1844">
        <f>IFERROR(HLOOKUP(chitiet!B2014,pp1p!$1:$3,3,0),0)</f>
        <v>0</v>
      </c>
      <c r="M2014" s="1845"/>
      <c r="N2014" s="1845"/>
      <c r="O2014" s="1845"/>
      <c r="P2014" s="1845">
        <f t="shared" si="360"/>
        <v>0</v>
      </c>
      <c r="Q2014" s="1056"/>
      <c r="R2014" s="1056"/>
      <c r="S2014" s="1056"/>
      <c r="T2014" s="2059">
        <f>IFERROR(HLOOKUP(B2014,pp1p!$1:$3,3,0),0)</f>
        <v>0</v>
      </c>
    </row>
    <row r="2015" spans="1:20" ht="22.15" hidden="1" customHeight="1">
      <c r="A2015" s="59"/>
      <c r="B2015" s="1593" t="s">
        <v>1895</v>
      </c>
      <c r="C2015" s="1015" t="str">
        <f t="shared" si="364"/>
        <v xml:space="preserve"> </v>
      </c>
      <c r="D2015" s="1557">
        <f>pp1p!CL94</f>
        <v>0</v>
      </c>
      <c r="E2015" s="1047" t="str">
        <f>VLOOKUP($B2015,DG!A:D,DG!$B$2,)</f>
        <v>03.4005</v>
      </c>
      <c r="F2015" s="1059" t="str">
        <f>VLOOKUP($B2015,DG!A:D,DG!$C$2,)</f>
        <v>Đầu cosse ép Cu-Al 120mm2</v>
      </c>
      <c r="G2015" s="1047" t="str">
        <f>VLOOKUP($B2015,DG!A:D,DG!$D$2,)</f>
        <v>cái</v>
      </c>
      <c r="H2015" s="1845">
        <f t="shared" si="366"/>
        <v>0</v>
      </c>
      <c r="I2015" s="1845"/>
      <c r="J2015" s="1845"/>
      <c r="K2015" s="1845"/>
      <c r="L2015" s="1844">
        <f>IFERROR(HLOOKUP(chitiet!B2015,pp1p!$1:$3,3,0),0)</f>
        <v>0</v>
      </c>
      <c r="M2015" s="1845"/>
      <c r="N2015" s="1845"/>
      <c r="O2015" s="1845"/>
      <c r="P2015" s="1845">
        <f t="shared" ref="P2015:P2078" si="367">H2015+Q2015-R2015</f>
        <v>0</v>
      </c>
      <c r="Q2015" s="1056"/>
      <c r="R2015" s="1056"/>
      <c r="S2015" s="1056"/>
      <c r="T2015" s="2059">
        <f>IFERROR(HLOOKUP(B2015,pp1p!$1:$3,3,0),0)</f>
        <v>0</v>
      </c>
    </row>
    <row r="2016" spans="1:20" ht="22.15" hidden="1" customHeight="1">
      <c r="A2016" s="59"/>
      <c r="B2016" s="1593" t="s">
        <v>1021</v>
      </c>
      <c r="C2016" s="1015" t="str">
        <f t="shared" si="364"/>
        <v xml:space="preserve"> </v>
      </c>
      <c r="D2016" s="1557">
        <f>pp1p!CM94</f>
        <v>0</v>
      </c>
      <c r="E2016" s="1047" t="str">
        <f>VLOOKUP($B2016,DG!A:D,DG!$B$2,)</f>
        <v>03.4006</v>
      </c>
      <c r="F2016" s="1059" t="str">
        <f>VLOOKUP($B2016,DG!A:D,DG!$C$2,)</f>
        <v>Đầu cosse ép Cu-Al 150mm2</v>
      </c>
      <c r="G2016" s="1047" t="str">
        <f>VLOOKUP($B2016,DG!A:D,DG!$D$2,)</f>
        <v>cái</v>
      </c>
      <c r="H2016" s="1845">
        <f t="shared" si="366"/>
        <v>0</v>
      </c>
      <c r="I2016" s="1845"/>
      <c r="J2016" s="1845"/>
      <c r="K2016" s="1845"/>
      <c r="L2016" s="1844">
        <f>IFERROR(HLOOKUP(chitiet!B2016,pp1p!$1:$3,3,0),0)</f>
        <v>0</v>
      </c>
      <c r="M2016" s="1845"/>
      <c r="N2016" s="1845"/>
      <c r="O2016" s="1845"/>
      <c r="P2016" s="1845">
        <f t="shared" si="367"/>
        <v>0</v>
      </c>
      <c r="Q2016" s="1056"/>
      <c r="R2016" s="1056"/>
      <c r="S2016" s="1056"/>
      <c r="T2016" s="2059">
        <f>IFERROR(HLOOKUP(B2016,pp1p!$1:$3,3,0),0)</f>
        <v>0</v>
      </c>
    </row>
    <row r="2017" spans="1:20" ht="22.15" hidden="1" customHeight="1">
      <c r="A2017" s="59"/>
      <c r="B2017" s="1593" t="s">
        <v>1022</v>
      </c>
      <c r="C2017" s="1015" t="str">
        <f t="shared" si="364"/>
        <v xml:space="preserve"> </v>
      </c>
      <c r="D2017" s="1557">
        <f>pp1p!CN94</f>
        <v>0</v>
      </c>
      <c r="E2017" s="1047" t="str">
        <f>VLOOKUP($B2017,DG!A:D,DG!$B$2,)</f>
        <v>03.4007</v>
      </c>
      <c r="F2017" s="1059" t="str">
        <f>VLOOKUP($B2017,DG!A:D,DG!$C$2,)</f>
        <v>Đầu cosse ép Cu-Al 185mm2</v>
      </c>
      <c r="G2017" s="1047" t="str">
        <f>VLOOKUP($B2017,DG!A:D,DG!$D$2,)</f>
        <v>cái</v>
      </c>
      <c r="H2017" s="1845">
        <f t="shared" si="366"/>
        <v>0</v>
      </c>
      <c r="I2017" s="1845"/>
      <c r="J2017" s="1845"/>
      <c r="K2017" s="1845"/>
      <c r="L2017" s="1844">
        <f>IFERROR(HLOOKUP(chitiet!B2017,pp1p!$1:$3,3,0),0)</f>
        <v>0</v>
      </c>
      <c r="M2017" s="1845"/>
      <c r="N2017" s="1845"/>
      <c r="O2017" s="1845"/>
      <c r="P2017" s="1845">
        <f t="shared" si="367"/>
        <v>0</v>
      </c>
      <c r="Q2017" s="1056"/>
      <c r="R2017" s="1056"/>
      <c r="S2017" s="1056"/>
      <c r="T2017" s="2059">
        <f>IFERROR(HLOOKUP(B2017,pp1p!$1:$3,3,0),0)</f>
        <v>0</v>
      </c>
    </row>
    <row r="2018" spans="1:20" ht="22.15" hidden="1" customHeight="1">
      <c r="A2018" s="59"/>
      <c r="B2018" s="1593" t="s">
        <v>1837</v>
      </c>
      <c r="C2018" s="1015" t="str">
        <f t="shared" si="364"/>
        <v xml:space="preserve"> </v>
      </c>
      <c r="D2018" s="1557">
        <f>pp1p!CO94</f>
        <v>0</v>
      </c>
      <c r="E2018" s="1047" t="str">
        <f>VLOOKUP($B2018,DG!A:D,DG!$B$2,)</f>
        <v>03.4008</v>
      </c>
      <c r="F2018" s="1059" t="str">
        <f>VLOOKUP($B2018,DG!A:D,DG!$C$2,)</f>
        <v>Đầu cosse ép Cu-Al 240mm2</v>
      </c>
      <c r="G2018" s="1047" t="str">
        <f>VLOOKUP($B2018,DG!A:D,DG!$D$2,)</f>
        <v>cái</v>
      </c>
      <c r="H2018" s="1845">
        <f t="shared" si="366"/>
        <v>0</v>
      </c>
      <c r="I2018" s="1845"/>
      <c r="J2018" s="1845"/>
      <c r="K2018" s="1845"/>
      <c r="L2018" s="1844">
        <f>IFERROR(HLOOKUP(chitiet!B2018,pp1p!$1:$3,3,0),0)</f>
        <v>0</v>
      </c>
      <c r="M2018" s="1845"/>
      <c r="N2018" s="1845"/>
      <c r="O2018" s="1845"/>
      <c r="P2018" s="1845">
        <f t="shared" si="367"/>
        <v>0</v>
      </c>
      <c r="Q2018" s="1056"/>
      <c r="R2018" s="1056"/>
      <c r="S2018" s="1056"/>
      <c r="T2018" s="2059">
        <f>IFERROR(HLOOKUP(B2018,pp1p!$1:$3,3,0),0)</f>
        <v>0</v>
      </c>
    </row>
    <row r="2019" spans="1:20" ht="22.15" hidden="1" customHeight="1">
      <c r="A2019" s="59"/>
      <c r="B2019" s="1593" t="s">
        <v>437</v>
      </c>
      <c r="C2019" s="1015" t="str">
        <f t="shared" si="364"/>
        <v xml:space="preserve"> </v>
      </c>
      <c r="D2019" s="1557">
        <f>SUM(D2013:D2018)/2</f>
        <v>0</v>
      </c>
      <c r="E2019" s="1047">
        <f>VLOOKUP($B2019,DG!A:D,DG!$B$2,)</f>
        <v>0</v>
      </c>
      <c r="F2019" s="1059" t="str">
        <f>VLOOKUP($B2019,DG!A:D,DG!$C$2,)</f>
        <v>Boulon 12x30+ 2 long đền vuông D14-50x50x3/Zn</v>
      </c>
      <c r="G2019" s="1047" t="str">
        <f>VLOOKUP($B2019,DG!A:D,DG!$D$2,)</f>
        <v>bộ</v>
      </c>
      <c r="H2019" s="1845">
        <f t="shared" si="366"/>
        <v>0</v>
      </c>
      <c r="I2019" s="1845"/>
      <c r="J2019" s="1845"/>
      <c r="K2019" s="1845"/>
      <c r="L2019" s="1844">
        <f>IFERROR(HLOOKUP(chitiet!B2019,pp1p!$1:$3,3,0),0)</f>
        <v>0</v>
      </c>
      <c r="M2019" s="1845"/>
      <c r="N2019" s="1845"/>
      <c r="O2019" s="1845"/>
      <c r="P2019" s="1845">
        <f t="shared" si="367"/>
        <v>0</v>
      </c>
      <c r="Q2019" s="1056"/>
      <c r="R2019" s="1056"/>
      <c r="S2019" s="1056"/>
      <c r="T2019" s="2059">
        <f>IFERROR(HLOOKUP(B2019,pp1p!$1:$3,3,0),0)</f>
        <v>0</v>
      </c>
    </row>
    <row r="2020" spans="1:20" ht="22.15" hidden="1" customHeight="1">
      <c r="A2020" s="59"/>
      <c r="B2020" s="1593" t="s">
        <v>1484</v>
      </c>
      <c r="C2020" s="1015" t="str">
        <f t="shared" si="364"/>
        <v xml:space="preserve"> </v>
      </c>
      <c r="D2020" s="1557">
        <f>T2020</f>
        <v>0</v>
      </c>
      <c r="E2020" s="1047" t="str">
        <f>VLOOKUP($B2020,DG!A:D,DG!$B$2,)</f>
        <v>04.3007</v>
      </c>
      <c r="F2020" s="1059" t="str">
        <f>VLOOKUP($B2020,DG!A:D,DG!$C$2,)</f>
        <v>Kẹp quai 2/0</v>
      </c>
      <c r="G2020" s="1047" t="str">
        <f>VLOOKUP($B2020,DG!A:D,DG!$D$2,)</f>
        <v>cái</v>
      </c>
      <c r="H2020" s="1845">
        <f t="shared" si="366"/>
        <v>0</v>
      </c>
      <c r="I2020" s="1845"/>
      <c r="J2020" s="1845"/>
      <c r="K2020" s="1845"/>
      <c r="L2020" s="1844">
        <f>IFERROR(HLOOKUP(chitiet!B2020,pp1p!$1:$3,3,0),0)</f>
        <v>0</v>
      </c>
      <c r="M2020" s="1845"/>
      <c r="N2020" s="1845"/>
      <c r="O2020" s="1845"/>
      <c r="P2020" s="1845">
        <f t="shared" si="367"/>
        <v>0</v>
      </c>
      <c r="Q2020" s="1056"/>
      <c r="R2020" s="1056"/>
      <c r="S2020" s="1056"/>
      <c r="T2020" s="2059">
        <f>IFERROR(HLOOKUP(B2020,pp1p!$1:$3,3,0),0)</f>
        <v>0</v>
      </c>
    </row>
    <row r="2021" spans="1:20" ht="22.15" hidden="1" customHeight="1">
      <c r="A2021" s="59"/>
      <c r="B2021" s="1593" t="s">
        <v>1482</v>
      </c>
      <c r="C2021" s="1015" t="str">
        <f t="shared" ref="C2021" si="368">IF(OR(P2021&lt;&gt;0,H2021&lt;&gt;0),"x"," ")</f>
        <v xml:space="preserve"> </v>
      </c>
      <c r="D2021" s="1557">
        <f>T2021</f>
        <v>0</v>
      </c>
      <c r="E2021" s="1047" t="str">
        <f>VLOOKUP($B2021,DG!A:D,DG!$B$2,)</f>
        <v>04.3007</v>
      </c>
      <c r="F2021" s="1059" t="str">
        <f>VLOOKUP($B2021,DG!A:D,DG!$C$2,)</f>
        <v>Kẹp hotline 2/0</v>
      </c>
      <c r="G2021" s="1047" t="str">
        <f>VLOOKUP($B2021,DG!A:D,DG!$D$2,)</f>
        <v>cái</v>
      </c>
      <c r="H2021" s="1845">
        <f t="shared" si="366"/>
        <v>0</v>
      </c>
      <c r="I2021" s="1845"/>
      <c r="J2021" s="1845"/>
      <c r="K2021" s="1845"/>
      <c r="L2021" s="1844">
        <f>IFERROR(HLOOKUP(chitiet!B2021,pp1p!$1:$3,3,0),0)</f>
        <v>0</v>
      </c>
      <c r="M2021" s="1845"/>
      <c r="N2021" s="1845"/>
      <c r="O2021" s="1845"/>
      <c r="P2021" s="1845">
        <f t="shared" ref="P2021" si="369">H2021+Q2021-R2021</f>
        <v>0</v>
      </c>
      <c r="Q2021" s="1056"/>
      <c r="R2021" s="1056"/>
      <c r="S2021" s="1056"/>
      <c r="T2021" s="2059">
        <f>IFERROR(HLOOKUP(B2021,pp1p!$1:$3,3,0),0)</f>
        <v>0</v>
      </c>
    </row>
    <row r="2022" spans="1:20" ht="22.15" hidden="1" customHeight="1">
      <c r="A2022" s="59"/>
      <c r="B2022" s="1593" t="s">
        <v>4574</v>
      </c>
      <c r="C2022" s="1015" t="str">
        <f t="shared" si="364"/>
        <v xml:space="preserve"> </v>
      </c>
      <c r="D2022" s="1544">
        <f>D2020</f>
        <v>0</v>
      </c>
      <c r="E2022" s="1047">
        <f>VLOOKUP($B2022,DG!A:D,DG!$B$2,)</f>
        <v>0</v>
      </c>
      <c r="F2022" s="1059" t="str">
        <f>VLOOKUP($B2022,DG!A:D,DG!$C$2,)</f>
        <v>Chụp cách điện kẹp quai</v>
      </c>
      <c r="G2022" s="1047" t="str">
        <f>VLOOKUP($B2022,DG!A:D,DG!$D$2,)</f>
        <v>cái</v>
      </c>
      <c r="H2022" s="1845">
        <f t="shared" si="366"/>
        <v>0</v>
      </c>
      <c r="I2022" s="1845"/>
      <c r="J2022" s="1845"/>
      <c r="K2022" s="1845"/>
      <c r="L2022" s="1844">
        <f>IFERROR(HLOOKUP(chitiet!B2022,pp1p!$1:$3,3,0),0)</f>
        <v>0</v>
      </c>
      <c r="M2022" s="1845"/>
      <c r="N2022" s="1845"/>
      <c r="O2022" s="1845"/>
      <c r="P2022" s="1845">
        <f t="shared" si="367"/>
        <v>0</v>
      </c>
      <c r="Q2022" s="1056"/>
      <c r="R2022" s="1056"/>
      <c r="S2022" s="1056"/>
      <c r="T2022" s="2059">
        <f>IFERROR(HLOOKUP(B2022,pp1p!$1:$3,3,0),0)</f>
        <v>0</v>
      </c>
    </row>
    <row r="2023" spans="1:20" ht="22.15" hidden="1" customHeight="1">
      <c r="B2023" s="1594" t="s">
        <v>699</v>
      </c>
      <c r="C2023" s="1015" t="str">
        <f t="shared" si="364"/>
        <v xml:space="preserve"> </v>
      </c>
      <c r="D2023" s="1544">
        <f>pp1p!CR94*3</f>
        <v>0</v>
      </c>
      <c r="E2023" s="1047"/>
      <c r="F2023" s="1059" t="str">
        <f>VLOOKUP($B2023,DG!A:D,DG!$C$2,)</f>
        <v>Cáp 24KV CX-25mm2</v>
      </c>
      <c r="G2023" s="1047" t="str">
        <f>VLOOKUP($B2023,DG!A:D,DG!$D$2,)</f>
        <v>mét</v>
      </c>
      <c r="H2023" s="1845">
        <f t="shared" si="366"/>
        <v>0</v>
      </c>
      <c r="I2023" s="1845"/>
      <c r="J2023" s="1845"/>
      <c r="K2023" s="1845"/>
      <c r="L2023" s="1844">
        <f>IFERROR(HLOOKUP(chitiet!B2023,pp1p!$1:$3,3,0),0)</f>
        <v>0</v>
      </c>
      <c r="M2023" s="1845"/>
      <c r="N2023" s="1845"/>
      <c r="O2023" s="1845"/>
      <c r="P2023" s="1845">
        <f t="shared" si="367"/>
        <v>0</v>
      </c>
      <c r="Q2023" s="1062"/>
      <c r="R2023" s="1062"/>
      <c r="S2023" s="1062"/>
      <c r="T2023" s="2059">
        <f>IFERROR(HLOOKUP(B2023,pp1p!$1:$3,3,0),0)</f>
        <v>0</v>
      </c>
    </row>
    <row r="2024" spans="1:20" ht="22.15" hidden="1" customHeight="1">
      <c r="A2024" s="59"/>
      <c r="B2024" s="1593" t="s">
        <v>1025</v>
      </c>
      <c r="C2024" s="1015" t="str">
        <f t="shared" si="364"/>
        <v xml:space="preserve"> </v>
      </c>
      <c r="D2024" s="1557">
        <f>pp1p!AV94</f>
        <v>0</v>
      </c>
      <c r="E2024" s="1047"/>
      <c r="F2024" s="1059" t="str">
        <f>VLOOKUP($B2024,DG!A:D,DG!$C$2,)</f>
        <v>Cáp thép 3/8"</v>
      </c>
      <c r="G2024" s="1047" t="str">
        <f>VLOOKUP($B2024,DG!A:D,DG!$D$2,)</f>
        <v>kg</v>
      </c>
      <c r="H2024" s="1845">
        <f t="shared" si="366"/>
        <v>0</v>
      </c>
      <c r="I2024" s="1845"/>
      <c r="J2024" s="1845"/>
      <c r="K2024" s="1845"/>
      <c r="L2024" s="1844">
        <f>IFERROR(HLOOKUP(chitiet!B2024,pp1p!$1:$3,3,0),0)</f>
        <v>0</v>
      </c>
      <c r="M2024" s="1845"/>
      <c r="N2024" s="1845"/>
      <c r="O2024" s="1845"/>
      <c r="P2024" s="1845">
        <f t="shared" si="367"/>
        <v>0</v>
      </c>
      <c r="Q2024" s="1056"/>
      <c r="R2024" s="1056"/>
      <c r="S2024" s="1056"/>
      <c r="T2024" s="2059">
        <f>IFERROR(HLOOKUP(B2024,pp1p!$1:$3,3,0),0)</f>
        <v>0</v>
      </c>
    </row>
    <row r="2025" spans="1:20" ht="22.15" hidden="1" customHeight="1">
      <c r="A2025" s="59"/>
      <c r="B2025" s="1593" t="s">
        <v>378</v>
      </c>
      <c r="C2025" s="1015" t="str">
        <f t="shared" si="364"/>
        <v xml:space="preserve"> </v>
      </c>
      <c r="D2025" s="1557">
        <f>pp1p!CW94</f>
        <v>0</v>
      </c>
      <c r="E2025" s="1047"/>
      <c r="F2025" s="1059" t="str">
        <f>VLOOKUP($B2025,DG!A:D,DG!$C$2,)</f>
        <v>Biển báo độ cao</v>
      </c>
      <c r="G2025" s="1047" t="str">
        <f>VLOOKUP($B2025,DG!A:D,DG!$D$2,)</f>
        <v>cái</v>
      </c>
      <c r="H2025" s="1845">
        <f t="shared" si="366"/>
        <v>0</v>
      </c>
      <c r="I2025" s="1845"/>
      <c r="J2025" s="1845"/>
      <c r="K2025" s="1845"/>
      <c r="L2025" s="1844">
        <f>IFERROR(HLOOKUP(chitiet!B2025,pp1p!$1:$3,3,0),0)</f>
        <v>0</v>
      </c>
      <c r="M2025" s="1845"/>
      <c r="N2025" s="1845"/>
      <c r="O2025" s="1845"/>
      <c r="P2025" s="1845">
        <f t="shared" si="367"/>
        <v>0</v>
      </c>
      <c r="Q2025" s="1056"/>
      <c r="R2025" s="1056"/>
      <c r="S2025" s="1056"/>
      <c r="T2025" s="2059">
        <f>IFERROR(HLOOKUP(B2025,pp1p!$1:$3,3,0),0)</f>
        <v>0</v>
      </c>
    </row>
    <row r="2026" spans="1:20" ht="22.15" hidden="1" customHeight="1">
      <c r="A2026" s="59"/>
      <c r="B2026" s="1593" t="s">
        <v>1492</v>
      </c>
      <c r="C2026" s="1015" t="str">
        <f t="shared" si="364"/>
        <v xml:space="preserve"> </v>
      </c>
      <c r="D2026" s="1544">
        <f>ROUND((D1956/0.195/0.198)/1500,0)</f>
        <v>0</v>
      </c>
      <c r="E2026" s="1047"/>
      <c r="F2026" s="1059" t="str">
        <f>VLOOKUP($B2026,DG!A:D,DG!$C$2,)</f>
        <v>Ống nối dây cỡ 50mm2</v>
      </c>
      <c r="G2026" s="1047" t="str">
        <f>VLOOKUP($B2026,DG!A:D,DG!$D$2,)</f>
        <v>cái</v>
      </c>
      <c r="H2026" s="1845">
        <f t="shared" si="366"/>
        <v>0</v>
      </c>
      <c r="I2026" s="1845"/>
      <c r="J2026" s="1845"/>
      <c r="K2026" s="1845"/>
      <c r="L2026" s="1844">
        <f>IFERROR(HLOOKUP(chitiet!B2026,pp1p!$1:$3,3,0),0)</f>
        <v>0</v>
      </c>
      <c r="M2026" s="1845"/>
      <c r="N2026" s="1845"/>
      <c r="O2026" s="1845"/>
      <c r="P2026" s="1845">
        <f t="shared" si="367"/>
        <v>0</v>
      </c>
      <c r="Q2026" s="1056"/>
      <c r="R2026" s="1056"/>
      <c r="S2026" s="1056"/>
      <c r="T2026" s="2059">
        <f>IFERROR(HLOOKUP(B2026,pp1p!$1:$3,3,0),0)</f>
        <v>0</v>
      </c>
    </row>
    <row r="2027" spans="1:20" ht="22.15" hidden="1" customHeight="1">
      <c r="A2027" s="59"/>
      <c r="B2027" s="1593" t="s">
        <v>1493</v>
      </c>
      <c r="C2027" s="1015" t="str">
        <f t="shared" si="364"/>
        <v xml:space="preserve"> </v>
      </c>
      <c r="D2027" s="1544">
        <f>ROUND((D1955/0.276/(0.276+0.0045)+D1957)/1400,0)</f>
        <v>0</v>
      </c>
      <c r="E2027" s="1047"/>
      <c r="F2027" s="1059" t="str">
        <f>VLOOKUP($B2027,DG!A:D,DG!$C$2,)</f>
        <v>Ống nối dây cỡ 70mm2</v>
      </c>
      <c r="G2027" s="1047" t="str">
        <f>VLOOKUP($B2027,DG!A:D,DG!$D$2,)</f>
        <v>cái</v>
      </c>
      <c r="H2027" s="1845">
        <f t="shared" si="366"/>
        <v>0</v>
      </c>
      <c r="I2027" s="1845"/>
      <c r="J2027" s="1845"/>
      <c r="K2027" s="1845"/>
      <c r="L2027" s="1844">
        <f>IFERROR(HLOOKUP(chitiet!B2027,pp1p!$1:$3,3,0),0)</f>
        <v>0</v>
      </c>
      <c r="M2027" s="1845"/>
      <c r="N2027" s="1845"/>
      <c r="O2027" s="1845"/>
      <c r="P2027" s="1845">
        <f t="shared" si="367"/>
        <v>0</v>
      </c>
      <c r="Q2027" s="1056"/>
      <c r="R2027" s="1056"/>
      <c r="S2027" s="1056"/>
      <c r="T2027" s="2059">
        <f>IFERROR(HLOOKUP(B2027,pp1p!$1:$3,3,0),0)</f>
        <v>0</v>
      </c>
    </row>
    <row r="2028" spans="1:20" ht="22.15" hidden="1" customHeight="1">
      <c r="A2028" s="59"/>
      <c r="B2028" s="1593" t="s">
        <v>229</v>
      </c>
      <c r="C2028" s="1015" t="str">
        <f t="shared" si="364"/>
        <v xml:space="preserve"> </v>
      </c>
      <c r="D2028" s="1554">
        <f>SUM(D2033:D2034)*5/1.4</f>
        <v>0</v>
      </c>
      <c r="E2028" s="1047"/>
      <c r="F2028" s="1059" t="str">
        <f>VLOOKUP($B2028,DG!A:D,DG!$C$2,)</f>
        <v xml:space="preserve">Dây nhôm buộc </v>
      </c>
      <c r="G2028" s="1047" t="str">
        <f>VLOOKUP($B2028,DG!A:D,DG!$D$2,)</f>
        <v>kg</v>
      </c>
      <c r="H2028" s="1852">
        <f t="shared" si="366"/>
        <v>0</v>
      </c>
      <c r="I2028" s="1845"/>
      <c r="J2028" s="1845"/>
      <c r="K2028" s="1845"/>
      <c r="L2028" s="1844">
        <f>IFERROR(HLOOKUP(chitiet!B2028,pp1p!$1:$3,3,0),0)</f>
        <v>0</v>
      </c>
      <c r="M2028" s="1845"/>
      <c r="N2028" s="1845"/>
      <c r="O2028" s="1845"/>
      <c r="P2028" s="1852">
        <f t="shared" si="367"/>
        <v>0</v>
      </c>
      <c r="Q2028" s="1056"/>
      <c r="R2028" s="1056"/>
      <c r="S2028" s="1056"/>
      <c r="T2028" s="2059">
        <f>IFERROR(HLOOKUP(B2028,pp1p!$1:$3,3,0),0)</f>
        <v>0</v>
      </c>
    </row>
    <row r="2029" spans="1:20" ht="22.15" hidden="1" customHeight="1">
      <c r="A2029" s="59"/>
      <c r="B2029" s="1593" t="s">
        <v>362</v>
      </c>
      <c r="C2029" s="1015" t="str">
        <f t="shared" ref="C2029" si="370">IF(OR(P2029&lt;&gt;0,H2029&lt;&gt;0),"x"," ")</f>
        <v xml:space="preserve"> </v>
      </c>
      <c r="D2029" s="1544">
        <v>1</v>
      </c>
      <c r="E2029" s="1047"/>
      <c r="F2029" s="1059" t="str">
        <f>VLOOKUP($B2029,DG!A:D,DG!$C$2,)</f>
        <v>Xà composite 110x800x5</v>
      </c>
      <c r="G2029" s="1047" t="str">
        <f>VLOOKUP($B2029,DG!A:D,DG!$D$2,)</f>
        <v>cái</v>
      </c>
      <c r="H2029" s="1969"/>
      <c r="I2029" s="1845"/>
      <c r="J2029" s="1845"/>
      <c r="K2029" s="1845"/>
      <c r="L2029" s="1844">
        <f>IFERROR(HLOOKUP(chitiet!B2029,pp1p!$1:$3,3,0),0)</f>
        <v>0</v>
      </c>
      <c r="M2029" s="1845"/>
      <c r="N2029" s="1845"/>
      <c r="O2029" s="1845"/>
      <c r="P2029" s="1845">
        <f t="shared" ref="P2029" si="371">H2029+Q2029-R2029</f>
        <v>0</v>
      </c>
      <c r="Q2029" s="1056"/>
      <c r="R2029" s="1056"/>
      <c r="S2029" s="1056"/>
      <c r="T2029" s="2059">
        <f>IFERROR(HLOOKUP(B2029,pp1p!$1:$3,3,0),0)</f>
        <v>0</v>
      </c>
    </row>
    <row r="2030" spans="1:20" ht="22.15" hidden="1" customHeight="1">
      <c r="A2030" s="59"/>
      <c r="B2030" s="1593" t="s">
        <v>4775</v>
      </c>
      <c r="C2030" s="1015" t="str">
        <f t="shared" si="364"/>
        <v xml:space="preserve"> </v>
      </c>
      <c r="D2030" s="1544">
        <v>1</v>
      </c>
      <c r="E2030" s="1047"/>
      <c r="F2030" s="1059" t="str">
        <f>VLOOKUP($B2030,DG!A:D,DG!$C$2,)</f>
        <v>Thanh chống Composite 10x40x720</v>
      </c>
      <c r="G2030" s="1047" t="str">
        <f>VLOOKUP($B2030,DG!A:D,DG!$D$2,)</f>
        <v>cái</v>
      </c>
      <c r="H2030" s="1845"/>
      <c r="I2030" s="1845"/>
      <c r="J2030" s="1845"/>
      <c r="K2030" s="1845"/>
      <c r="L2030" s="1844">
        <f>IFERROR(HLOOKUP(chitiet!B2030,pp1p!$1:$3,3,0),0)</f>
        <v>0</v>
      </c>
      <c r="M2030" s="1845"/>
      <c r="N2030" s="1845"/>
      <c r="O2030" s="1845"/>
      <c r="P2030" s="1845">
        <f t="shared" si="367"/>
        <v>0</v>
      </c>
      <c r="Q2030" s="1056"/>
      <c r="R2030" s="1056"/>
      <c r="S2030" s="1056"/>
      <c r="T2030" s="2059">
        <f>IFERROR(HLOOKUP(B2030,pp1p!$1:$3,3,0),0)</f>
        <v>0</v>
      </c>
    </row>
    <row r="2031" spans="1:20" ht="22.15" hidden="1" customHeight="1">
      <c r="A2031" s="59"/>
      <c r="B2031" s="1593" t="s">
        <v>1575</v>
      </c>
      <c r="C2031" s="1015" t="str">
        <f t="shared" si="364"/>
        <v xml:space="preserve"> </v>
      </c>
      <c r="D2031" s="1544"/>
      <c r="E2031" s="1047"/>
      <c r="F2031" s="1059" t="str">
        <f>VLOOKUP($B2031,DG!A:D,DG!$C$2,)</f>
        <v>Biển số - Bảng nguy hiểm</v>
      </c>
      <c r="G2031" s="1047" t="str">
        <f>VLOOKUP($B2031,DG!A:D,DG!$D$2,)</f>
        <v>cái</v>
      </c>
      <c r="H2031" s="1845">
        <f t="shared" si="366"/>
        <v>0</v>
      </c>
      <c r="I2031" s="1845"/>
      <c r="J2031" s="1845"/>
      <c r="K2031" s="1845"/>
      <c r="L2031" s="1844">
        <f>IFERROR(HLOOKUP(chitiet!B2031,pp1p!$1:$3,3,0),0)</f>
        <v>0</v>
      </c>
      <c r="M2031" s="1845"/>
      <c r="N2031" s="1845"/>
      <c r="O2031" s="1845"/>
      <c r="P2031" s="1845">
        <f t="shared" si="367"/>
        <v>0</v>
      </c>
      <c r="Q2031" s="1056"/>
      <c r="R2031" s="1056"/>
      <c r="S2031" s="1056"/>
      <c r="T2031" s="2059">
        <f>IFERROR(HLOOKUP(B2031,pp1p!$1:$3,3,0),0)</f>
        <v>0</v>
      </c>
    </row>
    <row r="2032" spans="1:20" ht="22.15" hidden="1" customHeight="1">
      <c r="A2032" s="59"/>
      <c r="B2032" s="1593" t="s">
        <v>382</v>
      </c>
      <c r="C2032" s="1015" t="str">
        <f t="shared" si="364"/>
        <v xml:space="preserve"> </v>
      </c>
      <c r="D2032" s="1544">
        <f>D2310</f>
        <v>0</v>
      </c>
      <c r="E2032" s="1047"/>
      <c r="F2032" s="1059" t="str">
        <f>VLOOKUP($B2032,DG!A:D,DG!$C$2,)</f>
        <v>Chụp đầu cực FCO (bộ 2 cái)</v>
      </c>
      <c r="G2032" s="1047" t="str">
        <f>VLOOKUP($B2032,DG!A:D,DG!$D$2,)</f>
        <v>bộ</v>
      </c>
      <c r="H2032" s="1845">
        <f t="shared" si="366"/>
        <v>0</v>
      </c>
      <c r="I2032" s="1845"/>
      <c r="J2032" s="1845"/>
      <c r="K2032" s="1845"/>
      <c r="L2032" s="1844">
        <f>IFERROR(HLOOKUP(chitiet!B2032,pp1p!$1:$3,3,0),0)</f>
        <v>0</v>
      </c>
      <c r="M2032" s="1845"/>
      <c r="N2032" s="1845"/>
      <c r="O2032" s="1845"/>
      <c r="P2032" s="1845">
        <f t="shared" si="367"/>
        <v>0</v>
      </c>
      <c r="Q2032" s="1056"/>
      <c r="R2032" s="1056"/>
      <c r="S2032" s="1056"/>
      <c r="T2032" s="2059">
        <f>IFERROR(HLOOKUP(B2032,pp1p!$1:$3,3,0),0)</f>
        <v>0</v>
      </c>
    </row>
    <row r="2033" spans="1:20" ht="22.15" hidden="1" customHeight="1">
      <c r="A2033" s="59"/>
      <c r="B2033" s="1593" t="s">
        <v>1274</v>
      </c>
      <c r="C2033" s="1015" t="str">
        <f t="shared" si="364"/>
        <v xml:space="preserve"> </v>
      </c>
      <c r="D2033" s="1543">
        <f>(E1956)/1000</f>
        <v>0</v>
      </c>
      <c r="E2033" s="1047" t="str">
        <f>VLOOKUP($B2033,DG!A:D,DG!$B$2,)</f>
        <v>06.6114</v>
      </c>
      <c r="F2033" s="1052" t="str">
        <f>VLOOKUP($B2033,DG!A:D,DG!$C$2,)</f>
        <v>Kéo dây nhôm lõi thép cỡ dây 50mm2</v>
      </c>
      <c r="G2033" s="1047" t="str">
        <f>VLOOKUP($B2033,DG!A:D,DG!$D$2,)</f>
        <v>km</v>
      </c>
      <c r="H2033" s="1852">
        <f t="shared" si="366"/>
        <v>0</v>
      </c>
      <c r="I2033" s="1845"/>
      <c r="J2033" s="1845"/>
      <c r="K2033" s="1845"/>
      <c r="L2033" s="1844">
        <f>IFERROR(HLOOKUP(chitiet!B2033,pp1p!$1:$3,3,0),0)</f>
        <v>0</v>
      </c>
      <c r="M2033" s="1845"/>
      <c r="N2033" s="1845"/>
      <c r="O2033" s="1845"/>
      <c r="P2033" s="1852">
        <f t="shared" si="367"/>
        <v>0</v>
      </c>
      <c r="Q2033" s="1056"/>
      <c r="R2033" s="1056"/>
      <c r="S2033" s="1056"/>
      <c r="T2033" s="2059">
        <f>IFERROR(HLOOKUP(B2033,pp1p!$1:$3,3,0),0)</f>
        <v>0</v>
      </c>
    </row>
    <row r="2034" spans="1:20" ht="22.15" hidden="1" customHeight="1">
      <c r="A2034" s="59"/>
      <c r="B2034" s="1593" t="s">
        <v>1419</v>
      </c>
      <c r="C2034" s="1015" t="str">
        <f t="shared" si="364"/>
        <v xml:space="preserve"> </v>
      </c>
      <c r="D2034" s="1543">
        <f>(E1955)/1000</f>
        <v>0</v>
      </c>
      <c r="E2034" s="1047" t="str">
        <f>VLOOKUP($B2034,DG!A:D,DG!$B$2,)</f>
        <v>06.6105</v>
      </c>
      <c r="F2034" s="1052" t="str">
        <f>VLOOKUP($B2034,DG!A:D,DG!$C$2,)</f>
        <v>Kéo dây nhôm lõi thép cỡ dây 70mm2</v>
      </c>
      <c r="G2034" s="1047" t="str">
        <f>VLOOKUP($B2034,DG!A:D,DG!$D$2,)</f>
        <v>km</v>
      </c>
      <c r="H2034" s="1845">
        <f t="shared" si="366"/>
        <v>0</v>
      </c>
      <c r="I2034" s="1845"/>
      <c r="J2034" s="1845"/>
      <c r="K2034" s="1845"/>
      <c r="L2034" s="1844">
        <f>IFERROR(HLOOKUP(chitiet!B2034,pp1p!$1:$3,3,0),0)</f>
        <v>0</v>
      </c>
      <c r="M2034" s="1845"/>
      <c r="N2034" s="1845"/>
      <c r="O2034" s="1845"/>
      <c r="P2034" s="1845">
        <f t="shared" si="367"/>
        <v>0</v>
      </c>
      <c r="Q2034" s="1056"/>
      <c r="R2034" s="1056"/>
      <c r="S2034" s="1056"/>
      <c r="T2034" s="2059">
        <f>IFERROR(HLOOKUP(B2034,pp1p!$1:$3,3,0),0)</f>
        <v>0</v>
      </c>
    </row>
    <row r="2035" spans="1:20" ht="22.15" hidden="1" customHeight="1">
      <c r="A2035" s="59"/>
      <c r="B2035" s="1593" t="s">
        <v>366</v>
      </c>
      <c r="C2035" s="1015" t="str">
        <f t="shared" si="364"/>
        <v xml:space="preserve"> </v>
      </c>
      <c r="D2035" s="1543">
        <f>E1957/1000</f>
        <v>0</v>
      </c>
      <c r="E2035" s="1047" t="str">
        <f>VLOOKUP($B2035,DG!A:D,DG!$B$2,)</f>
        <v>06.6114</v>
      </c>
      <c r="F2035" s="1052" t="str">
        <f>VLOOKUP($B2035,DG!A:D,DG!$C$2,)</f>
        <v>Kéo dây nhôm bọc cỡ dây 50mm2</v>
      </c>
      <c r="G2035" s="1047" t="str">
        <f>VLOOKUP($B2035,DG!A:D,DG!$D$2,)</f>
        <v>km</v>
      </c>
      <c r="H2035" s="1852">
        <f t="shared" si="366"/>
        <v>0</v>
      </c>
      <c r="I2035" s="1845"/>
      <c r="J2035" s="1845"/>
      <c r="K2035" s="1845"/>
      <c r="L2035" s="1844">
        <f>IFERROR(HLOOKUP(chitiet!B2035,pp1p!$1:$3,3,0),0)</f>
        <v>0</v>
      </c>
      <c r="M2035" s="1845"/>
      <c r="N2035" s="1845"/>
      <c r="O2035" s="1845"/>
      <c r="P2035" s="1852">
        <f t="shared" si="367"/>
        <v>0</v>
      </c>
      <c r="Q2035" s="1056"/>
      <c r="R2035" s="1056"/>
      <c r="S2035" s="1056"/>
      <c r="T2035" s="2059">
        <f>IFERROR(HLOOKUP(B2035,pp1p!$1:$3,3,0),0)</f>
        <v>0</v>
      </c>
    </row>
    <row r="2036" spans="1:20" ht="22.15" hidden="1" customHeight="1">
      <c r="A2036" s="59"/>
      <c r="B2036" s="1586" t="s">
        <v>347</v>
      </c>
      <c r="C2036" s="1015" t="str">
        <f t="shared" si="364"/>
        <v xml:space="preserve"> </v>
      </c>
      <c r="D2036" s="1544">
        <f>D1971+D1974+D1978</f>
        <v>0</v>
      </c>
      <c r="E2036" s="1047" t="str">
        <f>VLOOKUP($B2036,DG!A:D,DG!$B$2,)</f>
        <v>06.1115</v>
      </c>
      <c r="F2036" s="1052" t="str">
        <f>VLOOKUP($B2036,DG!A:D,DG!$C$2,)</f>
        <v>Lắp sứ đứng 24KV</v>
      </c>
      <c r="G2036" s="1047" t="str">
        <f>VLOOKUP($B2036,DG!A:D,DG!$D$2,)</f>
        <v>bộ</v>
      </c>
      <c r="H2036" s="1845">
        <f t="shared" si="366"/>
        <v>0</v>
      </c>
      <c r="I2036" s="1845"/>
      <c r="J2036" s="1845"/>
      <c r="K2036" s="1845"/>
      <c r="L2036" s="1844">
        <f>IFERROR(HLOOKUP(chitiet!B2036,pp1p!$1:$3,3,0),0)</f>
        <v>0</v>
      </c>
      <c r="M2036" s="1845"/>
      <c r="N2036" s="1845"/>
      <c r="O2036" s="1845"/>
      <c r="P2036" s="1845">
        <f t="shared" si="367"/>
        <v>0</v>
      </c>
      <c r="Q2036" s="1056"/>
      <c r="R2036" s="1056"/>
      <c r="S2036" s="1056"/>
      <c r="T2036" s="2059">
        <f>IFERROR(HLOOKUP(B2036,pp1p!$1:$3,3,0),0)</f>
        <v>0</v>
      </c>
    </row>
    <row r="2037" spans="1:20" ht="22.15" hidden="1" customHeight="1">
      <c r="A2037" s="59"/>
      <c r="B2037" s="1586" t="s">
        <v>348</v>
      </c>
      <c r="C2037" s="1015" t="str">
        <f t="shared" si="364"/>
        <v xml:space="preserve"> </v>
      </c>
      <c r="D2037" s="1544">
        <f>D1975+D1979</f>
        <v>0</v>
      </c>
      <c r="E2037" s="1047" t="str">
        <f>VLOOKUP($B2037,DG!A:D,DG!$B$2,)</f>
        <v>06.3231</v>
      </c>
      <c r="F2037" s="1052" t="str">
        <f>VLOOKUP($B2037,DG!A:D,DG!$C$2,)</f>
        <v>Lắp chân sứ đỉnh</v>
      </c>
      <c r="G2037" s="1047" t="str">
        <f>VLOOKUP($B2037,DG!A:D,DG!$D$2,)</f>
        <v>cái</v>
      </c>
      <c r="H2037" s="1845">
        <f t="shared" si="366"/>
        <v>0</v>
      </c>
      <c r="I2037" s="1845"/>
      <c r="J2037" s="1845"/>
      <c r="K2037" s="1845"/>
      <c r="L2037" s="1844">
        <f>IFERROR(HLOOKUP(chitiet!B2037,pp1p!$1:$3,3,0),0)</f>
        <v>0</v>
      </c>
      <c r="M2037" s="1845"/>
      <c r="N2037" s="1845"/>
      <c r="O2037" s="1845"/>
      <c r="P2037" s="1845">
        <f t="shared" si="367"/>
        <v>0</v>
      </c>
      <c r="Q2037" s="1056"/>
      <c r="R2037" s="1056"/>
      <c r="S2037" s="1056"/>
      <c r="T2037" s="2059">
        <f>IFERROR(HLOOKUP(B2037,pp1p!$1:$3,3,0),0)</f>
        <v>0</v>
      </c>
    </row>
    <row r="2038" spans="1:20" ht="22.15" hidden="1" customHeight="1">
      <c r="A2038" s="59"/>
      <c r="B2038" s="1586" t="s">
        <v>349</v>
      </c>
      <c r="C2038" s="1015" t="str">
        <f t="shared" si="364"/>
        <v xml:space="preserve"> </v>
      </c>
      <c r="D2038" s="1544">
        <f>D2003</f>
        <v>0</v>
      </c>
      <c r="E2038" s="1047" t="str">
        <f>VLOOKUP($B2038,DG!A:D,DG!$B$2,)</f>
        <v>06.1410</v>
      </c>
      <c r="F2038" s="1052" t="str">
        <f>VLOOKUP($B2038,DG!A:D,DG!$C$2,)</f>
        <v>Lắp chuỗi sứ đỡ 2 bát/chuỗi</v>
      </c>
      <c r="G2038" s="1047" t="str">
        <f>VLOOKUP($B2038,DG!A:D,DG!$D$2,)</f>
        <v>chuỗi</v>
      </c>
      <c r="H2038" s="1845">
        <f t="shared" si="366"/>
        <v>0</v>
      </c>
      <c r="I2038" s="1845"/>
      <c r="J2038" s="1845"/>
      <c r="K2038" s="1845"/>
      <c r="L2038" s="1844">
        <f>IFERROR(HLOOKUP(chitiet!B2038,pp1p!$1:$3,3,0),0)</f>
        <v>0</v>
      </c>
      <c r="M2038" s="1845"/>
      <c r="N2038" s="1845"/>
      <c r="O2038" s="1845"/>
      <c r="P2038" s="1845">
        <f t="shared" si="367"/>
        <v>0</v>
      </c>
      <c r="Q2038" s="1056"/>
      <c r="R2038" s="1056"/>
      <c r="S2038" s="1056"/>
      <c r="T2038" s="2059">
        <f>IFERROR(HLOOKUP(B2038,pp1p!$1:$3,3,0),0)</f>
        <v>0</v>
      </c>
    </row>
    <row r="2039" spans="1:20" ht="22.15" hidden="1" customHeight="1">
      <c r="A2039" s="59"/>
      <c r="B2039" s="1586" t="s">
        <v>350</v>
      </c>
      <c r="C2039" s="1015" t="str">
        <f t="shared" si="364"/>
        <v xml:space="preserve"> </v>
      </c>
      <c r="D2039" s="1544">
        <f>SUM(D2004:D2005)</f>
        <v>0</v>
      </c>
      <c r="E2039" s="1047" t="str">
        <f>VLOOKUP($B2039,DG!A:D,DG!$B$2,)</f>
        <v>06.1511</v>
      </c>
      <c r="F2039" s="1052" t="str">
        <f>VLOOKUP($B2039,DG!A:D,DG!$C$2,)</f>
        <v>Lắp chuỗi sứ néo 2 bát/chuỗi</v>
      </c>
      <c r="G2039" s="1047" t="str">
        <f>VLOOKUP($B2039,DG!A:D,DG!$D$2,)</f>
        <v>chuỗi</v>
      </c>
      <c r="H2039" s="1845">
        <f t="shared" si="366"/>
        <v>0</v>
      </c>
      <c r="I2039" s="1845"/>
      <c r="J2039" s="1845"/>
      <c r="K2039" s="1845"/>
      <c r="L2039" s="1844">
        <f>IFERROR(HLOOKUP(chitiet!B2039,pp1p!$1:$3,3,0),0)</f>
        <v>0</v>
      </c>
      <c r="M2039" s="1845"/>
      <c r="N2039" s="1845"/>
      <c r="O2039" s="1845"/>
      <c r="P2039" s="1845">
        <f t="shared" si="367"/>
        <v>0</v>
      </c>
      <c r="Q2039" s="1061"/>
      <c r="R2039" s="1061"/>
      <c r="S2039" s="1061"/>
      <c r="T2039" s="2059">
        <f>IFERROR(HLOOKUP(B2039,pp1p!$1:$3,3,0),0)</f>
        <v>0</v>
      </c>
    </row>
    <row r="2040" spans="1:20" ht="22.15" hidden="1" customHeight="1">
      <c r="A2040" s="59"/>
      <c r="B2040" s="1586" t="s">
        <v>1512</v>
      </c>
      <c r="C2040" s="1015" t="str">
        <f t="shared" si="364"/>
        <v xml:space="preserve"> </v>
      </c>
      <c r="D2040" s="1544">
        <f>D1991+D1987</f>
        <v>0</v>
      </c>
      <c r="E2040" s="1047" t="str">
        <f>VLOOKUP($B2040,DG!A:D,DG!$B$2,)</f>
        <v>06.2201</v>
      </c>
      <c r="F2040" s="1052" t="str">
        <f>VLOOKUP($B2040,DG!A:D,DG!$C$2,)</f>
        <v>Lắp chuỗi sứ néo Polymer</v>
      </c>
      <c r="G2040" s="1047" t="str">
        <f>VLOOKUP($B2040,DG!A:D,DG!$D$2,)</f>
        <v>chuỗi</v>
      </c>
      <c r="H2040" s="1845">
        <f t="shared" si="366"/>
        <v>0</v>
      </c>
      <c r="I2040" s="1845"/>
      <c r="J2040" s="1845"/>
      <c r="K2040" s="1845"/>
      <c r="L2040" s="1844">
        <f>IFERROR(HLOOKUP(chitiet!B2040,pp1p!$1:$3,3,0),0)</f>
        <v>0</v>
      </c>
      <c r="M2040" s="1845"/>
      <c r="N2040" s="1845"/>
      <c r="O2040" s="1845"/>
      <c r="P2040" s="1845">
        <f t="shared" si="367"/>
        <v>0</v>
      </c>
      <c r="Q2040" s="1061"/>
      <c r="R2040" s="1061"/>
      <c r="S2040" s="1061"/>
      <c r="T2040" s="2059">
        <f>IFERROR(HLOOKUP(B2040,pp1p!$1:$3,3,0),0)</f>
        <v>0</v>
      </c>
    </row>
    <row r="2041" spans="1:20" ht="22.15" hidden="1" customHeight="1">
      <c r="A2041" s="59"/>
      <c r="B2041" s="1586" t="s">
        <v>351</v>
      </c>
      <c r="C2041" s="1015" t="str">
        <f t="shared" si="364"/>
        <v xml:space="preserve"> </v>
      </c>
      <c r="D2041" s="1544">
        <f>D1959+D1962</f>
        <v>0</v>
      </c>
      <c r="E2041" s="1047" t="str">
        <f>VLOOKUP($B2041,DG!A:D,DG!$B$2,)</f>
        <v>06.1211</v>
      </c>
      <c r="F2041" s="1052" t="str">
        <f>VLOOKUP($B2041,DG!A:D,DG!$C$2,)</f>
        <v>Lắp rack sứ + sứ ống chỉ</v>
      </c>
      <c r="G2041" s="1047" t="str">
        <f>VLOOKUP($B2041,DG!A:D,DG!$D$2,)</f>
        <v>bộ</v>
      </c>
      <c r="H2041" s="1845">
        <f t="shared" si="366"/>
        <v>0</v>
      </c>
      <c r="I2041" s="1845"/>
      <c r="J2041" s="1845"/>
      <c r="K2041" s="1845"/>
      <c r="L2041" s="1844">
        <f>IFERROR(HLOOKUP(chitiet!B2041,pp1p!$1:$3,3,0),0)</f>
        <v>0</v>
      </c>
      <c r="M2041" s="1845"/>
      <c r="N2041" s="1845"/>
      <c r="O2041" s="1845"/>
      <c r="P2041" s="1845">
        <f t="shared" si="367"/>
        <v>0</v>
      </c>
      <c r="Q2041" s="1056"/>
      <c r="R2041" s="1056"/>
      <c r="S2041" s="1056"/>
      <c r="T2041" s="2059">
        <f>IFERROR(HLOOKUP(B2041,pp1p!$1:$3,3,0),0)</f>
        <v>0</v>
      </c>
    </row>
    <row r="2042" spans="1:20" ht="22.15" hidden="1" customHeight="1">
      <c r="A2042" s="59"/>
      <c r="B2042" s="1586" t="s">
        <v>353</v>
      </c>
      <c r="C2042" s="1015" t="str">
        <f t="shared" si="364"/>
        <v xml:space="preserve"> </v>
      </c>
      <c r="D2042" s="1544">
        <f>P2042</f>
        <v>0</v>
      </c>
      <c r="E2042" s="1047" t="str">
        <f>VLOOKUP($B2042,DG!A:D,DG!$B$2,)</f>
        <v>06.5072</v>
      </c>
      <c r="F2042" s="1052" t="str">
        <f>VLOOKUP($B2042,DG!A:D,DG!$C$2,)</f>
        <v xml:space="preserve">Kéo dây qua vị trí bẻ góc dây </v>
      </c>
      <c r="G2042" s="1047" t="str">
        <f>VLOOKUP($B2042,DG!A:D,DG!$D$2,)</f>
        <v>vị trí</v>
      </c>
      <c r="H2042" s="1845"/>
      <c r="I2042" s="1845"/>
      <c r="J2042" s="1845"/>
      <c r="K2042" s="1845"/>
      <c r="L2042" s="1844">
        <f>IFERROR(HLOOKUP(chitiet!B2042,pp1p!$1:$3,3,0),0)</f>
        <v>0</v>
      </c>
      <c r="M2042" s="1845"/>
      <c r="N2042" s="1845"/>
      <c r="O2042" s="1845"/>
      <c r="P2042" s="1845">
        <f t="shared" si="367"/>
        <v>0</v>
      </c>
      <c r="Q2042" s="1061"/>
      <c r="R2042" s="1061"/>
      <c r="S2042" s="1061"/>
      <c r="T2042" s="2059">
        <f>IFERROR(HLOOKUP(B2042,pp1p!$1:$3,3,0),0)</f>
        <v>0</v>
      </c>
    </row>
    <row r="2043" spans="1:20" ht="22.15" hidden="1" customHeight="1">
      <c r="A2043" s="59"/>
      <c r="B2043" s="1586" t="s">
        <v>354</v>
      </c>
      <c r="C2043" s="1015" t="str">
        <f t="shared" si="364"/>
        <v xml:space="preserve"> </v>
      </c>
      <c r="D2043" s="1541">
        <f>pp1p!CW94*0</f>
        <v>0</v>
      </c>
      <c r="E2043" s="1047" t="str">
        <f>VLOOKUP($B2043,DG!A:D,DG!$B$2,)</f>
        <v>06.5082</v>
      </c>
      <c r="F2043" s="1052" t="s">
        <v>2569</v>
      </c>
      <c r="G2043" s="1047" t="str">
        <f>VLOOKUP($B2043,DG!A:D,DG!$D$2,)</f>
        <v>vị trí</v>
      </c>
      <c r="H2043" s="1845">
        <f t="shared" ref="H2043:H2048" si="372">D2043</f>
        <v>0</v>
      </c>
      <c r="I2043" s="1845"/>
      <c r="J2043" s="1845"/>
      <c r="K2043" s="1845"/>
      <c r="L2043" s="1844">
        <f>IFERROR(HLOOKUP(chitiet!B2043,pp1p!$1:$3,3,0),0)</f>
        <v>0</v>
      </c>
      <c r="M2043" s="1845"/>
      <c r="N2043" s="1845"/>
      <c r="O2043" s="1845"/>
      <c r="P2043" s="1845">
        <f t="shared" si="367"/>
        <v>0</v>
      </c>
      <c r="Q2043" s="1061"/>
      <c r="R2043" s="1061"/>
      <c r="S2043" s="1061"/>
      <c r="T2043" s="2059">
        <f>IFERROR(HLOOKUP(B2043,pp1p!$1:$3,3,0),0)</f>
        <v>0</v>
      </c>
    </row>
    <row r="2044" spans="1:20" ht="22.15" hidden="1" customHeight="1">
      <c r="A2044" s="59"/>
      <c r="B2044" s="1586" t="s">
        <v>355</v>
      </c>
      <c r="C2044" s="1015" t="str">
        <f t="shared" ref="C2044:C2110" si="373">IF(OR(P2044&lt;&gt;0,H2044&lt;&gt;0),"x"," ")</f>
        <v xml:space="preserve"> </v>
      </c>
      <c r="D2044" s="1543">
        <f>D2047</f>
        <v>0</v>
      </c>
      <c r="E2044" s="1047" t="str">
        <f>VLOOKUP($B2044,DG!A:D,DG!$B$2,)</f>
        <v>02.1122</v>
      </c>
      <c r="F2044" s="1052" t="str">
        <f>VLOOKUP($B2044,DG!A:D,DG!$C$2,)</f>
        <v>Bốc dỡ dây</v>
      </c>
      <c r="G2044" s="1047" t="str">
        <f>VLOOKUP($B2044,DG!A:D,DG!$D$2,)</f>
        <v>tấn</v>
      </c>
      <c r="H2044" s="1845">
        <f t="shared" si="372"/>
        <v>0</v>
      </c>
      <c r="I2044" s="1845"/>
      <c r="J2044" s="1845"/>
      <c r="K2044" s="1845"/>
      <c r="L2044" s="1844">
        <f>IFERROR(HLOOKUP(chitiet!B2044,pp1p!$1:$3,3,0),0)</f>
        <v>0</v>
      </c>
      <c r="M2044" s="1845"/>
      <c r="N2044" s="1845"/>
      <c r="O2044" s="1845"/>
      <c r="P2044" s="1845">
        <f t="shared" si="367"/>
        <v>0</v>
      </c>
      <c r="Q2044" s="1061"/>
      <c r="R2044" s="1061"/>
      <c r="S2044" s="1061"/>
      <c r="T2044" s="2059">
        <f>IFERROR(HLOOKUP(B2044,pp1p!$1:$3,3,0),0)</f>
        <v>0</v>
      </c>
    </row>
    <row r="2045" spans="1:20" ht="22.15" hidden="1" customHeight="1">
      <c r="A2045" s="59"/>
      <c r="B2045" s="1586" t="s">
        <v>1908</v>
      </c>
      <c r="C2045" s="1015" t="str">
        <f t="shared" si="373"/>
        <v xml:space="preserve"> </v>
      </c>
      <c r="D2045" s="1543">
        <f>D2046</f>
        <v>0</v>
      </c>
      <c r="E2045" s="1047" t="str">
        <f>VLOOKUP($B2045,DG!A:D,DG!$B$2,)</f>
        <v>02.1120</v>
      </c>
      <c r="F2045" s="1052" t="str">
        <f>VLOOKUP($B2045,DG!A:D,DG!$C$2,)</f>
        <v>Bốc dỡ phụ kiện</v>
      </c>
      <c r="G2045" s="1047" t="str">
        <f>VLOOKUP($B2045,DG!A:D,DG!$D$2,)</f>
        <v>tấn</v>
      </c>
      <c r="H2045" s="1845">
        <f t="shared" si="372"/>
        <v>0</v>
      </c>
      <c r="I2045" s="1845"/>
      <c r="J2045" s="1845"/>
      <c r="K2045" s="1845"/>
      <c r="L2045" s="1844">
        <f>IFERROR(HLOOKUP(chitiet!B2045,pp1p!$1:$3,3,0),0)</f>
        <v>0</v>
      </c>
      <c r="M2045" s="1845"/>
      <c r="N2045" s="1845"/>
      <c r="O2045" s="1845"/>
      <c r="P2045" s="1845">
        <f t="shared" si="367"/>
        <v>0</v>
      </c>
      <c r="Q2045" s="1061"/>
      <c r="R2045" s="1061"/>
      <c r="S2045" s="1061"/>
      <c r="T2045" s="2059">
        <f>IFERROR(HLOOKUP(B2045,pp1p!$1:$3,3,0),0)</f>
        <v>0</v>
      </c>
    </row>
    <row r="2046" spans="1:20" ht="22.15" hidden="1" customHeight="1">
      <c r="A2046" s="59"/>
      <c r="B2046" s="1600" t="s">
        <v>356</v>
      </c>
      <c r="C2046" s="1015" t="str">
        <f t="shared" si="373"/>
        <v xml:space="preserve"> </v>
      </c>
      <c r="D2046" s="1543">
        <f>ROUND((D1958*2++D1961*5+D1970*7+D1973*15+D1977*25+D1981*15+D1991*15+D1997*15)/1000,2)*0</f>
        <v>0</v>
      </c>
      <c r="E2046" s="1047" t="str">
        <f>VLOOKUP($B2046,DG!A:C,2,)</f>
        <v>02.1421</v>
      </c>
      <c r="F2046" s="1052" t="str">
        <f>VLOOKUP($B2046,DG!A:C,3,)</f>
        <v>V/c phụ kiện vào vị trí (cự ly &lt;=100m)</v>
      </c>
      <c r="G2046" s="1047" t="str">
        <f>VLOOKUP($B2046,DG!A:D,4,0)</f>
        <v>tấn</v>
      </c>
      <c r="H2046" s="1845">
        <f t="shared" si="372"/>
        <v>0</v>
      </c>
      <c r="I2046" s="1845"/>
      <c r="J2046" s="1845"/>
      <c r="K2046" s="1845"/>
      <c r="L2046" s="1844">
        <f>IFERROR(HLOOKUP(chitiet!B2046,pp1p!$1:$3,3,0),0)</f>
        <v>0</v>
      </c>
      <c r="M2046" s="1845"/>
      <c r="N2046" s="1845"/>
      <c r="O2046" s="1845"/>
      <c r="P2046" s="1845">
        <f t="shared" si="367"/>
        <v>0</v>
      </c>
      <c r="Q2046" s="1061"/>
      <c r="R2046" s="1061"/>
      <c r="S2046" s="1061"/>
      <c r="T2046" s="2059">
        <f>IFERROR(HLOOKUP(B2046,pp1p!$1:$3,3,0),0)</f>
        <v>0</v>
      </c>
    </row>
    <row r="2047" spans="1:20" ht="22.15" hidden="1" customHeight="1">
      <c r="A2047" s="59"/>
      <c r="B2047" s="1600" t="s">
        <v>357</v>
      </c>
      <c r="C2047" s="1015" t="str">
        <f t="shared" si="373"/>
        <v xml:space="preserve"> </v>
      </c>
      <c r="D2047" s="1543">
        <f>ROUND(SUM(D1955:D1956)*1.05/1000+D1957*0.189*1.1/1000+D2023*0.35/1000,2)*0</f>
        <v>0</v>
      </c>
      <c r="E2047" s="1047" t="str">
        <f>VLOOKUP($B2047,DG!A:C,2,)</f>
        <v>02.1441</v>
      </c>
      <c r="F2047" s="1052" t="str">
        <f>VLOOKUP($B2047,DG!A:C,3,)</f>
        <v>V/c dây vào vị trí (cự ly &lt;=100m)</v>
      </c>
      <c r="G2047" s="1047" t="str">
        <f>VLOOKUP($B2047,DG!A:D,4,0)</f>
        <v>tấn</v>
      </c>
      <c r="H2047" s="1845">
        <f t="shared" si="372"/>
        <v>0</v>
      </c>
      <c r="I2047" s="1845"/>
      <c r="J2047" s="1845"/>
      <c r="K2047" s="1845"/>
      <c r="L2047" s="1844">
        <f>IFERROR(HLOOKUP(chitiet!B2047,pp1p!$1:$3,3,0),0)</f>
        <v>0</v>
      </c>
      <c r="M2047" s="1845"/>
      <c r="N2047" s="1845"/>
      <c r="O2047" s="1845"/>
      <c r="P2047" s="1845">
        <f t="shared" si="367"/>
        <v>0</v>
      </c>
      <c r="Q2047" s="1061"/>
      <c r="R2047" s="1061"/>
      <c r="S2047" s="1061"/>
      <c r="T2047" s="2059">
        <f>IFERROR(HLOOKUP(B2047,pp1p!$1:$3,3,0),0)</f>
        <v>0</v>
      </c>
    </row>
    <row r="2048" spans="1:20" ht="22.15" hidden="1" customHeight="1">
      <c r="A2048" s="59"/>
      <c r="B2048" s="1598" t="s">
        <v>606</v>
      </c>
      <c r="C2048" s="1015" t="str">
        <f t="shared" si="373"/>
        <v xml:space="preserve"> </v>
      </c>
      <c r="D2048" s="1543">
        <f>IF(D2047&lt;&gt;0,5,0)</f>
        <v>0</v>
      </c>
      <c r="E2048" s="1047" t="str">
        <f>VLOOKUP($B2048,DG!A:C,2,)</f>
        <v>02.1482</v>
      </c>
      <c r="F2048" s="1052" t="str">
        <f>VLOOKUP($B2048,DG!A:C,3,)</f>
        <v>V/c dụng cụ thi công vào vị trí (cự ly &lt;=100m)</v>
      </c>
      <c r="G2048" s="1047" t="str">
        <f>VLOOKUP($B2048,DG!A:D,4,0)</f>
        <v>tấn</v>
      </c>
      <c r="H2048" s="1845">
        <f t="shared" si="372"/>
        <v>0</v>
      </c>
      <c r="I2048" s="1845"/>
      <c r="J2048" s="1845"/>
      <c r="K2048" s="1845"/>
      <c r="L2048" s="1844">
        <f>IFERROR(HLOOKUP(chitiet!B2048,pp1p!$1:$3,3,0),0)</f>
        <v>0</v>
      </c>
      <c r="M2048" s="1845"/>
      <c r="N2048" s="1845"/>
      <c r="O2048" s="1845"/>
      <c r="P2048" s="1845">
        <f t="shared" si="367"/>
        <v>0</v>
      </c>
      <c r="Q2048" s="1061"/>
      <c r="R2048" s="1061"/>
      <c r="S2048" s="1061"/>
      <c r="T2048" s="2059">
        <f>IFERROR(HLOOKUP(B2048,pp1p!$1:$3,3,0),0)</f>
        <v>0</v>
      </c>
    </row>
    <row r="2049" spans="1:20" ht="22.15" hidden="1" customHeight="1" collapsed="1">
      <c r="A2049" s="56" t="s">
        <v>284</v>
      </c>
      <c r="B2049" s="1583" t="s">
        <v>284</v>
      </c>
      <c r="C2049" s="1015" t="str">
        <f>IF(D2049&lt;&gt;0,"x"," ")</f>
        <v xml:space="preserve"> </v>
      </c>
      <c r="D2049" s="1541">
        <f>IF(SUM(D2050:D2072)=0,0,1)</f>
        <v>0</v>
      </c>
      <c r="E2049" s="1049" t="s">
        <v>2178</v>
      </c>
      <c r="F2049" s="1396" t="s">
        <v>2570</v>
      </c>
      <c r="G2049" s="1049" t="s">
        <v>2309</v>
      </c>
      <c r="H2049" s="1843">
        <f>SUM(I2049:O2049)</f>
        <v>0</v>
      </c>
      <c r="I2049" s="1844"/>
      <c r="J2049" s="1844"/>
      <c r="K2049" s="1844"/>
      <c r="L2049" s="1844">
        <f>IFERROR(HLOOKUP(chitiet!B2049,pp1p!$1:$3,3,0),0)</f>
        <v>0</v>
      </c>
      <c r="M2049" s="1844"/>
      <c r="N2049" s="1844"/>
      <c r="O2049" s="1844"/>
      <c r="P2049" s="1845">
        <f t="shared" si="367"/>
        <v>0</v>
      </c>
      <c r="Q2049" s="1050"/>
      <c r="R2049" s="1050"/>
      <c r="S2049" s="1050"/>
      <c r="T2049" s="2059">
        <f t="shared" ref="T2049:T2092" si="374">IFERROR(HLOOKUP(B2049,BangKeTru,3,0),0)</f>
        <v>0</v>
      </c>
    </row>
    <row r="2050" spans="1:20" ht="22.15" hidden="1" customHeight="1">
      <c r="A2050" s="59"/>
      <c r="B2050" s="1586" t="s">
        <v>1348</v>
      </c>
      <c r="C2050" s="1015" t="str">
        <f t="shared" si="373"/>
        <v xml:space="preserve"> </v>
      </c>
      <c r="D2050" s="1544">
        <f>ROUND(E2050*1.02,0)</f>
        <v>0</v>
      </c>
      <c r="E2050" s="1064">
        <f>ppht!C344</f>
        <v>0</v>
      </c>
      <c r="F2050" s="1059" t="str">
        <f>VLOOKUP($B2050,DG!A:D,DG!$C$2,)</f>
        <v>Cáp nhôm bọc AV95</v>
      </c>
      <c r="G2050" s="1047" t="str">
        <f>VLOOKUP($B2050,DG!A:D,DG!$D$2,)</f>
        <v>mét</v>
      </c>
      <c r="H2050" s="1845">
        <f>$D2050</f>
        <v>0</v>
      </c>
      <c r="I2050" s="1845"/>
      <c r="J2050" s="1845"/>
      <c r="K2050" s="1845"/>
      <c r="L2050" s="1845"/>
      <c r="M2050" s="1845"/>
      <c r="N2050" s="1845">
        <f t="shared" ref="N2050:N2078" si="375">D2050</f>
        <v>0</v>
      </c>
      <c r="O2050" s="1845"/>
      <c r="P2050" s="1845">
        <f t="shared" si="367"/>
        <v>0</v>
      </c>
      <c r="Q2050" s="1056"/>
      <c r="R2050" s="1056"/>
      <c r="S2050" s="1056"/>
      <c r="T2050" s="2059">
        <f t="shared" si="374"/>
        <v>0</v>
      </c>
    </row>
    <row r="2051" spans="1:20" ht="22.15" hidden="1" customHeight="1">
      <c r="A2051" s="59"/>
      <c r="B2051" s="1586" t="s">
        <v>1036</v>
      </c>
      <c r="C2051" s="1015" t="str">
        <f t="shared" si="373"/>
        <v xml:space="preserve"> </v>
      </c>
      <c r="D2051" s="1544">
        <f>ROUND(E2051*1.02,0)</f>
        <v>0</v>
      </c>
      <c r="E2051" s="1413">
        <f>ppht!C343</f>
        <v>0</v>
      </c>
      <c r="F2051" s="1398" t="str">
        <f>VLOOKUP($B2051,DG!A:D,DG!$C$2,)</f>
        <v>Cáp nhôm bọc AV50</v>
      </c>
      <c r="G2051" s="1414" t="str">
        <f>VLOOKUP($B2051,DG!A:D,DG!$D$2,)</f>
        <v>mét</v>
      </c>
      <c r="H2051" s="1849">
        <f>$D2051</f>
        <v>0</v>
      </c>
      <c r="I2051" s="1849"/>
      <c r="J2051" s="1849"/>
      <c r="K2051" s="1849"/>
      <c r="L2051" s="1849"/>
      <c r="M2051" s="1849"/>
      <c r="N2051" s="1849">
        <f t="shared" si="375"/>
        <v>0</v>
      </c>
      <c r="O2051" s="1849"/>
      <c r="P2051" s="1845">
        <f t="shared" si="367"/>
        <v>0</v>
      </c>
      <c r="Q2051" s="1415"/>
      <c r="R2051" s="1415"/>
      <c r="S2051" s="1415"/>
      <c r="T2051" s="2059">
        <f t="shared" si="374"/>
        <v>0</v>
      </c>
    </row>
    <row r="2052" spans="1:20" ht="22.15" hidden="1" customHeight="1">
      <c r="A2052" s="59"/>
      <c r="B2052" s="1586" t="s">
        <v>88</v>
      </c>
      <c r="C2052" s="1015" t="str">
        <f t="shared" si="373"/>
        <v xml:space="preserve"> </v>
      </c>
      <c r="D2052" s="1544">
        <f>ROUND(E2052*1.02*0.195,0)</f>
        <v>0</v>
      </c>
      <c r="E2052" s="1413"/>
      <c r="F2052" s="1398" t="str">
        <f>VLOOKUP($B2052,DG!A:D,DG!$C$2,)</f>
        <v>Cáp nhôm lõi thép AC-50/8</v>
      </c>
      <c r="G2052" s="1414" t="str">
        <f>VLOOKUP($B2052,DG!A:D,DG!$D$2,)</f>
        <v>kg</v>
      </c>
      <c r="H2052" s="1849">
        <f t="shared" ref="H2052:H2071" si="376">D2052</f>
        <v>0</v>
      </c>
      <c r="I2052" s="1849"/>
      <c r="J2052" s="1849"/>
      <c r="K2052" s="1849"/>
      <c r="L2052" s="1849"/>
      <c r="M2052" s="1849"/>
      <c r="N2052" s="1849">
        <f t="shared" si="375"/>
        <v>0</v>
      </c>
      <c r="O2052" s="1849"/>
      <c r="P2052" s="1845">
        <f t="shared" si="367"/>
        <v>0</v>
      </c>
      <c r="Q2052" s="1415"/>
      <c r="R2052" s="1415"/>
      <c r="S2052" s="1415"/>
      <c r="T2052" s="2059">
        <f t="shared" si="374"/>
        <v>0</v>
      </c>
    </row>
    <row r="2053" spans="1:20" ht="22.15" hidden="1" customHeight="1">
      <c r="A2053" s="59"/>
      <c r="B2053" s="1586" t="s">
        <v>2268</v>
      </c>
      <c r="C2053" s="1015" t="str">
        <f t="shared" si="373"/>
        <v xml:space="preserve"> </v>
      </c>
      <c r="D2053" s="1544">
        <f t="shared" ref="D2053:D2059" si="377">ROUND(E2053*1.02,0)</f>
        <v>0</v>
      </c>
      <c r="E2053" s="1064">
        <f>ppht!C350</f>
        <v>0</v>
      </c>
      <c r="F2053" s="1059" t="str">
        <f>VLOOKUP($B2053,DG!A:D,DG!$C$2,)</f>
        <v>Cáp nhôm ABC 3x50mm2</v>
      </c>
      <c r="G2053" s="1047" t="str">
        <f>VLOOKUP($B2053,DG!A:D,DG!$D$2,)</f>
        <v>mét</v>
      </c>
      <c r="H2053" s="1845">
        <f t="shared" si="376"/>
        <v>0</v>
      </c>
      <c r="I2053" s="1845"/>
      <c r="J2053" s="1845"/>
      <c r="K2053" s="1845"/>
      <c r="L2053" s="1845"/>
      <c r="M2053" s="1845"/>
      <c r="N2053" s="1845">
        <f t="shared" si="375"/>
        <v>0</v>
      </c>
      <c r="O2053" s="1845"/>
      <c r="P2053" s="1845">
        <f t="shared" si="367"/>
        <v>0</v>
      </c>
      <c r="Q2053" s="1056"/>
      <c r="R2053" s="1056"/>
      <c r="S2053" s="1056"/>
      <c r="T2053" s="2059">
        <f t="shared" si="374"/>
        <v>0</v>
      </c>
    </row>
    <row r="2054" spans="1:20" ht="22.15" hidden="1" customHeight="1">
      <c r="A2054" s="59"/>
      <c r="B2054" s="1586" t="s">
        <v>2269</v>
      </c>
      <c r="C2054" s="1015" t="str">
        <f t="shared" si="373"/>
        <v xml:space="preserve"> </v>
      </c>
      <c r="D2054" s="1544">
        <f t="shared" si="377"/>
        <v>0</v>
      </c>
      <c r="E2054" s="1064">
        <f>ppht!C349</f>
        <v>0</v>
      </c>
      <c r="F2054" s="1059" t="str">
        <f>VLOOKUP($B2054,DG!A:D,DG!$C$2,)</f>
        <v>Cáp nhôm ABC 3x70mm2</v>
      </c>
      <c r="G2054" s="1047" t="str">
        <f>VLOOKUP($B2054,DG!A:D,DG!$D$2,)</f>
        <v>mét</v>
      </c>
      <c r="H2054" s="1845">
        <f t="shared" si="376"/>
        <v>0</v>
      </c>
      <c r="I2054" s="1845"/>
      <c r="J2054" s="1845"/>
      <c r="K2054" s="1845"/>
      <c r="L2054" s="1845"/>
      <c r="M2054" s="1845"/>
      <c r="N2054" s="1845">
        <f t="shared" si="375"/>
        <v>0</v>
      </c>
      <c r="O2054" s="1845"/>
      <c r="P2054" s="1845">
        <f t="shared" si="367"/>
        <v>0</v>
      </c>
      <c r="Q2054" s="1056"/>
      <c r="R2054" s="1056"/>
      <c r="S2054" s="1056"/>
      <c r="T2054" s="2059">
        <f t="shared" si="374"/>
        <v>0</v>
      </c>
    </row>
    <row r="2055" spans="1:20" ht="22.15" hidden="1" customHeight="1">
      <c r="A2055" s="59"/>
      <c r="B2055" s="1586" t="s">
        <v>1151</v>
      </c>
      <c r="C2055" s="1015" t="str">
        <f t="shared" si="373"/>
        <v xml:space="preserve"> </v>
      </c>
      <c r="D2055" s="1544">
        <f t="shared" si="377"/>
        <v>0</v>
      </c>
      <c r="E2055" s="1064">
        <f>ppht!C348</f>
        <v>0</v>
      </c>
      <c r="F2055" s="1059" t="str">
        <f>VLOOKUP($B2055,DG!A:D,DG!$C$2,)</f>
        <v>Cáp nhôm ABC 4x50mm2</v>
      </c>
      <c r="G2055" s="1047" t="str">
        <f>VLOOKUP($B2055,DG!A:D,DG!$D$2,)</f>
        <v>mét</v>
      </c>
      <c r="H2055" s="1845">
        <f t="shared" si="376"/>
        <v>0</v>
      </c>
      <c r="I2055" s="1845"/>
      <c r="J2055" s="1845"/>
      <c r="K2055" s="1845"/>
      <c r="L2055" s="1845"/>
      <c r="M2055" s="1845"/>
      <c r="N2055" s="1845">
        <f t="shared" si="375"/>
        <v>0</v>
      </c>
      <c r="O2055" s="1845"/>
      <c r="P2055" s="1845">
        <f t="shared" si="367"/>
        <v>0</v>
      </c>
      <c r="Q2055" s="1056"/>
      <c r="R2055" s="1056"/>
      <c r="S2055" s="1056"/>
      <c r="T2055" s="2059">
        <f t="shared" si="374"/>
        <v>0</v>
      </c>
    </row>
    <row r="2056" spans="1:20" ht="22.15" hidden="1" customHeight="1">
      <c r="A2056" s="59"/>
      <c r="B2056" s="1586" t="s">
        <v>1152</v>
      </c>
      <c r="C2056" s="1015" t="str">
        <f t="shared" si="373"/>
        <v xml:space="preserve"> </v>
      </c>
      <c r="D2056" s="1544">
        <f t="shared" si="377"/>
        <v>0</v>
      </c>
      <c r="E2056" s="1416">
        <f>ppht!C347</f>
        <v>0</v>
      </c>
      <c r="F2056" s="1417" t="str">
        <f>VLOOKUP($B2056,DG!A:D,DG!$C$2,)</f>
        <v>Cáp nhôm ABC 4x70mm2</v>
      </c>
      <c r="G2056" s="1047" t="str">
        <f>VLOOKUP($B2056,DG!A:D,DG!$D$2,)</f>
        <v>mét</v>
      </c>
      <c r="H2056" s="1845">
        <f t="shared" si="376"/>
        <v>0</v>
      </c>
      <c r="I2056" s="1845"/>
      <c r="J2056" s="1845"/>
      <c r="K2056" s="1845"/>
      <c r="L2056" s="1845"/>
      <c r="M2056" s="1845"/>
      <c r="N2056" s="1845">
        <f t="shared" si="375"/>
        <v>0</v>
      </c>
      <c r="O2056" s="1845"/>
      <c r="P2056" s="1845">
        <f t="shared" si="367"/>
        <v>0</v>
      </c>
      <c r="Q2056" s="1056"/>
      <c r="R2056" s="1056"/>
      <c r="S2056" s="1056"/>
      <c r="T2056" s="2059">
        <f t="shared" si="374"/>
        <v>0</v>
      </c>
    </row>
    <row r="2057" spans="1:20" ht="22.15" hidden="1" customHeight="1">
      <c r="A2057" s="59"/>
      <c r="B2057" s="1586" t="s">
        <v>1153</v>
      </c>
      <c r="C2057" s="1015" t="str">
        <f t="shared" si="373"/>
        <v xml:space="preserve"> </v>
      </c>
      <c r="D2057" s="1544">
        <f t="shared" si="377"/>
        <v>0</v>
      </c>
      <c r="E2057" s="1064">
        <f>ppht!C346</f>
        <v>0</v>
      </c>
      <c r="F2057" s="1059" t="str">
        <f>VLOOKUP($B2057,DG!A:D,DG!$C$2,)</f>
        <v>Cáp nhôm ABC 4x95mm2</v>
      </c>
      <c r="G2057" s="1047" t="str">
        <f>VLOOKUP($B2057,DG!A:D,DG!$D$2,)</f>
        <v>mét</v>
      </c>
      <c r="H2057" s="1845">
        <f t="shared" si="376"/>
        <v>0</v>
      </c>
      <c r="I2057" s="1845"/>
      <c r="J2057" s="1845"/>
      <c r="K2057" s="1845"/>
      <c r="L2057" s="1845"/>
      <c r="M2057" s="1845"/>
      <c r="N2057" s="1845">
        <f t="shared" si="375"/>
        <v>0</v>
      </c>
      <c r="O2057" s="1845"/>
      <c r="P2057" s="1845">
        <f t="shared" si="367"/>
        <v>0</v>
      </c>
      <c r="Q2057" s="1056"/>
      <c r="R2057" s="1056"/>
      <c r="S2057" s="1056"/>
      <c r="T2057" s="2059">
        <f t="shared" si="374"/>
        <v>0</v>
      </c>
    </row>
    <row r="2058" spans="1:20" ht="22.15" hidden="1" customHeight="1">
      <c r="A2058" s="59"/>
      <c r="B2058" s="1586" t="s">
        <v>116</v>
      </c>
      <c r="C2058" s="1015" t="str">
        <f t="shared" si="373"/>
        <v xml:space="preserve"> </v>
      </c>
      <c r="D2058" s="1544">
        <f t="shared" si="377"/>
        <v>0</v>
      </c>
      <c r="E2058" s="1064">
        <f>ppht!C345</f>
        <v>0</v>
      </c>
      <c r="F2058" s="1059" t="str">
        <f>VLOOKUP($B2058,DG!A:D,DG!$C$2,)</f>
        <v>Cáp nhôm ABC 4x150mm2</v>
      </c>
      <c r="G2058" s="1047" t="str">
        <f>VLOOKUP($B2058,DG!A:D,DG!$D$2,)</f>
        <v>mét</v>
      </c>
      <c r="H2058" s="1845">
        <f t="shared" si="376"/>
        <v>0</v>
      </c>
      <c r="I2058" s="1845"/>
      <c r="J2058" s="1845"/>
      <c r="K2058" s="1845"/>
      <c r="L2058" s="1845"/>
      <c r="M2058" s="1845"/>
      <c r="N2058" s="1845">
        <f t="shared" si="375"/>
        <v>0</v>
      </c>
      <c r="O2058" s="1845"/>
      <c r="P2058" s="1845">
        <f t="shared" si="367"/>
        <v>0</v>
      </c>
      <c r="Q2058" s="1056"/>
      <c r="R2058" s="1056"/>
      <c r="S2058" s="1056"/>
      <c r="T2058" s="2059">
        <f t="shared" si="374"/>
        <v>0</v>
      </c>
    </row>
    <row r="2059" spans="1:20" ht="22.15" hidden="1" customHeight="1">
      <c r="A2059" s="59"/>
      <c r="B2059" s="1586" t="s">
        <v>1370</v>
      </c>
      <c r="C2059" s="1015" t="str">
        <f t="shared" si="373"/>
        <v xml:space="preserve"> </v>
      </c>
      <c r="D2059" s="1544">
        <f t="shared" si="377"/>
        <v>0</v>
      </c>
      <c r="E2059" s="1064"/>
      <c r="F2059" s="1059" t="str">
        <f>VLOOKUP($B2059,DG!A:D,DG!$C$2,)&amp;": 9m/tủ phân phối"</f>
        <v>Cáp C/XLPE/DSTA/PVC -0.6/1kV-3x50+35mm2: 9m/tủ phân phối</v>
      </c>
      <c r="G2059" s="1047" t="str">
        <f>VLOOKUP($B2059,DG!A:D,DG!$D$2,)</f>
        <v>mét</v>
      </c>
      <c r="H2059" s="1845">
        <f t="shared" si="376"/>
        <v>0</v>
      </c>
      <c r="I2059" s="1845"/>
      <c r="J2059" s="1845"/>
      <c r="K2059" s="1845"/>
      <c r="L2059" s="1845"/>
      <c r="M2059" s="1845"/>
      <c r="N2059" s="1845">
        <f t="shared" si="375"/>
        <v>0</v>
      </c>
      <c r="O2059" s="1845"/>
      <c r="P2059" s="1845">
        <f t="shared" si="367"/>
        <v>0</v>
      </c>
      <c r="Q2059" s="1056"/>
      <c r="R2059" s="1056"/>
      <c r="S2059" s="1056"/>
      <c r="T2059" s="2059">
        <f t="shared" si="374"/>
        <v>0</v>
      </c>
    </row>
    <row r="2060" spans="1:20" ht="22.15" hidden="1" customHeight="1">
      <c r="A2060" s="59"/>
      <c r="B2060" s="1586" t="s">
        <v>1531</v>
      </c>
      <c r="C2060" s="1015" t="str">
        <f t="shared" ref="C2060" si="378">IF(OR(P2060&lt;&gt;0,H2060&lt;&gt;0),"x"," ")</f>
        <v xml:space="preserve"> </v>
      </c>
      <c r="D2060" s="1544">
        <f>ppht!DK341</f>
        <v>0</v>
      </c>
      <c r="E2060" s="1064"/>
      <c r="F2060" s="1059" t="str">
        <f>VLOOKUP($B2060,DG!A:D,DG!$C$2,)</f>
        <v>Cáp đồng bọc CV25</v>
      </c>
      <c r="G2060" s="1047" t="str">
        <f>VLOOKUP($B2060,DG!A:D,DG!$D$2,)</f>
        <v>mét</v>
      </c>
      <c r="H2060" s="1845">
        <f t="shared" si="376"/>
        <v>0</v>
      </c>
      <c r="I2060" s="1845"/>
      <c r="J2060" s="1845"/>
      <c r="K2060" s="1845"/>
      <c r="L2060" s="1845"/>
      <c r="M2060" s="1845"/>
      <c r="N2060" s="1845">
        <f t="shared" si="375"/>
        <v>0</v>
      </c>
      <c r="O2060" s="1845"/>
      <c r="P2060" s="1845">
        <f t="shared" ref="P2060" si="379">H2060+Q2060-R2060</f>
        <v>0</v>
      </c>
      <c r="Q2060" s="1056"/>
      <c r="R2060" s="1056"/>
      <c r="S2060" s="1056"/>
      <c r="T2060" s="2059">
        <f t="shared" si="374"/>
        <v>0</v>
      </c>
    </row>
    <row r="2061" spans="1:20" ht="22.15" hidden="1" customHeight="1">
      <c r="A2061" s="59"/>
      <c r="B2061" s="1616" t="s">
        <v>432</v>
      </c>
      <c r="C2061" s="1015" t="str">
        <f t="shared" si="373"/>
        <v xml:space="preserve"> </v>
      </c>
      <c r="D2061" s="1544"/>
      <c r="E2061" s="1047"/>
      <c r="F2061" s="1059" t="str">
        <f>VLOOKUP($B2061,DG!A:D,DG!$C$2,)</f>
        <v>Ống nối dây cỡ 95mm2</v>
      </c>
      <c r="G2061" s="1047" t="str">
        <f>VLOOKUP($B2061,DG!A:D,DG!$D$2,)</f>
        <v>cái</v>
      </c>
      <c r="H2061" s="1845">
        <f t="shared" si="376"/>
        <v>0</v>
      </c>
      <c r="I2061" s="1845"/>
      <c r="J2061" s="1845"/>
      <c r="K2061" s="1845"/>
      <c r="L2061" s="1845"/>
      <c r="M2061" s="1845"/>
      <c r="N2061" s="1845">
        <f t="shared" si="375"/>
        <v>0</v>
      </c>
      <c r="O2061" s="1845"/>
      <c r="P2061" s="1845">
        <f t="shared" si="367"/>
        <v>0</v>
      </c>
      <c r="Q2061" s="1056"/>
      <c r="R2061" s="1056"/>
      <c r="S2061" s="1056"/>
      <c r="T2061" s="2059">
        <f t="shared" si="374"/>
        <v>0</v>
      </c>
    </row>
    <row r="2062" spans="1:20" ht="22.15" hidden="1" customHeight="1">
      <c r="A2062" s="59"/>
      <c r="B2062" s="1586" t="s">
        <v>1451</v>
      </c>
      <c r="C2062" s="1015" t="str">
        <f t="shared" si="373"/>
        <v xml:space="preserve"> </v>
      </c>
      <c r="D2062" s="1544"/>
      <c r="E2062" s="1047"/>
      <c r="F2062" s="1059" t="str">
        <f>VLOOKUP($B2062,DG!A:D,DG!$C$2,)</f>
        <v>Đầu cosse ép Cu-Al 50mm2</v>
      </c>
      <c r="G2062" s="1047" t="str">
        <f>VLOOKUP($B2062,DG!A:D,DG!$D$2,)</f>
        <v>cái</v>
      </c>
      <c r="H2062" s="1845">
        <f t="shared" si="376"/>
        <v>0</v>
      </c>
      <c r="I2062" s="1845"/>
      <c r="J2062" s="1845"/>
      <c r="K2062" s="1845"/>
      <c r="L2062" s="1845"/>
      <c r="M2062" s="1845"/>
      <c r="N2062" s="1845">
        <f t="shared" si="375"/>
        <v>0</v>
      </c>
      <c r="O2062" s="1845"/>
      <c r="P2062" s="1845">
        <f t="shared" si="367"/>
        <v>0</v>
      </c>
      <c r="Q2062" s="1056"/>
      <c r="R2062" s="1056"/>
      <c r="S2062" s="1056"/>
      <c r="T2062" s="2059">
        <f t="shared" si="374"/>
        <v>0</v>
      </c>
    </row>
    <row r="2063" spans="1:20" ht="22.15" hidden="1" customHeight="1">
      <c r="A2063" s="59"/>
      <c r="B2063" s="1586" t="s">
        <v>917</v>
      </c>
      <c r="C2063" s="1015" t="str">
        <f t="shared" si="373"/>
        <v xml:space="preserve"> </v>
      </c>
      <c r="D2063" s="1544"/>
      <c r="E2063" s="1047"/>
      <c r="F2063" s="1059" t="str">
        <f>VLOOKUP($B2063,DG!A:D,DG!$C$2,)</f>
        <v>Đầu cosse ép Cu-Al 70mm2</v>
      </c>
      <c r="G2063" s="1047" t="str">
        <f>VLOOKUP($B2063,DG!A:D,DG!$D$2,)</f>
        <v>cái</v>
      </c>
      <c r="H2063" s="1845">
        <f t="shared" si="376"/>
        <v>0</v>
      </c>
      <c r="I2063" s="1845"/>
      <c r="J2063" s="1845"/>
      <c r="K2063" s="1845"/>
      <c r="L2063" s="1845"/>
      <c r="M2063" s="1845"/>
      <c r="N2063" s="1845">
        <f t="shared" si="375"/>
        <v>0</v>
      </c>
      <c r="O2063" s="1845"/>
      <c r="P2063" s="1845">
        <f t="shared" si="367"/>
        <v>0</v>
      </c>
      <c r="Q2063" s="1056"/>
      <c r="R2063" s="1056"/>
      <c r="S2063" s="1056"/>
      <c r="T2063" s="2059">
        <f t="shared" si="374"/>
        <v>0</v>
      </c>
    </row>
    <row r="2064" spans="1:20" ht="22.15" hidden="1" customHeight="1">
      <c r="A2064" s="59"/>
      <c r="B2064" s="1586" t="s">
        <v>918</v>
      </c>
      <c r="C2064" s="1015" t="str">
        <f t="shared" si="373"/>
        <v xml:space="preserve"> </v>
      </c>
      <c r="D2064" s="1544"/>
      <c r="E2064" s="1047"/>
      <c r="F2064" s="1059" t="str">
        <f>VLOOKUP($B2064,DG!A:D,DG!$C$2,)</f>
        <v>Boulon thau 12x50 + 2 long đền vuông D14-50x50x3/Zn</v>
      </c>
      <c r="G2064" s="1047" t="str">
        <f>VLOOKUP($B2064,DG!A:D,DG!$D$2,)</f>
        <v>bộ</v>
      </c>
      <c r="H2064" s="1845">
        <f t="shared" si="376"/>
        <v>0</v>
      </c>
      <c r="I2064" s="1845"/>
      <c r="J2064" s="1845"/>
      <c r="K2064" s="1845"/>
      <c r="L2064" s="1845"/>
      <c r="M2064" s="1845"/>
      <c r="N2064" s="1845">
        <f t="shared" si="375"/>
        <v>0</v>
      </c>
      <c r="O2064" s="1845"/>
      <c r="P2064" s="1845">
        <f t="shared" si="367"/>
        <v>0</v>
      </c>
      <c r="Q2064" s="1056"/>
      <c r="R2064" s="1056"/>
      <c r="S2064" s="1056"/>
      <c r="T2064" s="2059">
        <f t="shared" si="374"/>
        <v>0</v>
      </c>
    </row>
    <row r="2065" spans="1:20" ht="22.15" hidden="1" customHeight="1">
      <c r="A2065" s="59"/>
      <c r="B2065" s="1586" t="s">
        <v>1513</v>
      </c>
      <c r="C2065" s="1015" t="str">
        <f t="shared" si="373"/>
        <v xml:space="preserve"> </v>
      </c>
      <c r="D2065" s="1544"/>
      <c r="E2065" s="1047"/>
      <c r="F2065" s="1059" t="str">
        <f>VLOOKUP($B2065,DG!A:D,DG!$C$2,)</f>
        <v>Cọc tiếp đất Þ 16- 2,4m + kẹp cọc mạ đồng</v>
      </c>
      <c r="G2065" s="1047" t="str">
        <f>VLOOKUP($B2065,DG!A:D,DG!$D$2,)</f>
        <v>bộ</v>
      </c>
      <c r="H2065" s="1845">
        <f t="shared" si="376"/>
        <v>0</v>
      </c>
      <c r="I2065" s="1845"/>
      <c r="J2065" s="1845"/>
      <c r="K2065" s="1845"/>
      <c r="L2065" s="1845"/>
      <c r="M2065" s="1845"/>
      <c r="N2065" s="1845">
        <f t="shared" si="375"/>
        <v>0</v>
      </c>
      <c r="O2065" s="1845"/>
      <c r="P2065" s="1845">
        <f t="shared" si="367"/>
        <v>0</v>
      </c>
      <c r="Q2065" s="1056"/>
      <c r="R2065" s="1056"/>
      <c r="S2065" s="1056"/>
      <c r="T2065" s="2059">
        <f t="shared" si="374"/>
        <v>0</v>
      </c>
    </row>
    <row r="2066" spans="1:20" ht="22.15" hidden="1" customHeight="1">
      <c r="A2066" s="59"/>
      <c r="B2066" s="1586" t="s">
        <v>1035</v>
      </c>
      <c r="C2066" s="1015" t="str">
        <f t="shared" si="373"/>
        <v xml:space="preserve"> </v>
      </c>
      <c r="D2066" s="1544"/>
      <c r="E2066" s="1047"/>
      <c r="F2066" s="1059" t="str">
        <f>VLOOKUP($B2066,DG!A:D,DG!$C$2,)</f>
        <v>Cáp đồng trần M25mm2</v>
      </c>
      <c r="G2066" s="1047" t="str">
        <f>VLOOKUP($B2066,DG!A:D,DG!$D$2,)</f>
        <v>kg</v>
      </c>
      <c r="H2066" s="1845">
        <f t="shared" si="376"/>
        <v>0</v>
      </c>
      <c r="I2066" s="1845"/>
      <c r="J2066" s="1845"/>
      <c r="K2066" s="1845"/>
      <c r="L2066" s="1845"/>
      <c r="M2066" s="1845"/>
      <c r="N2066" s="1845">
        <f t="shared" si="375"/>
        <v>0</v>
      </c>
      <c r="O2066" s="1845"/>
      <c r="P2066" s="1845">
        <f t="shared" si="367"/>
        <v>0</v>
      </c>
      <c r="Q2066" s="1056"/>
      <c r="R2066" s="1056"/>
      <c r="S2066" s="1056"/>
      <c r="T2066" s="2059">
        <f t="shared" si="374"/>
        <v>0</v>
      </c>
    </row>
    <row r="2067" spans="1:20" ht="22.15" hidden="1" customHeight="1">
      <c r="A2067" s="59"/>
      <c r="B2067" s="1586" t="s">
        <v>1444</v>
      </c>
      <c r="C2067" s="1015" t="str">
        <f t="shared" si="373"/>
        <v xml:space="preserve"> </v>
      </c>
      <c r="D2067" s="1544">
        <f>ppht!CS341</f>
        <v>0</v>
      </c>
      <c r="E2067" s="1047"/>
      <c r="F2067" s="1059" t="str">
        <f>VLOOKUP($B2067,DG!A:D,DG!$C$2,)</f>
        <v>Ghíp nối IPC 50-25 1 bulong</v>
      </c>
      <c r="G2067" s="1047" t="str">
        <f>VLOOKUP($B2067,DG!A:D,DG!$D$2,)</f>
        <v>cái</v>
      </c>
      <c r="H2067" s="1845">
        <f t="shared" si="376"/>
        <v>0</v>
      </c>
      <c r="I2067" s="1845"/>
      <c r="J2067" s="1845"/>
      <c r="K2067" s="1845"/>
      <c r="L2067" s="1845"/>
      <c r="M2067" s="1845"/>
      <c r="N2067" s="1845">
        <f t="shared" si="375"/>
        <v>0</v>
      </c>
      <c r="O2067" s="1845"/>
      <c r="P2067" s="1845">
        <f t="shared" si="367"/>
        <v>0</v>
      </c>
      <c r="Q2067" s="1056"/>
      <c r="R2067" s="1056"/>
      <c r="S2067" s="1056"/>
      <c r="T2067" s="2059">
        <f t="shared" si="374"/>
        <v>0</v>
      </c>
    </row>
    <row r="2068" spans="1:20" ht="22.15" hidden="1" customHeight="1">
      <c r="A2068" s="59"/>
      <c r="B2068" s="1586" t="s">
        <v>2029</v>
      </c>
      <c r="C2068" s="1015" t="str">
        <f t="shared" si="373"/>
        <v xml:space="preserve"> </v>
      </c>
      <c r="D2068" s="1544">
        <f>ppht!CR341</f>
        <v>0</v>
      </c>
      <c r="E2068" s="1047"/>
      <c r="F2068" s="1059" t="str">
        <f>VLOOKUP($B2068,DG!A:D,DG!$C$2,)</f>
        <v>Ghíp nối IPC 50-50 1 bulong</v>
      </c>
      <c r="G2068" s="1047" t="str">
        <f>VLOOKUP($B2068,DG!A:D,DG!$D$2,)</f>
        <v>cái</v>
      </c>
      <c r="H2068" s="1845">
        <f t="shared" si="376"/>
        <v>0</v>
      </c>
      <c r="I2068" s="1845"/>
      <c r="J2068" s="1845"/>
      <c r="K2068" s="1845"/>
      <c r="L2068" s="1845"/>
      <c r="M2068" s="1845"/>
      <c r="N2068" s="1845">
        <f t="shared" si="375"/>
        <v>0</v>
      </c>
      <c r="O2068" s="1845"/>
      <c r="P2068" s="1845">
        <f t="shared" si="367"/>
        <v>0</v>
      </c>
      <c r="Q2068" s="1056"/>
      <c r="R2068" s="1056"/>
      <c r="S2068" s="1056"/>
      <c r="T2068" s="2059">
        <f t="shared" si="374"/>
        <v>0</v>
      </c>
    </row>
    <row r="2069" spans="1:20" ht="22.15" hidden="1" customHeight="1">
      <c r="A2069" s="59"/>
      <c r="B2069" s="1586" t="s">
        <v>2209</v>
      </c>
      <c r="C2069" s="1015" t="str">
        <f t="shared" si="373"/>
        <v xml:space="preserve"> </v>
      </c>
      <c r="D2069" s="1557">
        <f>+ppht!CU341</f>
        <v>0</v>
      </c>
      <c r="E2069" s="1047"/>
      <c r="F2069" s="1059" t="s">
        <v>2571</v>
      </c>
      <c r="G2069" s="1047" t="str">
        <f>VLOOKUP($B2069,DG!A:D,DG!$D$2,)</f>
        <v>cái</v>
      </c>
      <c r="H2069" s="1845">
        <f t="shared" si="376"/>
        <v>0</v>
      </c>
      <c r="I2069" s="1845"/>
      <c r="J2069" s="1845"/>
      <c r="K2069" s="1845"/>
      <c r="L2069" s="1845"/>
      <c r="M2069" s="1845"/>
      <c r="N2069" s="1845">
        <f t="shared" si="375"/>
        <v>0</v>
      </c>
      <c r="O2069" s="1845"/>
      <c r="P2069" s="1845">
        <f t="shared" si="367"/>
        <v>0</v>
      </c>
      <c r="Q2069" s="1056"/>
      <c r="R2069" s="1056"/>
      <c r="S2069" s="1056"/>
      <c r="T2069" s="2059">
        <f t="shared" si="374"/>
        <v>0</v>
      </c>
    </row>
    <row r="2070" spans="1:20" ht="22.15" hidden="1" customHeight="1">
      <c r="A2070" s="59"/>
      <c r="B2070" s="1586" t="s">
        <v>1111</v>
      </c>
      <c r="C2070" s="1015" t="str">
        <f t="shared" si="373"/>
        <v xml:space="preserve"> </v>
      </c>
      <c r="D2070" s="1557">
        <f>ppht!CQ337</f>
        <v>0</v>
      </c>
      <c r="E2070" s="1047"/>
      <c r="F2070" s="1059" t="str">
        <f>VLOOKUP($B2070,DG!A:D,DG!$C$2,)&amp;" 2 bulong"</f>
        <v>Ghíp nối IPC 70-70 2 bulong</v>
      </c>
      <c r="G2070" s="1047" t="str">
        <f>VLOOKUP($B2070,DG!A:D,DG!$D$2,)</f>
        <v>cái</v>
      </c>
      <c r="H2070" s="1845">
        <f t="shared" si="376"/>
        <v>0</v>
      </c>
      <c r="I2070" s="1845"/>
      <c r="J2070" s="1845"/>
      <c r="K2070" s="1845"/>
      <c r="L2070" s="1845"/>
      <c r="M2070" s="1845"/>
      <c r="N2070" s="1845">
        <f t="shared" si="375"/>
        <v>0</v>
      </c>
      <c r="O2070" s="1845"/>
      <c r="P2070" s="1845">
        <f t="shared" si="367"/>
        <v>0</v>
      </c>
      <c r="Q2070" s="1056"/>
      <c r="R2070" s="1056"/>
      <c r="S2070" s="1056"/>
      <c r="T2070" s="2059">
        <f t="shared" si="374"/>
        <v>0</v>
      </c>
    </row>
    <row r="2071" spans="1:20" ht="22.15" hidden="1" customHeight="1">
      <c r="A2071" s="59"/>
      <c r="B2071" s="1586" t="s">
        <v>2038</v>
      </c>
      <c r="C2071" s="1015" t="str">
        <f t="shared" si="373"/>
        <v xml:space="preserve"> </v>
      </c>
      <c r="D2071" s="1557">
        <f>ppht!CO337</f>
        <v>0</v>
      </c>
      <c r="E2071" s="1047"/>
      <c r="F2071" s="1059" t="str">
        <f>VLOOKUP($B2071,DG!A:D,DG!$C$2,)</f>
        <v>Ghíp nối IPC 95-70</v>
      </c>
      <c r="G2071" s="1047" t="str">
        <f>VLOOKUP($B2071,DG!A:D,DG!$D$2,)</f>
        <v>cái</v>
      </c>
      <c r="H2071" s="1845">
        <f t="shared" si="376"/>
        <v>0</v>
      </c>
      <c r="I2071" s="1845"/>
      <c r="J2071" s="1845"/>
      <c r="K2071" s="1845"/>
      <c r="L2071" s="1845"/>
      <c r="M2071" s="1845"/>
      <c r="N2071" s="1845">
        <f t="shared" si="375"/>
        <v>0</v>
      </c>
      <c r="O2071" s="1845"/>
      <c r="P2071" s="1845">
        <f t="shared" si="367"/>
        <v>0</v>
      </c>
      <c r="Q2071" s="1056"/>
      <c r="R2071" s="1056"/>
      <c r="S2071" s="1056"/>
      <c r="T2071" s="2059">
        <f t="shared" si="374"/>
        <v>0</v>
      </c>
    </row>
    <row r="2072" spans="1:20" ht="22.15" hidden="1" customHeight="1">
      <c r="A2072" s="59"/>
      <c r="B2072" s="1586" t="s">
        <v>1350</v>
      </c>
      <c r="C2072" s="1015" t="str">
        <f t="shared" si="373"/>
        <v xml:space="preserve"> </v>
      </c>
      <c r="D2072" s="1557">
        <f>ppht!CK337*0</f>
        <v>0</v>
      </c>
      <c r="E2072" s="1047"/>
      <c r="F2072" s="1059" t="str">
        <f>VLOOKUP($B2072,DG!A:D,DG!$C$2,)</f>
        <v>Ghíp nối IPC 150-70</v>
      </c>
      <c r="G2072" s="1047" t="str">
        <f>VLOOKUP($B2072,DG!A:D,DG!$D$2,)</f>
        <v>cái</v>
      </c>
      <c r="H2072" s="1845">
        <f>D2072+T2072</f>
        <v>0</v>
      </c>
      <c r="I2072" s="1845"/>
      <c r="J2072" s="1845"/>
      <c r="K2072" s="1845"/>
      <c r="L2072" s="1845"/>
      <c r="M2072" s="1845"/>
      <c r="N2072" s="1845">
        <f t="shared" si="375"/>
        <v>0</v>
      </c>
      <c r="O2072" s="1845"/>
      <c r="P2072" s="1845">
        <f>H2072+Q2072-R2072</f>
        <v>0</v>
      </c>
      <c r="Q2072" s="1056"/>
      <c r="R2072" s="1056"/>
      <c r="S2072" s="1056"/>
      <c r="T2072" s="2059">
        <f t="shared" si="374"/>
        <v>0</v>
      </c>
    </row>
    <row r="2073" spans="1:20" ht="22.15" hidden="1" customHeight="1">
      <c r="A2073" s="59"/>
      <c r="B2073" s="1586" t="s">
        <v>1349</v>
      </c>
      <c r="C2073" s="1015" t="str">
        <f t="shared" si="373"/>
        <v xml:space="preserve"> </v>
      </c>
      <c r="D2073" s="1557">
        <f>ppht!CL337</f>
        <v>0</v>
      </c>
      <c r="E2073" s="1047"/>
      <c r="F2073" s="1059" t="str">
        <f>VLOOKUP($B2073,DG!A:D,DG!$C$2,)</f>
        <v>Ghíp nối IPC 95-150</v>
      </c>
      <c r="G2073" s="1047" t="str">
        <f>VLOOKUP($B2073,DG!A:D,DG!$D$2,)</f>
        <v>cái</v>
      </c>
      <c r="H2073" s="1845">
        <f>D2073</f>
        <v>0</v>
      </c>
      <c r="I2073" s="1845"/>
      <c r="J2073" s="1845"/>
      <c r="K2073" s="1845"/>
      <c r="L2073" s="1845"/>
      <c r="M2073" s="1845"/>
      <c r="N2073" s="1845">
        <f t="shared" si="375"/>
        <v>0</v>
      </c>
      <c r="O2073" s="1845"/>
      <c r="P2073" s="1845">
        <f>H2073+Q2073-R2073</f>
        <v>0</v>
      </c>
      <c r="Q2073" s="1056"/>
      <c r="R2073" s="1056"/>
      <c r="S2073" s="1056"/>
      <c r="T2073" s="2059">
        <f t="shared" si="374"/>
        <v>0</v>
      </c>
    </row>
    <row r="2074" spans="1:20" ht="22.15" hidden="1" customHeight="1">
      <c r="A2074" s="59"/>
      <c r="B2074" s="1586" t="s">
        <v>4350</v>
      </c>
      <c r="C2074" s="1015" t="str">
        <f t="shared" si="373"/>
        <v xml:space="preserve"> </v>
      </c>
      <c r="D2074" s="1557">
        <f>ppht!CM337</f>
        <v>0</v>
      </c>
      <c r="E2074" s="1047"/>
      <c r="F2074" s="1059" t="str">
        <f>VLOOKUP($B2074,DG!A:D,DG!$C$2,)&amp;" (2 boulon)"</f>
        <v>Ghíp nối IPC 95-25 (2 bulong) (2 boulon)</v>
      </c>
      <c r="G2074" s="1047" t="str">
        <f>VLOOKUP($B2074,DG!A:D,DG!$D$2,)</f>
        <v>cái</v>
      </c>
      <c r="H2074" s="1845">
        <f>D2074</f>
        <v>0</v>
      </c>
      <c r="I2074" s="1845"/>
      <c r="J2074" s="1845"/>
      <c r="K2074" s="1845"/>
      <c r="L2074" s="1845"/>
      <c r="M2074" s="1845"/>
      <c r="N2074" s="1845">
        <f t="shared" si="375"/>
        <v>0</v>
      </c>
      <c r="O2074" s="1845"/>
      <c r="P2074" s="1845">
        <f t="shared" si="367"/>
        <v>0</v>
      </c>
      <c r="Q2074" s="1056"/>
      <c r="R2074" s="1056"/>
      <c r="S2074" s="1056"/>
      <c r="T2074" s="2059">
        <f t="shared" si="374"/>
        <v>0</v>
      </c>
    </row>
    <row r="2075" spans="1:20" ht="22.15" hidden="1" customHeight="1">
      <c r="A2075" s="59"/>
      <c r="B2075" s="1586" t="s">
        <v>1110</v>
      </c>
      <c r="C2075" s="1015" t="str">
        <f t="shared" si="373"/>
        <v xml:space="preserve"> </v>
      </c>
      <c r="D2075" s="1557">
        <f>ppht!CP337</f>
        <v>0</v>
      </c>
      <c r="E2075" s="1047"/>
      <c r="F2075" s="1059" t="str">
        <f>VLOOKUP($B2075,DG!A:D,DG!$C$2,)&amp;" (2 boulon)"</f>
        <v>Ghíp nối IPC 95-95 (2 boulon)</v>
      </c>
      <c r="G2075" s="1047" t="str">
        <f>VLOOKUP($B2075,DG!A:D,DG!$D$2,)</f>
        <v>cái</v>
      </c>
      <c r="H2075" s="1845">
        <f>D2075</f>
        <v>0</v>
      </c>
      <c r="I2075" s="1845"/>
      <c r="J2075" s="1845"/>
      <c r="K2075" s="1845"/>
      <c r="L2075" s="1845"/>
      <c r="M2075" s="1845"/>
      <c r="N2075" s="1845">
        <f t="shared" si="375"/>
        <v>0</v>
      </c>
      <c r="O2075" s="1845"/>
      <c r="P2075" s="1845">
        <f t="shared" si="367"/>
        <v>0</v>
      </c>
      <c r="Q2075" s="1056"/>
      <c r="R2075" s="1056"/>
      <c r="S2075" s="1056"/>
      <c r="T2075" s="2059">
        <f t="shared" si="374"/>
        <v>0</v>
      </c>
    </row>
    <row r="2076" spans="1:20" ht="22.15" hidden="1" customHeight="1">
      <c r="A2076" s="59"/>
      <c r="B2076" s="1586" t="s">
        <v>1156</v>
      </c>
      <c r="C2076" s="1015" t="str">
        <f t="shared" si="373"/>
        <v xml:space="preserve"> </v>
      </c>
      <c r="D2076" s="1557">
        <f>ppht!CN337</f>
        <v>0</v>
      </c>
      <c r="E2076" s="1047"/>
      <c r="F2076" s="1059" t="str">
        <f>VLOOKUP($B2076,DG!A:D,DG!$C$2,)</f>
        <v>Ghíp nối IPC 95-50 1 bulong</v>
      </c>
      <c r="G2076" s="1047" t="str">
        <f>VLOOKUP($B2076,DG!A:D,DG!$D$2,)</f>
        <v>cái</v>
      </c>
      <c r="H2076" s="1845">
        <f>D2076</f>
        <v>0</v>
      </c>
      <c r="I2076" s="1845"/>
      <c r="J2076" s="1845"/>
      <c r="K2076" s="1845"/>
      <c r="L2076" s="1845"/>
      <c r="M2076" s="1845"/>
      <c r="N2076" s="1845">
        <f t="shared" si="375"/>
        <v>0</v>
      </c>
      <c r="O2076" s="1845"/>
      <c r="P2076" s="1845">
        <f t="shared" si="367"/>
        <v>0</v>
      </c>
      <c r="Q2076" s="1056"/>
      <c r="R2076" s="1056"/>
      <c r="S2076" s="1056"/>
      <c r="T2076" s="2059">
        <f t="shared" si="374"/>
        <v>0</v>
      </c>
    </row>
    <row r="2077" spans="1:20" ht="22.15" hidden="1" customHeight="1">
      <c r="A2077" s="59"/>
      <c r="B2077" s="1586" t="s">
        <v>36</v>
      </c>
      <c r="C2077" s="1015" t="str">
        <f t="shared" si="373"/>
        <v xml:space="preserve"> </v>
      </c>
      <c r="D2077" s="1557"/>
      <c r="E2077" s="1047"/>
      <c r="F2077" s="1059" t="str">
        <f>VLOOKUP($B2077,DG!A:D,DG!$C$2,)</f>
        <v>Kẹp ép WR cỡ dây 95mm2</v>
      </c>
      <c r="G2077" s="1047" t="str">
        <f>VLOOKUP($B2077,DG!A:D,DG!$D$2,)</f>
        <v>cái</v>
      </c>
      <c r="H2077" s="1845">
        <f>D2077+T2077</f>
        <v>0</v>
      </c>
      <c r="I2077" s="1845"/>
      <c r="J2077" s="1845"/>
      <c r="K2077" s="1845"/>
      <c r="L2077" s="1845"/>
      <c r="M2077" s="1845"/>
      <c r="N2077" s="1845">
        <f t="shared" si="375"/>
        <v>0</v>
      </c>
      <c r="O2077" s="1845"/>
      <c r="P2077" s="1845">
        <f t="shared" si="367"/>
        <v>0</v>
      </c>
      <c r="Q2077" s="1056"/>
      <c r="R2077" s="1056"/>
      <c r="S2077" s="1056"/>
      <c r="T2077" s="2059">
        <f t="shared" si="374"/>
        <v>0</v>
      </c>
    </row>
    <row r="2078" spans="1:20" ht="22.15" hidden="1" customHeight="1">
      <c r="A2078" s="59"/>
      <c r="B2078" s="1586" t="s">
        <v>2220</v>
      </c>
      <c r="C2078" s="1015" t="str">
        <f t="shared" si="373"/>
        <v xml:space="preserve"> </v>
      </c>
      <c r="D2078" s="1557">
        <f>ppht!CH337</f>
        <v>0</v>
      </c>
      <c r="E2078" s="1047"/>
      <c r="F2078" s="1059" t="str">
        <f>VLOOKUP($B2078,DG!A:D,DG!$C$2,)</f>
        <v>Ghíp nối IPC 50-35</v>
      </c>
      <c r="G2078" s="1047" t="str">
        <f>VLOOKUP($B2078,DG!A:D,DG!$D$2,)</f>
        <v>cái</v>
      </c>
      <c r="H2078" s="1845">
        <f t="shared" ref="H2078:H2109" si="380">D2078</f>
        <v>0</v>
      </c>
      <c r="I2078" s="1845"/>
      <c r="J2078" s="1845"/>
      <c r="K2078" s="1845"/>
      <c r="L2078" s="1845"/>
      <c r="M2078" s="1845"/>
      <c r="N2078" s="1845">
        <f t="shared" si="375"/>
        <v>0</v>
      </c>
      <c r="O2078" s="1845"/>
      <c r="P2078" s="1845">
        <f t="shared" si="367"/>
        <v>0</v>
      </c>
      <c r="Q2078" s="1056"/>
      <c r="R2078" s="1056"/>
      <c r="S2078" s="1056"/>
      <c r="T2078" s="2059">
        <f t="shared" si="374"/>
        <v>0</v>
      </c>
    </row>
    <row r="2079" spans="1:20" ht="22.15" hidden="1" customHeight="1">
      <c r="A2079" s="59"/>
      <c r="B2079" s="1586" t="s">
        <v>1308</v>
      </c>
      <c r="C2079" s="1015" t="str">
        <f t="shared" si="373"/>
        <v xml:space="preserve"> </v>
      </c>
      <c r="D2079" s="1544"/>
      <c r="E2079" s="1047"/>
      <c r="F2079" s="1059" t="str">
        <f>VLOOKUP($B2079,DG!A:D,DG!$C$2,)</f>
        <v>Đầu cosse ép Cu 70mm2</v>
      </c>
      <c r="G2079" s="1047" t="str">
        <f>VLOOKUP($B2079,DG!A:D,DG!$D$2,)</f>
        <v>cái</v>
      </c>
      <c r="H2079" s="1845">
        <f t="shared" si="380"/>
        <v>0</v>
      </c>
      <c r="I2079" s="1845"/>
      <c r="J2079" s="1845"/>
      <c r="K2079" s="1845"/>
      <c r="L2079" s="1845"/>
      <c r="M2079" s="1845"/>
      <c r="N2079" s="1845"/>
      <c r="O2079" s="1845"/>
      <c r="P2079" s="1845">
        <f t="shared" ref="P2079:P2145" si="381">H2079+Q2079-R2079</f>
        <v>0</v>
      </c>
      <c r="Q2079" s="1061"/>
      <c r="R2079" s="1061"/>
      <c r="S2079" s="1061"/>
      <c r="T2079" s="2059">
        <f t="shared" si="374"/>
        <v>0</v>
      </c>
    </row>
    <row r="2080" spans="1:20" ht="22.15" hidden="1" customHeight="1">
      <c r="A2080" s="59"/>
      <c r="B2080" s="1586" t="s">
        <v>4352</v>
      </c>
      <c r="C2080" s="1015" t="str">
        <f t="shared" si="373"/>
        <v xml:space="preserve"> </v>
      </c>
      <c r="D2080" s="1544"/>
      <c r="E2080" s="1047"/>
      <c r="F2080" s="1059" t="str">
        <f>VLOOKUP($B2080,DG!A:D,DG!$C$2,)</f>
        <v>Kẹp ép WR 399</v>
      </c>
      <c r="G2080" s="1047" t="str">
        <f>VLOOKUP($B2080,DG!A:D,DG!$D$2,)</f>
        <v>cái</v>
      </c>
      <c r="H2080" s="1845">
        <f t="shared" si="380"/>
        <v>0</v>
      </c>
      <c r="I2080" s="1845"/>
      <c r="J2080" s="1845"/>
      <c r="K2080" s="1845"/>
      <c r="L2080" s="1845"/>
      <c r="M2080" s="1845"/>
      <c r="N2080" s="1845"/>
      <c r="O2080" s="1845"/>
      <c r="P2080" s="1845">
        <f t="shared" si="381"/>
        <v>0</v>
      </c>
      <c r="Q2080" s="1061"/>
      <c r="R2080" s="1061"/>
      <c r="S2080" s="1061"/>
      <c r="T2080" s="2059">
        <f t="shared" si="374"/>
        <v>0</v>
      </c>
    </row>
    <row r="2081" spans="1:20" ht="22.15" hidden="1" customHeight="1">
      <c r="A2081" s="59"/>
      <c r="B2081" s="1617" t="s">
        <v>1159</v>
      </c>
      <c r="C2081" s="1015" t="str">
        <f t="shared" si="373"/>
        <v xml:space="preserve"> </v>
      </c>
      <c r="D2081" s="1557">
        <f>ppht!DJ337+T2081</f>
        <v>0</v>
      </c>
      <c r="E2081" s="1047"/>
      <c r="F2081" s="1417" t="str">
        <f>VLOOKUP($B2081,DG!A:D,DG!$C$2,)</f>
        <v>Hộp phân phối (hộp rỗng)</v>
      </c>
      <c r="G2081" s="1047" t="str">
        <f>VLOOKUP($B2081,DG!A:D,DG!$D$2,)</f>
        <v>cái</v>
      </c>
      <c r="H2081" s="1845">
        <f t="shared" si="380"/>
        <v>0</v>
      </c>
      <c r="I2081" s="1845"/>
      <c r="J2081" s="1845"/>
      <c r="K2081" s="1845"/>
      <c r="L2081" s="1845"/>
      <c r="M2081" s="1845"/>
      <c r="N2081" s="1845">
        <f t="shared" ref="N2081:N2097" si="382">D2081</f>
        <v>0</v>
      </c>
      <c r="O2081" s="1845"/>
      <c r="P2081" s="1845">
        <f t="shared" si="381"/>
        <v>0</v>
      </c>
      <c r="Q2081" s="1056"/>
      <c r="R2081" s="1056"/>
      <c r="S2081" s="1056"/>
      <c r="T2081" s="2059">
        <f t="shared" si="374"/>
        <v>0</v>
      </c>
    </row>
    <row r="2082" spans="1:20" ht="22.15" hidden="1" customHeight="1">
      <c r="A2082" s="59"/>
      <c r="B2082" s="1586" t="s">
        <v>1411</v>
      </c>
      <c r="C2082" s="1015" t="str">
        <f t="shared" si="373"/>
        <v xml:space="preserve"> </v>
      </c>
      <c r="D2082" s="1544"/>
      <c r="E2082" s="1047"/>
      <c r="F2082" s="1059" t="str">
        <f>VLOOKUP($B2082,DG!A:D,DG!$C$2,)</f>
        <v>Cáp đồng bọc CV25</v>
      </c>
      <c r="G2082" s="1047" t="str">
        <f>VLOOKUP($B2082,DG!A:D,DG!$D$2,)</f>
        <v>mét</v>
      </c>
      <c r="H2082" s="1845">
        <f t="shared" si="380"/>
        <v>0</v>
      </c>
      <c r="I2082" s="1845"/>
      <c r="J2082" s="1845"/>
      <c r="K2082" s="1845"/>
      <c r="L2082" s="1845"/>
      <c r="M2082" s="1845"/>
      <c r="N2082" s="1845">
        <f t="shared" si="382"/>
        <v>0</v>
      </c>
      <c r="O2082" s="1845"/>
      <c r="P2082" s="1845">
        <f t="shared" si="381"/>
        <v>0</v>
      </c>
      <c r="Q2082" s="1056"/>
      <c r="R2082" s="1056"/>
      <c r="S2082" s="1056"/>
      <c r="T2082" s="2059">
        <f t="shared" si="374"/>
        <v>0</v>
      </c>
    </row>
    <row r="2083" spans="1:20" ht="22.15" hidden="1" customHeight="1">
      <c r="A2083" s="59"/>
      <c r="B2083" s="1586" t="s">
        <v>1158</v>
      </c>
      <c r="C2083" s="1015" t="str">
        <f t="shared" si="373"/>
        <v xml:space="preserve"> </v>
      </c>
      <c r="D2083" s="1557">
        <f>ppht!DI337</f>
        <v>0</v>
      </c>
      <c r="E2083" s="1047" t="str">
        <f>VLOOKUP($B2083,DG!A:D,DG!$B$2,)</f>
        <v>06.1201</v>
      </c>
      <c r="F2083" s="1059" t="s">
        <v>2572</v>
      </c>
      <c r="G2083" s="1047" t="str">
        <f>VLOOKUP($B2083,DG!A:D,DG!$D$2,)</f>
        <v>cái</v>
      </c>
      <c r="H2083" s="1845">
        <f t="shared" si="380"/>
        <v>0</v>
      </c>
      <c r="I2083" s="1845"/>
      <c r="J2083" s="1845"/>
      <c r="K2083" s="1845"/>
      <c r="L2083" s="1845"/>
      <c r="M2083" s="1845"/>
      <c r="N2083" s="1845">
        <f t="shared" si="382"/>
        <v>0</v>
      </c>
      <c r="O2083" s="1845"/>
      <c r="P2083" s="1845">
        <f t="shared" si="381"/>
        <v>0</v>
      </c>
      <c r="Q2083" s="1056"/>
      <c r="R2083" s="1056"/>
      <c r="S2083" s="1056"/>
      <c r="T2083" s="2059">
        <f t="shared" si="374"/>
        <v>0</v>
      </c>
    </row>
    <row r="2084" spans="1:20" ht="22.15" hidden="1" customHeight="1">
      <c r="A2084" s="59"/>
      <c r="B2084" s="1586" t="s">
        <v>1160</v>
      </c>
      <c r="C2084" s="1015" t="str">
        <f t="shared" si="373"/>
        <v xml:space="preserve"> </v>
      </c>
      <c r="D2084" s="1557">
        <f>ppht!DA337</f>
        <v>0</v>
      </c>
      <c r="E2084" s="1047"/>
      <c r="F2084" s="1059" t="str">
        <f>VLOOKUP($B2084,DG!A:D,DG!$C$2,)</f>
        <v>Kẹp treo cáp ABC4x120mm2</v>
      </c>
      <c r="G2084" s="1047" t="str">
        <f>VLOOKUP($B2084,DG!A:D,DG!$D$2,)</f>
        <v>cái</v>
      </c>
      <c r="H2084" s="1845">
        <f t="shared" si="380"/>
        <v>0</v>
      </c>
      <c r="I2084" s="1845"/>
      <c r="J2084" s="1845"/>
      <c r="K2084" s="1845"/>
      <c r="L2084" s="1845"/>
      <c r="M2084" s="1845"/>
      <c r="N2084" s="1845">
        <f t="shared" si="382"/>
        <v>0</v>
      </c>
      <c r="O2084" s="1845"/>
      <c r="P2084" s="1845">
        <f t="shared" si="381"/>
        <v>0</v>
      </c>
      <c r="Q2084" s="1056"/>
      <c r="R2084" s="1056"/>
      <c r="S2084" s="1056"/>
      <c r="T2084" s="2059">
        <f t="shared" si="374"/>
        <v>0</v>
      </c>
    </row>
    <row r="2085" spans="1:20" ht="22.15" hidden="1" customHeight="1">
      <c r="A2085" s="59"/>
      <c r="B2085" s="1617" t="s">
        <v>1161</v>
      </c>
      <c r="C2085" s="1015" t="str">
        <f t="shared" si="373"/>
        <v xml:space="preserve"> </v>
      </c>
      <c r="D2085" s="1557">
        <f>ppht!DB337*0</f>
        <v>0</v>
      </c>
      <c r="E2085" s="1047"/>
      <c r="F2085" s="1059" t="str">
        <f>VLOOKUP($B2085,DG!A:D,DG!$C$2,)</f>
        <v>Kẹp treo cáp ABC4x95mm2</v>
      </c>
      <c r="G2085" s="1047" t="str">
        <f>VLOOKUP($B2085,DG!A:D,DG!$D$2,)</f>
        <v>cái</v>
      </c>
      <c r="H2085" s="1845">
        <f t="shared" si="380"/>
        <v>0</v>
      </c>
      <c r="I2085" s="1845"/>
      <c r="J2085" s="1845"/>
      <c r="K2085" s="1845"/>
      <c r="L2085" s="1845"/>
      <c r="M2085" s="1845"/>
      <c r="N2085" s="1845">
        <f t="shared" si="382"/>
        <v>0</v>
      </c>
      <c r="O2085" s="1845"/>
      <c r="P2085" s="1845">
        <f t="shared" si="381"/>
        <v>0</v>
      </c>
      <c r="Q2085" s="1056"/>
      <c r="R2085" s="1056"/>
      <c r="S2085" s="1056"/>
      <c r="T2085" s="2059">
        <f t="shared" si="374"/>
        <v>0</v>
      </c>
    </row>
    <row r="2086" spans="1:20" ht="22.15" hidden="1" customHeight="1">
      <c r="A2086" s="59"/>
      <c r="B2086" s="1586" t="s">
        <v>1698</v>
      </c>
      <c r="C2086" s="1015" t="str">
        <f t="shared" si="373"/>
        <v xml:space="preserve"> </v>
      </c>
      <c r="D2086" s="1557">
        <f>ppht!DC337</f>
        <v>0</v>
      </c>
      <c r="E2086" s="1047" t="str">
        <f>VLOOKUP($B2086,DG!A:D,DG!$B$2,)</f>
        <v>06.1201</v>
      </c>
      <c r="F2086" s="1059" t="str">
        <f>VLOOKUP($B2086,DG!A:D,DG!$C$2,)</f>
        <v>Kẹp treo cáp ABC4x70mm2</v>
      </c>
      <c r="G2086" s="1047" t="str">
        <f>VLOOKUP($B2086,DG!A:D,DG!$D$2,)</f>
        <v>cái</v>
      </c>
      <c r="H2086" s="1845">
        <f t="shared" si="380"/>
        <v>0</v>
      </c>
      <c r="I2086" s="1845"/>
      <c r="J2086" s="1845"/>
      <c r="K2086" s="1845"/>
      <c r="L2086" s="1845"/>
      <c r="M2086" s="1845"/>
      <c r="N2086" s="1845">
        <f t="shared" si="382"/>
        <v>0</v>
      </c>
      <c r="O2086" s="1845"/>
      <c r="P2086" s="1845">
        <f t="shared" si="381"/>
        <v>0</v>
      </c>
      <c r="Q2086" s="1056"/>
      <c r="R2086" s="1056"/>
      <c r="S2086" s="1056"/>
      <c r="T2086" s="2059">
        <f t="shared" si="374"/>
        <v>0</v>
      </c>
    </row>
    <row r="2087" spans="1:20" ht="22.15" hidden="1" customHeight="1">
      <c r="A2087" s="59"/>
      <c r="B2087" s="1586" t="s">
        <v>1699</v>
      </c>
      <c r="C2087" s="1015" t="str">
        <f t="shared" si="373"/>
        <v xml:space="preserve"> </v>
      </c>
      <c r="D2087" s="1557">
        <f>ppht!DD337</f>
        <v>0</v>
      </c>
      <c r="E2087" s="1047"/>
      <c r="F2087" s="1059" t="str">
        <f>VLOOKUP($B2087,DG!A:D,DG!$C$2,)</f>
        <v>Kẹp treo cáp ABC4x50mm2</v>
      </c>
      <c r="G2087" s="1047" t="str">
        <f>VLOOKUP($B2087,DG!A:D,DG!$D$2,)</f>
        <v>cái</v>
      </c>
      <c r="H2087" s="1845">
        <f t="shared" si="380"/>
        <v>0</v>
      </c>
      <c r="I2087" s="1845"/>
      <c r="J2087" s="1845"/>
      <c r="K2087" s="1845"/>
      <c r="L2087" s="1845"/>
      <c r="M2087" s="1845"/>
      <c r="N2087" s="1845">
        <f t="shared" si="382"/>
        <v>0</v>
      </c>
      <c r="O2087" s="1845"/>
      <c r="P2087" s="1845">
        <f t="shared" si="381"/>
        <v>0</v>
      </c>
      <c r="Q2087" s="1056"/>
      <c r="R2087" s="1056"/>
      <c r="S2087" s="1056"/>
      <c r="T2087" s="2059">
        <f t="shared" si="374"/>
        <v>0</v>
      </c>
    </row>
    <row r="2088" spans="1:20" ht="22.15" hidden="1" customHeight="1">
      <c r="A2088" s="59"/>
      <c r="B2088" s="1617" t="s">
        <v>1740</v>
      </c>
      <c r="C2088" s="1015" t="str">
        <f t="shared" si="373"/>
        <v xml:space="preserve"> </v>
      </c>
      <c r="D2088" s="1544">
        <f>ppht!DO337</f>
        <v>0</v>
      </c>
      <c r="E2088" s="1047"/>
      <c r="F2088" s="1059" t="str">
        <f>VLOOKUP($B2088,DG!A:D,DG!$C$2,)</f>
        <v>Móc treo chữ A</v>
      </c>
      <c r="G2088" s="1047" t="str">
        <f>VLOOKUP($B2088,DG!A:D,DG!$D$2,)</f>
        <v>cái</v>
      </c>
      <c r="H2088" s="1845">
        <f t="shared" si="380"/>
        <v>0</v>
      </c>
      <c r="I2088" s="1845"/>
      <c r="J2088" s="1845"/>
      <c r="K2088" s="1845"/>
      <c r="L2088" s="1845"/>
      <c r="M2088" s="1845"/>
      <c r="N2088" s="1845">
        <f t="shared" si="382"/>
        <v>0</v>
      </c>
      <c r="O2088" s="1845"/>
      <c r="P2088" s="1845">
        <f t="shared" si="381"/>
        <v>0</v>
      </c>
      <c r="Q2088" s="1056"/>
      <c r="R2088" s="1056"/>
      <c r="S2088" s="1056"/>
      <c r="T2088" s="2059">
        <f t="shared" si="374"/>
        <v>0</v>
      </c>
    </row>
    <row r="2089" spans="1:20" ht="22.15" hidden="1" customHeight="1">
      <c r="A2089" s="59"/>
      <c r="B2089" s="1586" t="s">
        <v>2227</v>
      </c>
      <c r="C2089" s="1015" t="str">
        <f t="shared" si="373"/>
        <v xml:space="preserve"> </v>
      </c>
      <c r="D2089" s="1544">
        <f>ppht!DE337</f>
        <v>0</v>
      </c>
      <c r="E2089" s="1047"/>
      <c r="F2089" s="1059" t="str">
        <f>VLOOKUP($B2089,DG!A:D,DG!$C$2,)</f>
        <v>Kẹp ngừng cáp ABC4x150mm2</v>
      </c>
      <c r="G2089" s="1047" t="str">
        <f>VLOOKUP($B2089,DG!A:D,DG!$D$2,)</f>
        <v>cái</v>
      </c>
      <c r="H2089" s="1845">
        <f t="shared" si="380"/>
        <v>0</v>
      </c>
      <c r="I2089" s="1845"/>
      <c r="J2089" s="1845"/>
      <c r="K2089" s="1845"/>
      <c r="L2089" s="1845"/>
      <c r="M2089" s="1845"/>
      <c r="N2089" s="1845">
        <f t="shared" si="382"/>
        <v>0</v>
      </c>
      <c r="O2089" s="1845"/>
      <c r="P2089" s="1845">
        <f t="shared" si="381"/>
        <v>0</v>
      </c>
      <c r="Q2089" s="1056"/>
      <c r="R2089" s="1056"/>
      <c r="S2089" s="1056"/>
      <c r="T2089" s="2059">
        <f t="shared" si="374"/>
        <v>0</v>
      </c>
    </row>
    <row r="2090" spans="1:20" ht="22.15" hidden="1" customHeight="1">
      <c r="A2090" s="59"/>
      <c r="B2090" s="1617" t="s">
        <v>1434</v>
      </c>
      <c r="C2090" s="1015" t="str">
        <f t="shared" si="373"/>
        <v xml:space="preserve"> </v>
      </c>
      <c r="D2090" s="1544">
        <f>ppht!DF337</f>
        <v>0</v>
      </c>
      <c r="E2090" s="1047"/>
      <c r="F2090" s="1059" t="str">
        <f>VLOOKUP($B2090,DG!A:D,DG!$C$2,)</f>
        <v>Kẹp ngừng cáp ABC4x95mm2</v>
      </c>
      <c r="G2090" s="1047" t="str">
        <f>VLOOKUP($B2090,DG!A:D,DG!$D$2,)</f>
        <v>cái</v>
      </c>
      <c r="H2090" s="1845">
        <f t="shared" si="380"/>
        <v>0</v>
      </c>
      <c r="I2090" s="1845"/>
      <c r="J2090" s="1845"/>
      <c r="K2090" s="1845"/>
      <c r="L2090" s="1845"/>
      <c r="M2090" s="1845"/>
      <c r="N2090" s="1845">
        <f t="shared" si="382"/>
        <v>0</v>
      </c>
      <c r="O2090" s="1845"/>
      <c r="P2090" s="1845">
        <f t="shared" si="381"/>
        <v>0</v>
      </c>
      <c r="Q2090" s="1056"/>
      <c r="R2090" s="1056"/>
      <c r="S2090" s="1056"/>
      <c r="T2090" s="2059">
        <f t="shared" si="374"/>
        <v>0</v>
      </c>
    </row>
    <row r="2091" spans="1:20" ht="22.15" hidden="1" customHeight="1">
      <c r="A2091" s="59"/>
      <c r="B2091" s="1586" t="s">
        <v>2266</v>
      </c>
      <c r="C2091" s="1015" t="str">
        <f t="shared" si="373"/>
        <v xml:space="preserve"> </v>
      </c>
      <c r="D2091" s="1544">
        <f>ppht!DG337</f>
        <v>0</v>
      </c>
      <c r="E2091" s="1047" t="str">
        <f>VLOOKUP($B2091,DG!A:D,DG!$B$2,)</f>
        <v>06.1201</v>
      </c>
      <c r="F2091" s="1059" t="str">
        <f>VLOOKUP($B2091,DG!A:D,DG!$C$2,)</f>
        <v>Kẹp ngừng cáp ABC4x70mm2</v>
      </c>
      <c r="G2091" s="1047" t="str">
        <f>VLOOKUP($B2091,DG!A:D,DG!$D$2,)</f>
        <v>cái</v>
      </c>
      <c r="H2091" s="1845">
        <f t="shared" si="380"/>
        <v>0</v>
      </c>
      <c r="I2091" s="1845"/>
      <c r="J2091" s="1845"/>
      <c r="K2091" s="1845"/>
      <c r="L2091" s="1845"/>
      <c r="M2091" s="1845"/>
      <c r="N2091" s="1845">
        <f t="shared" si="382"/>
        <v>0</v>
      </c>
      <c r="O2091" s="1845"/>
      <c r="P2091" s="1845">
        <f t="shared" si="381"/>
        <v>0</v>
      </c>
      <c r="Q2091" s="1056"/>
      <c r="R2091" s="1056"/>
      <c r="S2091" s="1056"/>
      <c r="T2091" s="2059">
        <f t="shared" si="374"/>
        <v>0</v>
      </c>
    </row>
    <row r="2092" spans="1:20" ht="22.15" hidden="1" customHeight="1">
      <c r="A2092" s="59"/>
      <c r="B2092" s="1586" t="s">
        <v>313</v>
      </c>
      <c r="C2092" s="1015" t="str">
        <f t="shared" si="373"/>
        <v xml:space="preserve"> </v>
      </c>
      <c r="D2092" s="1544">
        <f>ppht!DH337</f>
        <v>0</v>
      </c>
      <c r="E2092" s="1047"/>
      <c r="F2092" s="1059" t="str">
        <f>VLOOKUP($B2092,DG!A:D,DG!$C$2,)</f>
        <v>Kẹp ngừng cáp ABC4x50mm2</v>
      </c>
      <c r="G2092" s="1047" t="str">
        <f>VLOOKUP($B2092,DG!A:D,DG!$D$2,)</f>
        <v>cái</v>
      </c>
      <c r="H2092" s="1845">
        <f t="shared" si="380"/>
        <v>0</v>
      </c>
      <c r="I2092" s="1845"/>
      <c r="J2092" s="1845"/>
      <c r="K2092" s="1845"/>
      <c r="L2092" s="1845"/>
      <c r="M2092" s="1845"/>
      <c r="N2092" s="1845">
        <f t="shared" si="382"/>
        <v>0</v>
      </c>
      <c r="O2092" s="1845"/>
      <c r="P2092" s="1845">
        <f t="shared" si="381"/>
        <v>0</v>
      </c>
      <c r="Q2092" s="1056"/>
      <c r="R2092" s="1056"/>
      <c r="S2092" s="1056"/>
      <c r="T2092" s="2059">
        <f t="shared" si="374"/>
        <v>0</v>
      </c>
    </row>
    <row r="2093" spans="1:20" ht="22.15" hidden="1" customHeight="1">
      <c r="A2093" s="59"/>
      <c r="B2093" s="1586" t="s">
        <v>2228</v>
      </c>
      <c r="C2093" s="1015" t="str">
        <f t="shared" si="373"/>
        <v xml:space="preserve"> </v>
      </c>
      <c r="D2093" s="1544">
        <f>ppht!CV337</f>
        <v>0</v>
      </c>
      <c r="E2093" s="1047"/>
      <c r="F2093" s="1059" t="str">
        <f>VLOOKUP($B2093,DG!A:D,DG!$C$2,)</f>
        <v>Nắp bịt đầu cáp ABC150mm2</v>
      </c>
      <c r="G2093" s="1047" t="str">
        <f>VLOOKUP($B2093,DG!A:D,DG!$D$2,)</f>
        <v>cái</v>
      </c>
      <c r="H2093" s="1845">
        <f t="shared" si="380"/>
        <v>0</v>
      </c>
      <c r="I2093" s="1845"/>
      <c r="J2093" s="1845"/>
      <c r="K2093" s="1845"/>
      <c r="L2093" s="1845"/>
      <c r="M2093" s="1845"/>
      <c r="N2093" s="1845">
        <f t="shared" si="382"/>
        <v>0</v>
      </c>
      <c r="O2093" s="1845"/>
      <c r="P2093" s="1845">
        <f t="shared" si="381"/>
        <v>0</v>
      </c>
      <c r="Q2093" s="1056"/>
      <c r="R2093" s="1056"/>
      <c r="S2093" s="1056"/>
      <c r="T2093" s="2059">
        <f t="shared" ref="T2093:T2156" si="383">IFERROR(HLOOKUP(B2093,BangKeTru,3,0),0)</f>
        <v>0</v>
      </c>
    </row>
    <row r="2094" spans="1:20" ht="22.15" hidden="1" customHeight="1">
      <c r="A2094" s="59"/>
      <c r="B2094" s="1586" t="s">
        <v>860</v>
      </c>
      <c r="C2094" s="1015" t="str">
        <f t="shared" si="373"/>
        <v xml:space="preserve"> </v>
      </c>
      <c r="D2094" s="1544">
        <f>ppht!CW337</f>
        <v>0</v>
      </c>
      <c r="E2094" s="1047"/>
      <c r="F2094" s="1059" t="str">
        <f>VLOOKUP($B2094,DG!A:D,DG!$C$2,)</f>
        <v>Nắp bịt đầu cáp ABC95mm2</v>
      </c>
      <c r="G2094" s="1047" t="str">
        <f>VLOOKUP($B2094,DG!A:D,DG!$D$2,)</f>
        <v>cái</v>
      </c>
      <c r="H2094" s="1845">
        <f t="shared" si="380"/>
        <v>0</v>
      </c>
      <c r="I2094" s="1845"/>
      <c r="J2094" s="1845"/>
      <c r="K2094" s="1845"/>
      <c r="L2094" s="1845"/>
      <c r="M2094" s="1845"/>
      <c r="N2094" s="1845">
        <f t="shared" si="382"/>
        <v>0</v>
      </c>
      <c r="O2094" s="1845"/>
      <c r="P2094" s="1845">
        <f t="shared" si="381"/>
        <v>0</v>
      </c>
      <c r="Q2094" s="1056"/>
      <c r="R2094" s="1056"/>
      <c r="S2094" s="1056"/>
      <c r="T2094" s="2059">
        <f t="shared" si="383"/>
        <v>0</v>
      </c>
    </row>
    <row r="2095" spans="1:20" ht="22.15" hidden="1" customHeight="1">
      <c r="A2095" s="59"/>
      <c r="B2095" s="1586" t="s">
        <v>861</v>
      </c>
      <c r="C2095" s="1015" t="str">
        <f t="shared" si="373"/>
        <v xml:space="preserve"> </v>
      </c>
      <c r="D2095" s="1544">
        <f>ppht!CX337</f>
        <v>0</v>
      </c>
      <c r="E2095" s="1047"/>
      <c r="F2095" s="1059" t="str">
        <f>VLOOKUP($B2095,DG!A:D,DG!$C$2,)</f>
        <v>Nắp bịt đầu cáp ABC70mm2</v>
      </c>
      <c r="G2095" s="1047" t="str">
        <f>VLOOKUP($B2095,DG!A:D,DG!$D$2,)</f>
        <v>cái</v>
      </c>
      <c r="H2095" s="1845">
        <f t="shared" si="380"/>
        <v>0</v>
      </c>
      <c r="I2095" s="1845"/>
      <c r="J2095" s="1845"/>
      <c r="K2095" s="1845"/>
      <c r="L2095" s="1845"/>
      <c r="M2095" s="1845"/>
      <c r="N2095" s="1845">
        <f t="shared" si="382"/>
        <v>0</v>
      </c>
      <c r="O2095" s="1845"/>
      <c r="P2095" s="1845">
        <f t="shared" si="381"/>
        <v>0</v>
      </c>
      <c r="Q2095" s="1056"/>
      <c r="R2095" s="1056"/>
      <c r="S2095" s="1056"/>
      <c r="T2095" s="2059">
        <f t="shared" si="383"/>
        <v>0</v>
      </c>
    </row>
    <row r="2096" spans="1:20" ht="22.15" hidden="1" customHeight="1">
      <c r="A2096" s="59"/>
      <c r="B2096" s="1586" t="s">
        <v>862</v>
      </c>
      <c r="C2096" s="1015" t="str">
        <f t="shared" si="373"/>
        <v xml:space="preserve"> </v>
      </c>
      <c r="D2096" s="1544">
        <f>ppht!CZ341</f>
        <v>0</v>
      </c>
      <c r="E2096" s="1047"/>
      <c r="F2096" s="1059" t="str">
        <f>VLOOKUP($B2096,DG!A:D,DG!$C$2,)</f>
        <v>Nắp bịt đầu cáp ABC50mm2</v>
      </c>
      <c r="G2096" s="1047" t="str">
        <f>VLOOKUP($B2096,DG!A:D,DG!$D$2,)</f>
        <v>cái</v>
      </c>
      <c r="H2096" s="1845">
        <f t="shared" si="380"/>
        <v>0</v>
      </c>
      <c r="I2096" s="1845"/>
      <c r="J2096" s="1845"/>
      <c r="K2096" s="1845"/>
      <c r="L2096" s="1845"/>
      <c r="M2096" s="1845"/>
      <c r="N2096" s="1845">
        <f t="shared" si="382"/>
        <v>0</v>
      </c>
      <c r="O2096" s="1845"/>
      <c r="P2096" s="1845">
        <f t="shared" si="381"/>
        <v>0</v>
      </c>
      <c r="Q2096" s="1056"/>
      <c r="R2096" s="1056"/>
      <c r="S2096" s="1056"/>
      <c r="T2096" s="2059">
        <f t="shared" si="383"/>
        <v>0</v>
      </c>
    </row>
    <row r="2097" spans="1:20" ht="22.15" hidden="1" customHeight="1">
      <c r="A2097" s="59"/>
      <c r="B2097" s="1586" t="s">
        <v>4320</v>
      </c>
      <c r="C2097" s="1015" t="str">
        <f t="shared" si="373"/>
        <v xml:space="preserve"> </v>
      </c>
      <c r="D2097" s="1544">
        <f>+ppht!CY341</f>
        <v>0</v>
      </c>
      <c r="E2097" s="1047"/>
      <c r="F2097" s="1059" t="str">
        <f>VLOOKUP($B2097,DG!A:D,DG!$C$2,)</f>
        <v>Nắp bịt đầu cáp 35mm2</v>
      </c>
      <c r="G2097" s="1047" t="str">
        <f>VLOOKUP($B2097,DG!A:D,DG!$D$2,)</f>
        <v>cái</v>
      </c>
      <c r="H2097" s="1845">
        <f t="shared" si="380"/>
        <v>0</v>
      </c>
      <c r="I2097" s="1845"/>
      <c r="J2097" s="1845"/>
      <c r="K2097" s="1845"/>
      <c r="L2097" s="1845"/>
      <c r="M2097" s="1845"/>
      <c r="N2097" s="1845">
        <f t="shared" si="382"/>
        <v>0</v>
      </c>
      <c r="O2097" s="1845"/>
      <c r="P2097" s="1845">
        <f t="shared" si="381"/>
        <v>0</v>
      </c>
      <c r="Q2097" s="1056"/>
      <c r="R2097" s="1056"/>
      <c r="S2097" s="1056"/>
      <c r="T2097" s="2059">
        <f t="shared" si="383"/>
        <v>0</v>
      </c>
    </row>
    <row r="2098" spans="1:20" ht="22.15" hidden="1" customHeight="1">
      <c r="A2098" s="59"/>
      <c r="B2098" s="1600" t="s">
        <v>907</v>
      </c>
      <c r="C2098" s="1015" t="str">
        <f t="shared" si="373"/>
        <v xml:space="preserve"> </v>
      </c>
      <c r="D2098" s="1544"/>
      <c r="E2098" s="1047"/>
      <c r="F2098" s="1059" t="str">
        <f>VLOOKUP($B2098,DG!A:D,DG!$C$2,)</f>
        <v>Kẹp ép WR cỡ dây 50mm2</v>
      </c>
      <c r="G2098" s="1047" t="str">
        <f>VLOOKUP($B2098,DG!A:D,DG!$D$2,)</f>
        <v>cái</v>
      </c>
      <c r="H2098" s="1845">
        <f t="shared" si="380"/>
        <v>0</v>
      </c>
      <c r="I2098" s="1845"/>
      <c r="J2098" s="1845"/>
      <c r="K2098" s="1845"/>
      <c r="L2098" s="1845"/>
      <c r="M2098" s="1845"/>
      <c r="N2098" s="1845"/>
      <c r="O2098" s="1845"/>
      <c r="P2098" s="1845">
        <f t="shared" si="381"/>
        <v>0</v>
      </c>
      <c r="Q2098" s="1061"/>
      <c r="R2098" s="1061"/>
      <c r="S2098" s="1061"/>
      <c r="T2098" s="2059">
        <f t="shared" si="383"/>
        <v>0</v>
      </c>
    </row>
    <row r="2099" spans="1:20" ht="22.15" hidden="1" customHeight="1">
      <c r="A2099" s="59"/>
      <c r="B2099" s="1618" t="s">
        <v>4319</v>
      </c>
      <c r="C2099" s="1015" t="str">
        <f t="shared" si="373"/>
        <v xml:space="preserve"> </v>
      </c>
      <c r="D2099" s="1544"/>
      <c r="E2099" s="1047"/>
      <c r="F2099" s="1417" t="str">
        <f>VLOOKUP($B2099,DG!A:D,DG!$C$2,)</f>
        <v>Bộ tiếp địa cố định cáp ABC</v>
      </c>
      <c r="G2099" s="1047" t="str">
        <f>VLOOKUP($B2099,DG!A:D,DG!$D$2,)</f>
        <v>bộ</v>
      </c>
      <c r="H2099" s="1845">
        <f t="shared" si="380"/>
        <v>0</v>
      </c>
      <c r="I2099" s="1845"/>
      <c r="J2099" s="1845"/>
      <c r="K2099" s="1845"/>
      <c r="L2099" s="1845"/>
      <c r="M2099" s="1845"/>
      <c r="N2099" s="1845"/>
      <c r="O2099" s="1845"/>
      <c r="P2099" s="1845">
        <f t="shared" si="381"/>
        <v>0</v>
      </c>
      <c r="Q2099" s="1056"/>
      <c r="R2099" s="1056"/>
      <c r="S2099" s="1056"/>
      <c r="T2099" s="2059">
        <f t="shared" si="383"/>
        <v>0</v>
      </c>
    </row>
    <row r="2100" spans="1:20" ht="22.15" hidden="1" customHeight="1">
      <c r="A2100" s="59"/>
      <c r="B2100" s="1586" t="s">
        <v>1628</v>
      </c>
      <c r="C2100" s="1015" t="str">
        <f>IF(OR(P2100&lt;&gt;0,H2100&lt;&gt;0),"x"," ")</f>
        <v xml:space="preserve"> </v>
      </c>
      <c r="D2100" s="1544"/>
      <c r="E2100" s="1047"/>
      <c r="F2100" s="1417" t="str">
        <f>VLOOKUP($B2100,DG!A:D,DG!$C$2,)</f>
        <v>Cáp đồng bọc CV70</v>
      </c>
      <c r="G2100" s="1047" t="str">
        <f>VLOOKUP($B2100,DG!A:D,DG!$D$2,)</f>
        <v>mét</v>
      </c>
      <c r="H2100" s="1845">
        <f t="shared" si="380"/>
        <v>0</v>
      </c>
      <c r="I2100" s="1845"/>
      <c r="J2100" s="1845"/>
      <c r="K2100" s="1845"/>
      <c r="L2100" s="1845"/>
      <c r="M2100" s="1845"/>
      <c r="N2100" s="1845"/>
      <c r="O2100" s="1845"/>
      <c r="P2100" s="1845">
        <f>H2100+Q2100-R2100</f>
        <v>0</v>
      </c>
      <c r="Q2100" s="1056"/>
      <c r="R2100" s="1056"/>
      <c r="S2100" s="1056"/>
      <c r="T2100" s="2059">
        <f t="shared" si="383"/>
        <v>0</v>
      </c>
    </row>
    <row r="2101" spans="1:20" ht="22.15" hidden="1" customHeight="1">
      <c r="A2101" s="59"/>
      <c r="B2101" s="1586" t="s">
        <v>4168</v>
      </c>
      <c r="C2101" s="1015" t="str">
        <f>IF(OR(P2101&lt;&gt;0,H2101&lt;&gt;0),"x"," ")</f>
        <v xml:space="preserve"> </v>
      </c>
      <c r="D2101" s="1544"/>
      <c r="E2101" s="1047"/>
      <c r="F2101" s="1417" t="str">
        <f>VLOOKUP($B2101,DG!A:D,DG!$C$2,)</f>
        <v>Hộp phân đoạn MCCB 3 cực 400V-125A - 30KA</v>
      </c>
      <c r="G2101" s="1047" t="str">
        <f>VLOOKUP($B2101,DG!A:D,DG!$D$2,)</f>
        <v>hộp</v>
      </c>
      <c r="H2101" s="1845">
        <f t="shared" si="380"/>
        <v>0</v>
      </c>
      <c r="I2101" s="1845"/>
      <c r="J2101" s="1845"/>
      <c r="K2101" s="1845"/>
      <c r="L2101" s="1845"/>
      <c r="M2101" s="1845"/>
      <c r="N2101" s="1845"/>
      <c r="O2101" s="1845"/>
      <c r="P2101" s="1845">
        <f>H2101+Q2101-R2101</f>
        <v>0</v>
      </c>
      <c r="Q2101" s="1056"/>
      <c r="R2101" s="1056"/>
      <c r="S2101" s="1056"/>
      <c r="T2101" s="2059">
        <f t="shared" si="383"/>
        <v>0</v>
      </c>
    </row>
    <row r="2102" spans="1:20" ht="22.15" hidden="1" customHeight="1">
      <c r="A2102" s="59"/>
      <c r="B2102" s="1586" t="s">
        <v>1424</v>
      </c>
      <c r="C2102" s="1015" t="str">
        <f>IF(OR(P2102&lt;&gt;0,H2102&lt;&gt;0),"x"," ")</f>
        <v xml:space="preserve"> </v>
      </c>
      <c r="D2102" s="1544"/>
      <c r="E2102" s="1047"/>
      <c r="F2102" s="1417" t="str">
        <f>VLOOKUP($B2102,DG!A:D,DG!$C$2,)</f>
        <v>MCCB 3 cực 400V -125A - 30KA</v>
      </c>
      <c r="G2102" s="1047" t="str">
        <f>VLOOKUP($B2102,DG!A:D,DG!$D$2,)</f>
        <v>cái</v>
      </c>
      <c r="H2102" s="1845">
        <f t="shared" si="380"/>
        <v>0</v>
      </c>
      <c r="I2102" s="1845"/>
      <c r="J2102" s="1845"/>
      <c r="K2102" s="1845"/>
      <c r="L2102" s="1845"/>
      <c r="M2102" s="1845"/>
      <c r="N2102" s="1845"/>
      <c r="O2102" s="1845"/>
      <c r="P2102" s="1845">
        <f>H2102+Q2102-R2102</f>
        <v>0</v>
      </c>
      <c r="Q2102" s="1056"/>
      <c r="R2102" s="1056"/>
      <c r="S2102" s="1056"/>
      <c r="T2102" s="2059">
        <f t="shared" si="383"/>
        <v>0</v>
      </c>
    </row>
    <row r="2103" spans="1:20" ht="22.15" hidden="1" customHeight="1">
      <c r="A2103" s="59"/>
      <c r="B2103" s="1586" t="s">
        <v>1472</v>
      </c>
      <c r="C2103" s="1015" t="str">
        <f>IF(OR(P2103&lt;&gt;0,H2103&lt;&gt;0),"x"," ")</f>
        <v xml:space="preserve"> </v>
      </c>
      <c r="D2103" s="1557">
        <f>ppht!DM337</f>
        <v>0</v>
      </c>
      <c r="E2103" s="1047"/>
      <c r="F2103" s="1059" t="str">
        <f>VLOOKUP($B2103,DG!A:D,DG!$C$2,)</f>
        <v xml:space="preserve">Móc dừng </v>
      </c>
      <c r="G2103" s="1047" t="str">
        <f>VLOOKUP($B2103,DG!A:D,DG!$D$2,)</f>
        <v>cái</v>
      </c>
      <c r="H2103" s="1845">
        <f t="shared" si="380"/>
        <v>0</v>
      </c>
      <c r="I2103" s="1845"/>
      <c r="J2103" s="1845"/>
      <c r="K2103" s="1845"/>
      <c r="L2103" s="1845"/>
      <c r="M2103" s="1845"/>
      <c r="N2103" s="1845">
        <f t="shared" ref="N2103:N2129" si="384">D2103</f>
        <v>0</v>
      </c>
      <c r="O2103" s="1845"/>
      <c r="P2103" s="1845">
        <f>H2103+Q2103-R2103</f>
        <v>0</v>
      </c>
      <c r="Q2103" s="1056"/>
      <c r="R2103" s="1056"/>
      <c r="S2103" s="1056"/>
      <c r="T2103" s="2059">
        <f t="shared" si="383"/>
        <v>0</v>
      </c>
    </row>
    <row r="2104" spans="1:20" ht="22.15" hidden="1" customHeight="1">
      <c r="A2104" s="59"/>
      <c r="B2104" s="1586" t="s">
        <v>2030</v>
      </c>
      <c r="C2104" s="1015" t="str">
        <f>IF(OR(P2104&lt;&gt;0,H2104&lt;&gt;0),"x"," ")</f>
        <v xml:space="preserve"> </v>
      </c>
      <c r="D2104" s="1557"/>
      <c r="E2104" s="1047"/>
      <c r="F2104" s="1059" t="str">
        <f>VLOOKUP($B2104,DG!A:D,DG!$C$2,)</f>
        <v xml:space="preserve">Móc đơn treo cáp </v>
      </c>
      <c r="G2104" s="1047" t="str">
        <f>VLOOKUP($B2104,DG!A:D,DG!$D$2,)</f>
        <v>cái</v>
      </c>
      <c r="H2104" s="1845">
        <f t="shared" si="380"/>
        <v>0</v>
      </c>
      <c r="I2104" s="1845"/>
      <c r="J2104" s="1845"/>
      <c r="K2104" s="1845"/>
      <c r="L2104" s="1845"/>
      <c r="M2104" s="1845"/>
      <c r="N2104" s="1845">
        <f t="shared" si="384"/>
        <v>0</v>
      </c>
      <c r="O2104" s="1845"/>
      <c r="P2104" s="1845">
        <f>H2104+Q2104-R2104</f>
        <v>0</v>
      </c>
      <c r="Q2104" s="1056"/>
      <c r="R2104" s="1056"/>
      <c r="S2104" s="1056"/>
      <c r="T2104" s="2059">
        <f t="shared" si="383"/>
        <v>0</v>
      </c>
    </row>
    <row r="2105" spans="1:20" ht="22.15" hidden="1" customHeight="1">
      <c r="A2105" s="59"/>
      <c r="B2105" s="1586" t="s">
        <v>1496</v>
      </c>
      <c r="C2105" s="1015" t="str">
        <f t="shared" si="373"/>
        <v xml:space="preserve"> </v>
      </c>
      <c r="D2105" s="1557">
        <f>ppht!BY337</f>
        <v>0</v>
      </c>
      <c r="E2105" s="1047"/>
      <c r="F2105" s="1059" t="str">
        <f>VLOOKUP($B2105,DG!A:D,DG!$C$2,)</f>
        <v>Rack 2 sứ + sứ ống chỉ</v>
      </c>
      <c r="G2105" s="1047" t="str">
        <f>VLOOKUP($B2105,DG!A:D,DG!$D$2,)</f>
        <v>bộ</v>
      </c>
      <c r="H2105" s="1845">
        <f t="shared" si="380"/>
        <v>0</v>
      </c>
      <c r="I2105" s="1845"/>
      <c r="J2105" s="1845"/>
      <c r="K2105" s="1845"/>
      <c r="L2105" s="1845"/>
      <c r="M2105" s="1845"/>
      <c r="N2105" s="1845">
        <f t="shared" si="384"/>
        <v>0</v>
      </c>
      <c r="O2105" s="1845"/>
      <c r="P2105" s="1845">
        <f t="shared" si="381"/>
        <v>0</v>
      </c>
      <c r="Q2105" s="1056"/>
      <c r="R2105" s="1056"/>
      <c r="S2105" s="1056"/>
      <c r="T2105" s="2059">
        <f t="shared" si="383"/>
        <v>0</v>
      </c>
    </row>
    <row r="2106" spans="1:20" ht="22.15" hidden="1" customHeight="1">
      <c r="A2106" s="59"/>
      <c r="B2106" s="1586" t="s">
        <v>278</v>
      </c>
      <c r="C2106" s="1015" t="str">
        <f t="shared" si="373"/>
        <v xml:space="preserve"> </v>
      </c>
      <c r="D2106" s="1557">
        <f>ppht!BZ337</f>
        <v>0</v>
      </c>
      <c r="E2106" s="1047"/>
      <c r="F2106" s="1059" t="str">
        <f>VLOOKUP($B2106,DG!A:D,DG!$C$2,)</f>
        <v>Rack 3 sứ + sứ ống chỉ</v>
      </c>
      <c r="G2106" s="1047" t="str">
        <f>VLOOKUP($B2106,DG!A:D,DG!$D$2,)</f>
        <v>bộ</v>
      </c>
      <c r="H2106" s="1845">
        <f t="shared" si="380"/>
        <v>0</v>
      </c>
      <c r="I2106" s="1845"/>
      <c r="J2106" s="1845"/>
      <c r="K2106" s="1845"/>
      <c r="L2106" s="1845"/>
      <c r="M2106" s="1845"/>
      <c r="N2106" s="1845">
        <f t="shared" si="384"/>
        <v>0</v>
      </c>
      <c r="O2106" s="1845"/>
      <c r="P2106" s="1845">
        <f t="shared" si="381"/>
        <v>0</v>
      </c>
      <c r="Q2106" s="1056"/>
      <c r="R2106" s="1056"/>
      <c r="S2106" s="1056"/>
      <c r="T2106" s="2059">
        <f t="shared" si="383"/>
        <v>0</v>
      </c>
    </row>
    <row r="2107" spans="1:20" ht="22.15" hidden="1" customHeight="1">
      <c r="A2107" s="59"/>
      <c r="B2107" s="1586" t="s">
        <v>1455</v>
      </c>
      <c r="C2107" s="1015" t="str">
        <f t="shared" si="373"/>
        <v xml:space="preserve"> </v>
      </c>
      <c r="D2107" s="1557">
        <f>ppht!CA337</f>
        <v>0</v>
      </c>
      <c r="E2107" s="1047"/>
      <c r="F2107" s="1059" t="str">
        <f>VLOOKUP($B2107,DG!A:D,DG!$C$2,)</f>
        <v>Rack 4 sứ + sứ ống chỉ</v>
      </c>
      <c r="G2107" s="1047" t="str">
        <f>VLOOKUP($B2107,DG!A:D,DG!$D$2,)</f>
        <v>bộ</v>
      </c>
      <c r="H2107" s="1845">
        <f t="shared" si="380"/>
        <v>0</v>
      </c>
      <c r="I2107" s="1845"/>
      <c r="J2107" s="1845"/>
      <c r="K2107" s="1845"/>
      <c r="L2107" s="1845"/>
      <c r="M2107" s="1845"/>
      <c r="N2107" s="1845">
        <f t="shared" si="384"/>
        <v>0</v>
      </c>
      <c r="O2107" s="1845"/>
      <c r="P2107" s="1845">
        <f t="shared" si="381"/>
        <v>0</v>
      </c>
      <c r="Q2107" s="1056"/>
      <c r="R2107" s="1056"/>
      <c r="S2107" s="1056"/>
      <c r="T2107" s="2059">
        <f t="shared" si="383"/>
        <v>0</v>
      </c>
    </row>
    <row r="2108" spans="1:20" ht="22.15" hidden="1" customHeight="1">
      <c r="A2108" s="59"/>
      <c r="B2108" s="1586" t="s">
        <v>919</v>
      </c>
      <c r="C2108" s="1015" t="str">
        <f t="shared" si="373"/>
        <v xml:space="preserve"> </v>
      </c>
      <c r="D2108" s="1560"/>
      <c r="E2108" s="1047" t="str">
        <f>VLOOKUP($B2108,DG!A:D,DG!$B$2,)</f>
        <v>05.1101</v>
      </c>
      <c r="F2108" s="1399" t="str">
        <f>VLOOKUP($B2108,DG!A:D,DG!$C$2,)</f>
        <v>Tủ phân phối hạ thế</v>
      </c>
      <c r="G2108" s="1047" t="str">
        <f>VLOOKUP($B2108,DG!A:D,DG!$D$2,)</f>
        <v>cái</v>
      </c>
      <c r="H2108" s="1845">
        <f t="shared" si="380"/>
        <v>0</v>
      </c>
      <c r="I2108" s="1845"/>
      <c r="J2108" s="1845"/>
      <c r="K2108" s="1845"/>
      <c r="L2108" s="1845"/>
      <c r="M2108" s="1845"/>
      <c r="N2108" s="1845">
        <f t="shared" si="384"/>
        <v>0</v>
      </c>
      <c r="O2108" s="1845"/>
      <c r="P2108" s="1845">
        <f t="shared" si="381"/>
        <v>0</v>
      </c>
      <c r="Q2108" s="1056"/>
      <c r="R2108" s="1056"/>
      <c r="S2108" s="1056"/>
      <c r="T2108" s="2059">
        <f t="shared" si="383"/>
        <v>0</v>
      </c>
    </row>
    <row r="2109" spans="1:20" ht="22.15" hidden="1" customHeight="1">
      <c r="A2109" s="59"/>
      <c r="B2109" s="1586" t="s">
        <v>2015</v>
      </c>
      <c r="C2109" s="1015" t="str">
        <f t="shared" si="373"/>
        <v xml:space="preserve"> </v>
      </c>
      <c r="D2109" s="1560"/>
      <c r="E2109" s="1047" t="str">
        <f>VLOOKUP($B2109,DG!A:D,DG!$B$2,)</f>
        <v>07.2404</v>
      </c>
      <c r="F2109" s="1399" t="str">
        <f>VLOOKUP($B2109,DG!A:D,DG!$C$2,)&amp;": 6m/tuû"</f>
        <v>Ống PVC D60x2,8mm: 6m/tuû</v>
      </c>
      <c r="G2109" s="1047" t="str">
        <f>VLOOKUP($B2109,DG!A:D,DG!$D$2,)</f>
        <v>m</v>
      </c>
      <c r="H2109" s="1845">
        <f t="shared" si="380"/>
        <v>0</v>
      </c>
      <c r="I2109" s="1845"/>
      <c r="J2109" s="1845"/>
      <c r="K2109" s="1845"/>
      <c r="L2109" s="1845"/>
      <c r="M2109" s="1845"/>
      <c r="N2109" s="1845">
        <f t="shared" si="384"/>
        <v>0</v>
      </c>
      <c r="O2109" s="1845"/>
      <c r="P2109" s="1845">
        <f t="shared" si="381"/>
        <v>0</v>
      </c>
      <c r="Q2109" s="1056"/>
      <c r="R2109" s="1056"/>
      <c r="S2109" s="1056"/>
      <c r="T2109" s="2059">
        <f t="shared" si="383"/>
        <v>0</v>
      </c>
    </row>
    <row r="2110" spans="1:20" ht="22.15" hidden="1" customHeight="1">
      <c r="A2110" s="59"/>
      <c r="B2110" s="1586" t="s">
        <v>1997</v>
      </c>
      <c r="C2110" s="1015" t="str">
        <f t="shared" si="373"/>
        <v xml:space="preserve"> </v>
      </c>
      <c r="D2110" s="1560"/>
      <c r="E2110" s="1047" t="str">
        <f>VLOOKUP($B2110,DG!A:D,DG!$B$2,)</f>
        <v>06.3231</v>
      </c>
      <c r="F2110" s="1399" t="str">
        <f>VLOOKUP($B2110,DG!A:D,DG!$C$2,)</f>
        <v>Cổ dê kẹp ống PVC Ø 60</v>
      </c>
      <c r="G2110" s="1047" t="str">
        <f>VLOOKUP($B2110,DG!A:D,DG!$D$2,)</f>
        <v>bộ</v>
      </c>
      <c r="H2110" s="1845">
        <f t="shared" ref="H2110:H2131" si="385">D2110</f>
        <v>0</v>
      </c>
      <c r="I2110" s="1845"/>
      <c r="J2110" s="1845"/>
      <c r="K2110" s="1845"/>
      <c r="L2110" s="1845"/>
      <c r="M2110" s="1845"/>
      <c r="N2110" s="1845">
        <f t="shared" si="384"/>
        <v>0</v>
      </c>
      <c r="O2110" s="1845"/>
      <c r="P2110" s="1845">
        <f t="shared" si="381"/>
        <v>0</v>
      </c>
      <c r="Q2110" s="1056"/>
      <c r="R2110" s="1056"/>
      <c r="S2110" s="1056"/>
      <c r="T2110" s="2059">
        <f t="shared" si="383"/>
        <v>0</v>
      </c>
    </row>
    <row r="2111" spans="1:20" ht="22.15" hidden="1" customHeight="1">
      <c r="A2111" s="59"/>
      <c r="B2111" s="1586" t="s">
        <v>1107</v>
      </c>
      <c r="C2111" s="1015" t="str">
        <f t="shared" ref="C2111:C2172" si="386">IF(OR(P2111&lt;&gt;0,H2111&lt;&gt;0),"x"," ")</f>
        <v xml:space="preserve"> </v>
      </c>
      <c r="D2111" s="1560"/>
      <c r="E2111" s="1047"/>
      <c r="F2111" s="1399" t="str">
        <f>VLOOKUP($B2111,DG!A:D,DG!$C$2,)&amp;": 3 caùi / tuû"</f>
        <v>Co 90 độ PVC 60: 3 caùi / tuû</v>
      </c>
      <c r="G2111" s="1047" t="str">
        <f>VLOOKUP($B2111,DG!A:D,DG!$D$2,)</f>
        <v>cái</v>
      </c>
      <c r="H2111" s="1845">
        <f t="shared" si="385"/>
        <v>0</v>
      </c>
      <c r="I2111" s="1845"/>
      <c r="J2111" s="1845"/>
      <c r="K2111" s="1845"/>
      <c r="L2111" s="1845"/>
      <c r="M2111" s="1845"/>
      <c r="N2111" s="1845">
        <f t="shared" si="384"/>
        <v>0</v>
      </c>
      <c r="O2111" s="1845"/>
      <c r="P2111" s="1845">
        <f t="shared" si="381"/>
        <v>0</v>
      </c>
      <c r="Q2111" s="1056"/>
      <c r="R2111" s="1056"/>
      <c r="S2111" s="1056"/>
      <c r="T2111" s="2059">
        <f t="shared" si="383"/>
        <v>0</v>
      </c>
    </row>
    <row r="2112" spans="1:20" ht="22.15" hidden="1" customHeight="1">
      <c r="A2112" s="59"/>
      <c r="B2112" s="1586" t="s">
        <v>1621</v>
      </c>
      <c r="C2112" s="1015" t="str">
        <f t="shared" si="386"/>
        <v xml:space="preserve"> </v>
      </c>
      <c r="D2112" s="1560"/>
      <c r="E2112" s="1047"/>
      <c r="F2112" s="1399" t="str">
        <f>VLOOKUP($B2112,DG!A:D,DG!$C$2,)&amp;": 6 caùi / tuû"</f>
        <v>Co 90 độ PVC 42: 6 caùi / tuû</v>
      </c>
      <c r="G2112" s="1047" t="str">
        <f>VLOOKUP($B2112,DG!A:D,DG!$D$2,)</f>
        <v>cái</v>
      </c>
      <c r="H2112" s="1845">
        <f t="shared" si="385"/>
        <v>0</v>
      </c>
      <c r="I2112" s="1845"/>
      <c r="J2112" s="1845"/>
      <c r="K2112" s="1845"/>
      <c r="L2112" s="1845"/>
      <c r="M2112" s="1845"/>
      <c r="N2112" s="1845">
        <f t="shared" si="384"/>
        <v>0</v>
      </c>
      <c r="O2112" s="1845"/>
      <c r="P2112" s="1845">
        <f t="shared" si="381"/>
        <v>0</v>
      </c>
      <c r="Q2112" s="1056"/>
      <c r="R2112" s="1056"/>
      <c r="S2112" s="1056"/>
      <c r="T2112" s="2059">
        <f t="shared" si="383"/>
        <v>0</v>
      </c>
    </row>
    <row r="2113" spans="1:20" ht="22.15" hidden="1" customHeight="1">
      <c r="A2113" s="59"/>
      <c r="B2113" s="1586" t="s">
        <v>2229</v>
      </c>
      <c r="C2113" s="1015" t="str">
        <f t="shared" si="386"/>
        <v xml:space="preserve"> </v>
      </c>
      <c r="D2113" s="1563"/>
      <c r="E2113" s="1047">
        <f>VLOOKUP($B2113,DG!A:D,DG!$B$2,)</f>
        <v>0</v>
      </c>
      <c r="F2113" s="1400" t="str">
        <f>VLOOKUP($B2113,DG!A:D,DG!$C$2,)&amp;": 8m töø CB ñaáu noái leân löôùi"</f>
        <v>Cáp nhôm ABC 4x150mm2: 8m töø CB ñaáu noái leân löôùi</v>
      </c>
      <c r="G2113" s="1047" t="str">
        <f>VLOOKUP($B2113,DG!A:D,DG!$D$2,)</f>
        <v>mét</v>
      </c>
      <c r="H2113" s="1845">
        <f t="shared" si="385"/>
        <v>0</v>
      </c>
      <c r="I2113" s="1845"/>
      <c r="J2113" s="1845"/>
      <c r="K2113" s="1845"/>
      <c r="L2113" s="1845"/>
      <c r="M2113" s="1845"/>
      <c r="N2113" s="1845">
        <f t="shared" si="384"/>
        <v>0</v>
      </c>
      <c r="O2113" s="1845"/>
      <c r="P2113" s="1845">
        <f t="shared" si="381"/>
        <v>0</v>
      </c>
      <c r="Q2113" s="1056"/>
      <c r="R2113" s="1056"/>
      <c r="S2113" s="1056"/>
      <c r="T2113" s="2059">
        <f t="shared" si="383"/>
        <v>0</v>
      </c>
    </row>
    <row r="2114" spans="1:20" ht="22.15" hidden="1" customHeight="1">
      <c r="A2114" s="59"/>
      <c r="B2114" s="1586" t="s">
        <v>584</v>
      </c>
      <c r="C2114" s="1015" t="str">
        <f t="shared" si="386"/>
        <v xml:space="preserve"> </v>
      </c>
      <c r="D2114" s="1563"/>
      <c r="E2114" s="1047">
        <f>VLOOKUP($B2114,DG!A:D,DG!$B$2,)</f>
        <v>0</v>
      </c>
      <c r="F2114" s="1400" t="str">
        <f>VLOOKUP($B2114,DG!A:D,DG!$C$2,)</f>
        <v xml:space="preserve">Ống PVC D114x4,9mm </v>
      </c>
      <c r="G2114" s="1047" t="str">
        <f>VLOOKUP($B2114,DG!A:D,DG!$D$2,)</f>
        <v>m</v>
      </c>
      <c r="H2114" s="1845">
        <f t="shared" si="385"/>
        <v>0</v>
      </c>
      <c r="I2114" s="1845"/>
      <c r="J2114" s="1845"/>
      <c r="K2114" s="1845"/>
      <c r="L2114" s="1845"/>
      <c r="M2114" s="1845"/>
      <c r="N2114" s="1845">
        <f t="shared" si="384"/>
        <v>0</v>
      </c>
      <c r="O2114" s="1845"/>
      <c r="P2114" s="1845">
        <f t="shared" si="381"/>
        <v>0</v>
      </c>
      <c r="Q2114" s="1056"/>
      <c r="R2114" s="1056"/>
      <c r="S2114" s="1056"/>
      <c r="T2114" s="2059">
        <f t="shared" si="383"/>
        <v>0</v>
      </c>
    </row>
    <row r="2115" spans="1:20" ht="22.15" hidden="1" customHeight="1">
      <c r="A2115" s="59"/>
      <c r="B2115" s="1586" t="s">
        <v>1351</v>
      </c>
      <c r="C2115" s="1015" t="str">
        <f t="shared" si="386"/>
        <v xml:space="preserve"> </v>
      </c>
      <c r="D2115" s="1563"/>
      <c r="E2115" s="1047">
        <f>VLOOKUP($B2115,DG!A:D,DG!$B$2,)</f>
        <v>0</v>
      </c>
      <c r="F2115" s="1400" t="str">
        <f>VLOOKUP($B2115,DG!A:D,DG!$C$2,)</f>
        <v>Co  90 độ PVC 114</v>
      </c>
      <c r="G2115" s="1047" t="str">
        <f>VLOOKUP($B2115,DG!A:D,DG!$D$2,)</f>
        <v>cái</v>
      </c>
      <c r="H2115" s="1845">
        <f t="shared" si="385"/>
        <v>0</v>
      </c>
      <c r="I2115" s="1845"/>
      <c r="J2115" s="1845"/>
      <c r="K2115" s="1845"/>
      <c r="L2115" s="1845"/>
      <c r="M2115" s="1845"/>
      <c r="N2115" s="1845">
        <f t="shared" si="384"/>
        <v>0</v>
      </c>
      <c r="O2115" s="1845"/>
      <c r="P2115" s="1845">
        <f t="shared" si="381"/>
        <v>0</v>
      </c>
      <c r="Q2115" s="1056"/>
      <c r="R2115" s="1056"/>
      <c r="S2115" s="1056"/>
      <c r="T2115" s="2059">
        <f t="shared" si="383"/>
        <v>0</v>
      </c>
    </row>
    <row r="2116" spans="1:20" ht="22.15" hidden="1" customHeight="1">
      <c r="A2116" s="59"/>
      <c r="B2116" s="1586" t="s">
        <v>733</v>
      </c>
      <c r="C2116" s="1015" t="str">
        <f t="shared" si="386"/>
        <v xml:space="preserve"> </v>
      </c>
      <c r="D2116" s="1563"/>
      <c r="E2116" s="1047" t="str">
        <f>VLOOKUP($B2116,DG!A:D,DG!$B$2,)</f>
        <v>06.3231</v>
      </c>
      <c r="F2116" s="1400" t="str">
        <f>VLOOKUP($B2116,DG!A:D,DG!$C$2,)</f>
        <v>Cổ dê kẹp ống PVC Ø 114</v>
      </c>
      <c r="G2116" s="1047" t="str">
        <f>VLOOKUP($B2116,DG!A:D,DG!$D$2,)</f>
        <v>bộ</v>
      </c>
      <c r="H2116" s="1845">
        <f t="shared" si="385"/>
        <v>0</v>
      </c>
      <c r="I2116" s="1845"/>
      <c r="J2116" s="1845"/>
      <c r="K2116" s="1845"/>
      <c r="L2116" s="1845"/>
      <c r="M2116" s="1845"/>
      <c r="N2116" s="1845">
        <f t="shared" si="384"/>
        <v>0</v>
      </c>
      <c r="O2116" s="1845"/>
      <c r="P2116" s="1845">
        <f t="shared" si="381"/>
        <v>0</v>
      </c>
      <c r="Q2116" s="1056"/>
      <c r="R2116" s="1056"/>
      <c r="S2116" s="1056"/>
      <c r="T2116" s="2059">
        <f t="shared" si="383"/>
        <v>0</v>
      </c>
    </row>
    <row r="2117" spans="1:20" ht="22.15" hidden="1" customHeight="1">
      <c r="A2117" s="59"/>
      <c r="B2117" s="1586" t="s">
        <v>1792</v>
      </c>
      <c r="C2117" s="1015" t="str">
        <f t="shared" si="386"/>
        <v xml:space="preserve"> </v>
      </c>
      <c r="D2117" s="1557"/>
      <c r="E2117" s="1047"/>
      <c r="F2117" s="1059" t="str">
        <f>VLOOKUP($B2117,DG!A:D,DG!$C$2,)</f>
        <v>Boulon 16x50+ 2 long đền vuông D18-50x50x3/Zn</v>
      </c>
      <c r="G2117" s="1047" t="str">
        <f>VLOOKUP($B2117,DG!A:D,DG!$D$2,)</f>
        <v>bộ</v>
      </c>
      <c r="H2117" s="1845">
        <f t="shared" si="385"/>
        <v>0</v>
      </c>
      <c r="I2117" s="1845"/>
      <c r="J2117" s="1845"/>
      <c r="K2117" s="1845"/>
      <c r="L2117" s="1845"/>
      <c r="M2117" s="1845"/>
      <c r="N2117" s="1845">
        <f t="shared" si="384"/>
        <v>0</v>
      </c>
      <c r="O2117" s="1845"/>
      <c r="P2117" s="1845">
        <f t="shared" si="381"/>
        <v>0</v>
      </c>
      <c r="Q2117" s="1056"/>
      <c r="R2117" s="1056"/>
      <c r="S2117" s="1056"/>
      <c r="T2117" s="2059">
        <f t="shared" si="383"/>
        <v>0</v>
      </c>
    </row>
    <row r="2118" spans="1:20" ht="22.15" hidden="1" customHeight="1">
      <c r="A2118" s="59"/>
      <c r="B2118" s="1586" t="s">
        <v>1614</v>
      </c>
      <c r="C2118" s="1015" t="str">
        <f t="shared" si="386"/>
        <v xml:space="preserve"> </v>
      </c>
      <c r="D2118" s="1557">
        <f>ppht!CB337</f>
        <v>0</v>
      </c>
      <c r="E2118" s="1047"/>
      <c r="F2118" s="1059" t="str">
        <f>VLOOKUP($B2118,DG!A:D,DG!$C$2,)</f>
        <v>Boulon 16x250+ 2 long đền vuông D18-50x50x3/Zn</v>
      </c>
      <c r="G2118" s="1047" t="str">
        <f>VLOOKUP($B2118,DG!A:D,DG!$D$2,)</f>
        <v>bộ</v>
      </c>
      <c r="H2118" s="1845">
        <f t="shared" si="385"/>
        <v>0</v>
      </c>
      <c r="I2118" s="1845"/>
      <c r="J2118" s="1845"/>
      <c r="K2118" s="1845"/>
      <c r="L2118" s="1845"/>
      <c r="M2118" s="1845"/>
      <c r="N2118" s="1845">
        <f t="shared" si="384"/>
        <v>0</v>
      </c>
      <c r="O2118" s="1845"/>
      <c r="P2118" s="1845">
        <f t="shared" si="381"/>
        <v>0</v>
      </c>
      <c r="Q2118" s="1056"/>
      <c r="R2118" s="1056"/>
      <c r="S2118" s="1056"/>
      <c r="T2118" s="2059">
        <f t="shared" si="383"/>
        <v>0</v>
      </c>
    </row>
    <row r="2119" spans="1:20" ht="22.15" hidden="1" customHeight="1">
      <c r="A2119" s="59"/>
      <c r="B2119" s="1586" t="s">
        <v>1615</v>
      </c>
      <c r="C2119" s="1015" t="str">
        <f t="shared" si="386"/>
        <v xml:space="preserve"> </v>
      </c>
      <c r="D2119" s="1557">
        <f>ppht!CC337</f>
        <v>0</v>
      </c>
      <c r="E2119" s="1047"/>
      <c r="F2119" s="1059" t="str">
        <f>VLOOKUP($B2119,DG!A:D,DG!$C$2,)</f>
        <v>Boulon 16x300+ 2 long đền vuông D18-50x50x3/Zn</v>
      </c>
      <c r="G2119" s="1047" t="str">
        <f>VLOOKUP($B2119,DG!A:D,DG!$D$2,)</f>
        <v>bộ</v>
      </c>
      <c r="H2119" s="1845">
        <f t="shared" si="385"/>
        <v>0</v>
      </c>
      <c r="I2119" s="1845"/>
      <c r="J2119" s="1845"/>
      <c r="K2119" s="1845"/>
      <c r="L2119" s="1845"/>
      <c r="M2119" s="1845"/>
      <c r="N2119" s="1845">
        <f t="shared" si="384"/>
        <v>0</v>
      </c>
      <c r="O2119" s="1845"/>
      <c r="P2119" s="1845">
        <f t="shared" si="381"/>
        <v>0</v>
      </c>
      <c r="Q2119" s="1056"/>
      <c r="R2119" s="1056"/>
      <c r="S2119" s="1056"/>
      <c r="T2119" s="2059">
        <f t="shared" si="383"/>
        <v>0</v>
      </c>
    </row>
    <row r="2120" spans="1:20" ht="22.15" hidden="1" customHeight="1">
      <c r="A2120" s="59"/>
      <c r="B2120" s="1586" t="s">
        <v>1081</v>
      </c>
      <c r="C2120" s="1015" t="str">
        <f t="shared" si="386"/>
        <v xml:space="preserve"> </v>
      </c>
      <c r="D2120" s="1557">
        <f>ppht!CD337</f>
        <v>0</v>
      </c>
      <c r="E2120" s="1047"/>
      <c r="F2120" s="1059" t="str">
        <f>VLOOKUP($B2120,DG!A:D,DG!$C$2,)</f>
        <v>Boulon 16x350+ 2 long đền vuông D18-50x50x3/Zn</v>
      </c>
      <c r="G2120" s="1047" t="str">
        <f>VLOOKUP($B2120,DG!A:D,DG!$D$2,)</f>
        <v>bộ</v>
      </c>
      <c r="H2120" s="1845">
        <f t="shared" si="385"/>
        <v>0</v>
      </c>
      <c r="I2120" s="1845"/>
      <c r="J2120" s="1845"/>
      <c r="K2120" s="1845"/>
      <c r="L2120" s="1845"/>
      <c r="M2120" s="1845"/>
      <c r="N2120" s="1845">
        <f t="shared" si="384"/>
        <v>0</v>
      </c>
      <c r="O2120" s="1845"/>
      <c r="P2120" s="1845">
        <f t="shared" si="381"/>
        <v>0</v>
      </c>
      <c r="Q2120" s="1056"/>
      <c r="R2120" s="1056"/>
      <c r="S2120" s="1056"/>
      <c r="T2120" s="2059">
        <f t="shared" si="383"/>
        <v>0</v>
      </c>
    </row>
    <row r="2121" spans="1:20" ht="22.15" hidden="1" customHeight="1">
      <c r="A2121" s="59"/>
      <c r="B2121" s="1586" t="s">
        <v>830</v>
      </c>
      <c r="C2121" s="1015" t="str">
        <f t="shared" si="386"/>
        <v xml:space="preserve"> </v>
      </c>
      <c r="D2121" s="1557">
        <f>ppht!CE337</f>
        <v>0</v>
      </c>
      <c r="E2121" s="1047"/>
      <c r="F2121" s="1059" t="str">
        <f>VLOOKUP($B2121,DG!A:D,DG!$C$2,)</f>
        <v>Boulon móc 16x250+ long đền vuông D18-50x50x3/Zn</v>
      </c>
      <c r="G2121" s="1047" t="str">
        <f>VLOOKUP($B2121,DG!A:D,DG!$D$2,)</f>
        <v>bộ</v>
      </c>
      <c r="H2121" s="1845">
        <f t="shared" si="385"/>
        <v>0</v>
      </c>
      <c r="I2121" s="1845"/>
      <c r="J2121" s="1845"/>
      <c r="K2121" s="1845"/>
      <c r="L2121" s="1845"/>
      <c r="M2121" s="1845"/>
      <c r="N2121" s="1845">
        <f t="shared" si="384"/>
        <v>0</v>
      </c>
      <c r="O2121" s="1845"/>
      <c r="P2121" s="1845">
        <f t="shared" si="381"/>
        <v>0</v>
      </c>
      <c r="Q2121" s="1056"/>
      <c r="R2121" s="1056"/>
      <c r="S2121" s="1056"/>
      <c r="T2121" s="2059">
        <f t="shared" si="383"/>
        <v>0</v>
      </c>
    </row>
    <row r="2122" spans="1:20" ht="22.15" hidden="1" customHeight="1">
      <c r="A2122" s="59"/>
      <c r="B2122" s="1586" t="s">
        <v>831</v>
      </c>
      <c r="C2122" s="1015" t="str">
        <f t="shared" si="386"/>
        <v xml:space="preserve"> </v>
      </c>
      <c r="D2122" s="1557">
        <f>ppht!CF337</f>
        <v>0</v>
      </c>
      <c r="E2122" s="1047"/>
      <c r="F2122" s="1059" t="str">
        <f>VLOOKUP($B2122,DG!A:D,DG!$C$2,)</f>
        <v>Boulon móc 16x300+ long đền vuông D18-50x50x3/Zn</v>
      </c>
      <c r="G2122" s="1047" t="str">
        <f>VLOOKUP($B2122,DG!A:D,DG!$D$2,)</f>
        <v>bộ</v>
      </c>
      <c r="H2122" s="1845">
        <f t="shared" si="385"/>
        <v>0</v>
      </c>
      <c r="I2122" s="1845"/>
      <c r="J2122" s="1845"/>
      <c r="K2122" s="1845"/>
      <c r="L2122" s="1845"/>
      <c r="M2122" s="1845"/>
      <c r="N2122" s="1845">
        <f t="shared" si="384"/>
        <v>0</v>
      </c>
      <c r="O2122" s="1845"/>
      <c r="P2122" s="1845">
        <f t="shared" si="381"/>
        <v>0</v>
      </c>
      <c r="Q2122" s="1056"/>
      <c r="R2122" s="1056"/>
      <c r="S2122" s="1056"/>
      <c r="T2122" s="2059">
        <f t="shared" si="383"/>
        <v>0</v>
      </c>
    </row>
    <row r="2123" spans="1:20" ht="22.15" hidden="1" customHeight="1">
      <c r="A2123" s="59"/>
      <c r="B2123" s="1586" t="s">
        <v>1170</v>
      </c>
      <c r="C2123" s="1015" t="str">
        <f t="shared" si="386"/>
        <v xml:space="preserve"> </v>
      </c>
      <c r="D2123" s="1557">
        <f>+ppht!AD341*2*0</f>
        <v>0</v>
      </c>
      <c r="E2123" s="1047"/>
      <c r="F2123" s="1059" t="str">
        <f>VLOOKUP($B2123,DG!A:D,DG!$C$2,)&amp;" bắt trụ đôi"</f>
        <v>Boulon 16x500VRS+ 4 long đền vuông D18-50x50x3/Zn bắt trụ đôi</v>
      </c>
      <c r="G2123" s="1047" t="str">
        <f>VLOOKUP($B2123,DG!A:D,DG!$D$2,)</f>
        <v>bộ</v>
      </c>
      <c r="H2123" s="1845">
        <f t="shared" si="385"/>
        <v>0</v>
      </c>
      <c r="I2123" s="1845"/>
      <c r="J2123" s="1845"/>
      <c r="K2123" s="1845"/>
      <c r="L2123" s="1845"/>
      <c r="M2123" s="1845"/>
      <c r="N2123" s="1845">
        <f t="shared" si="384"/>
        <v>0</v>
      </c>
      <c r="O2123" s="1845"/>
      <c r="P2123" s="1845">
        <f t="shared" si="381"/>
        <v>0</v>
      </c>
      <c r="Q2123" s="1056"/>
      <c r="R2123" s="1056"/>
      <c r="S2123" s="1056"/>
      <c r="T2123" s="2059">
        <f t="shared" si="383"/>
        <v>0</v>
      </c>
    </row>
    <row r="2124" spans="1:20" ht="22.15" hidden="1" customHeight="1">
      <c r="A2124" s="59"/>
      <c r="B2124" s="1586" t="s">
        <v>2208</v>
      </c>
      <c r="C2124" s="1015" t="str">
        <f t="shared" si="386"/>
        <v xml:space="preserve"> </v>
      </c>
      <c r="D2124" s="1557">
        <f>ppht!DL337</f>
        <v>0</v>
      </c>
      <c r="E2124" s="1047"/>
      <c r="F2124" s="1059" t="str">
        <f>VLOOKUP($B2124,DG!A:D,DG!$C$2,)&amp;" (Coå deâ 310)"</f>
        <v>Cổ dê trụ đôi 8,4m bắt móc dừng  (Coå deâ 310)</v>
      </c>
      <c r="G2124" s="1047" t="str">
        <f>VLOOKUP($B2124,DG!A:D,DG!$D$2,)</f>
        <v>bộ</v>
      </c>
      <c r="H2124" s="1845">
        <f t="shared" si="385"/>
        <v>0</v>
      </c>
      <c r="I2124" s="1845"/>
      <c r="J2124" s="1845"/>
      <c r="K2124" s="1845"/>
      <c r="L2124" s="1845"/>
      <c r="M2124" s="1845"/>
      <c r="N2124" s="1845">
        <f t="shared" si="384"/>
        <v>0</v>
      </c>
      <c r="O2124" s="1845"/>
      <c r="P2124" s="1845">
        <f t="shared" si="381"/>
        <v>0</v>
      </c>
      <c r="Q2124" s="1056"/>
      <c r="R2124" s="1056"/>
      <c r="S2124" s="1056"/>
      <c r="T2124" s="2059">
        <f t="shared" si="383"/>
        <v>0</v>
      </c>
    </row>
    <row r="2125" spans="1:20" ht="22.15" hidden="1" customHeight="1">
      <c r="A2125" s="59"/>
      <c r="B2125" s="1586" t="s">
        <v>1025</v>
      </c>
      <c r="C2125" s="1015" t="str">
        <f t="shared" si="386"/>
        <v xml:space="preserve"> </v>
      </c>
      <c r="D2125" s="1557">
        <f>ppht!BF337</f>
        <v>0</v>
      </c>
      <c r="E2125" s="1047"/>
      <c r="F2125" s="1059" t="str">
        <f>VLOOKUP($B2125,DG!A:D,DG!$C$2,)</f>
        <v>Cáp thép 3/8"</v>
      </c>
      <c r="G2125" s="1047" t="str">
        <f>VLOOKUP($B2125,DG!A:D,DG!$D$2,)</f>
        <v>kg</v>
      </c>
      <c r="H2125" s="1845">
        <f t="shared" si="385"/>
        <v>0</v>
      </c>
      <c r="I2125" s="1845"/>
      <c r="J2125" s="1845"/>
      <c r="K2125" s="1845"/>
      <c r="L2125" s="1845"/>
      <c r="M2125" s="1845"/>
      <c r="N2125" s="1845">
        <f t="shared" si="384"/>
        <v>0</v>
      </c>
      <c r="O2125" s="1845"/>
      <c r="P2125" s="1845">
        <f t="shared" si="381"/>
        <v>0</v>
      </c>
      <c r="Q2125" s="1056"/>
      <c r="R2125" s="1056"/>
      <c r="S2125" s="1056"/>
      <c r="T2125" s="2059">
        <f t="shared" si="383"/>
        <v>0</v>
      </c>
    </row>
    <row r="2126" spans="1:20" ht="22.15" hidden="1" customHeight="1">
      <c r="A2126" s="59"/>
      <c r="B2126" s="1586" t="s">
        <v>1492</v>
      </c>
      <c r="C2126" s="1015" t="str">
        <f t="shared" si="386"/>
        <v xml:space="preserve"> </v>
      </c>
      <c r="D2126" s="1544">
        <f>ROUND(D2051/2000+D2052/0.195/1500,0)</f>
        <v>0</v>
      </c>
      <c r="E2126" s="1047"/>
      <c r="F2126" s="1059" t="str">
        <f>VLOOKUP($B2126,DG!A:D,DG!$C$2,)</f>
        <v>Ống nối dây cỡ 50mm2</v>
      </c>
      <c r="G2126" s="1047" t="str">
        <f>VLOOKUP($B2126,DG!A:D,DG!$D$2,)</f>
        <v>cái</v>
      </c>
      <c r="H2126" s="1845">
        <f t="shared" si="385"/>
        <v>0</v>
      </c>
      <c r="I2126" s="1845"/>
      <c r="J2126" s="1845"/>
      <c r="K2126" s="1845"/>
      <c r="L2126" s="1845"/>
      <c r="M2126" s="1845"/>
      <c r="N2126" s="1845">
        <f t="shared" si="384"/>
        <v>0</v>
      </c>
      <c r="O2126" s="1845"/>
      <c r="P2126" s="1845">
        <f t="shared" si="381"/>
        <v>0</v>
      </c>
      <c r="Q2126" s="1056"/>
      <c r="R2126" s="1056"/>
      <c r="S2126" s="1056"/>
      <c r="T2126" s="2059">
        <f t="shared" si="383"/>
        <v>0</v>
      </c>
    </row>
    <row r="2127" spans="1:20" ht="22.15" hidden="1" customHeight="1">
      <c r="A2127" s="59"/>
      <c r="B2127" s="1586" t="s">
        <v>1493</v>
      </c>
      <c r="C2127" s="1015" t="str">
        <f t="shared" si="386"/>
        <v xml:space="preserve"> </v>
      </c>
      <c r="D2127" s="1544">
        <f>ROUND(D2050/2000,0)</f>
        <v>0</v>
      </c>
      <c r="E2127" s="1047"/>
      <c r="F2127" s="1059" t="str">
        <f>VLOOKUP($B2127,DG!A:D,DG!$C$2,)</f>
        <v>Ống nối dây cỡ 70mm2</v>
      </c>
      <c r="G2127" s="1047" t="str">
        <f>VLOOKUP($B2127,DG!A:D,DG!$D$2,)</f>
        <v>cái</v>
      </c>
      <c r="H2127" s="1845">
        <f t="shared" si="385"/>
        <v>0</v>
      </c>
      <c r="I2127" s="1845"/>
      <c r="J2127" s="1845"/>
      <c r="K2127" s="1845"/>
      <c r="L2127" s="1845"/>
      <c r="M2127" s="1845"/>
      <c r="N2127" s="1845">
        <f t="shared" si="384"/>
        <v>0</v>
      </c>
      <c r="O2127" s="1845"/>
      <c r="P2127" s="1845">
        <f t="shared" si="381"/>
        <v>0</v>
      </c>
      <c r="Q2127" s="1056"/>
      <c r="R2127" s="1056"/>
      <c r="S2127" s="1056"/>
      <c r="T2127" s="2059">
        <f t="shared" si="383"/>
        <v>0</v>
      </c>
    </row>
    <row r="2128" spans="1:20" ht="22.15" hidden="1" customHeight="1">
      <c r="A2128" s="59"/>
      <c r="B2128" s="1586" t="s">
        <v>1575</v>
      </c>
      <c r="C2128" s="1015" t="str">
        <f t="shared" si="386"/>
        <v xml:space="preserve"> </v>
      </c>
      <c r="D2128" s="1544"/>
      <c r="E2128" s="1047"/>
      <c r="F2128" s="1059" t="str">
        <f>VLOOKUP($B2128,DG!A:D,DG!$C$2,)</f>
        <v>Biển số - Bảng nguy hiểm</v>
      </c>
      <c r="G2128" s="1047" t="str">
        <f>VLOOKUP($B2128,DG!A:D,DG!$D$2,)</f>
        <v>cái</v>
      </c>
      <c r="H2128" s="1845">
        <f t="shared" si="385"/>
        <v>0</v>
      </c>
      <c r="I2128" s="1845"/>
      <c r="J2128" s="1845"/>
      <c r="K2128" s="1845"/>
      <c r="L2128" s="1845"/>
      <c r="M2128" s="1845"/>
      <c r="N2128" s="1845">
        <f t="shared" si="384"/>
        <v>0</v>
      </c>
      <c r="O2128" s="1845"/>
      <c r="P2128" s="1845">
        <f t="shared" si="381"/>
        <v>0</v>
      </c>
      <c r="Q2128" s="1056"/>
      <c r="R2128" s="1056"/>
      <c r="S2128" s="1056"/>
      <c r="T2128" s="2059">
        <f t="shared" si="383"/>
        <v>0</v>
      </c>
    </row>
    <row r="2129" spans="1:20" ht="22.15" hidden="1" customHeight="1">
      <c r="A2129" s="59"/>
      <c r="B2129" s="1586" t="s">
        <v>229</v>
      </c>
      <c r="C2129" s="1015" t="str">
        <f t="shared" si="386"/>
        <v xml:space="preserve"> </v>
      </c>
      <c r="D2129" s="1544">
        <f>SUM(D2132:D2134)*5/1.4</f>
        <v>0</v>
      </c>
      <c r="E2129" s="1047"/>
      <c r="F2129" s="1059" t="str">
        <f>VLOOKUP($B2129,DG!A:D,DG!$C$2,)</f>
        <v xml:space="preserve">Dây nhôm buộc </v>
      </c>
      <c r="G2129" s="1047" t="str">
        <f>VLOOKUP($B2129,DG!A:D,DG!$D$2,)</f>
        <v>kg</v>
      </c>
      <c r="H2129" s="1845">
        <f t="shared" si="385"/>
        <v>0</v>
      </c>
      <c r="I2129" s="1845"/>
      <c r="J2129" s="1845"/>
      <c r="K2129" s="1845"/>
      <c r="L2129" s="1845"/>
      <c r="M2129" s="1845"/>
      <c r="N2129" s="1845">
        <f t="shared" si="384"/>
        <v>0</v>
      </c>
      <c r="O2129" s="1845"/>
      <c r="P2129" s="1845">
        <f t="shared" si="381"/>
        <v>0</v>
      </c>
      <c r="Q2129" s="1056"/>
      <c r="R2129" s="1056"/>
      <c r="S2129" s="1056"/>
      <c r="T2129" s="2059">
        <f t="shared" si="383"/>
        <v>0</v>
      </c>
    </row>
    <row r="2130" spans="1:20" ht="22.15" hidden="1" customHeight="1">
      <c r="A2130" s="59"/>
      <c r="B2130" s="1619" t="s">
        <v>672</v>
      </c>
      <c r="C2130" s="1015" t="str">
        <f t="shared" si="386"/>
        <v xml:space="preserve"> </v>
      </c>
      <c r="D2130" s="1544"/>
      <c r="E2130" s="1047"/>
      <c r="F2130" s="1059" t="str">
        <f>VLOOKUP($B2130,DG!A:D,DG!$C$2,)</f>
        <v>Băng keo cách điện</v>
      </c>
      <c r="G2130" s="1047" t="str">
        <f>VLOOKUP($B2130,DG!A:D,DG!$D$2,)</f>
        <v>cuộn</v>
      </c>
      <c r="H2130" s="1845">
        <f t="shared" si="385"/>
        <v>0</v>
      </c>
      <c r="I2130" s="1845"/>
      <c r="J2130" s="1845"/>
      <c r="K2130" s="1845"/>
      <c r="L2130" s="1845"/>
      <c r="M2130" s="1845"/>
      <c r="N2130" s="1845"/>
      <c r="O2130" s="1845"/>
      <c r="P2130" s="1845">
        <f t="shared" si="381"/>
        <v>0</v>
      </c>
      <c r="Q2130" s="1061"/>
      <c r="R2130" s="1061"/>
      <c r="S2130" s="1061"/>
      <c r="T2130" s="2059">
        <f t="shared" si="383"/>
        <v>0</v>
      </c>
    </row>
    <row r="2131" spans="1:20" ht="22.15" hidden="1" customHeight="1">
      <c r="A2131" s="59"/>
      <c r="B2131" s="1586" t="s">
        <v>840</v>
      </c>
      <c r="C2131" s="1015" t="str">
        <f t="shared" si="386"/>
        <v xml:space="preserve"> </v>
      </c>
      <c r="D2131" s="1544"/>
      <c r="E2131" s="1047"/>
      <c r="F2131" s="1059" t="str">
        <f>VLOOKUP($B2131,DG!A:D,DG!$C$2,)</f>
        <v>Tủ điện kế 1 pha</v>
      </c>
      <c r="G2131" s="1047" t="str">
        <f>VLOOKUP($B2131,DG!A:D,DG!$D$2,)</f>
        <v>cái</v>
      </c>
      <c r="H2131" s="1845">
        <f t="shared" si="385"/>
        <v>0</v>
      </c>
      <c r="I2131" s="1845"/>
      <c r="J2131" s="1845"/>
      <c r="K2131" s="1845"/>
      <c r="L2131" s="1845"/>
      <c r="M2131" s="1845"/>
      <c r="N2131" s="1845">
        <f>D2131</f>
        <v>0</v>
      </c>
      <c r="O2131" s="1845"/>
      <c r="P2131" s="1845">
        <f t="shared" si="381"/>
        <v>0</v>
      </c>
      <c r="Q2131" s="1056"/>
      <c r="R2131" s="1056"/>
      <c r="S2131" s="1056"/>
      <c r="T2131" s="2059">
        <f t="shared" si="383"/>
        <v>0</v>
      </c>
    </row>
    <row r="2132" spans="1:20" ht="22.15" hidden="1" customHeight="1">
      <c r="A2132" s="59"/>
      <c r="B2132" s="1586" t="s">
        <v>79</v>
      </c>
      <c r="C2132" s="1015" t="str">
        <f t="shared" si="386"/>
        <v xml:space="preserve"> </v>
      </c>
      <c r="D2132" s="1543">
        <f>ROUND(E2050/1000,2)</f>
        <v>0</v>
      </c>
      <c r="E2132" s="1047" t="str">
        <f>VLOOKUP($B2132,DG!A:D,DG!$B$2,)</f>
        <v>06.6105</v>
      </c>
      <c r="F2132" s="1052" t="str">
        <f>VLOOKUP($B2132,DG!A:D,DG!$C$2,)</f>
        <v>Kéo dây nhôm bọc 70mm2</v>
      </c>
      <c r="G2132" s="1047" t="str">
        <f>VLOOKUP($B2132,DG!A:D,DG!$D$2,)</f>
        <v>km</v>
      </c>
      <c r="H2132" s="1845"/>
      <c r="I2132" s="1845"/>
      <c r="J2132" s="1845"/>
      <c r="K2132" s="1845"/>
      <c r="L2132" s="1845"/>
      <c r="M2132" s="1845"/>
      <c r="N2132" s="1845"/>
      <c r="O2132" s="1845"/>
      <c r="P2132" s="1845">
        <f t="shared" si="381"/>
        <v>0</v>
      </c>
      <c r="Q2132" s="1056"/>
      <c r="R2132" s="1056"/>
      <c r="S2132" s="1056"/>
      <c r="T2132" s="2059">
        <f t="shared" si="383"/>
        <v>0</v>
      </c>
    </row>
    <row r="2133" spans="1:20" ht="22.15" hidden="1" customHeight="1">
      <c r="A2133" s="59"/>
      <c r="B2133" s="1586" t="s">
        <v>451</v>
      </c>
      <c r="C2133" s="1015" t="str">
        <f t="shared" si="386"/>
        <v xml:space="preserve"> </v>
      </c>
      <c r="D2133" s="1543">
        <f>ROUND(E2051/1000,2)</f>
        <v>0</v>
      </c>
      <c r="E2133" s="1047" t="str">
        <f>VLOOKUP($B2133,DG!A:D,DG!$B$2,)</f>
        <v>06.6124</v>
      </c>
      <c r="F2133" s="1052" t="str">
        <f>VLOOKUP($B2133,DG!A:D,DG!$C$2,)</f>
        <v>Kéo dây nhôm bọc 50mm2</v>
      </c>
      <c r="G2133" s="1047" t="str">
        <f>VLOOKUP($B2133,DG!A:D,DG!$D$2,)</f>
        <v>km</v>
      </c>
      <c r="H2133" s="1845"/>
      <c r="I2133" s="1845"/>
      <c r="J2133" s="1845"/>
      <c r="K2133" s="1845"/>
      <c r="L2133" s="1845"/>
      <c r="M2133" s="1845"/>
      <c r="N2133" s="1845"/>
      <c r="O2133" s="1845"/>
      <c r="P2133" s="1845">
        <f t="shared" si="381"/>
        <v>0</v>
      </c>
      <c r="Q2133" s="1056"/>
      <c r="R2133" s="1056"/>
      <c r="S2133" s="1056"/>
      <c r="T2133" s="2059">
        <f t="shared" si="383"/>
        <v>0</v>
      </c>
    </row>
    <row r="2134" spans="1:20" ht="22.15" hidden="1" customHeight="1">
      <c r="A2134" s="59"/>
      <c r="B2134" s="1586" t="s">
        <v>1274</v>
      </c>
      <c r="C2134" s="1015" t="str">
        <f t="shared" si="386"/>
        <v xml:space="preserve"> </v>
      </c>
      <c r="D2134" s="1543">
        <f>ROUND(E2052/1000,2)</f>
        <v>0</v>
      </c>
      <c r="E2134" s="1047" t="str">
        <f>VLOOKUP($B2134,DG!A:D,DG!$B$2,)</f>
        <v>06.6114</v>
      </c>
      <c r="F2134" s="1052" t="str">
        <f>VLOOKUP($B2134,DG!A:D,DG!$C$2,)</f>
        <v>Kéo dây nhôm lõi thép cỡ dây 50mm2</v>
      </c>
      <c r="G2134" s="1047" t="str">
        <f>VLOOKUP($B2134,DG!A:D,DG!$D$2,)</f>
        <v>km</v>
      </c>
      <c r="H2134" s="1845"/>
      <c r="I2134" s="1845"/>
      <c r="J2134" s="1845"/>
      <c r="K2134" s="1845"/>
      <c r="L2134" s="1845"/>
      <c r="M2134" s="1845"/>
      <c r="N2134" s="1845"/>
      <c r="O2134" s="1845"/>
      <c r="P2134" s="1845">
        <f t="shared" si="381"/>
        <v>0</v>
      </c>
      <c r="Q2134" s="1056"/>
      <c r="R2134" s="1056"/>
      <c r="S2134" s="1056"/>
      <c r="T2134" s="2059">
        <f t="shared" si="383"/>
        <v>0</v>
      </c>
    </row>
    <row r="2135" spans="1:20" ht="22.15" hidden="1" customHeight="1">
      <c r="A2135" s="59"/>
      <c r="B2135" s="1586" t="s">
        <v>1652</v>
      </c>
      <c r="C2135" s="1015" t="str">
        <f t="shared" si="386"/>
        <v xml:space="preserve"> </v>
      </c>
      <c r="D2135" s="1546"/>
      <c r="E2135" s="1051" t="str">
        <f>VLOOKUP($B2135,DG!A:D,DG!$B$2,)</f>
        <v>07.3404</v>
      </c>
      <c r="F2135" s="1052" t="str">
        <f>VLOOKUP($B2135,DG!A:D,DG!$C$2,)</f>
        <v>Lắp cáp trong ống bảo vệ loại &lt;=4.5kg</v>
      </c>
      <c r="G2135" s="1051" t="str">
        <f>VLOOKUP($B2135,DG!A:D,DG!$D$2,)</f>
        <v>mét</v>
      </c>
      <c r="H2135" s="1846"/>
      <c r="I2135" s="1846"/>
      <c r="J2135" s="1846"/>
      <c r="K2135" s="1846"/>
      <c r="L2135" s="1846"/>
      <c r="M2135" s="1846"/>
      <c r="N2135" s="1846"/>
      <c r="O2135" s="1846"/>
      <c r="P2135" s="1845">
        <f t="shared" si="381"/>
        <v>0</v>
      </c>
      <c r="Q2135" s="1058"/>
      <c r="R2135" s="1058"/>
      <c r="S2135" s="1058"/>
      <c r="T2135" s="2059">
        <f t="shared" si="383"/>
        <v>0</v>
      </c>
    </row>
    <row r="2136" spans="1:20" ht="22.15" hidden="1" customHeight="1">
      <c r="A2136" s="59"/>
      <c r="B2136" s="1586" t="s">
        <v>1653</v>
      </c>
      <c r="C2136" s="1015" t="str">
        <f t="shared" si="386"/>
        <v xml:space="preserve"> </v>
      </c>
      <c r="D2136" s="1546"/>
      <c r="E2136" s="1051" t="str">
        <f>VLOOKUP($B2136,DG!A:D,DG!$B$2,)</f>
        <v>07.3403</v>
      </c>
      <c r="F2136" s="1052" t="str">
        <f>VLOOKUP($B2136,DG!A:D,DG!$C$2,)</f>
        <v>Lắp cáp trong ống bảo vệ loại &lt;=3kg</v>
      </c>
      <c r="G2136" s="1051" t="str">
        <f>VLOOKUP($B2136,DG!A:D,DG!$D$2,)</f>
        <v>mét</v>
      </c>
      <c r="H2136" s="1846"/>
      <c r="I2136" s="1846"/>
      <c r="J2136" s="1846"/>
      <c r="K2136" s="1846"/>
      <c r="L2136" s="1846"/>
      <c r="M2136" s="1846"/>
      <c r="N2136" s="1846"/>
      <c r="O2136" s="1846"/>
      <c r="P2136" s="1845">
        <f t="shared" si="381"/>
        <v>0</v>
      </c>
      <c r="Q2136" s="1058"/>
      <c r="R2136" s="1058"/>
      <c r="S2136" s="1058"/>
      <c r="T2136" s="2059">
        <f t="shared" si="383"/>
        <v>0</v>
      </c>
    </row>
    <row r="2137" spans="1:20" ht="22.15" hidden="1" customHeight="1">
      <c r="A2137" s="59"/>
      <c r="B2137" s="1586" t="s">
        <v>2230</v>
      </c>
      <c r="C2137" s="1015" t="str">
        <f t="shared" si="386"/>
        <v xml:space="preserve"> </v>
      </c>
      <c r="D2137" s="1542">
        <f>(E2058+D2113)/1000</f>
        <v>0</v>
      </c>
      <c r="E2137" s="1047" t="str">
        <f>VLOOKUP($B2137,DG!A:D,DG!$B$2,)</f>
        <v>06.7007</v>
      </c>
      <c r="F2137" s="1052" t="str">
        <f>VLOOKUP($B2137,DG!A:D,DG!$C$2,)</f>
        <v>Kéo dây ABC 4x150mm2</v>
      </c>
      <c r="G2137" s="1047" t="str">
        <f>VLOOKUP($B2137,DG!A:D,DG!$D$2,)</f>
        <v>km</v>
      </c>
      <c r="H2137" s="1845"/>
      <c r="I2137" s="1845"/>
      <c r="J2137" s="1845"/>
      <c r="K2137" s="1845"/>
      <c r="L2137" s="1845"/>
      <c r="M2137" s="1845"/>
      <c r="N2137" s="1845"/>
      <c r="O2137" s="1845"/>
      <c r="P2137" s="1845">
        <f t="shared" si="381"/>
        <v>0</v>
      </c>
      <c r="Q2137" s="1056"/>
      <c r="R2137" s="1056"/>
      <c r="S2137" s="1056"/>
      <c r="T2137" s="2059">
        <f t="shared" si="383"/>
        <v>0</v>
      </c>
    </row>
    <row r="2138" spans="1:20" ht="22.15" hidden="1" customHeight="1">
      <c r="A2138" s="59"/>
      <c r="B2138" s="1586" t="s">
        <v>866</v>
      </c>
      <c r="C2138" s="1015" t="str">
        <f t="shared" si="386"/>
        <v xml:space="preserve"> </v>
      </c>
      <c r="D2138" s="1542">
        <f>(E2054)/1000</f>
        <v>0</v>
      </c>
      <c r="E2138" s="1047" t="str">
        <f>VLOOKUP($B2138,DG!A:D,DG!$B$2,)</f>
        <v>06.7006</v>
      </c>
      <c r="F2138" s="1052" t="str">
        <f>VLOOKUP($B2138,DG!A:D,DG!$C$2,)</f>
        <v>Kéo dây ABC 3x95mm2</v>
      </c>
      <c r="G2138" s="1047" t="str">
        <f>VLOOKUP($B2138,DG!A:D,DG!$D$2,)</f>
        <v>km</v>
      </c>
      <c r="H2138" s="1845">
        <f>D2138</f>
        <v>0</v>
      </c>
      <c r="I2138" s="1845"/>
      <c r="J2138" s="1845"/>
      <c r="K2138" s="1845"/>
      <c r="L2138" s="1845"/>
      <c r="M2138" s="1845"/>
      <c r="N2138" s="1845"/>
      <c r="O2138" s="1845"/>
      <c r="P2138" s="1845">
        <f t="shared" si="381"/>
        <v>0</v>
      </c>
      <c r="Q2138" s="1056"/>
      <c r="R2138" s="1056"/>
      <c r="S2138" s="1056"/>
      <c r="T2138" s="2059">
        <f t="shared" si="383"/>
        <v>0</v>
      </c>
    </row>
    <row r="2139" spans="1:20" ht="22.15" hidden="1" customHeight="1">
      <c r="A2139" s="59"/>
      <c r="B2139" s="1586" t="s">
        <v>867</v>
      </c>
      <c r="C2139" s="1015" t="str">
        <f t="shared" si="386"/>
        <v xml:space="preserve"> </v>
      </c>
      <c r="D2139" s="1542">
        <f>(E2056+E2054)/1000</f>
        <v>0</v>
      </c>
      <c r="E2139" s="1047" t="str">
        <f>VLOOKUP($B2139,DG!A:D,DG!$B$2,)</f>
        <v>06.6505</v>
      </c>
      <c r="F2139" s="1052" t="str">
        <f>VLOOKUP($B2139,DG!A:D,DG!$C$2,)</f>
        <v>Kéo dây ABC 4x70mm2</v>
      </c>
      <c r="G2139" s="1047" t="str">
        <f>VLOOKUP($B2139,DG!A:D,DG!$D$2,)</f>
        <v>km</v>
      </c>
      <c r="H2139" s="1845">
        <f>H2056/1000</f>
        <v>0</v>
      </c>
      <c r="I2139" s="1845"/>
      <c r="J2139" s="1845"/>
      <c r="K2139" s="1845"/>
      <c r="L2139" s="1845"/>
      <c r="M2139" s="1845"/>
      <c r="N2139" s="1845"/>
      <c r="O2139" s="1845"/>
      <c r="P2139" s="1845">
        <f t="shared" si="381"/>
        <v>0</v>
      </c>
      <c r="Q2139" s="1056"/>
      <c r="R2139" s="1056"/>
      <c r="S2139" s="1056"/>
      <c r="T2139" s="2059">
        <f t="shared" si="383"/>
        <v>0</v>
      </c>
    </row>
    <row r="2140" spans="1:20" ht="22.15" hidden="1" customHeight="1">
      <c r="A2140" s="59"/>
      <c r="B2140" s="1586" t="s">
        <v>868</v>
      </c>
      <c r="C2140" s="1015" t="str">
        <f t="shared" si="386"/>
        <v xml:space="preserve"> </v>
      </c>
      <c r="D2140" s="1542">
        <f>E2055/1000</f>
        <v>0</v>
      </c>
      <c r="E2140" s="1047" t="str">
        <f>VLOOKUP($B2140,DG!A:D,DG!$B$2,)</f>
        <v>06.6504</v>
      </c>
      <c r="F2140" s="1052" t="str">
        <f>VLOOKUP($B2140,DG!A:D,DG!$C$2,)</f>
        <v>Kéo dây ABC 4x50mm2</v>
      </c>
      <c r="G2140" s="1047" t="str">
        <f>VLOOKUP($B2140,DG!A:D,DG!$D$2,)</f>
        <v>km</v>
      </c>
      <c r="H2140" s="1845"/>
      <c r="I2140" s="1845"/>
      <c r="J2140" s="1845"/>
      <c r="K2140" s="1845"/>
      <c r="L2140" s="1845"/>
      <c r="M2140" s="1845"/>
      <c r="N2140" s="1845"/>
      <c r="O2140" s="1845"/>
      <c r="P2140" s="1845">
        <f t="shared" si="381"/>
        <v>0</v>
      </c>
      <c r="Q2140" s="1056"/>
      <c r="R2140" s="1056"/>
      <c r="S2140" s="1056"/>
      <c r="T2140" s="2059">
        <f t="shared" si="383"/>
        <v>0</v>
      </c>
    </row>
    <row r="2141" spans="1:20" ht="22.15" hidden="1" customHeight="1">
      <c r="A2141" s="59"/>
      <c r="B2141" s="1586" t="s">
        <v>868</v>
      </c>
      <c r="C2141" s="1015" t="str">
        <f t="shared" si="386"/>
        <v xml:space="preserve"> </v>
      </c>
      <c r="D2141" s="1542">
        <f>E2053/1000</f>
        <v>0</v>
      </c>
      <c r="E2141" s="1047" t="str">
        <f>VLOOKUP($B2141,DG!A:D,DG!$B$2,)</f>
        <v>06.6504</v>
      </c>
      <c r="F2141" s="1052" t="s">
        <v>2574</v>
      </c>
      <c r="G2141" s="1047" t="str">
        <f>VLOOKUP($B2141,DG!A:D,DG!$D$2,)</f>
        <v>km</v>
      </c>
      <c r="H2141" s="1845"/>
      <c r="I2141" s="1845"/>
      <c r="J2141" s="1845"/>
      <c r="K2141" s="1845"/>
      <c r="L2141" s="1845"/>
      <c r="M2141" s="1845"/>
      <c r="N2141" s="1845"/>
      <c r="O2141" s="1845"/>
      <c r="P2141" s="1845">
        <f t="shared" si="381"/>
        <v>0</v>
      </c>
      <c r="Q2141" s="1056"/>
      <c r="R2141" s="1056"/>
      <c r="S2141" s="1056"/>
      <c r="T2141" s="2059">
        <f t="shared" si="383"/>
        <v>0</v>
      </c>
    </row>
    <row r="2142" spans="1:20" ht="22.15" hidden="1" customHeight="1">
      <c r="A2142" s="59"/>
      <c r="B2142" s="1586" t="s">
        <v>1653</v>
      </c>
      <c r="C2142" s="1015" t="str">
        <f t="shared" si="386"/>
        <v xml:space="preserve"> </v>
      </c>
      <c r="D2142" s="1542">
        <f>D2059/1000</f>
        <v>0</v>
      </c>
      <c r="E2142" s="1047" t="str">
        <f>VLOOKUP($B2142,DG!A:D,DG!$B$2,)</f>
        <v>07.3403</v>
      </c>
      <c r="F2142" s="1052" t="str">
        <f>VLOOKUP($B2142,DG!A:D,DG!$C$2,)</f>
        <v>Lắp cáp trong ống bảo vệ loại &lt;=3kg</v>
      </c>
      <c r="G2142" s="1047" t="str">
        <f>VLOOKUP($B2142,DG!A:D,DG!$D$2,)</f>
        <v>mét</v>
      </c>
      <c r="H2142" s="1845"/>
      <c r="I2142" s="1845"/>
      <c r="J2142" s="1845"/>
      <c r="K2142" s="1845"/>
      <c r="L2142" s="1845"/>
      <c r="M2142" s="1845"/>
      <c r="N2142" s="1845"/>
      <c r="O2142" s="1845"/>
      <c r="P2142" s="1845">
        <f t="shared" si="381"/>
        <v>0</v>
      </c>
      <c r="Q2142" s="1056"/>
      <c r="R2142" s="1056"/>
      <c r="S2142" s="1056"/>
      <c r="T2142" s="2059">
        <f t="shared" si="383"/>
        <v>0</v>
      </c>
    </row>
    <row r="2143" spans="1:20" ht="22.15" hidden="1" customHeight="1">
      <c r="A2143" s="59"/>
      <c r="B2143" s="1586" t="s">
        <v>125</v>
      </c>
      <c r="C2143" s="1015" t="str">
        <f t="shared" si="386"/>
        <v xml:space="preserve"> </v>
      </c>
      <c r="D2143" s="1544">
        <f>D2105</f>
        <v>0</v>
      </c>
      <c r="E2143" s="1047" t="str">
        <f>VLOOKUP($B2143,DG!A:D,DG!$B$2,)</f>
        <v>06.1213</v>
      </c>
      <c r="F2143" s="1052" t="str">
        <f>VLOOKUP($B2143,DG!A:D,DG!$C$2,)</f>
        <v>Lắp rack 2 sứ + sứ ống chỉ</v>
      </c>
      <c r="G2143" s="1047" t="str">
        <f>VLOOKUP($B2143,DG!A:D,DG!$D$2,)</f>
        <v>bộ</v>
      </c>
      <c r="H2143" s="1845"/>
      <c r="I2143" s="1845"/>
      <c r="J2143" s="1845"/>
      <c r="K2143" s="1845"/>
      <c r="L2143" s="1845"/>
      <c r="M2143" s="1845"/>
      <c r="N2143" s="1845"/>
      <c r="O2143" s="1845"/>
      <c r="P2143" s="1845">
        <f t="shared" si="381"/>
        <v>0</v>
      </c>
      <c r="Q2143" s="1056"/>
      <c r="R2143" s="1056"/>
      <c r="S2143" s="1056"/>
      <c r="T2143" s="2059">
        <f t="shared" si="383"/>
        <v>0</v>
      </c>
    </row>
    <row r="2144" spans="1:20" ht="22.15" hidden="1" customHeight="1">
      <c r="A2144" s="59"/>
      <c r="B2144" s="1586" t="s">
        <v>452</v>
      </c>
      <c r="C2144" s="1015" t="str">
        <f t="shared" si="386"/>
        <v xml:space="preserve"> </v>
      </c>
      <c r="D2144" s="1544">
        <f>D2106</f>
        <v>0</v>
      </c>
      <c r="E2144" s="1047" t="str">
        <f>VLOOKUP($B2144,DG!A:D,DG!$B$2,)</f>
        <v>06.1214</v>
      </c>
      <c r="F2144" s="1052" t="str">
        <f>VLOOKUP($B2144,DG!A:D,DG!$C$2,)</f>
        <v>Lắp rack 3 sứ + sứ ống chỉ</v>
      </c>
      <c r="G2144" s="1047" t="str">
        <f>VLOOKUP($B2144,DG!A:D,DG!$D$2,)</f>
        <v>bộ</v>
      </c>
      <c r="H2144" s="1845"/>
      <c r="I2144" s="1845"/>
      <c r="J2144" s="1845"/>
      <c r="K2144" s="1845"/>
      <c r="L2144" s="1845"/>
      <c r="M2144" s="1845"/>
      <c r="N2144" s="1845"/>
      <c r="O2144" s="1845"/>
      <c r="P2144" s="1845">
        <f t="shared" si="381"/>
        <v>0</v>
      </c>
      <c r="Q2144" s="1061"/>
      <c r="R2144" s="1061"/>
      <c r="S2144" s="1061"/>
      <c r="T2144" s="2059">
        <f t="shared" si="383"/>
        <v>0</v>
      </c>
    </row>
    <row r="2145" spans="1:20" ht="22.15" hidden="1" customHeight="1">
      <c r="A2145" s="59"/>
      <c r="B2145" s="1586" t="s">
        <v>691</v>
      </c>
      <c r="C2145" s="1015" t="str">
        <f t="shared" si="386"/>
        <v xml:space="preserve"> </v>
      </c>
      <c r="D2145" s="1544">
        <f>D2107</f>
        <v>0</v>
      </c>
      <c r="E2145" s="1047" t="str">
        <f>VLOOKUP($B2145,DG!A:D,DG!$B$2,)</f>
        <v>06.1215</v>
      </c>
      <c r="F2145" s="1052" t="str">
        <f>VLOOKUP($B2145,DG!A:D,DG!$C$2,)</f>
        <v>Lắp rack 4 sứ + sứ ống chỉ</v>
      </c>
      <c r="G2145" s="1047" t="str">
        <f>VLOOKUP($B2145,DG!A:D,DG!$D$2,)</f>
        <v>bộ</v>
      </c>
      <c r="H2145" s="1845"/>
      <c r="I2145" s="1845"/>
      <c r="J2145" s="1845"/>
      <c r="K2145" s="1845"/>
      <c r="L2145" s="1845"/>
      <c r="M2145" s="1845"/>
      <c r="N2145" s="1845"/>
      <c r="O2145" s="1845"/>
      <c r="P2145" s="1845">
        <f t="shared" si="381"/>
        <v>0</v>
      </c>
      <c r="Q2145" s="1056"/>
      <c r="R2145" s="1056"/>
      <c r="S2145" s="1056"/>
      <c r="T2145" s="2059">
        <f t="shared" si="383"/>
        <v>0</v>
      </c>
    </row>
    <row r="2146" spans="1:20" ht="22.15" hidden="1" customHeight="1">
      <c r="A2146" s="59"/>
      <c r="B2146" s="1586" t="s">
        <v>352</v>
      </c>
      <c r="C2146" s="1015" t="str">
        <f t="shared" si="386"/>
        <v xml:space="preserve"> </v>
      </c>
      <c r="D2146" s="1544">
        <f>ppht!S337*0</f>
        <v>0</v>
      </c>
      <c r="E2146" s="1047" t="str">
        <f>VLOOKUP($B2146,DG!A:D,DG!$B$2,)</f>
        <v>06.2070</v>
      </c>
      <c r="F2146" s="1059" t="str">
        <f>VLOOKUP($B2146,DG!A:D,DG!$C$2,)</f>
        <v>Sơn biển số- bảng nguy hiểm</v>
      </c>
      <c r="G2146" s="1047" t="str">
        <f>VLOOKUP($B2146,DG!A:D,DG!$D$2,)</f>
        <v>cái</v>
      </c>
      <c r="H2146" s="1845"/>
      <c r="I2146" s="1845"/>
      <c r="J2146" s="1845"/>
      <c r="K2146" s="1845"/>
      <c r="L2146" s="1845"/>
      <c r="M2146" s="1845"/>
      <c r="N2146" s="1845"/>
      <c r="O2146" s="1845"/>
      <c r="P2146" s="1845">
        <f t="shared" ref="P2146:P2209" si="387">H2146+Q2146-R2146</f>
        <v>0</v>
      </c>
      <c r="Q2146" s="1056"/>
      <c r="R2146" s="1056"/>
      <c r="S2146" s="1056"/>
      <c r="T2146" s="2059">
        <f t="shared" si="383"/>
        <v>0</v>
      </c>
    </row>
    <row r="2147" spans="1:20" ht="22.15" hidden="1" customHeight="1">
      <c r="A2147" s="59"/>
      <c r="B2147" s="1586" t="s">
        <v>355</v>
      </c>
      <c r="C2147" s="1015" t="str">
        <f t="shared" si="386"/>
        <v xml:space="preserve"> </v>
      </c>
      <c r="D2147" s="1543">
        <f>D2150</f>
        <v>0</v>
      </c>
      <c r="E2147" s="1047" t="str">
        <f>VLOOKUP($B2147,DG!A:D,DG!$B$2,)</f>
        <v>02.1122</v>
      </c>
      <c r="F2147" s="1052" t="str">
        <f>VLOOKUP($B2147,DG!A:D,DG!$C$2,)</f>
        <v>Bốc dỡ dây</v>
      </c>
      <c r="G2147" s="1047" t="str">
        <f>VLOOKUP($B2147,DG!A:D,DG!$D$2,)</f>
        <v>tấn</v>
      </c>
      <c r="H2147" s="1845"/>
      <c r="I2147" s="1845"/>
      <c r="J2147" s="1845"/>
      <c r="K2147" s="1845"/>
      <c r="L2147" s="1845"/>
      <c r="M2147" s="1845"/>
      <c r="N2147" s="1845"/>
      <c r="O2147" s="1845"/>
      <c r="P2147" s="1845">
        <f t="shared" si="387"/>
        <v>0</v>
      </c>
      <c r="Q2147" s="1061"/>
      <c r="R2147" s="1061"/>
      <c r="S2147" s="1061"/>
      <c r="T2147" s="2059">
        <f t="shared" si="383"/>
        <v>0</v>
      </c>
    </row>
    <row r="2148" spans="1:20" ht="22.15" hidden="1" customHeight="1">
      <c r="A2148" s="59"/>
      <c r="B2148" s="1586" t="s">
        <v>1908</v>
      </c>
      <c r="C2148" s="1015" t="str">
        <f t="shared" si="386"/>
        <v xml:space="preserve"> </v>
      </c>
      <c r="D2148" s="1543">
        <f>D2149</f>
        <v>0</v>
      </c>
      <c r="E2148" s="1047" t="str">
        <f>VLOOKUP($B2148,DG!A:D,DG!$B$2,)</f>
        <v>02.1120</v>
      </c>
      <c r="F2148" s="1052" t="str">
        <f>VLOOKUP($B2148,DG!A:D,DG!$C$2,)</f>
        <v>Bốc dỡ phụ kiện</v>
      </c>
      <c r="G2148" s="1047" t="str">
        <f>VLOOKUP($B2148,DG!A:D,DG!$D$2,)</f>
        <v>tấn</v>
      </c>
      <c r="H2148" s="1845"/>
      <c r="I2148" s="1845"/>
      <c r="J2148" s="1845"/>
      <c r="K2148" s="1845"/>
      <c r="L2148" s="1845"/>
      <c r="M2148" s="1845"/>
      <c r="N2148" s="1845"/>
      <c r="O2148" s="1845"/>
      <c r="P2148" s="1845">
        <f t="shared" si="387"/>
        <v>0</v>
      </c>
      <c r="Q2148" s="1061"/>
      <c r="R2148" s="1061"/>
      <c r="S2148" s="1061"/>
      <c r="T2148" s="2059">
        <f t="shared" si="383"/>
        <v>0</v>
      </c>
    </row>
    <row r="2149" spans="1:20" ht="22.15" hidden="1" customHeight="1">
      <c r="A2149" s="59"/>
      <c r="B2149" s="1600"/>
      <c r="C2149" s="1015" t="str">
        <f t="shared" si="386"/>
        <v xml:space="preserve"> </v>
      </c>
      <c r="D2149" s="1543"/>
      <c r="E2149" s="1047"/>
      <c r="F2149" s="1059"/>
      <c r="G2149" s="1047"/>
      <c r="H2149" s="1845"/>
      <c r="I2149" s="1845"/>
      <c r="J2149" s="1845"/>
      <c r="K2149" s="1845"/>
      <c r="L2149" s="1845"/>
      <c r="M2149" s="1845"/>
      <c r="N2149" s="1845"/>
      <c r="O2149" s="1845"/>
      <c r="P2149" s="1845">
        <f t="shared" si="387"/>
        <v>0</v>
      </c>
      <c r="Q2149" s="1061"/>
      <c r="R2149" s="1061"/>
      <c r="S2149" s="1061"/>
      <c r="T2149" s="2059">
        <f t="shared" si="383"/>
        <v>0</v>
      </c>
    </row>
    <row r="2150" spans="1:20" ht="22.15" hidden="1" customHeight="1">
      <c r="A2150" s="59"/>
      <c r="B2150" s="1600"/>
      <c r="C2150" s="1015" t="str">
        <f t="shared" si="386"/>
        <v xml:space="preserve"> </v>
      </c>
      <c r="D2150" s="1543"/>
      <c r="E2150" s="1047"/>
      <c r="F2150" s="1059"/>
      <c r="G2150" s="1047"/>
      <c r="H2150" s="1845"/>
      <c r="I2150" s="1845"/>
      <c r="J2150" s="1845"/>
      <c r="K2150" s="1845"/>
      <c r="L2150" s="1845"/>
      <c r="M2150" s="1845"/>
      <c r="N2150" s="1845"/>
      <c r="O2150" s="1845"/>
      <c r="P2150" s="1845">
        <f t="shared" si="387"/>
        <v>0</v>
      </c>
      <c r="Q2150" s="1061"/>
      <c r="R2150" s="1061"/>
      <c r="S2150" s="1061"/>
      <c r="T2150" s="2059">
        <f t="shared" si="383"/>
        <v>0</v>
      </c>
    </row>
    <row r="2151" spans="1:20" ht="22.15" hidden="1" customHeight="1">
      <c r="A2151" s="59"/>
      <c r="B2151" s="1598"/>
      <c r="C2151" s="1015" t="str">
        <f t="shared" si="386"/>
        <v xml:space="preserve"> </v>
      </c>
      <c r="D2151" s="1543"/>
      <c r="E2151" s="1047"/>
      <c r="F2151" s="1059"/>
      <c r="G2151" s="1047"/>
      <c r="H2151" s="1845"/>
      <c r="I2151" s="1845"/>
      <c r="J2151" s="1845"/>
      <c r="K2151" s="1845"/>
      <c r="L2151" s="1845"/>
      <c r="M2151" s="1845"/>
      <c r="N2151" s="1845"/>
      <c r="O2151" s="1845"/>
      <c r="P2151" s="1845">
        <f t="shared" si="387"/>
        <v>0</v>
      </c>
      <c r="Q2151" s="1061"/>
      <c r="R2151" s="1061"/>
      <c r="S2151" s="1061"/>
      <c r="T2151" s="2059">
        <f t="shared" si="383"/>
        <v>0</v>
      </c>
    </row>
    <row r="2152" spans="1:20" ht="22.15" hidden="1" customHeight="1">
      <c r="A2152" s="56" t="s">
        <v>31</v>
      </c>
      <c r="B2152" s="1583" t="s">
        <v>31</v>
      </c>
      <c r="C2152" s="1015" t="str">
        <f>IF(D2152&lt;&gt;0,"x"," ")</f>
        <v xml:space="preserve"> </v>
      </c>
      <c r="D2152" s="1541">
        <f>IF(SUM(D2153:D2175)=0,0,1)</f>
        <v>0</v>
      </c>
      <c r="E2152" s="1049" t="s">
        <v>1664</v>
      </c>
      <c r="F2152" s="1396" t="s">
        <v>2575</v>
      </c>
      <c r="G2152" s="1049" t="s">
        <v>2309</v>
      </c>
      <c r="H2152" s="1843">
        <f>SUM(I2152:O2152)</f>
        <v>0</v>
      </c>
      <c r="I2152" s="1844"/>
      <c r="J2152" s="1844"/>
      <c r="K2152" s="1844"/>
      <c r="L2152" s="1844">
        <f>IFERROR(HLOOKUP(chitiet!B2152,pp1p!$1:$3,3,0),0)</f>
        <v>0</v>
      </c>
      <c r="M2152" s="1844"/>
      <c r="N2152" s="1844"/>
      <c r="O2152" s="1844"/>
      <c r="P2152" s="1845">
        <f t="shared" si="387"/>
        <v>0</v>
      </c>
      <c r="Q2152" s="1050"/>
      <c r="R2152" s="1050"/>
      <c r="S2152" s="1050"/>
      <c r="T2152" s="2059">
        <f t="shared" si="383"/>
        <v>0</v>
      </c>
    </row>
    <row r="2153" spans="1:20" ht="22.15" hidden="1" customHeight="1">
      <c r="A2153" s="59"/>
      <c r="B2153" s="1586" t="s">
        <v>1348</v>
      </c>
      <c r="C2153" s="1015" t="str">
        <f t="shared" si="386"/>
        <v xml:space="preserve"> </v>
      </c>
      <c r="D2153" s="1544">
        <f>ROUND(E2153*1.03,0)</f>
        <v>0</v>
      </c>
      <c r="E2153" s="1064">
        <f>+'ppht NC'!E310</f>
        <v>0</v>
      </c>
      <c r="F2153" s="1059" t="str">
        <f>VLOOKUP($B2153,DG!A:D,DG!$C$2,)</f>
        <v>Cáp nhôm bọc AV95</v>
      </c>
      <c r="G2153" s="1047" t="str">
        <f>VLOOKUP($B2153,DG!A:D,DG!$D$2,)</f>
        <v>mét</v>
      </c>
      <c r="H2153" s="1845">
        <f>$D2153</f>
        <v>0</v>
      </c>
      <c r="I2153" s="1845"/>
      <c r="J2153" s="1845"/>
      <c r="K2153" s="1845"/>
      <c r="L2153" s="1845"/>
      <c r="M2153" s="1845">
        <f t="shared" ref="M2153:M2158" si="388">H2153</f>
        <v>0</v>
      </c>
      <c r="N2153" s="1845"/>
      <c r="O2153" s="1845"/>
      <c r="P2153" s="1845">
        <f t="shared" si="387"/>
        <v>0</v>
      </c>
      <c r="Q2153" s="1056"/>
      <c r="R2153" s="1056"/>
      <c r="S2153" s="1056"/>
      <c r="T2153" s="2059">
        <f t="shared" si="383"/>
        <v>0</v>
      </c>
    </row>
    <row r="2154" spans="1:20" ht="22.15" hidden="1" customHeight="1">
      <c r="A2154" s="59"/>
      <c r="B2154" s="1586" t="s">
        <v>1036</v>
      </c>
      <c r="C2154" s="1015" t="str">
        <f t="shared" si="386"/>
        <v xml:space="preserve"> </v>
      </c>
      <c r="D2154" s="1544">
        <f>ROUND(E2154*1.03,0)</f>
        <v>0</v>
      </c>
      <c r="E2154" s="1064">
        <f>+'ppht NC'!D310</f>
        <v>0</v>
      </c>
      <c r="F2154" s="1059" t="str">
        <f>VLOOKUP($B2154,DG!A:D,DG!$C$2,)</f>
        <v>Cáp nhôm bọc AV50</v>
      </c>
      <c r="G2154" s="1047" t="str">
        <f>VLOOKUP($B2154,DG!A:D,DG!$D$2,)</f>
        <v>mét</v>
      </c>
      <c r="H2154" s="1845">
        <f>$D2154</f>
        <v>0</v>
      </c>
      <c r="I2154" s="1845"/>
      <c r="J2154" s="1845"/>
      <c r="K2154" s="1845"/>
      <c r="L2154" s="1845"/>
      <c r="M2154" s="1845">
        <f t="shared" si="388"/>
        <v>0</v>
      </c>
      <c r="N2154" s="1845"/>
      <c r="O2154" s="1845"/>
      <c r="P2154" s="1845">
        <f t="shared" si="387"/>
        <v>0</v>
      </c>
      <c r="Q2154" s="1056"/>
      <c r="R2154" s="1056"/>
      <c r="S2154" s="1056"/>
      <c r="T2154" s="2059">
        <f t="shared" si="383"/>
        <v>0</v>
      </c>
    </row>
    <row r="2155" spans="1:20" ht="22.15" hidden="1" customHeight="1">
      <c r="A2155" s="59"/>
      <c r="B2155" s="1586" t="s">
        <v>88</v>
      </c>
      <c r="C2155" s="1015" t="str">
        <f t="shared" si="386"/>
        <v xml:space="preserve"> </v>
      </c>
      <c r="D2155" s="1544">
        <f>ROUND(E2155*1.03,0)</f>
        <v>0</v>
      </c>
      <c r="E2155" s="1064"/>
      <c r="F2155" s="1059" t="str">
        <f>VLOOKUP($B2155,DG!A:D,DG!$C$2,)</f>
        <v>Cáp nhôm lõi thép AC-50/8</v>
      </c>
      <c r="G2155" s="1047" t="str">
        <f>VLOOKUP($B2155,DG!A:D,DG!$D$2,)</f>
        <v>kg</v>
      </c>
      <c r="H2155" s="1845">
        <f>$D2155</f>
        <v>0</v>
      </c>
      <c r="I2155" s="1845"/>
      <c r="J2155" s="1845"/>
      <c r="K2155" s="1845"/>
      <c r="L2155" s="1845"/>
      <c r="M2155" s="1845">
        <f t="shared" si="388"/>
        <v>0</v>
      </c>
      <c r="N2155" s="1845"/>
      <c r="O2155" s="1845"/>
      <c r="P2155" s="1845">
        <f t="shared" si="387"/>
        <v>0</v>
      </c>
      <c r="Q2155" s="1056"/>
      <c r="R2155" s="1056"/>
      <c r="S2155" s="1056"/>
      <c r="T2155" s="2059">
        <f t="shared" si="383"/>
        <v>0</v>
      </c>
    </row>
    <row r="2156" spans="1:20" ht="22.15" hidden="1" customHeight="1">
      <c r="A2156" s="59"/>
      <c r="B2156" s="1586" t="s">
        <v>1688</v>
      </c>
      <c r="C2156" s="1015" t="str">
        <f t="shared" si="386"/>
        <v xml:space="preserve"> </v>
      </c>
      <c r="D2156" s="1544">
        <f>ROUND(E2156*1.02,0)</f>
        <v>0</v>
      </c>
      <c r="E2156" s="1064">
        <f>pp_NC!P200</f>
        <v>0</v>
      </c>
      <c r="F2156" s="1059" t="str">
        <f>VLOOKUP($B2156,DG!A:D,DG!$C$2,)</f>
        <v>Cáp Duplex 2x11</v>
      </c>
      <c r="G2156" s="1047" t="str">
        <f>VLOOKUP($B2156,DG!A:D,DG!$D$2,)</f>
        <v>m</v>
      </c>
      <c r="H2156" s="1845">
        <f>$D2156</f>
        <v>0</v>
      </c>
      <c r="I2156" s="1845"/>
      <c r="J2156" s="1845"/>
      <c r="K2156" s="1845"/>
      <c r="L2156" s="1845"/>
      <c r="M2156" s="1845">
        <f t="shared" si="388"/>
        <v>0</v>
      </c>
      <c r="N2156" s="1845"/>
      <c r="O2156" s="1845"/>
      <c r="P2156" s="1845">
        <f t="shared" si="387"/>
        <v>0</v>
      </c>
      <c r="Q2156" s="1056"/>
      <c r="R2156" s="1056"/>
      <c r="S2156" s="1056"/>
      <c r="T2156" s="2059">
        <f t="shared" si="383"/>
        <v>0</v>
      </c>
    </row>
    <row r="2157" spans="1:20" ht="22.15" hidden="1" customHeight="1">
      <c r="A2157" s="59"/>
      <c r="B2157" s="1586" t="s">
        <v>1587</v>
      </c>
      <c r="C2157" s="1015" t="str">
        <f t="shared" si="386"/>
        <v xml:space="preserve"> </v>
      </c>
      <c r="D2157" s="1557">
        <f>ppht!DS339</f>
        <v>0</v>
      </c>
      <c r="E2157" s="1047"/>
      <c r="F2157" s="1059" t="str">
        <f>VLOOKUP($B2157,DG!A:D,DG!$C$2,)</f>
        <v>Kẹp 2 rãnh (APC) cỡ dây 50mm2</v>
      </c>
      <c r="G2157" s="1047" t="str">
        <f>VLOOKUP($B2157,DG!A:D,DG!$D$2,)</f>
        <v>cái</v>
      </c>
      <c r="H2157" s="1845">
        <f t="shared" ref="H2157:H2171" si="389">D2157</f>
        <v>0</v>
      </c>
      <c r="I2157" s="1845"/>
      <c r="J2157" s="1845"/>
      <c r="K2157" s="1845"/>
      <c r="L2157" s="1845"/>
      <c r="M2157" s="1845">
        <f t="shared" si="388"/>
        <v>0</v>
      </c>
      <c r="N2157" s="1845"/>
      <c r="O2157" s="1845"/>
      <c r="P2157" s="1845">
        <f t="shared" si="387"/>
        <v>0</v>
      </c>
      <c r="Q2157" s="1056"/>
      <c r="R2157" s="1056"/>
      <c r="S2157" s="1056"/>
      <c r="T2157" s="2059">
        <f t="shared" ref="T2157:T2220" si="390">IFERROR(HLOOKUP(B2157,BangKeTru,3,0),0)</f>
        <v>0</v>
      </c>
    </row>
    <row r="2158" spans="1:20" ht="22.15" hidden="1" customHeight="1">
      <c r="A2158" s="59"/>
      <c r="B2158" s="1586" t="s">
        <v>1586</v>
      </c>
      <c r="C2158" s="1015" t="str">
        <f t="shared" si="386"/>
        <v xml:space="preserve"> </v>
      </c>
      <c r="D2158" s="1557">
        <f>ppht!DT339</f>
        <v>0</v>
      </c>
      <c r="E2158" s="1047"/>
      <c r="F2158" s="1059" t="str">
        <f>VLOOKUP($B2158,DG!A:D,DG!$C$2,)</f>
        <v>Kẹp 2 rãnh (APC) cỡ dây 70mm2</v>
      </c>
      <c r="G2158" s="1047" t="str">
        <f>VLOOKUP($B2158,DG!A:D,DG!$D$2,)</f>
        <v>cái</v>
      </c>
      <c r="H2158" s="1845">
        <f t="shared" si="389"/>
        <v>0</v>
      </c>
      <c r="I2158" s="1845"/>
      <c r="J2158" s="1845"/>
      <c r="K2158" s="1845"/>
      <c r="L2158" s="1845"/>
      <c r="M2158" s="1845">
        <f t="shared" si="388"/>
        <v>0</v>
      </c>
      <c r="N2158" s="1845"/>
      <c r="O2158" s="1845"/>
      <c r="P2158" s="1845">
        <f t="shared" si="387"/>
        <v>0</v>
      </c>
      <c r="Q2158" s="1056"/>
      <c r="R2158" s="1056"/>
      <c r="S2158" s="1056"/>
      <c r="T2158" s="2059">
        <f t="shared" si="390"/>
        <v>0</v>
      </c>
    </row>
    <row r="2159" spans="1:20" ht="22.15" hidden="1" customHeight="1">
      <c r="A2159" s="59"/>
      <c r="B2159" s="1586" t="s">
        <v>1573</v>
      </c>
      <c r="C2159" s="1015" t="str">
        <f t="shared" si="386"/>
        <v xml:space="preserve"> </v>
      </c>
      <c r="D2159" s="1557">
        <f>+'ppht NC'!BW310</f>
        <v>0</v>
      </c>
      <c r="E2159" s="1047"/>
      <c r="F2159" s="1059" t="str">
        <f>VLOOKUP($B2159,DG!A:D,DG!$C$2,)</f>
        <v>Uclevis + sứ ống chỉ</v>
      </c>
      <c r="G2159" s="1047" t="str">
        <f>VLOOKUP($B2159,DG!A:D,DG!$D$2,)</f>
        <v>bộ</v>
      </c>
      <c r="H2159" s="1845">
        <f t="shared" si="389"/>
        <v>0</v>
      </c>
      <c r="I2159" s="1845"/>
      <c r="J2159" s="1845"/>
      <c r="K2159" s="1845"/>
      <c r="L2159" s="1845"/>
      <c r="M2159" s="1845">
        <f t="shared" ref="M2159:M2167" si="391">H2159</f>
        <v>0</v>
      </c>
      <c r="N2159" s="1845"/>
      <c r="O2159" s="1845"/>
      <c r="P2159" s="1845">
        <f t="shared" si="387"/>
        <v>0</v>
      </c>
      <c r="Q2159" s="1056"/>
      <c r="R2159" s="1056"/>
      <c r="S2159" s="1056"/>
      <c r="T2159" s="2059">
        <f t="shared" si="390"/>
        <v>0</v>
      </c>
    </row>
    <row r="2160" spans="1:20" ht="22.15" hidden="1" customHeight="1">
      <c r="A2160" s="59"/>
      <c r="B2160" s="1586" t="s">
        <v>1496</v>
      </c>
      <c r="C2160" s="1015" t="str">
        <f t="shared" si="386"/>
        <v xml:space="preserve"> </v>
      </c>
      <c r="D2160" s="1557">
        <f>ppht!BY339+pp_NC!EM182</f>
        <v>0</v>
      </c>
      <c r="E2160" s="1047"/>
      <c r="F2160" s="1059" t="str">
        <f>VLOOKUP($B2160,DG!A:D,DG!$C$2,)</f>
        <v>Rack 2 sứ + sứ ống chỉ</v>
      </c>
      <c r="G2160" s="1047" t="str">
        <f>VLOOKUP($B2160,DG!A:D,DG!$D$2,)</f>
        <v>bộ</v>
      </c>
      <c r="H2160" s="1845">
        <f t="shared" si="389"/>
        <v>0</v>
      </c>
      <c r="I2160" s="1845"/>
      <c r="J2160" s="1845"/>
      <c r="K2160" s="1845"/>
      <c r="L2160" s="1845"/>
      <c r="M2160" s="1845">
        <f t="shared" si="391"/>
        <v>0</v>
      </c>
      <c r="N2160" s="1845"/>
      <c r="O2160" s="1845"/>
      <c r="P2160" s="1845">
        <f t="shared" si="387"/>
        <v>0</v>
      </c>
      <c r="Q2160" s="1056"/>
      <c r="R2160" s="1056"/>
      <c r="S2160" s="1056"/>
      <c r="T2160" s="2059">
        <f t="shared" si="390"/>
        <v>0</v>
      </c>
    </row>
    <row r="2161" spans="1:20" ht="22.15" hidden="1" customHeight="1">
      <c r="A2161" s="59"/>
      <c r="B2161" s="1586" t="s">
        <v>278</v>
      </c>
      <c r="C2161" s="1015" t="str">
        <f t="shared" si="386"/>
        <v xml:space="preserve"> </v>
      </c>
      <c r="D2161" s="1557">
        <f>ppht!BZ339+pp_NC!EN182</f>
        <v>0</v>
      </c>
      <c r="E2161" s="1047"/>
      <c r="F2161" s="1059" t="str">
        <f>VLOOKUP($B2161,DG!A:D,DG!$C$2,)</f>
        <v>Rack 3 sứ + sứ ống chỉ</v>
      </c>
      <c r="G2161" s="1047" t="str">
        <f>VLOOKUP($B2161,DG!A:D,DG!$D$2,)</f>
        <v>bộ</v>
      </c>
      <c r="H2161" s="1845">
        <f t="shared" si="389"/>
        <v>0</v>
      </c>
      <c r="I2161" s="1845"/>
      <c r="J2161" s="1845"/>
      <c r="K2161" s="1845"/>
      <c r="L2161" s="1845"/>
      <c r="M2161" s="1845">
        <f t="shared" si="391"/>
        <v>0</v>
      </c>
      <c r="N2161" s="1845"/>
      <c r="O2161" s="1845"/>
      <c r="P2161" s="1845">
        <f t="shared" si="387"/>
        <v>0</v>
      </c>
      <c r="Q2161" s="1056"/>
      <c r="R2161" s="1056"/>
      <c r="S2161" s="1056"/>
      <c r="T2161" s="2059">
        <f t="shared" si="390"/>
        <v>0</v>
      </c>
    </row>
    <row r="2162" spans="1:20" ht="22.15" hidden="1" customHeight="1">
      <c r="A2162" s="59"/>
      <c r="B2162" s="1586" t="s">
        <v>700</v>
      </c>
      <c r="C2162" s="1015" t="str">
        <f t="shared" si="386"/>
        <v xml:space="preserve"> </v>
      </c>
      <c r="D2162" s="1557">
        <f>+'ppht NC'!BZ310</f>
        <v>0</v>
      </c>
      <c r="E2162" s="1047"/>
      <c r="F2162" s="1059" t="str">
        <f>VLOOKUP($B2162,DG!A:D,DG!$C$2,)</f>
        <v>Rack 4</v>
      </c>
      <c r="G2162" s="1047" t="str">
        <f>VLOOKUP($B2162,DG!A:D,DG!$D$2,)</f>
        <v>cái</v>
      </c>
      <c r="H2162" s="1845">
        <f t="shared" si="389"/>
        <v>0</v>
      </c>
      <c r="I2162" s="1845"/>
      <c r="J2162" s="1845"/>
      <c r="K2162" s="1845"/>
      <c r="L2162" s="1845"/>
      <c r="M2162" s="1845">
        <f t="shared" si="391"/>
        <v>0</v>
      </c>
      <c r="N2162" s="1845"/>
      <c r="O2162" s="1845"/>
      <c r="P2162" s="1845">
        <f t="shared" si="387"/>
        <v>0</v>
      </c>
      <c r="Q2162" s="1056"/>
      <c r="R2162" s="1056"/>
      <c r="S2162" s="1056"/>
      <c r="T2162" s="2059">
        <f t="shared" si="390"/>
        <v>0</v>
      </c>
    </row>
    <row r="2163" spans="1:20" ht="22.15" hidden="1" customHeight="1">
      <c r="A2163" s="59"/>
      <c r="B2163" s="1586" t="s">
        <v>1453</v>
      </c>
      <c r="C2163" s="1015" t="str">
        <f t="shared" si="386"/>
        <v xml:space="preserve"> </v>
      </c>
      <c r="D2163" s="1557">
        <f>+'ppht NC'!BV310</f>
        <v>0</v>
      </c>
      <c r="E2163" s="1047"/>
      <c r="F2163" s="1059" t="str">
        <f>VLOOKUP($B2163,DG!A:D,DG!$C$2,)</f>
        <v xml:space="preserve">Sứ ống chỉ </v>
      </c>
      <c r="G2163" s="1047" t="str">
        <f>VLOOKUP($B2163,DG!A:D,DG!$D$2,)</f>
        <v>cái</v>
      </c>
      <c r="H2163" s="1845">
        <f t="shared" si="389"/>
        <v>0</v>
      </c>
      <c r="I2163" s="1845"/>
      <c r="J2163" s="1845"/>
      <c r="K2163" s="1845"/>
      <c r="L2163" s="1845"/>
      <c r="M2163" s="1845">
        <f>H2163</f>
        <v>0</v>
      </c>
      <c r="N2163" s="1845"/>
      <c r="O2163" s="1845"/>
      <c r="P2163" s="1845">
        <f t="shared" si="387"/>
        <v>0</v>
      </c>
      <c r="Q2163" s="1056"/>
      <c r="R2163" s="1056"/>
      <c r="S2163" s="1056"/>
      <c r="T2163" s="2059">
        <f t="shared" si="390"/>
        <v>0</v>
      </c>
    </row>
    <row r="2164" spans="1:20" ht="22.15" hidden="1" customHeight="1">
      <c r="A2164" s="59"/>
      <c r="B2164" s="1593" t="s">
        <v>1614</v>
      </c>
      <c r="C2164" s="1015" t="str">
        <f t="shared" si="386"/>
        <v xml:space="preserve"> </v>
      </c>
      <c r="D2164" s="1557">
        <f>+'ppht NC'!CA310</f>
        <v>0</v>
      </c>
      <c r="E2164" s="1047"/>
      <c r="F2164" s="1059" t="str">
        <f>VLOOKUP($B2164,DG!A:D,DG!$C$2,)</f>
        <v>Boulon 16x250+ 2 long đền vuông D18-50x50x3/Zn</v>
      </c>
      <c r="G2164" s="1047" t="str">
        <f>VLOOKUP($B2164,DG!A:D,DG!$D$2,)</f>
        <v>bộ</v>
      </c>
      <c r="H2164" s="1845">
        <f t="shared" si="389"/>
        <v>0</v>
      </c>
      <c r="I2164" s="1845"/>
      <c r="J2164" s="1845"/>
      <c r="K2164" s="1845"/>
      <c r="L2164" s="1845"/>
      <c r="M2164" s="1845">
        <f t="shared" si="391"/>
        <v>0</v>
      </c>
      <c r="N2164" s="1845"/>
      <c r="O2164" s="1845"/>
      <c r="P2164" s="1845">
        <f t="shared" si="387"/>
        <v>0</v>
      </c>
      <c r="Q2164" s="1056"/>
      <c r="R2164" s="1056"/>
      <c r="S2164" s="1056"/>
      <c r="T2164" s="2059">
        <f t="shared" si="390"/>
        <v>0</v>
      </c>
    </row>
    <row r="2165" spans="1:20" ht="22.15" hidden="1" customHeight="1">
      <c r="A2165" s="59"/>
      <c r="B2165" s="1593" t="s">
        <v>1615</v>
      </c>
      <c r="C2165" s="1015" t="str">
        <f t="shared" si="386"/>
        <v xml:space="preserve"> </v>
      </c>
      <c r="D2165" s="1557">
        <f>+'ppht NC'!CB310</f>
        <v>0</v>
      </c>
      <c r="E2165" s="1047"/>
      <c r="F2165" s="1059" t="str">
        <f>VLOOKUP($B2165,DG!A:D,DG!$C$2,)</f>
        <v>Boulon 16x300+ 2 long đền vuông D18-50x50x3/Zn</v>
      </c>
      <c r="G2165" s="1047" t="str">
        <f>VLOOKUP($B2165,DG!A:D,DG!$D$2,)</f>
        <v>bộ</v>
      </c>
      <c r="H2165" s="1845">
        <f t="shared" si="389"/>
        <v>0</v>
      </c>
      <c r="I2165" s="1845"/>
      <c r="J2165" s="1845"/>
      <c r="K2165" s="1845"/>
      <c r="L2165" s="1845"/>
      <c r="M2165" s="1845">
        <f t="shared" si="391"/>
        <v>0</v>
      </c>
      <c r="N2165" s="1845"/>
      <c r="O2165" s="1845"/>
      <c r="P2165" s="1845">
        <f t="shared" si="387"/>
        <v>0</v>
      </c>
      <c r="Q2165" s="1056"/>
      <c r="R2165" s="1056"/>
      <c r="S2165" s="1056"/>
      <c r="T2165" s="2059">
        <f t="shared" si="390"/>
        <v>0</v>
      </c>
    </row>
    <row r="2166" spans="1:20" ht="22.15" hidden="1" customHeight="1">
      <c r="A2166" s="59"/>
      <c r="B2166" s="1593" t="s">
        <v>1187</v>
      </c>
      <c r="C2166" s="1015" t="str">
        <f t="shared" si="386"/>
        <v xml:space="preserve"> </v>
      </c>
      <c r="D2166" s="1557">
        <f>ppht!CD339</f>
        <v>0</v>
      </c>
      <c r="E2166" s="1047"/>
      <c r="F2166" s="1059" t="str">
        <f>VLOOKUP($B2166,DG!A:D,DG!$C$2,)</f>
        <v>Boulon 16x350+ 2 long đền vuông D18-50x50x3/Zn</v>
      </c>
      <c r="G2166" s="1047" t="str">
        <f>VLOOKUP($B2166,DG!A:D,DG!$D$2,)</f>
        <v>bộ</v>
      </c>
      <c r="H2166" s="1845">
        <f t="shared" si="389"/>
        <v>0</v>
      </c>
      <c r="I2166" s="1845"/>
      <c r="J2166" s="1845"/>
      <c r="K2166" s="1845"/>
      <c r="L2166" s="1845"/>
      <c r="M2166" s="1845">
        <f t="shared" si="391"/>
        <v>0</v>
      </c>
      <c r="N2166" s="1845"/>
      <c r="O2166" s="1845"/>
      <c r="P2166" s="1845">
        <f t="shared" si="387"/>
        <v>0</v>
      </c>
      <c r="Q2166" s="1056"/>
      <c r="R2166" s="1056"/>
      <c r="S2166" s="1056"/>
      <c r="T2166" s="2059">
        <f t="shared" si="390"/>
        <v>0</v>
      </c>
    </row>
    <row r="2167" spans="1:20" ht="22.15" hidden="1" customHeight="1">
      <c r="A2167" s="59"/>
      <c r="B2167" s="1593" t="s">
        <v>1025</v>
      </c>
      <c r="C2167" s="1015" t="str">
        <f t="shared" si="386"/>
        <v xml:space="preserve"> </v>
      </c>
      <c r="D2167" s="1557">
        <f>ppht!BF339</f>
        <v>0</v>
      </c>
      <c r="E2167" s="1047"/>
      <c r="F2167" s="1059" t="str">
        <f>VLOOKUP($B2167,DG!A:D,DG!$C$2,)</f>
        <v>Cáp thép 3/8"</v>
      </c>
      <c r="G2167" s="1047" t="str">
        <f>VLOOKUP($B2167,DG!A:D,DG!$D$2,)</f>
        <v>kg</v>
      </c>
      <c r="H2167" s="1845">
        <f t="shared" si="389"/>
        <v>0</v>
      </c>
      <c r="I2167" s="1845"/>
      <c r="J2167" s="1845"/>
      <c r="K2167" s="1845"/>
      <c r="L2167" s="1845"/>
      <c r="M2167" s="1845">
        <f t="shared" si="391"/>
        <v>0</v>
      </c>
      <c r="N2167" s="1845"/>
      <c r="O2167" s="1845"/>
      <c r="P2167" s="1845">
        <f t="shared" si="387"/>
        <v>0</v>
      </c>
      <c r="Q2167" s="1056"/>
      <c r="R2167" s="1056"/>
      <c r="S2167" s="1056"/>
      <c r="T2167" s="2059">
        <f t="shared" si="390"/>
        <v>0</v>
      </c>
    </row>
    <row r="2168" spans="1:20" ht="22.15" hidden="1" customHeight="1">
      <c r="A2168" s="59"/>
      <c r="B2168" s="1593" t="s">
        <v>1492</v>
      </c>
      <c r="C2168" s="1015" t="str">
        <f t="shared" si="386"/>
        <v xml:space="preserve"> </v>
      </c>
      <c r="D2168" s="1544"/>
      <c r="E2168" s="1047"/>
      <c r="F2168" s="1059" t="str">
        <f>VLOOKUP($B2168,DG!A:D,DG!$C$2,)</f>
        <v>Ống nối dây cỡ 50mm2</v>
      </c>
      <c r="G2168" s="1047" t="str">
        <f>VLOOKUP($B2168,DG!A:D,DG!$D$2,)</f>
        <v>cái</v>
      </c>
      <c r="H2168" s="1845">
        <f t="shared" si="389"/>
        <v>0</v>
      </c>
      <c r="I2168" s="1845"/>
      <c r="J2168" s="1845"/>
      <c r="K2168" s="1845"/>
      <c r="L2168" s="1845"/>
      <c r="M2168" s="1845">
        <f>H2168</f>
        <v>0</v>
      </c>
      <c r="N2168" s="1845"/>
      <c r="O2168" s="1845"/>
      <c r="P2168" s="1845">
        <f t="shared" si="387"/>
        <v>0</v>
      </c>
      <c r="Q2168" s="1056"/>
      <c r="R2168" s="1056"/>
      <c r="S2168" s="1056"/>
      <c r="T2168" s="2059">
        <f t="shared" si="390"/>
        <v>0</v>
      </c>
    </row>
    <row r="2169" spans="1:20" ht="22.15" hidden="1" customHeight="1">
      <c r="A2169" s="59"/>
      <c r="B2169" s="1593" t="s">
        <v>1493</v>
      </c>
      <c r="C2169" s="1015" t="str">
        <f t="shared" si="386"/>
        <v xml:space="preserve"> </v>
      </c>
      <c r="D2169" s="1544">
        <f>ROUND(D2153/2000,0)</f>
        <v>0</v>
      </c>
      <c r="E2169" s="1047"/>
      <c r="F2169" s="1059" t="str">
        <f>VLOOKUP($B2169,DG!A:D,DG!$C$2,)</f>
        <v>Ống nối dây cỡ 70mm2</v>
      </c>
      <c r="G2169" s="1047" t="str">
        <f>VLOOKUP($B2169,DG!A:D,DG!$D$2,)</f>
        <v>cái</v>
      </c>
      <c r="H2169" s="1845">
        <f t="shared" si="389"/>
        <v>0</v>
      </c>
      <c r="I2169" s="1845"/>
      <c r="J2169" s="1845"/>
      <c r="K2169" s="1845"/>
      <c r="L2169" s="1845"/>
      <c r="M2169" s="1845">
        <f>H2169</f>
        <v>0</v>
      </c>
      <c r="N2169" s="1845"/>
      <c r="O2169" s="1845"/>
      <c r="P2169" s="1845">
        <f t="shared" si="387"/>
        <v>0</v>
      </c>
      <c r="Q2169" s="1056"/>
      <c r="R2169" s="1056"/>
      <c r="S2169" s="1056"/>
      <c r="T2169" s="2059">
        <f t="shared" si="390"/>
        <v>0</v>
      </c>
    </row>
    <row r="2170" spans="1:20" ht="22.15" hidden="1" customHeight="1">
      <c r="A2170" s="59"/>
      <c r="B2170" s="1593" t="s">
        <v>1575</v>
      </c>
      <c r="C2170" s="1015" t="str">
        <f t="shared" si="386"/>
        <v xml:space="preserve"> </v>
      </c>
      <c r="D2170" s="1544"/>
      <c r="E2170" s="1047"/>
      <c r="F2170" s="1059" t="str">
        <f>VLOOKUP($B2170,DG!A:D,DG!$C$2,)</f>
        <v>Biển số - Bảng nguy hiểm</v>
      </c>
      <c r="G2170" s="1047" t="str">
        <f>VLOOKUP($B2170,DG!A:D,DG!$D$2,)</f>
        <v>cái</v>
      </c>
      <c r="H2170" s="1845">
        <f t="shared" si="389"/>
        <v>0</v>
      </c>
      <c r="I2170" s="1845"/>
      <c r="J2170" s="1845"/>
      <c r="K2170" s="1845"/>
      <c r="L2170" s="1845"/>
      <c r="M2170" s="1845">
        <f>H2170</f>
        <v>0</v>
      </c>
      <c r="N2170" s="1845"/>
      <c r="O2170" s="1845"/>
      <c r="P2170" s="1845">
        <f t="shared" si="387"/>
        <v>0</v>
      </c>
      <c r="Q2170" s="1056"/>
      <c r="R2170" s="1056"/>
      <c r="S2170" s="1056"/>
      <c r="T2170" s="2059">
        <f t="shared" si="390"/>
        <v>0</v>
      </c>
    </row>
    <row r="2171" spans="1:20" ht="22.15" hidden="1" customHeight="1">
      <c r="A2171" s="59"/>
      <c r="B2171" s="1593" t="s">
        <v>229</v>
      </c>
      <c r="C2171" s="1015" t="str">
        <f t="shared" si="386"/>
        <v xml:space="preserve"> </v>
      </c>
      <c r="D2171" s="1544">
        <f>SUM(D2173:D2173)*5/1.4</f>
        <v>0</v>
      </c>
      <c r="E2171" s="1047"/>
      <c r="F2171" s="1059" t="str">
        <f>VLOOKUP($B2171,DG!A:D,DG!$C$2,)</f>
        <v xml:space="preserve">Dây nhôm buộc </v>
      </c>
      <c r="G2171" s="1047" t="str">
        <f>VLOOKUP($B2171,DG!A:D,DG!$D$2,)</f>
        <v>kg</v>
      </c>
      <c r="H2171" s="1845">
        <f t="shared" si="389"/>
        <v>0</v>
      </c>
      <c r="I2171" s="1845"/>
      <c r="J2171" s="1845"/>
      <c r="K2171" s="1845"/>
      <c r="L2171" s="1845"/>
      <c r="M2171" s="1845">
        <f>H2171</f>
        <v>0</v>
      </c>
      <c r="N2171" s="1845"/>
      <c r="O2171" s="1845"/>
      <c r="P2171" s="1845">
        <f t="shared" si="387"/>
        <v>0</v>
      </c>
      <c r="Q2171" s="1056"/>
      <c r="R2171" s="1056"/>
      <c r="S2171" s="1056"/>
      <c r="T2171" s="2059">
        <f t="shared" si="390"/>
        <v>0</v>
      </c>
    </row>
    <row r="2172" spans="1:20" ht="22.15" hidden="1" customHeight="1">
      <c r="A2172" s="59"/>
      <c r="B2172" s="1593" t="s">
        <v>451</v>
      </c>
      <c r="C2172" s="1015" t="str">
        <f t="shared" si="386"/>
        <v xml:space="preserve"> </v>
      </c>
      <c r="D2172" s="1543">
        <f>ROUND(E2154/1000,2)</f>
        <v>0</v>
      </c>
      <c r="E2172" s="1047" t="str">
        <f>VLOOKUP($B2172,DG!A:D,DG!$B$2,)</f>
        <v>06.6124</v>
      </c>
      <c r="F2172" s="1052" t="str">
        <f>VLOOKUP($B2172,DG!A:D,DG!$C$2,)</f>
        <v>Kéo dây nhôm bọc 50mm2</v>
      </c>
      <c r="G2172" s="1047" t="str">
        <f>VLOOKUP($B2172,DG!A:D,DG!$D$2,)</f>
        <v>km</v>
      </c>
      <c r="H2172" s="1845"/>
      <c r="I2172" s="1845"/>
      <c r="J2172" s="1845"/>
      <c r="K2172" s="1845"/>
      <c r="L2172" s="1845"/>
      <c r="M2172" s="1845"/>
      <c r="N2172" s="1845"/>
      <c r="O2172" s="1845"/>
      <c r="P2172" s="1845">
        <f t="shared" si="387"/>
        <v>0</v>
      </c>
      <c r="Q2172" s="1056"/>
      <c r="R2172" s="1056"/>
      <c r="S2172" s="1056"/>
      <c r="T2172" s="2059">
        <f t="shared" si="390"/>
        <v>0</v>
      </c>
    </row>
    <row r="2173" spans="1:20" ht="22.15" hidden="1" customHeight="1">
      <c r="A2173" s="59"/>
      <c r="B2173" s="1593" t="s">
        <v>79</v>
      </c>
      <c r="C2173" s="1015" t="str">
        <f t="shared" ref="C2173:C2236" si="392">IF(OR(P2173&lt;&gt;0,H2173&lt;&gt;0),"x"," ")</f>
        <v xml:space="preserve"> </v>
      </c>
      <c r="D2173" s="1543">
        <f>ROUND(E2153/1000,2)</f>
        <v>0</v>
      </c>
      <c r="E2173" s="1047" t="str">
        <f>VLOOKUP($B2173,DG!A:D,DG!$B$2,)</f>
        <v>06.6105</v>
      </c>
      <c r="F2173" s="1052" t="str">
        <f>VLOOKUP($B2173,DG!A:D,DG!$C$2,)</f>
        <v>Kéo dây nhôm bọc 70mm2</v>
      </c>
      <c r="G2173" s="1047" t="str">
        <f>VLOOKUP($B2173,DG!A:D,DG!$D$2,)</f>
        <v>km</v>
      </c>
      <c r="H2173" s="1845"/>
      <c r="I2173" s="1845"/>
      <c r="J2173" s="1845"/>
      <c r="K2173" s="1845"/>
      <c r="L2173" s="1845"/>
      <c r="M2173" s="1845"/>
      <c r="N2173" s="1845"/>
      <c r="O2173" s="1845"/>
      <c r="P2173" s="1845">
        <f t="shared" si="387"/>
        <v>0</v>
      </c>
      <c r="Q2173" s="1056"/>
      <c r="R2173" s="1056"/>
      <c r="S2173" s="1056"/>
      <c r="T2173" s="2059">
        <f t="shared" si="390"/>
        <v>0</v>
      </c>
    </row>
    <row r="2174" spans="1:20" ht="22.15" hidden="1" customHeight="1">
      <c r="A2174" s="59"/>
      <c r="B2174" s="1593" t="s">
        <v>1274</v>
      </c>
      <c r="C2174" s="1015" t="str">
        <f t="shared" si="392"/>
        <v xml:space="preserve"> </v>
      </c>
      <c r="D2174" s="1543">
        <f>ROUND(E2155/1000,2)</f>
        <v>0</v>
      </c>
      <c r="E2174" s="1047" t="str">
        <f>VLOOKUP($B2174,DG!A:D,DG!$B$2,)</f>
        <v>06.6114</v>
      </c>
      <c r="F2174" s="1052" t="str">
        <f>VLOOKUP($B2174,DG!A:D,DG!$C$2,)</f>
        <v>Kéo dây nhôm lõi thép cỡ dây 50mm2</v>
      </c>
      <c r="G2174" s="1047" t="str">
        <f>VLOOKUP($B2174,DG!A:D,DG!$D$2,)</f>
        <v>km</v>
      </c>
      <c r="H2174" s="1845"/>
      <c r="I2174" s="1845"/>
      <c r="J2174" s="1845"/>
      <c r="K2174" s="1845"/>
      <c r="L2174" s="1845"/>
      <c r="M2174" s="1845"/>
      <c r="N2174" s="1845"/>
      <c r="O2174" s="1845"/>
      <c r="P2174" s="1845">
        <f t="shared" si="387"/>
        <v>0</v>
      </c>
      <c r="Q2174" s="1056"/>
      <c r="R2174" s="1056"/>
      <c r="S2174" s="1056"/>
      <c r="T2174" s="2059">
        <f t="shared" si="390"/>
        <v>0</v>
      </c>
    </row>
    <row r="2175" spans="1:20" ht="22.15" hidden="1" customHeight="1">
      <c r="A2175" s="59"/>
      <c r="B2175" s="1586" t="s">
        <v>1901</v>
      </c>
      <c r="C2175" s="1015" t="str">
        <f t="shared" si="392"/>
        <v xml:space="preserve"> </v>
      </c>
      <c r="D2175" s="1544">
        <f>D2159</f>
        <v>0</v>
      </c>
      <c r="E2175" s="1047" t="str">
        <f>VLOOKUP($B2175,DG!A:D,DG!$B$2,)</f>
        <v>06.1211</v>
      </c>
      <c r="F2175" s="1052" t="str">
        <f>VLOOKUP($B2175,DG!A:D,DG!$C$2,)</f>
        <v>Lắp rack sứ + sứ ống chỉ</v>
      </c>
      <c r="G2175" s="1047" t="str">
        <f>VLOOKUP($B2175,DG!A:D,DG!$D$2,)</f>
        <v>bộ</v>
      </c>
      <c r="H2175" s="1845"/>
      <c r="I2175" s="1845"/>
      <c r="J2175" s="1845"/>
      <c r="K2175" s="1845"/>
      <c r="L2175" s="1845"/>
      <c r="M2175" s="1845"/>
      <c r="N2175" s="1845"/>
      <c r="O2175" s="1845"/>
      <c r="P2175" s="1845">
        <f t="shared" si="387"/>
        <v>0</v>
      </c>
      <c r="Q2175" s="1056"/>
      <c r="R2175" s="1056"/>
      <c r="S2175" s="1056"/>
      <c r="T2175" s="2059">
        <f t="shared" si="390"/>
        <v>0</v>
      </c>
    </row>
    <row r="2176" spans="1:20" ht="22.15" hidden="1" customHeight="1">
      <c r="A2176" s="59"/>
      <c r="B2176" s="1586" t="s">
        <v>125</v>
      </c>
      <c r="C2176" s="1015" t="str">
        <f t="shared" si="392"/>
        <v xml:space="preserve"> </v>
      </c>
      <c r="D2176" s="1544">
        <f>D2160</f>
        <v>0</v>
      </c>
      <c r="E2176" s="1047" t="str">
        <f>VLOOKUP($B2176,DG!A:D,DG!$B$2,)</f>
        <v>06.1213</v>
      </c>
      <c r="F2176" s="1052" t="str">
        <f>VLOOKUP($B2176,DG!A:D,DG!$C$2,)</f>
        <v>Lắp rack 2 sứ + sứ ống chỉ</v>
      </c>
      <c r="G2176" s="1047" t="str">
        <f>VLOOKUP($B2176,DG!A:D,DG!$D$2,)</f>
        <v>bộ</v>
      </c>
      <c r="H2176" s="1845"/>
      <c r="I2176" s="1845"/>
      <c r="J2176" s="1845"/>
      <c r="K2176" s="1845"/>
      <c r="L2176" s="1845"/>
      <c r="M2176" s="1845"/>
      <c r="N2176" s="1845"/>
      <c r="O2176" s="1845"/>
      <c r="P2176" s="1845">
        <f t="shared" si="387"/>
        <v>0</v>
      </c>
      <c r="Q2176" s="1056"/>
      <c r="R2176" s="1056"/>
      <c r="S2176" s="1056"/>
      <c r="T2176" s="2059">
        <f t="shared" si="390"/>
        <v>0</v>
      </c>
    </row>
    <row r="2177" spans="1:20" ht="22.15" hidden="1" customHeight="1">
      <c r="A2177" s="59"/>
      <c r="B2177" s="1586" t="s">
        <v>452</v>
      </c>
      <c r="C2177" s="1015" t="str">
        <f t="shared" si="392"/>
        <v xml:space="preserve"> </v>
      </c>
      <c r="D2177" s="1544">
        <f>D2161</f>
        <v>0</v>
      </c>
      <c r="E2177" s="1047" t="str">
        <f>VLOOKUP($B2177,DG!A:D,DG!$B$2,)</f>
        <v>06.1214</v>
      </c>
      <c r="F2177" s="1052" t="str">
        <f>VLOOKUP($B2177,DG!A:D,DG!$C$2,)</f>
        <v>Lắp rack 3 sứ + sứ ống chỉ</v>
      </c>
      <c r="G2177" s="1047" t="str">
        <f>VLOOKUP($B2177,DG!A:D,DG!$D$2,)</f>
        <v>bộ</v>
      </c>
      <c r="H2177" s="1845"/>
      <c r="I2177" s="1845"/>
      <c r="J2177" s="1845"/>
      <c r="K2177" s="1845"/>
      <c r="L2177" s="1845"/>
      <c r="M2177" s="1845"/>
      <c r="N2177" s="1845"/>
      <c r="O2177" s="1845"/>
      <c r="P2177" s="1845">
        <f t="shared" si="387"/>
        <v>0</v>
      </c>
      <c r="Q2177" s="1061"/>
      <c r="R2177" s="1061"/>
      <c r="S2177" s="1061"/>
      <c r="T2177" s="2059">
        <f t="shared" si="390"/>
        <v>0</v>
      </c>
    </row>
    <row r="2178" spans="1:20" ht="22.15" hidden="1" customHeight="1">
      <c r="A2178" s="59"/>
      <c r="B2178" s="1586" t="s">
        <v>691</v>
      </c>
      <c r="C2178" s="1015" t="str">
        <f t="shared" si="392"/>
        <v xml:space="preserve"> </v>
      </c>
      <c r="D2178" s="1544">
        <f>D2162</f>
        <v>0</v>
      </c>
      <c r="E2178" s="1047" t="str">
        <f>VLOOKUP($B2178,DG!A:D,DG!$B$2,)</f>
        <v>06.1215</v>
      </c>
      <c r="F2178" s="1052" t="str">
        <f>VLOOKUP($B2178,DG!A:D,DG!$C$2,)</f>
        <v>Lắp rack 4 sứ + sứ ống chỉ</v>
      </c>
      <c r="G2178" s="1047" t="str">
        <f>VLOOKUP($B2178,DG!A:D,DG!$D$2,)</f>
        <v>bộ</v>
      </c>
      <c r="H2178" s="1845"/>
      <c r="I2178" s="1845"/>
      <c r="J2178" s="1845"/>
      <c r="K2178" s="1845"/>
      <c r="L2178" s="1845"/>
      <c r="M2178" s="1845"/>
      <c r="N2178" s="1845"/>
      <c r="O2178" s="1845"/>
      <c r="P2178" s="1845">
        <f t="shared" si="387"/>
        <v>0</v>
      </c>
      <c r="Q2178" s="1056"/>
      <c r="R2178" s="1056"/>
      <c r="S2178" s="1056"/>
      <c r="T2178" s="2059">
        <f t="shared" si="390"/>
        <v>0</v>
      </c>
    </row>
    <row r="2179" spans="1:20" ht="22.15" hidden="1" customHeight="1">
      <c r="A2179" s="59"/>
      <c r="B2179" s="1586" t="s">
        <v>352</v>
      </c>
      <c r="C2179" s="1015" t="str">
        <f t="shared" si="392"/>
        <v xml:space="preserve"> </v>
      </c>
      <c r="D2179" s="1544">
        <f>D2170</f>
        <v>0</v>
      </c>
      <c r="E2179" s="1047" t="str">
        <f>VLOOKUP($B2179,DG!A:D,DG!$B$2,)</f>
        <v>06.2070</v>
      </c>
      <c r="F2179" s="1059" t="str">
        <f>VLOOKUP($B2179,DG!A:D,DG!$C$2,)</f>
        <v>Sơn biển số- bảng nguy hiểm</v>
      </c>
      <c r="G2179" s="1047" t="str">
        <f>VLOOKUP($B2179,DG!A:D,DG!$D$2,)</f>
        <v>cái</v>
      </c>
      <c r="H2179" s="1845"/>
      <c r="I2179" s="1845"/>
      <c r="J2179" s="1845"/>
      <c r="K2179" s="1845"/>
      <c r="L2179" s="1845"/>
      <c r="M2179" s="1845"/>
      <c r="N2179" s="1845"/>
      <c r="O2179" s="1845"/>
      <c r="P2179" s="1845">
        <f t="shared" si="387"/>
        <v>0</v>
      </c>
      <c r="Q2179" s="1056"/>
      <c r="R2179" s="1056"/>
      <c r="S2179" s="1056"/>
      <c r="T2179" s="2059">
        <f t="shared" si="390"/>
        <v>0</v>
      </c>
    </row>
    <row r="2180" spans="1:20" ht="22.15" hidden="1" customHeight="1">
      <c r="A2180" s="59"/>
      <c r="B2180" s="1586" t="s">
        <v>355</v>
      </c>
      <c r="C2180" s="1015" t="str">
        <f t="shared" si="392"/>
        <v xml:space="preserve"> </v>
      </c>
      <c r="D2180" s="1543">
        <f>D2183</f>
        <v>0</v>
      </c>
      <c r="E2180" s="1047" t="str">
        <f>VLOOKUP($B2180,DG!A:D,DG!$B$2,)</f>
        <v>02.1122</v>
      </c>
      <c r="F2180" s="1052" t="str">
        <f>VLOOKUP($B2180,DG!A:D,DG!$C$2,)</f>
        <v>Bốc dỡ dây</v>
      </c>
      <c r="G2180" s="1047" t="str">
        <f>VLOOKUP($B2180,DG!A:D,DG!$D$2,)</f>
        <v>tấn</v>
      </c>
      <c r="H2180" s="1845"/>
      <c r="I2180" s="1845"/>
      <c r="J2180" s="1845"/>
      <c r="K2180" s="1845"/>
      <c r="L2180" s="1845"/>
      <c r="M2180" s="1845"/>
      <c r="N2180" s="1845"/>
      <c r="O2180" s="1845"/>
      <c r="P2180" s="1845">
        <f t="shared" si="387"/>
        <v>0</v>
      </c>
      <c r="Q2180" s="1061"/>
      <c r="R2180" s="1061"/>
      <c r="S2180" s="1061"/>
      <c r="T2180" s="2059">
        <f t="shared" si="390"/>
        <v>0</v>
      </c>
    </row>
    <row r="2181" spans="1:20" ht="22.15" hidden="1" customHeight="1">
      <c r="A2181" s="59"/>
      <c r="B2181" s="1586" t="s">
        <v>1908</v>
      </c>
      <c r="C2181" s="1015" t="str">
        <f t="shared" si="392"/>
        <v xml:space="preserve"> </v>
      </c>
      <c r="D2181" s="1543">
        <f>D2182</f>
        <v>0</v>
      </c>
      <c r="E2181" s="1047" t="str">
        <f>VLOOKUP($B2181,DG!A:D,DG!$B$2,)</f>
        <v>02.1120</v>
      </c>
      <c r="F2181" s="1052" t="str">
        <f>VLOOKUP($B2181,DG!A:D,DG!$C$2,)</f>
        <v>Bốc dỡ phụ kiện</v>
      </c>
      <c r="G2181" s="1047" t="str">
        <f>VLOOKUP($B2181,DG!A:D,DG!$D$2,)</f>
        <v>tấn</v>
      </c>
      <c r="H2181" s="1845"/>
      <c r="I2181" s="1845"/>
      <c r="J2181" s="1845"/>
      <c r="K2181" s="1845"/>
      <c r="L2181" s="1845"/>
      <c r="M2181" s="1845"/>
      <c r="N2181" s="1845"/>
      <c r="O2181" s="1845"/>
      <c r="P2181" s="1845">
        <f t="shared" si="387"/>
        <v>0</v>
      </c>
      <c r="Q2181" s="1061"/>
      <c r="R2181" s="1061"/>
      <c r="S2181" s="1061"/>
      <c r="T2181" s="2059">
        <f t="shared" si="390"/>
        <v>0</v>
      </c>
    </row>
    <row r="2182" spans="1:20" ht="22.15" hidden="1" customHeight="1">
      <c r="A2182" s="59"/>
      <c r="B2182" s="1600" t="s">
        <v>356</v>
      </c>
      <c r="C2182" s="1015" t="str">
        <f t="shared" si="392"/>
        <v xml:space="preserve"> </v>
      </c>
      <c r="D2182" s="1543">
        <f>(D2159*1+D2160*2+D2161*3+D2162*4)/1000</f>
        <v>0</v>
      </c>
      <c r="E2182" s="1047" t="str">
        <f>VLOOKUP($B2182,DG!A:C,2,)</f>
        <v>02.1421</v>
      </c>
      <c r="F2182" s="1052" t="str">
        <f>VLOOKUP($B2182,DG!A:C,3,)</f>
        <v>V/c phụ kiện vào vị trí (cự ly &lt;=100m)</v>
      </c>
      <c r="G2182" s="1047" t="str">
        <f>VLOOKUP($B2182,DG!A:D,4,0)</f>
        <v>tấn</v>
      </c>
      <c r="H2182" s="1845"/>
      <c r="I2182" s="1845"/>
      <c r="J2182" s="1845"/>
      <c r="K2182" s="1845"/>
      <c r="L2182" s="1845"/>
      <c r="M2182" s="1845"/>
      <c r="N2182" s="1845"/>
      <c r="O2182" s="1845"/>
      <c r="P2182" s="1845">
        <f t="shared" si="387"/>
        <v>0</v>
      </c>
      <c r="Q2182" s="1061"/>
      <c r="R2182" s="1061"/>
      <c r="S2182" s="1061"/>
      <c r="T2182" s="2059">
        <f t="shared" si="390"/>
        <v>0</v>
      </c>
    </row>
    <row r="2183" spans="1:20" ht="22.15" hidden="1" customHeight="1">
      <c r="A2183" s="59"/>
      <c r="B2183" s="1600" t="s">
        <v>357</v>
      </c>
      <c r="C2183" s="1015" t="str">
        <f t="shared" si="392"/>
        <v xml:space="preserve"> </v>
      </c>
      <c r="D2183" s="1543">
        <f>ROUND((D2153*0.308+D2154*0.229)*1.05/1000,2)</f>
        <v>0</v>
      </c>
      <c r="E2183" s="1047" t="str">
        <f>VLOOKUP($B2183,DG!A:C,2,)</f>
        <v>02.1441</v>
      </c>
      <c r="F2183" s="1052" t="str">
        <f>VLOOKUP($B2183,DG!A:C,3,)</f>
        <v>V/c dây vào vị trí (cự ly &lt;=100m)</v>
      </c>
      <c r="G2183" s="1047" t="str">
        <f>VLOOKUP($B2183,DG!A:D,4,0)</f>
        <v>tấn</v>
      </c>
      <c r="H2183" s="1845"/>
      <c r="I2183" s="1845"/>
      <c r="J2183" s="1845"/>
      <c r="K2183" s="1845"/>
      <c r="L2183" s="1845"/>
      <c r="M2183" s="1845"/>
      <c r="N2183" s="1845"/>
      <c r="O2183" s="1845"/>
      <c r="P2183" s="1845">
        <f t="shared" si="387"/>
        <v>0</v>
      </c>
      <c r="Q2183" s="1061"/>
      <c r="R2183" s="1061"/>
      <c r="S2183" s="1061"/>
      <c r="T2183" s="2059">
        <f t="shared" si="390"/>
        <v>0</v>
      </c>
    </row>
    <row r="2184" spans="1:20" ht="22.15" hidden="1" customHeight="1">
      <c r="A2184" s="59"/>
      <c r="B2184" s="1598" t="s">
        <v>606</v>
      </c>
      <c r="C2184" s="1015" t="str">
        <f t="shared" si="392"/>
        <v xml:space="preserve"> </v>
      </c>
      <c r="D2184" s="1543">
        <f>IF(D2183&lt;&gt;0,2,0)</f>
        <v>0</v>
      </c>
      <c r="E2184" s="1047" t="str">
        <f>VLOOKUP($B2184,DG!A:C,2,)</f>
        <v>02.1482</v>
      </c>
      <c r="F2184" s="1052" t="str">
        <f>VLOOKUP($B2184,DG!A:C,3,)</f>
        <v>V/c dụng cụ thi công vào vị trí (cự ly &lt;=100m)</v>
      </c>
      <c r="G2184" s="1047" t="str">
        <f>VLOOKUP($B2184,DG!A:D,4,0)</f>
        <v>tấn</v>
      </c>
      <c r="H2184" s="1845"/>
      <c r="I2184" s="1845"/>
      <c r="J2184" s="1845"/>
      <c r="K2184" s="1845"/>
      <c r="L2184" s="1845"/>
      <c r="M2184" s="1845"/>
      <c r="N2184" s="1845"/>
      <c r="O2184" s="1845"/>
      <c r="P2184" s="1845">
        <f t="shared" si="387"/>
        <v>0</v>
      </c>
      <c r="Q2184" s="1061"/>
      <c r="R2184" s="1061"/>
      <c r="S2184" s="1061"/>
      <c r="T2184" s="2059">
        <f t="shared" si="390"/>
        <v>0</v>
      </c>
    </row>
    <row r="2185" spans="1:20" ht="22.15" hidden="1" customHeight="1">
      <c r="A2185" s="56" t="s">
        <v>162</v>
      </c>
      <c r="B2185" s="1583" t="s">
        <v>162</v>
      </c>
      <c r="C2185" s="1015" t="str">
        <f t="shared" si="392"/>
        <v xml:space="preserve"> </v>
      </c>
      <c r="D2185" s="1541"/>
      <c r="E2185" s="1049" t="s">
        <v>743</v>
      </c>
      <c r="F2185" s="1396" t="s">
        <v>2576</v>
      </c>
      <c r="G2185" s="1049" t="s">
        <v>2309</v>
      </c>
      <c r="H2185" s="1843">
        <f>SUM(I2185:O2185)</f>
        <v>0</v>
      </c>
      <c r="I2185" s="1844"/>
      <c r="J2185" s="1844"/>
      <c r="K2185" s="1844"/>
      <c r="L2185" s="1844">
        <f>IFERROR(HLOOKUP(chitiet!B2185,pp1p!$1:$3,3,0),0)</f>
        <v>0</v>
      </c>
      <c r="M2185" s="1844"/>
      <c r="N2185" s="1844"/>
      <c r="O2185" s="1844"/>
      <c r="P2185" s="1845">
        <f t="shared" si="387"/>
        <v>0</v>
      </c>
      <c r="Q2185" s="1050"/>
      <c r="R2185" s="1050"/>
      <c r="S2185" s="1050"/>
      <c r="T2185" s="2059">
        <f t="shared" si="390"/>
        <v>0</v>
      </c>
    </row>
    <row r="2186" spans="1:20" ht="22.15" hidden="1" customHeight="1">
      <c r="A2186" s="59"/>
      <c r="B2186" s="1586" t="s">
        <v>930</v>
      </c>
      <c r="C2186" s="1015" t="str">
        <f t="shared" si="392"/>
        <v xml:space="preserve"> </v>
      </c>
      <c r="D2186" s="1550">
        <f>ROUND(E2186*1.02,0)</f>
        <v>0</v>
      </c>
      <c r="E2186" s="1064">
        <f>PPHTCS!C74</f>
        <v>0</v>
      </c>
      <c r="F2186" s="1059" t="str">
        <f>VLOOKUP($B2186,DG!A:D,DG!$C$2,)</f>
        <v>Cáp Triplex 3x16</v>
      </c>
      <c r="G2186" s="1047" t="str">
        <f>VLOOKUP($B2186,DG!A:D,DG!$D$2,)</f>
        <v>m</v>
      </c>
      <c r="H2186" s="1845">
        <f t="shared" ref="H2186:H2232" si="393">D2186</f>
        <v>0</v>
      </c>
      <c r="I2186" s="1845"/>
      <c r="J2186" s="1845"/>
      <c r="K2186" s="1845"/>
      <c r="L2186" s="1845"/>
      <c r="M2186" s="1845"/>
      <c r="N2186" s="1845"/>
      <c r="O2186" s="1845"/>
      <c r="P2186" s="1845">
        <f t="shared" si="387"/>
        <v>0</v>
      </c>
      <c r="Q2186" s="1056"/>
      <c r="R2186" s="1056"/>
      <c r="S2186" s="1056"/>
      <c r="T2186" s="2059">
        <f t="shared" si="390"/>
        <v>0</v>
      </c>
    </row>
    <row r="2187" spans="1:20" ht="22.15" hidden="1" customHeight="1">
      <c r="A2187" s="59"/>
      <c r="B2187" s="1586" t="s">
        <v>1689</v>
      </c>
      <c r="C2187" s="1015" t="str">
        <f t="shared" si="392"/>
        <v xml:space="preserve"> </v>
      </c>
      <c r="D2187" s="1550">
        <f>ROUND(E2187*1.02,0)</f>
        <v>0</v>
      </c>
      <c r="E2187" s="1064">
        <f>PPHTCS!C75</f>
        <v>0</v>
      </c>
      <c r="F2187" s="1059" t="str">
        <f>VLOOKUP($B2187,DG!A:D,DG!$C$2,)</f>
        <v>Cáp Quadruplex 4x11</v>
      </c>
      <c r="G2187" s="1047" t="str">
        <f>VLOOKUP($B2187,DG!A:D,DG!$D$2,)</f>
        <v>m</v>
      </c>
      <c r="H2187" s="1845">
        <f t="shared" si="393"/>
        <v>0</v>
      </c>
      <c r="I2187" s="1845"/>
      <c r="J2187" s="1845"/>
      <c r="K2187" s="1845"/>
      <c r="L2187" s="1845"/>
      <c r="M2187" s="1845"/>
      <c r="N2187" s="1845"/>
      <c r="O2187" s="1845"/>
      <c r="P2187" s="1845">
        <f t="shared" si="387"/>
        <v>0</v>
      </c>
      <c r="Q2187" s="1056"/>
      <c r="R2187" s="1056"/>
      <c r="S2187" s="1056"/>
      <c r="T2187" s="2059">
        <f t="shared" si="390"/>
        <v>0</v>
      </c>
    </row>
    <row r="2188" spans="1:20" ht="22.15" hidden="1" customHeight="1">
      <c r="A2188" s="59"/>
      <c r="B2188" s="1586" t="s">
        <v>4</v>
      </c>
      <c r="C2188" s="1015" t="str">
        <f t="shared" si="392"/>
        <v xml:space="preserve"> </v>
      </c>
      <c r="D2188" s="1550">
        <f>ROUND(E2188*1.02,0)</f>
        <v>0</v>
      </c>
      <c r="E2188" s="1064">
        <f>PPHTCS!C76</f>
        <v>0</v>
      </c>
      <c r="F2188" s="1059" t="str">
        <f>VLOOKUP($B2188,DG!A:D,DG!$C$2,)</f>
        <v>Cáp Quadruplex 4x16</v>
      </c>
      <c r="G2188" s="1047" t="str">
        <f>VLOOKUP($B2188,DG!A:D,DG!$D$2,)</f>
        <v>m</v>
      </c>
      <c r="H2188" s="1845">
        <f t="shared" si="393"/>
        <v>0</v>
      </c>
      <c r="I2188" s="1845"/>
      <c r="J2188" s="1845"/>
      <c r="K2188" s="1845"/>
      <c r="L2188" s="1845"/>
      <c r="M2188" s="1845"/>
      <c r="N2188" s="1845"/>
      <c r="O2188" s="1845"/>
      <c r="P2188" s="1845">
        <f t="shared" si="387"/>
        <v>0</v>
      </c>
      <c r="Q2188" s="1056"/>
      <c r="R2188" s="1056"/>
      <c r="S2188" s="1056"/>
      <c r="T2188" s="2059">
        <f t="shared" si="390"/>
        <v>0</v>
      </c>
    </row>
    <row r="2189" spans="1:20" ht="22.15" hidden="1" customHeight="1">
      <c r="A2189" s="59"/>
      <c r="B2189" s="1586" t="s">
        <v>2142</v>
      </c>
      <c r="C2189" s="1015" t="str">
        <f t="shared" si="392"/>
        <v xml:space="preserve"> </v>
      </c>
      <c r="D2189" s="1550">
        <f>ROUND(E2189*1.02,0)</f>
        <v>0</v>
      </c>
      <c r="E2189" s="1064">
        <f>PPHTCS!C77</f>
        <v>0</v>
      </c>
      <c r="F2189" s="1059" t="str">
        <f>VLOOKUP($B2189,DG!A:D,DG!$C$2,)</f>
        <v>Cáp nhôm ABC 4x50mm2</v>
      </c>
      <c r="G2189" s="1047" t="str">
        <f>VLOOKUP($B2189,DG!A:D,DG!$D$2,)</f>
        <v>mét</v>
      </c>
      <c r="H2189" s="1845">
        <f t="shared" si="393"/>
        <v>0</v>
      </c>
      <c r="I2189" s="1845"/>
      <c r="J2189" s="1845"/>
      <c r="K2189" s="1845"/>
      <c r="L2189" s="1845"/>
      <c r="M2189" s="1845"/>
      <c r="N2189" s="1845"/>
      <c r="O2189" s="1845"/>
      <c r="P2189" s="1845">
        <f t="shared" si="387"/>
        <v>0</v>
      </c>
      <c r="Q2189" s="1056"/>
      <c r="R2189" s="1056"/>
      <c r="S2189" s="1056"/>
      <c r="T2189" s="2059">
        <f t="shared" si="390"/>
        <v>0</v>
      </c>
    </row>
    <row r="2190" spans="1:20" ht="22.15" hidden="1" customHeight="1">
      <c r="A2190" s="59"/>
      <c r="B2190" s="1586" t="s">
        <v>579</v>
      </c>
      <c r="C2190" s="1015" t="str">
        <f t="shared" si="392"/>
        <v xml:space="preserve"> </v>
      </c>
      <c r="D2190" s="1550">
        <f>ROUND(E2190*1.05,0)</f>
        <v>0</v>
      </c>
      <c r="E2190" s="1064"/>
      <c r="F2190" s="1059" t="str">
        <f>VLOOKUP($B2190,DG!A:D,DG!$C$2,)</f>
        <v>Cáp đồng bọc CV16</v>
      </c>
      <c r="G2190" s="1047" t="str">
        <f>VLOOKUP($B2190,DG!A:D,DG!$D$2,)</f>
        <v>mét</v>
      </c>
      <c r="H2190" s="1845">
        <f t="shared" si="393"/>
        <v>0</v>
      </c>
      <c r="I2190" s="1845"/>
      <c r="J2190" s="1845"/>
      <c r="K2190" s="1845"/>
      <c r="L2190" s="1845"/>
      <c r="M2190" s="1845"/>
      <c r="N2190" s="1845"/>
      <c r="O2190" s="1845"/>
      <c r="P2190" s="1845">
        <f t="shared" si="387"/>
        <v>0</v>
      </c>
      <c r="Q2190" s="1056"/>
      <c r="R2190" s="1056"/>
      <c r="S2190" s="1056"/>
      <c r="T2190" s="2059">
        <f t="shared" si="390"/>
        <v>0</v>
      </c>
    </row>
    <row r="2191" spans="1:20" ht="22.15" hidden="1" customHeight="1">
      <c r="A2191" s="59"/>
      <c r="B2191" s="1586" t="s">
        <v>1373</v>
      </c>
      <c r="C2191" s="1015" t="str">
        <f t="shared" si="392"/>
        <v xml:space="preserve"> </v>
      </c>
      <c r="D2191" s="1550">
        <f>ROUND((D2194+D2193*2)*8*1.02,0)</f>
        <v>0</v>
      </c>
      <c r="E2191" s="1064"/>
      <c r="F2191" s="1059" t="str">
        <f>VLOOKUP($B2191,DG!A:D,DG!$C$2,)&amp;": 8m/ñeøn"</f>
        <v>Cáp đồng mềm CV2,5: 8m/ñeøn</v>
      </c>
      <c r="G2191" s="1047" t="str">
        <f>VLOOKUP($B2191,DG!A:D,DG!$D$2,)</f>
        <v>mét</v>
      </c>
      <c r="H2191" s="1845">
        <f t="shared" si="393"/>
        <v>0</v>
      </c>
      <c r="I2191" s="1845"/>
      <c r="J2191" s="1845"/>
      <c r="K2191" s="1845"/>
      <c r="L2191" s="1845"/>
      <c r="M2191" s="1845"/>
      <c r="N2191" s="1845"/>
      <c r="O2191" s="1845"/>
      <c r="P2191" s="1845">
        <f t="shared" si="387"/>
        <v>0</v>
      </c>
      <c r="Q2191" s="1056"/>
      <c r="R2191" s="1056"/>
      <c r="S2191" s="1056"/>
      <c r="T2191" s="2059">
        <f t="shared" si="390"/>
        <v>0</v>
      </c>
    </row>
    <row r="2192" spans="1:20" ht="22.15" hidden="1" customHeight="1">
      <c r="A2192" s="59"/>
      <c r="B2192" s="1586" t="s">
        <v>8</v>
      </c>
      <c r="C2192" s="1015" t="str">
        <f t="shared" si="392"/>
        <v xml:space="preserve"> </v>
      </c>
      <c r="D2192" s="1550">
        <f>ROUND(D2195*5*1.02,0)</f>
        <v>0</v>
      </c>
      <c r="E2192" s="1064"/>
      <c r="F2192" s="1059" t="str">
        <f>VLOOKUP($B2192,DG!A:D,DG!$C$2,)&amp;": 5m/ñeøn"</f>
        <v>Cáp CVV 2x2,5mm2  : 5m/ñeøn</v>
      </c>
      <c r="G2192" s="1047" t="str">
        <f>VLOOKUP($B2192,DG!A:D,DG!$D$2,)</f>
        <v>mét</v>
      </c>
      <c r="H2192" s="1845">
        <f t="shared" si="393"/>
        <v>0</v>
      </c>
      <c r="I2192" s="1845"/>
      <c r="J2192" s="1845"/>
      <c r="K2192" s="1845"/>
      <c r="L2192" s="1845"/>
      <c r="M2192" s="1845"/>
      <c r="N2192" s="1845"/>
      <c r="O2192" s="1845"/>
      <c r="P2192" s="1845">
        <f t="shared" si="387"/>
        <v>0</v>
      </c>
      <c r="Q2192" s="1056"/>
      <c r="R2192" s="1056"/>
      <c r="S2192" s="1056"/>
      <c r="T2192" s="2059">
        <f t="shared" si="390"/>
        <v>0</v>
      </c>
    </row>
    <row r="2193" spans="1:20" ht="22.15" hidden="1" customHeight="1">
      <c r="A2193" s="59"/>
      <c r="B2193" s="1586" t="s">
        <v>1250</v>
      </c>
      <c r="C2193" s="1015" t="str">
        <f t="shared" si="392"/>
        <v xml:space="preserve"> </v>
      </c>
      <c r="D2193" s="1544">
        <f>PPHTCS!Z69</f>
        <v>0</v>
      </c>
      <c r="E2193" s="1064"/>
      <c r="F2193" s="1398" t="str">
        <f>VLOOKUP($B2193,DG!A:D,DG!$C$2,)</f>
        <v>Cần đèn STK D60 đôi cao 2m vươn 1,5m nghiêng 15 độ</v>
      </c>
      <c r="G2193" s="1414" t="str">
        <f>VLOOKUP($B2193,DG!A:D,DG!$D$2,)</f>
        <v>cần</v>
      </c>
      <c r="H2193" s="1849">
        <f t="shared" si="393"/>
        <v>0</v>
      </c>
      <c r="I2193" s="1849"/>
      <c r="J2193" s="1849"/>
      <c r="K2193" s="1849"/>
      <c r="L2193" s="1849"/>
      <c r="M2193" s="1849"/>
      <c r="N2193" s="1849"/>
      <c r="O2193" s="1849"/>
      <c r="P2193" s="1845">
        <f t="shared" si="387"/>
        <v>0</v>
      </c>
      <c r="Q2193" s="1415"/>
      <c r="R2193" s="1415"/>
      <c r="S2193" s="1415"/>
      <c r="T2193" s="2059">
        <f t="shared" si="390"/>
        <v>0</v>
      </c>
    </row>
    <row r="2194" spans="1:20" ht="22.15" hidden="1" customHeight="1">
      <c r="A2194" s="59"/>
      <c r="B2194" s="1586" t="s">
        <v>841</v>
      </c>
      <c r="C2194" s="1015" t="str">
        <f t="shared" si="392"/>
        <v xml:space="preserve"> </v>
      </c>
      <c r="D2194" s="1544">
        <f>PPHTCS!AA69</f>
        <v>0</v>
      </c>
      <c r="E2194" s="1047"/>
      <c r="F2194" s="1059" t="str">
        <f>VLOOKUP($B2194,DG!A:D,DG!$C$2,)</f>
        <v>Cần đèn STK D60 đơn cao 1m vươn 1,8m nghiêng 15 độ + chụp đầu trụ</v>
      </c>
      <c r="G2194" s="1047" t="str">
        <f>VLOOKUP($B2194,DG!A:D,DG!$D$2,)</f>
        <v>cần</v>
      </c>
      <c r="H2194" s="1849">
        <f t="shared" si="393"/>
        <v>0</v>
      </c>
      <c r="I2194" s="1849"/>
      <c r="J2194" s="1849"/>
      <c r="K2194" s="1849"/>
      <c r="L2194" s="1849"/>
      <c r="M2194" s="1849"/>
      <c r="N2194" s="1849"/>
      <c r="O2194" s="1849"/>
      <c r="P2194" s="1845">
        <f t="shared" si="387"/>
        <v>0</v>
      </c>
      <c r="Q2194" s="1415"/>
      <c r="R2194" s="1415"/>
      <c r="S2194" s="1415"/>
      <c r="T2194" s="2059">
        <f t="shared" si="390"/>
        <v>0</v>
      </c>
    </row>
    <row r="2195" spans="1:20" ht="22.15" hidden="1" customHeight="1">
      <c r="A2195" s="59"/>
      <c r="B2195" s="1586" t="s">
        <v>2144</v>
      </c>
      <c r="C2195" s="1015" t="str">
        <f t="shared" si="392"/>
        <v xml:space="preserve"> </v>
      </c>
      <c r="D2195" s="1544">
        <f>PPHTCS!AB69</f>
        <v>0</v>
      </c>
      <c r="E2195" s="1047"/>
      <c r="F2195" s="1059" t="str">
        <f>VLOOKUP($B2195,DG!A:D,DG!$C$2,)</f>
        <v>Cần đèn STK D60 đơn cao 1,7m vươn 2,8m (CĐT cung cấp)</v>
      </c>
      <c r="G2195" s="1047" t="str">
        <f>VLOOKUP($B2195,DG!A:D,DG!$D$2,)</f>
        <v>cần</v>
      </c>
      <c r="H2195" s="1849">
        <f t="shared" si="393"/>
        <v>0</v>
      </c>
      <c r="I2195" s="1849"/>
      <c r="J2195" s="1849"/>
      <c r="K2195" s="1849"/>
      <c r="L2195" s="1849"/>
      <c r="M2195" s="1849"/>
      <c r="N2195" s="1849"/>
      <c r="O2195" s="1849"/>
      <c r="P2195" s="1845">
        <f t="shared" si="387"/>
        <v>0</v>
      </c>
      <c r="Q2195" s="1415"/>
      <c r="R2195" s="1415"/>
      <c r="S2195" s="1415"/>
      <c r="T2195" s="2059">
        <f t="shared" si="390"/>
        <v>0</v>
      </c>
    </row>
    <row r="2196" spans="1:20" ht="22.15" hidden="1" customHeight="1">
      <c r="A2196" s="59"/>
      <c r="B2196" s="1586" t="s">
        <v>320</v>
      </c>
      <c r="C2196" s="1015" t="str">
        <f t="shared" si="392"/>
        <v xml:space="preserve"> </v>
      </c>
      <c r="D2196" s="1544">
        <f>PPHTCS!AD69</f>
        <v>0</v>
      </c>
      <c r="E2196" s="1047"/>
      <c r="F2196" s="1059" t="str">
        <f>VLOOKUP($B2196,DG!A:D,DG!$C$2,)</f>
        <v>Choá đèn 73FS 10 + bóng OSAM-250W + tụ điện + ballast</v>
      </c>
      <c r="G2196" s="1047" t="str">
        <f>VLOOKUP($B2196,DG!A:D,DG!$D$2,)</f>
        <v>bộ</v>
      </c>
      <c r="H2196" s="1849">
        <f t="shared" si="393"/>
        <v>0</v>
      </c>
      <c r="I2196" s="1849"/>
      <c r="J2196" s="1849"/>
      <c r="K2196" s="1849"/>
      <c r="L2196" s="1849"/>
      <c r="M2196" s="1849"/>
      <c r="N2196" s="1849"/>
      <c r="O2196" s="1849"/>
      <c r="P2196" s="1845">
        <f t="shared" si="387"/>
        <v>0</v>
      </c>
      <c r="Q2196" s="1415"/>
      <c r="R2196" s="1415"/>
      <c r="S2196" s="1415"/>
      <c r="T2196" s="2059">
        <f t="shared" si="390"/>
        <v>0</v>
      </c>
    </row>
    <row r="2197" spans="1:20" ht="22.15" hidden="1" customHeight="1">
      <c r="A2197" s="59"/>
      <c r="B2197" s="1586" t="s">
        <v>2067</v>
      </c>
      <c r="C2197" s="1015" t="str">
        <f t="shared" si="392"/>
        <v xml:space="preserve"> </v>
      </c>
      <c r="D2197" s="1564"/>
      <c r="E2197" s="1418" t="str">
        <f>VLOOKUP($B2197,DG!A:D,DG!$B$2,)</f>
        <v>CS4.09.021</v>
      </c>
      <c r="F2197" s="1400" t="str">
        <f>VLOOKUP($B2197,DG!A:D,DG!$C$2,)</f>
        <v>Tủ điều khiển chiếu sáng</v>
      </c>
      <c r="G2197" s="1418" t="str">
        <f>VLOOKUP($B2197,DG!A:D,DG!$D$2,)</f>
        <v>cái</v>
      </c>
      <c r="H2197" s="1849">
        <f t="shared" si="393"/>
        <v>0</v>
      </c>
      <c r="I2197" s="1849"/>
      <c r="J2197" s="1849"/>
      <c r="K2197" s="1849"/>
      <c r="L2197" s="1849"/>
      <c r="M2197" s="1849"/>
      <c r="N2197" s="1849"/>
      <c r="O2197" s="1849"/>
      <c r="P2197" s="1845">
        <f t="shared" si="387"/>
        <v>0</v>
      </c>
      <c r="Q2197" s="1415"/>
      <c r="R2197" s="1415"/>
      <c r="S2197" s="1415"/>
      <c r="T2197" s="2059">
        <f t="shared" si="390"/>
        <v>0</v>
      </c>
    </row>
    <row r="2198" spans="1:20" ht="22.15" hidden="1" customHeight="1">
      <c r="A2198" s="59"/>
      <c r="B2198" s="1586" t="s">
        <v>2015</v>
      </c>
      <c r="C2198" s="1015" t="str">
        <f t="shared" si="392"/>
        <v xml:space="preserve"> </v>
      </c>
      <c r="D2198" s="1564">
        <f>D2197*12</f>
        <v>0</v>
      </c>
      <c r="E2198" s="1418"/>
      <c r="F2198" s="1400" t="str">
        <f>VLOOKUP($B2198,DG!A:D,DG!$C$2,)</f>
        <v>Ống PVC D60x2,8mm</v>
      </c>
      <c r="G2198" s="1418" t="str">
        <f>VLOOKUP($B2198,DG!A:D,DG!$D$2,)</f>
        <v>m</v>
      </c>
      <c r="H2198" s="1849">
        <f t="shared" si="393"/>
        <v>0</v>
      </c>
      <c r="I2198" s="1849"/>
      <c r="J2198" s="1849"/>
      <c r="K2198" s="1849"/>
      <c r="L2198" s="1849"/>
      <c r="M2198" s="1849"/>
      <c r="N2198" s="1849"/>
      <c r="O2198" s="1849"/>
      <c r="P2198" s="1845">
        <f t="shared" si="387"/>
        <v>0</v>
      </c>
      <c r="Q2198" s="1415"/>
      <c r="R2198" s="1415"/>
      <c r="S2198" s="1415"/>
      <c r="T2198" s="2059">
        <f t="shared" si="390"/>
        <v>0</v>
      </c>
    </row>
    <row r="2199" spans="1:20" ht="22.15" hidden="1" customHeight="1">
      <c r="A2199" s="59"/>
      <c r="B2199" s="1586" t="s">
        <v>1470</v>
      </c>
      <c r="C2199" s="1015" t="str">
        <f t="shared" si="392"/>
        <v xml:space="preserve"> </v>
      </c>
      <c r="D2199" s="1564">
        <f>D2197*6</f>
        <v>0</v>
      </c>
      <c r="E2199" s="1418">
        <f>VLOOKUP($B2199,DG!A:D,DG!$B$2,)</f>
        <v>0</v>
      </c>
      <c r="F2199" s="1400" t="str">
        <f>VLOOKUP($B2199,DG!A:D,DG!$C$2,)</f>
        <v>Co 90 độ PVC 60</v>
      </c>
      <c r="G2199" s="1418" t="str">
        <f>VLOOKUP($B2199,DG!A:D,DG!$D$2,)</f>
        <v>cái</v>
      </c>
      <c r="H2199" s="1849">
        <f t="shared" si="393"/>
        <v>0</v>
      </c>
      <c r="I2199" s="1849"/>
      <c r="J2199" s="1849"/>
      <c r="K2199" s="1849"/>
      <c r="L2199" s="1849"/>
      <c r="M2199" s="1849"/>
      <c r="N2199" s="1849"/>
      <c r="O2199" s="1849"/>
      <c r="P2199" s="1845">
        <f t="shared" si="387"/>
        <v>0</v>
      </c>
      <c r="Q2199" s="1415"/>
      <c r="R2199" s="1415"/>
      <c r="S2199" s="1415"/>
      <c r="T2199" s="2059">
        <f t="shared" si="390"/>
        <v>0</v>
      </c>
    </row>
    <row r="2200" spans="1:20" ht="22.15" hidden="1" customHeight="1">
      <c r="A2200" s="59"/>
      <c r="B2200" s="1586" t="s">
        <v>1370</v>
      </c>
      <c r="C2200" s="1015" t="str">
        <f t="shared" si="392"/>
        <v xml:space="preserve"> </v>
      </c>
      <c r="D2200" s="1564">
        <f>D2197*18</f>
        <v>0</v>
      </c>
      <c r="E2200" s="1418">
        <f>VLOOKUP($B2200,DG!A:D,DG!$B$2,)</f>
        <v>0</v>
      </c>
      <c r="F2200" s="1400" t="str">
        <f>VLOOKUP($B2200,DG!A:D,DG!$C$2,)</f>
        <v>Cáp C/XLPE/DSTA/PVC -0.6/1kV-3x50+35mm2</v>
      </c>
      <c r="G2200" s="1418" t="str">
        <f>VLOOKUP($B2200,DG!A:D,DG!$D$2,)</f>
        <v>mét</v>
      </c>
      <c r="H2200" s="1849">
        <f t="shared" si="393"/>
        <v>0</v>
      </c>
      <c r="I2200" s="1849"/>
      <c r="J2200" s="1849"/>
      <c r="K2200" s="1849"/>
      <c r="L2200" s="1849"/>
      <c r="M2200" s="1849"/>
      <c r="N2200" s="1849"/>
      <c r="O2200" s="1849"/>
      <c r="P2200" s="1845">
        <f t="shared" si="387"/>
        <v>0</v>
      </c>
      <c r="Q2200" s="1415"/>
      <c r="R2200" s="1415"/>
      <c r="S2200" s="1415"/>
      <c r="T2200" s="2059">
        <f t="shared" si="390"/>
        <v>0</v>
      </c>
    </row>
    <row r="2201" spans="1:20" ht="22.15" hidden="1" customHeight="1">
      <c r="A2201" s="59"/>
      <c r="B2201" s="1586" t="s">
        <v>1852</v>
      </c>
      <c r="C2201" s="1015" t="str">
        <f t="shared" si="392"/>
        <v xml:space="preserve"> </v>
      </c>
      <c r="D2201" s="1564">
        <f>D2197*4</f>
        <v>0</v>
      </c>
      <c r="E2201" s="1418">
        <f>VLOOKUP($B2201,DG!A:D,DG!$B$2,)</f>
        <v>0</v>
      </c>
      <c r="F2201" s="1400" t="str">
        <f>VLOOKUP($B2201,DG!A:D,DG!$C$2,)</f>
        <v>Đầu cáp ngầm hạ thế 3x50</v>
      </c>
      <c r="G2201" s="1418" t="str">
        <f>VLOOKUP($B2201,DG!A:D,DG!$D$2,)</f>
        <v>cái</v>
      </c>
      <c r="H2201" s="1849">
        <f t="shared" si="393"/>
        <v>0</v>
      </c>
      <c r="I2201" s="1849"/>
      <c r="J2201" s="1849"/>
      <c r="K2201" s="1849"/>
      <c r="L2201" s="1849"/>
      <c r="M2201" s="1849"/>
      <c r="N2201" s="1849"/>
      <c r="O2201" s="1849"/>
      <c r="P2201" s="1845">
        <f t="shared" si="387"/>
        <v>0</v>
      </c>
      <c r="Q2201" s="1415"/>
      <c r="R2201" s="1415"/>
      <c r="S2201" s="1415"/>
      <c r="T2201" s="2059">
        <f t="shared" si="390"/>
        <v>0</v>
      </c>
    </row>
    <row r="2202" spans="1:20" ht="22.15" hidden="1" customHeight="1">
      <c r="A2202" s="59"/>
      <c r="B2202" s="1586" t="s">
        <v>1352</v>
      </c>
      <c r="C2202" s="1015" t="str">
        <f t="shared" si="392"/>
        <v xml:space="preserve"> </v>
      </c>
      <c r="D2202" s="1564">
        <f>D2197*4</f>
        <v>0</v>
      </c>
      <c r="E2202" s="1418"/>
      <c r="F2202" s="1400" t="str">
        <f>VLOOKUP($B2202,DG!A:D,DG!$C$2,)&amp;": ñaáu noái töø löôùi ABC vaøo tuû"</f>
        <v>Ghíp nối IPC 150-50: ñaáu noái töø löôùi ABC vaøo tuû</v>
      </c>
      <c r="G2202" s="1418" t="str">
        <f>VLOOKUP($B2202,DG!A:D,DG!$D$2,)</f>
        <v>cái</v>
      </c>
      <c r="H2202" s="1845">
        <f t="shared" si="393"/>
        <v>0</v>
      </c>
      <c r="I2202" s="1845"/>
      <c r="J2202" s="1845"/>
      <c r="K2202" s="1845"/>
      <c r="L2202" s="1845"/>
      <c r="M2202" s="1845"/>
      <c r="N2202" s="1845"/>
      <c r="O2202" s="1845"/>
      <c r="P2202" s="1845">
        <f t="shared" si="387"/>
        <v>0</v>
      </c>
      <c r="Q2202" s="1056"/>
      <c r="R2202" s="1056"/>
      <c r="S2202" s="1056"/>
      <c r="T2202" s="2059">
        <f t="shared" si="390"/>
        <v>0</v>
      </c>
    </row>
    <row r="2203" spans="1:20" ht="22.15" hidden="1" customHeight="1">
      <c r="A2203" s="59"/>
      <c r="B2203" s="1586" t="s">
        <v>2220</v>
      </c>
      <c r="C2203" s="1015" t="str">
        <f t="shared" si="392"/>
        <v xml:space="preserve"> </v>
      </c>
      <c r="D2203" s="1564">
        <f>D2202</f>
        <v>0</v>
      </c>
      <c r="E2203" s="1418"/>
      <c r="F2203" s="1400" t="str">
        <f>VLOOKUP($B2203,DG!A:D,DG!$C$2,)&amp;": ñaáu noái töø tuû leân löôùi chieáu saùng"</f>
        <v>Ghíp nối IPC 50-35: ñaáu noái töø tuû leân löôùi chieáu saùng</v>
      </c>
      <c r="G2203" s="1418" t="str">
        <f>VLOOKUP($B2203,DG!A:D,DG!$D$2,)</f>
        <v>cái</v>
      </c>
      <c r="H2203" s="1845">
        <f t="shared" si="393"/>
        <v>0</v>
      </c>
      <c r="I2203" s="1845"/>
      <c r="J2203" s="1845"/>
      <c r="K2203" s="1845"/>
      <c r="L2203" s="1845"/>
      <c r="M2203" s="1845"/>
      <c r="N2203" s="1845"/>
      <c r="O2203" s="1845"/>
      <c r="P2203" s="1845">
        <f t="shared" si="387"/>
        <v>0</v>
      </c>
      <c r="Q2203" s="1056"/>
      <c r="R2203" s="1056"/>
      <c r="S2203" s="1056"/>
      <c r="T2203" s="2059">
        <f t="shared" si="390"/>
        <v>0</v>
      </c>
    </row>
    <row r="2204" spans="1:20" ht="22.15" hidden="1" customHeight="1">
      <c r="A2204" s="59"/>
      <c r="B2204" s="1586" t="s">
        <v>821</v>
      </c>
      <c r="C2204" s="1015" t="str">
        <f t="shared" si="392"/>
        <v xml:space="preserve"> </v>
      </c>
      <c r="D2204" s="1544">
        <f>D2203*6</f>
        <v>0</v>
      </c>
      <c r="E2204" s="1047" t="str">
        <f>VLOOKUP($B2204,DG!A:D,DG!$B$2,)</f>
        <v>03.4001</v>
      </c>
      <c r="F2204" s="1059" t="str">
        <f>VLOOKUP($B2204,DG!A:D,DG!$C$2,)</f>
        <v>Đầu cosse ép Cu-Al 16mm2</v>
      </c>
      <c r="G2204" s="1047" t="str">
        <f>VLOOKUP($B2204,DG!A:D,DG!$D$2,)</f>
        <v>cái</v>
      </c>
      <c r="H2204" s="1845">
        <f t="shared" si="393"/>
        <v>0</v>
      </c>
      <c r="I2204" s="1845"/>
      <c r="J2204" s="1845"/>
      <c r="K2204" s="1845"/>
      <c r="L2204" s="1845"/>
      <c r="M2204" s="1845"/>
      <c r="N2204" s="1845"/>
      <c r="O2204" s="1845"/>
      <c r="P2204" s="1845">
        <f t="shared" si="387"/>
        <v>0</v>
      </c>
      <c r="Q2204" s="1056"/>
      <c r="R2204" s="1056"/>
      <c r="S2204" s="1056"/>
      <c r="T2204" s="2059">
        <f t="shared" si="390"/>
        <v>0</v>
      </c>
    </row>
    <row r="2205" spans="1:20" ht="22.15" hidden="1" customHeight="1">
      <c r="A2205" s="59"/>
      <c r="B2205" s="1586" t="s">
        <v>1871</v>
      </c>
      <c r="C2205" s="1015" t="str">
        <f t="shared" si="392"/>
        <v xml:space="preserve"> </v>
      </c>
      <c r="D2205" s="1544">
        <f>4*D2193+D2194*2+D2195*2</f>
        <v>0</v>
      </c>
      <c r="E2205" s="1047"/>
      <c r="F2205" s="1059" t="str">
        <f>VLOOKUP($B2205,DG!A:D,DG!$C$2,)</f>
        <v xml:space="preserve">Đầu cosse ép Cu 2,5mm2 + bao PVC </v>
      </c>
      <c r="G2205" s="1047" t="str">
        <f>VLOOKUP($B2205,DG!A:D,DG!$D$2,)</f>
        <v>cái</v>
      </c>
      <c r="H2205" s="1845">
        <f t="shared" si="393"/>
        <v>0</v>
      </c>
      <c r="I2205" s="1845"/>
      <c r="J2205" s="1845"/>
      <c r="K2205" s="1845"/>
      <c r="L2205" s="1845"/>
      <c r="M2205" s="1845"/>
      <c r="N2205" s="1845"/>
      <c r="O2205" s="1845"/>
      <c r="P2205" s="1845">
        <f t="shared" si="387"/>
        <v>0</v>
      </c>
      <c r="Q2205" s="1056"/>
      <c r="R2205" s="1056"/>
      <c r="S2205" s="1056"/>
      <c r="T2205" s="2059">
        <f t="shared" si="390"/>
        <v>0</v>
      </c>
    </row>
    <row r="2206" spans="1:20" ht="22.15" hidden="1" customHeight="1">
      <c r="A2206" s="59"/>
      <c r="B2206" s="1586" t="s">
        <v>971</v>
      </c>
      <c r="C2206" s="1015" t="str">
        <f t="shared" si="392"/>
        <v xml:space="preserve"> </v>
      </c>
      <c r="D2206" s="1544">
        <f>D2193*2+D2194</f>
        <v>0</v>
      </c>
      <c r="E2206" s="1047">
        <f>VLOOKUP($B2206,DG!A:D,DG!$B$2,)</f>
        <v>0</v>
      </c>
      <c r="F2206" s="1059" t="str">
        <f>VLOOKUP($B2206,DG!A:D,DG!$C$2,)</f>
        <v>Cầu chì nhựa trong nhà 5A+ chì 5A</v>
      </c>
      <c r="G2206" s="1047" t="str">
        <f>VLOOKUP($B2206,DG!A:D,DG!$D$2,)</f>
        <v>cái</v>
      </c>
      <c r="H2206" s="1845">
        <f t="shared" si="393"/>
        <v>0</v>
      </c>
      <c r="I2206" s="1845"/>
      <c r="J2206" s="1845"/>
      <c r="K2206" s="1845"/>
      <c r="L2206" s="1845"/>
      <c r="M2206" s="1845"/>
      <c r="N2206" s="1845"/>
      <c r="O2206" s="1845"/>
      <c r="P2206" s="1845">
        <f t="shared" si="387"/>
        <v>0</v>
      </c>
      <c r="Q2206" s="1056"/>
      <c r="R2206" s="1056"/>
      <c r="S2206" s="1056"/>
      <c r="T2206" s="2059">
        <f t="shared" si="390"/>
        <v>0</v>
      </c>
    </row>
    <row r="2207" spans="1:20" ht="22.15" hidden="1" customHeight="1">
      <c r="A2207" s="59"/>
      <c r="B2207" s="1586" t="s">
        <v>622</v>
      </c>
      <c r="C2207" s="1015" t="str">
        <f t="shared" si="392"/>
        <v xml:space="preserve"> </v>
      </c>
      <c r="D2207" s="1544">
        <f>D2209</f>
        <v>0</v>
      </c>
      <c r="E2207" s="1047">
        <f>VLOOKUP($B2207,DG!A:D,DG!$B$2,)</f>
        <v>0</v>
      </c>
      <c r="F2207" s="1059" t="str">
        <f>VLOOKUP($B2207,DG!A:D,DG!$C$2,)</f>
        <v>Tấm bakelit hay nhựa cách điện 600V (200x60x6)</v>
      </c>
      <c r="G2207" s="1047" t="str">
        <f>VLOOKUP($B2207,DG!A:D,DG!$D$2,)</f>
        <v>cái</v>
      </c>
      <c r="H2207" s="1845">
        <f t="shared" si="393"/>
        <v>0</v>
      </c>
      <c r="I2207" s="1845"/>
      <c r="J2207" s="1845"/>
      <c r="K2207" s="1845"/>
      <c r="L2207" s="1845"/>
      <c r="M2207" s="1845"/>
      <c r="N2207" s="1845"/>
      <c r="O2207" s="1845"/>
      <c r="P2207" s="1845">
        <f t="shared" si="387"/>
        <v>0</v>
      </c>
      <c r="Q2207" s="1056"/>
      <c r="R2207" s="1056"/>
      <c r="S2207" s="1056"/>
      <c r="T2207" s="2059">
        <f t="shared" si="390"/>
        <v>0</v>
      </c>
    </row>
    <row r="2208" spans="1:20" ht="22.15" hidden="1" customHeight="1">
      <c r="A2208" s="59"/>
      <c r="B2208" s="1586" t="s">
        <v>918</v>
      </c>
      <c r="C2208" s="1015" t="str">
        <f t="shared" si="392"/>
        <v xml:space="preserve"> </v>
      </c>
      <c r="D2208" s="1544">
        <f>D2207*4</f>
        <v>0</v>
      </c>
      <c r="E2208" s="1047">
        <f>VLOOKUP($B2208,DG!A:D,DG!$B$2,)</f>
        <v>0</v>
      </c>
      <c r="F2208" s="1059" t="str">
        <f>VLOOKUP($B2208,DG!A:D,DG!$C$2,)</f>
        <v>Boulon thau 12x50 + 2 long đền vuông D14-50x50x3/Zn</v>
      </c>
      <c r="G2208" s="1047" t="str">
        <f>VLOOKUP($B2208,DG!A:D,DG!$D$2,)</f>
        <v>bộ</v>
      </c>
      <c r="H2208" s="1845">
        <f t="shared" si="393"/>
        <v>0</v>
      </c>
      <c r="I2208" s="1845"/>
      <c r="J2208" s="1845"/>
      <c r="K2208" s="1845"/>
      <c r="L2208" s="1845"/>
      <c r="M2208" s="1845"/>
      <c r="N2208" s="1845"/>
      <c r="O2208" s="1845"/>
      <c r="P2208" s="1845">
        <f t="shared" si="387"/>
        <v>0</v>
      </c>
      <c r="Q2208" s="1056"/>
      <c r="R2208" s="1056"/>
      <c r="S2208" s="1056"/>
      <c r="T2208" s="2059">
        <f t="shared" si="390"/>
        <v>0</v>
      </c>
    </row>
    <row r="2209" spans="1:20" ht="22.15" hidden="1" customHeight="1">
      <c r="A2209" s="59"/>
      <c r="B2209" s="1586" t="s">
        <v>1513</v>
      </c>
      <c r="C2209" s="1015" t="str">
        <f t="shared" si="392"/>
        <v xml:space="preserve"> </v>
      </c>
      <c r="D2209" s="1544"/>
      <c r="E2209" s="1047">
        <f>VLOOKUP($B2209,DG!A:D,DG!$B$2,)</f>
        <v>0</v>
      </c>
      <c r="F2209" s="1059" t="str">
        <f>VLOOKUP($B2209,DG!A:D,DG!$C$2,)</f>
        <v>Cọc tiếp đất Þ 16- 2,4m + kẹp cọc mạ đồng</v>
      </c>
      <c r="G2209" s="1047" t="str">
        <f>VLOOKUP($B2209,DG!A:D,DG!$D$2,)</f>
        <v>bộ</v>
      </c>
      <c r="H2209" s="1845">
        <f t="shared" si="393"/>
        <v>0</v>
      </c>
      <c r="I2209" s="1845"/>
      <c r="J2209" s="1845"/>
      <c r="K2209" s="1845"/>
      <c r="L2209" s="1845"/>
      <c r="M2209" s="1845"/>
      <c r="N2209" s="1845"/>
      <c r="O2209" s="1845"/>
      <c r="P2209" s="1845">
        <f t="shared" si="387"/>
        <v>0</v>
      </c>
      <c r="Q2209" s="1056"/>
      <c r="R2209" s="1056"/>
      <c r="S2209" s="1056"/>
      <c r="T2209" s="2059">
        <f t="shared" si="390"/>
        <v>0</v>
      </c>
    </row>
    <row r="2210" spans="1:20" ht="22.15" hidden="1" customHeight="1">
      <c r="A2210" s="59"/>
      <c r="B2210" s="1586" t="s">
        <v>2068</v>
      </c>
      <c r="C2210" s="1015" t="str">
        <f t="shared" si="392"/>
        <v xml:space="preserve"> </v>
      </c>
      <c r="D2210" s="1544">
        <f>PPHTCS!BB69</f>
        <v>0</v>
      </c>
      <c r="E2210" s="1047">
        <f>VLOOKUP($B2210,DG!A:D,DG!$B$2,)</f>
        <v>0</v>
      </c>
      <c r="F2210" s="1059" t="str">
        <f>VLOOKUP($B2210,DG!A:D,DG!$C$2,)</f>
        <v>Kẹp treo cáp ABC4x35mm2</v>
      </c>
      <c r="G2210" s="1047" t="str">
        <f>VLOOKUP($B2210,DG!A:D,DG!$D$2,)</f>
        <v>cái</v>
      </c>
      <c r="H2210" s="1845">
        <f t="shared" si="393"/>
        <v>0</v>
      </c>
      <c r="I2210" s="1845"/>
      <c r="J2210" s="1845"/>
      <c r="K2210" s="1845"/>
      <c r="L2210" s="1845"/>
      <c r="M2210" s="1845"/>
      <c r="N2210" s="1845"/>
      <c r="O2210" s="1845"/>
      <c r="P2210" s="1845">
        <f t="shared" ref="P2210:P2273" si="394">H2210+Q2210-R2210</f>
        <v>0</v>
      </c>
      <c r="Q2210" s="1056"/>
      <c r="R2210" s="1056"/>
      <c r="S2210" s="1056"/>
      <c r="T2210" s="2059">
        <f t="shared" si="390"/>
        <v>0</v>
      </c>
    </row>
    <row r="2211" spans="1:20" ht="22.15" hidden="1" customHeight="1">
      <c r="A2211" s="59"/>
      <c r="B2211" s="1586" t="s">
        <v>2069</v>
      </c>
      <c r="C2211" s="1015" t="str">
        <f t="shared" si="392"/>
        <v xml:space="preserve"> </v>
      </c>
      <c r="D2211" s="1544">
        <f>PPHTCS!BE69</f>
        <v>0</v>
      </c>
      <c r="E2211" s="1047">
        <f>VLOOKUP($B2211,DG!A:D,DG!$B$2,)</f>
        <v>0</v>
      </c>
      <c r="F2211" s="1059" t="str">
        <f>VLOOKUP($B2211,DG!A:D,DG!$C$2,)</f>
        <v>Kẹp ngừng cáp ABC4x35mm2</v>
      </c>
      <c r="G2211" s="1047" t="str">
        <f>VLOOKUP($B2211,DG!A:D,DG!$D$2,)</f>
        <v>cái</v>
      </c>
      <c r="H2211" s="1845">
        <f t="shared" si="393"/>
        <v>0</v>
      </c>
      <c r="I2211" s="1845"/>
      <c r="J2211" s="1845"/>
      <c r="K2211" s="1845"/>
      <c r="L2211" s="1845"/>
      <c r="M2211" s="1845"/>
      <c r="N2211" s="1845"/>
      <c r="O2211" s="1845"/>
      <c r="P2211" s="1845">
        <f t="shared" si="394"/>
        <v>0</v>
      </c>
      <c r="Q2211" s="1056"/>
      <c r="R2211" s="1056"/>
      <c r="S2211" s="1056"/>
      <c r="T2211" s="2059">
        <f t="shared" si="390"/>
        <v>0</v>
      </c>
    </row>
    <row r="2212" spans="1:20" ht="22.15" hidden="1" customHeight="1">
      <c r="A2212" s="59"/>
      <c r="B2212" s="1586" t="s">
        <v>1068</v>
      </c>
      <c r="C2212" s="1015" t="str">
        <f t="shared" si="392"/>
        <v xml:space="preserve"> </v>
      </c>
      <c r="D2212" s="1564"/>
      <c r="E2212" s="1418"/>
      <c r="F2212" s="1400" t="str">
        <f>VLOOKUP($B2212,DG!A:D,DG!$C$2,)&amp;": ñaáu reõ nhaùnh truï 15"</f>
        <v>Ghíp nối IPC 35-35: ñaáu reõ nhaùnh truï 15</v>
      </c>
      <c r="G2212" s="1418" t="str">
        <f>VLOOKUP($B2212,DG!A:D,DG!$D$2,)</f>
        <v>cái</v>
      </c>
      <c r="H2212" s="1845">
        <f t="shared" si="393"/>
        <v>0</v>
      </c>
      <c r="I2212" s="1845"/>
      <c r="J2212" s="1845"/>
      <c r="K2212" s="1845"/>
      <c r="L2212" s="1845"/>
      <c r="M2212" s="1845"/>
      <c r="N2212" s="1845"/>
      <c r="O2212" s="1845"/>
      <c r="P2212" s="1845">
        <f t="shared" si="394"/>
        <v>0</v>
      </c>
      <c r="Q2212" s="1056"/>
      <c r="R2212" s="1056"/>
      <c r="S2212" s="1056"/>
      <c r="T2212" s="2059">
        <f t="shared" si="390"/>
        <v>0</v>
      </c>
    </row>
    <row r="2213" spans="1:20" ht="22.15" hidden="1" customHeight="1">
      <c r="A2213" s="59"/>
      <c r="B2213" s="1586" t="s">
        <v>1740</v>
      </c>
      <c r="C2213" s="1015" t="str">
        <f t="shared" si="392"/>
        <v xml:space="preserve"> </v>
      </c>
      <c r="D2213" s="1544">
        <f>PPHTCS!BK69</f>
        <v>0</v>
      </c>
      <c r="E2213" s="1047">
        <f>VLOOKUP($B2213,DG!A:D,DG!$B$2,)</f>
        <v>0</v>
      </c>
      <c r="F2213" s="1059" t="str">
        <f>VLOOKUP($B2213,DG!A:D,DG!$C$2,)</f>
        <v>Móc treo chữ A</v>
      </c>
      <c r="G2213" s="1047" t="str">
        <f>VLOOKUP($B2213,DG!A:D,DG!$D$2,)</f>
        <v>cái</v>
      </c>
      <c r="H2213" s="1845">
        <f t="shared" si="393"/>
        <v>0</v>
      </c>
      <c r="I2213" s="1845"/>
      <c r="J2213" s="1845"/>
      <c r="K2213" s="1845"/>
      <c r="L2213" s="1845"/>
      <c r="M2213" s="1845"/>
      <c r="N2213" s="1845"/>
      <c r="O2213" s="1845"/>
      <c r="P2213" s="1845">
        <f t="shared" si="394"/>
        <v>0</v>
      </c>
      <c r="Q2213" s="1056"/>
      <c r="R2213" s="1056"/>
      <c r="S2213" s="1056"/>
      <c r="T2213" s="2059">
        <f t="shared" si="390"/>
        <v>0</v>
      </c>
    </row>
    <row r="2214" spans="1:20" ht="22.15" hidden="1" customHeight="1">
      <c r="A2214" s="59"/>
      <c r="B2214" s="1586" t="s">
        <v>2030</v>
      </c>
      <c r="C2214" s="1015" t="str">
        <f t="shared" si="392"/>
        <v xml:space="preserve"> </v>
      </c>
      <c r="D2214" s="1544">
        <f>PPHTCS!BJ69</f>
        <v>0</v>
      </c>
      <c r="E2214" s="1047">
        <f>VLOOKUP($B2214,DG!A:D,DG!$B$2,)</f>
        <v>0</v>
      </c>
      <c r="F2214" s="1059" t="str">
        <f>VLOOKUP($B2214,DG!A:D,DG!$C$2,)</f>
        <v xml:space="preserve">Móc đơn treo cáp </v>
      </c>
      <c r="G2214" s="1047" t="str">
        <f>VLOOKUP($B2214,DG!A:D,DG!$D$2,)</f>
        <v>cái</v>
      </c>
      <c r="H2214" s="1845">
        <f t="shared" si="393"/>
        <v>0</v>
      </c>
      <c r="I2214" s="1845"/>
      <c r="J2214" s="1845"/>
      <c r="K2214" s="1845"/>
      <c r="L2214" s="1845"/>
      <c r="M2214" s="1845"/>
      <c r="N2214" s="1845"/>
      <c r="O2214" s="1845"/>
      <c r="P2214" s="1845">
        <f t="shared" si="394"/>
        <v>0</v>
      </c>
      <c r="Q2214" s="1056"/>
      <c r="R2214" s="1056"/>
      <c r="S2214" s="1056"/>
      <c r="T2214" s="2059">
        <f t="shared" si="390"/>
        <v>0</v>
      </c>
    </row>
    <row r="2215" spans="1:20" ht="22.15" hidden="1" customHeight="1">
      <c r="A2215" s="59"/>
      <c r="B2215" s="1586" t="s">
        <v>853</v>
      </c>
      <c r="C2215" s="1015" t="str">
        <f t="shared" si="392"/>
        <v xml:space="preserve"> </v>
      </c>
      <c r="D2215" s="1544">
        <f>PPHTCS!AO69</f>
        <v>0</v>
      </c>
      <c r="E2215" s="1047">
        <f>VLOOKUP($B2215,DG!A:D,DG!$B$2,)</f>
        <v>0</v>
      </c>
      <c r="F2215" s="1059" t="str">
        <f>VLOOKUP($B2215,DG!A:D,DG!$C$2,)</f>
        <v>Boulon móc 16x250+ long đền vuông D18-50x50x3/Zn</v>
      </c>
      <c r="G2215" s="1047" t="str">
        <f>VLOOKUP($B2215,DG!A:D,DG!$D$2,)</f>
        <v>bộ</v>
      </c>
      <c r="H2215" s="1845">
        <f t="shared" si="393"/>
        <v>0</v>
      </c>
      <c r="I2215" s="1845"/>
      <c r="J2215" s="1845"/>
      <c r="K2215" s="1845"/>
      <c r="L2215" s="1845"/>
      <c r="M2215" s="1845"/>
      <c r="N2215" s="1845"/>
      <c r="O2215" s="1845"/>
      <c r="P2215" s="1845">
        <f t="shared" si="394"/>
        <v>0</v>
      </c>
      <c r="Q2215" s="1056"/>
      <c r="R2215" s="1056"/>
      <c r="S2215" s="1056"/>
      <c r="T2215" s="2059">
        <f t="shared" si="390"/>
        <v>0</v>
      </c>
    </row>
    <row r="2216" spans="1:20" ht="22.15" hidden="1" customHeight="1">
      <c r="A2216" s="59"/>
      <c r="B2216" s="1586" t="s">
        <v>854</v>
      </c>
      <c r="C2216" s="1015" t="str">
        <f t="shared" si="392"/>
        <v xml:space="preserve"> </v>
      </c>
      <c r="D2216" s="1544">
        <f>PPHTCS!AP69</f>
        <v>0</v>
      </c>
      <c r="E2216" s="1047">
        <f>VLOOKUP($B2216,DG!A:D,DG!$B$2,)</f>
        <v>0</v>
      </c>
      <c r="F2216" s="1059" t="str">
        <f>VLOOKUP($B2216,DG!A:D,DG!$C$2,)</f>
        <v>Boulon móc 16x300+ long đền vuông D18-50x50x3/Zn</v>
      </c>
      <c r="G2216" s="1047" t="str">
        <f>VLOOKUP($B2216,DG!A:D,DG!$D$2,)</f>
        <v>bộ</v>
      </c>
      <c r="H2216" s="1845">
        <f t="shared" si="393"/>
        <v>0</v>
      </c>
      <c r="I2216" s="1845"/>
      <c r="J2216" s="1845"/>
      <c r="K2216" s="1845"/>
      <c r="L2216" s="1845"/>
      <c r="M2216" s="1845"/>
      <c r="N2216" s="1845"/>
      <c r="O2216" s="1845"/>
      <c r="P2216" s="1845">
        <f t="shared" si="394"/>
        <v>0</v>
      </c>
      <c r="Q2216" s="1056"/>
      <c r="R2216" s="1056"/>
      <c r="S2216" s="1056"/>
      <c r="T2216" s="2059">
        <f t="shared" si="390"/>
        <v>0</v>
      </c>
    </row>
    <row r="2217" spans="1:20" ht="22.15" hidden="1" customHeight="1">
      <c r="A2217" s="59"/>
      <c r="B2217" s="1586" t="s">
        <v>2208</v>
      </c>
      <c r="C2217" s="1015" t="str">
        <f t="shared" si="392"/>
        <v xml:space="preserve"> </v>
      </c>
      <c r="D2217" s="1541">
        <f>PPHTCS!BH69</f>
        <v>0</v>
      </c>
      <c r="E2217" s="1047"/>
      <c r="F2217" s="1059" t="str">
        <f>VLOOKUP($B2217,DG!A:D,DG!$C$2,)</f>
        <v xml:space="preserve">Cổ dê trụ đôi 8,4m bắt móc dừng </v>
      </c>
      <c r="G2217" s="1047" t="str">
        <f>VLOOKUP($B2217,DG!A:D,DG!$D$2,)</f>
        <v>bộ</v>
      </c>
      <c r="H2217" s="1845">
        <f t="shared" si="393"/>
        <v>0</v>
      </c>
      <c r="I2217" s="1845"/>
      <c r="J2217" s="1845"/>
      <c r="K2217" s="1845"/>
      <c r="L2217" s="1845"/>
      <c r="M2217" s="1845"/>
      <c r="N2217" s="1845"/>
      <c r="O2217" s="1845"/>
      <c r="P2217" s="1845">
        <f t="shared" si="394"/>
        <v>0</v>
      </c>
      <c r="Q2217" s="1056"/>
      <c r="R2217" s="1056"/>
      <c r="S2217" s="1056"/>
      <c r="T2217" s="2059">
        <f t="shared" si="390"/>
        <v>0</v>
      </c>
    </row>
    <row r="2218" spans="1:20" ht="22.15" hidden="1" customHeight="1">
      <c r="A2218" s="59"/>
      <c r="B2218" s="1586" t="s">
        <v>1472</v>
      </c>
      <c r="C2218" s="1015" t="str">
        <f t="shared" si="392"/>
        <v xml:space="preserve"> </v>
      </c>
      <c r="D2218" s="1541">
        <f>PPHTCS!BI69</f>
        <v>0</v>
      </c>
      <c r="E2218" s="1047">
        <f>VLOOKUP($B2218,DG!A:D,DG!$B$2,)</f>
        <v>0</v>
      </c>
      <c r="F2218" s="1059" t="str">
        <f>VLOOKUP($B2218,DG!A:D,DG!$C$2,)</f>
        <v xml:space="preserve">Móc dừng </v>
      </c>
      <c r="G2218" s="1047" t="str">
        <f>VLOOKUP($B2218,DG!A:D,DG!$D$2,)</f>
        <v>cái</v>
      </c>
      <c r="H2218" s="1845">
        <f t="shared" si="393"/>
        <v>0</v>
      </c>
      <c r="I2218" s="1845"/>
      <c r="J2218" s="1845"/>
      <c r="K2218" s="1845"/>
      <c r="L2218" s="1845"/>
      <c r="M2218" s="1845"/>
      <c r="N2218" s="1845"/>
      <c r="O2218" s="1845"/>
      <c r="P2218" s="1845">
        <f t="shared" si="394"/>
        <v>0</v>
      </c>
      <c r="Q2218" s="1056"/>
      <c r="R2218" s="1056"/>
      <c r="S2218" s="1056"/>
      <c r="T2218" s="2059">
        <f t="shared" si="390"/>
        <v>0</v>
      </c>
    </row>
    <row r="2219" spans="1:20" ht="22.15" hidden="1" customHeight="1">
      <c r="A2219" s="59"/>
      <c r="B2219" s="1586" t="s">
        <v>194</v>
      </c>
      <c r="C2219" s="1015" t="str">
        <f t="shared" si="392"/>
        <v xml:space="preserve"> </v>
      </c>
      <c r="D2219" s="1547">
        <f>PPHTCS!BL69</f>
        <v>0</v>
      </c>
      <c r="E2219" s="1047">
        <f>VLOOKUP($B2219,DG!A:D,DG!$B$2,)</f>
        <v>0</v>
      </c>
      <c r="F2219" s="1059" t="str">
        <f>VLOOKUP($B2219,DG!A:D,DG!$C$2,)&amp;": ñaáu noái löôùi hieän höõu"</f>
        <v>Kẹp U bolt dây 50mm2: ñaáu noái löôùi hieän höõu</v>
      </c>
      <c r="G2219" s="1047" t="str">
        <f>VLOOKUP($B2219,DG!A:D,DG!$D$2,)</f>
        <v>cái</v>
      </c>
      <c r="H2219" s="1845">
        <f t="shared" si="393"/>
        <v>0</v>
      </c>
      <c r="I2219" s="1845"/>
      <c r="J2219" s="1845"/>
      <c r="K2219" s="1845"/>
      <c r="L2219" s="1845"/>
      <c r="M2219" s="1845"/>
      <c r="N2219" s="1845"/>
      <c r="O2219" s="1845"/>
      <c r="P2219" s="1845">
        <f t="shared" si="394"/>
        <v>0</v>
      </c>
      <c r="Q2219" s="1056"/>
      <c r="R2219" s="1056"/>
      <c r="S2219" s="1056"/>
      <c r="T2219" s="2059">
        <f t="shared" si="390"/>
        <v>0</v>
      </c>
    </row>
    <row r="2220" spans="1:20" ht="22.15" hidden="1" customHeight="1">
      <c r="A2220" s="59"/>
      <c r="B2220" s="1586" t="s">
        <v>71</v>
      </c>
      <c r="C2220" s="1015" t="str">
        <f t="shared" si="392"/>
        <v xml:space="preserve"> </v>
      </c>
      <c r="D2220" s="1544"/>
      <c r="E2220" s="1047">
        <f>VLOOKUP($B2220,DG!A:D,DG!$B$2,)</f>
        <v>0</v>
      </c>
      <c r="F2220" s="1059" t="str">
        <f>VLOOKUP($B2220,DG!A:D,DG!$C$2,)</f>
        <v>ÔÁng sắt tráng kẽm D60</v>
      </c>
      <c r="G2220" s="1047" t="str">
        <f>VLOOKUP($B2220,DG!A:D,DG!$D$2,)</f>
        <v>mét</v>
      </c>
      <c r="H2220" s="1845">
        <f t="shared" si="393"/>
        <v>0</v>
      </c>
      <c r="I2220" s="1845"/>
      <c r="J2220" s="1845"/>
      <c r="K2220" s="1845"/>
      <c r="L2220" s="1845"/>
      <c r="M2220" s="1845"/>
      <c r="N2220" s="1845"/>
      <c r="O2220" s="1845"/>
      <c r="P2220" s="1845">
        <f t="shared" si="394"/>
        <v>0</v>
      </c>
      <c r="Q2220" s="1056"/>
      <c r="R2220" s="1056"/>
      <c r="S2220" s="1056"/>
      <c r="T2220" s="2059">
        <f t="shared" si="390"/>
        <v>0</v>
      </c>
    </row>
    <row r="2221" spans="1:20" ht="22.15" hidden="1" customHeight="1">
      <c r="A2221" s="59"/>
      <c r="B2221" s="1586" t="s">
        <v>2109</v>
      </c>
      <c r="C2221" s="1015" t="str">
        <f t="shared" si="392"/>
        <v xml:space="preserve"> </v>
      </c>
      <c r="D2221" s="1544"/>
      <c r="E2221" s="1047">
        <f>VLOOKUP($B2221,DG!A:D,DG!$B$2,)</f>
        <v>0</v>
      </c>
      <c r="F2221" s="1059" t="str">
        <f>VLOOKUP($B2221,DG!A:D,DG!$C$2,)</f>
        <v>ÔÁng sắt tráng kẽm D42</v>
      </c>
      <c r="G2221" s="1047" t="str">
        <f>VLOOKUP($B2221,DG!A:D,DG!$D$2,)</f>
        <v>mét</v>
      </c>
      <c r="H2221" s="1845">
        <f t="shared" si="393"/>
        <v>0</v>
      </c>
      <c r="I2221" s="1845"/>
      <c r="J2221" s="1845"/>
      <c r="K2221" s="1845"/>
      <c r="L2221" s="1845"/>
      <c r="M2221" s="1845"/>
      <c r="N2221" s="1845"/>
      <c r="O2221" s="1845"/>
      <c r="P2221" s="1845">
        <f t="shared" si="394"/>
        <v>0</v>
      </c>
      <c r="Q2221" s="1056"/>
      <c r="R2221" s="1056"/>
      <c r="S2221" s="1056"/>
      <c r="T2221" s="2059">
        <f t="shared" ref="T2221:T2284" si="395">IFERROR(HLOOKUP(B2221,BangKeTru,3,0),0)</f>
        <v>0</v>
      </c>
    </row>
    <row r="2222" spans="1:20" ht="22.15" hidden="1" customHeight="1">
      <c r="A2222" s="59"/>
      <c r="B2222" s="1586" t="s">
        <v>2015</v>
      </c>
      <c r="C2222" s="1015" t="str">
        <f t="shared" si="392"/>
        <v xml:space="preserve"> </v>
      </c>
      <c r="D2222" s="1544"/>
      <c r="E2222" s="1047" t="str">
        <f>VLOOKUP($B2222,DG!A:D,DG!$B$2,)</f>
        <v>07.2404</v>
      </c>
      <c r="F2222" s="1059" t="str">
        <f>VLOOKUP($B2222,DG!A:D,DG!$C$2,)</f>
        <v>Ống PVC D60x2,8mm</v>
      </c>
      <c r="G2222" s="1047" t="str">
        <f>VLOOKUP($B2222,DG!A:D,DG!$D$2,)</f>
        <v>m</v>
      </c>
      <c r="H2222" s="1845">
        <f t="shared" si="393"/>
        <v>0</v>
      </c>
      <c r="I2222" s="1845"/>
      <c r="J2222" s="1845"/>
      <c r="K2222" s="1845"/>
      <c r="L2222" s="1845"/>
      <c r="M2222" s="1845"/>
      <c r="N2222" s="1845"/>
      <c r="O2222" s="1845"/>
      <c r="P2222" s="1845">
        <f t="shared" si="394"/>
        <v>0</v>
      </c>
      <c r="Q2222" s="1056"/>
      <c r="R2222" s="1056"/>
      <c r="S2222" s="1056"/>
      <c r="T2222" s="2059">
        <f t="shared" si="395"/>
        <v>0</v>
      </c>
    </row>
    <row r="2223" spans="1:20" ht="22.15" hidden="1" customHeight="1">
      <c r="A2223" s="59"/>
      <c r="B2223" s="1586" t="s">
        <v>2149</v>
      </c>
      <c r="C2223" s="1015" t="str">
        <f t="shared" si="392"/>
        <v xml:space="preserve"> </v>
      </c>
      <c r="D2223" s="1544">
        <f>D2222</f>
        <v>0</v>
      </c>
      <c r="E2223" s="1047" t="str">
        <f>VLOOKUP($B2223,DG!A:D,DG!$B$2,)</f>
        <v>07.2403</v>
      </c>
      <c r="F2223" s="1059" t="str">
        <f>VLOOKUP($B2223,DG!A:D,DG!$C$2,)</f>
        <v>Ống PVC D42x2,1mm</v>
      </c>
      <c r="G2223" s="1047" t="str">
        <f>VLOOKUP($B2223,DG!A:D,DG!$D$2,)</f>
        <v>m</v>
      </c>
      <c r="H2223" s="1845">
        <f t="shared" si="393"/>
        <v>0</v>
      </c>
      <c r="I2223" s="1845"/>
      <c r="J2223" s="1845"/>
      <c r="K2223" s="1845"/>
      <c r="L2223" s="1845"/>
      <c r="M2223" s="1845"/>
      <c r="N2223" s="1845"/>
      <c r="O2223" s="1845"/>
      <c r="P2223" s="1845">
        <f t="shared" si="394"/>
        <v>0</v>
      </c>
      <c r="Q2223" s="1056"/>
      <c r="R2223" s="1056"/>
      <c r="S2223" s="1056"/>
      <c r="T2223" s="2059">
        <f t="shared" si="395"/>
        <v>0</v>
      </c>
    </row>
    <row r="2224" spans="1:20" ht="22.15" hidden="1" customHeight="1">
      <c r="A2224" s="59"/>
      <c r="B2224" s="1620" t="s">
        <v>1280</v>
      </c>
      <c r="C2224" s="1015" t="str">
        <f t="shared" si="392"/>
        <v xml:space="preserve"> </v>
      </c>
      <c r="D2224" s="1544">
        <f>D2222+D2198</f>
        <v>0</v>
      </c>
      <c r="E2224" s="1047" t="str">
        <f>VLOOKUP($B2224,DG!A:D,DG!$B$2,)</f>
        <v>07,2404</v>
      </c>
      <c r="F2224" s="1052" t="str">
        <f>VLOOKUP($B2224,DG!A:D,DG!$C$2,)</f>
        <v>Lắp ống PVC D60 (Nhân công đã qui đổi về ĐG chiếu sáng)</v>
      </c>
      <c r="G2224" s="1047" t="str">
        <f>VLOOKUP($B2224,DG!A:D,DG!$D$2,)</f>
        <v>mét</v>
      </c>
      <c r="H2224" s="1845">
        <f t="shared" si="393"/>
        <v>0</v>
      </c>
      <c r="I2224" s="1845"/>
      <c r="J2224" s="1845"/>
      <c r="K2224" s="1845"/>
      <c r="L2224" s="1845"/>
      <c r="M2224" s="1845"/>
      <c r="N2224" s="1845"/>
      <c r="O2224" s="1845"/>
      <c r="P2224" s="1845">
        <f t="shared" si="394"/>
        <v>0</v>
      </c>
      <c r="Q2224" s="1056"/>
      <c r="R2224" s="1056"/>
      <c r="S2224" s="1056"/>
      <c r="T2224" s="2059">
        <f t="shared" si="395"/>
        <v>0</v>
      </c>
    </row>
    <row r="2225" spans="1:20" ht="22.15" hidden="1" customHeight="1">
      <c r="A2225" s="59"/>
      <c r="B2225" s="1620" t="s">
        <v>1282</v>
      </c>
      <c r="C2225" s="1015" t="str">
        <f t="shared" si="392"/>
        <v xml:space="preserve"> </v>
      </c>
      <c r="D2225" s="1544">
        <f>D2220+D2221</f>
        <v>0</v>
      </c>
      <c r="E2225" s="1047" t="str">
        <f>VLOOKUP($B2225,DG!A:D,DG!$B$2,)</f>
        <v>07.2301</v>
      </c>
      <c r="F2225" s="1052" t="str">
        <f>VLOOKUP($B2225,DG!A:D,DG!$C$2,)</f>
        <v>Lắp ống sắt d&lt;120mm (Nhân công đã qui đổi về ĐG chiếu sáng)</v>
      </c>
      <c r="G2225" s="1047" t="str">
        <f>VLOOKUP($B2225,DG!A:D,DG!$D$2,)</f>
        <v>mét</v>
      </c>
      <c r="H2225" s="1845">
        <f t="shared" si="393"/>
        <v>0</v>
      </c>
      <c r="I2225" s="1845"/>
      <c r="J2225" s="1845"/>
      <c r="K2225" s="1845"/>
      <c r="L2225" s="1845"/>
      <c r="M2225" s="1845"/>
      <c r="N2225" s="1845"/>
      <c r="O2225" s="1845"/>
      <c r="P2225" s="1845">
        <f t="shared" si="394"/>
        <v>0</v>
      </c>
      <c r="Q2225" s="1056"/>
      <c r="R2225" s="1056"/>
      <c r="S2225" s="1056"/>
      <c r="T2225" s="2059">
        <f t="shared" si="395"/>
        <v>0</v>
      </c>
    </row>
    <row r="2226" spans="1:20" ht="22.15" hidden="1" customHeight="1">
      <c r="A2226" s="59"/>
      <c r="B2226" s="1620" t="s">
        <v>592</v>
      </c>
      <c r="C2226" s="1015" t="str">
        <f t="shared" si="392"/>
        <v xml:space="preserve"> </v>
      </c>
      <c r="D2226" s="1542">
        <f>(D2188+D2187+D2186)</f>
        <v>0</v>
      </c>
      <c r="E2226" s="1047" t="str">
        <f>VLOOKUP($B2226,DG!A:D,DG!$B$2,)</f>
        <v>CS4.02.011</v>
      </c>
      <c r="F2226" s="1052" t="str">
        <f>VLOOKUP($B2226,DG!A:D,DG!$C$2,)</f>
        <v>Kéo rải cáp chiếu sáng D&lt;25</v>
      </c>
      <c r="G2226" s="1047" t="str">
        <f>VLOOKUP($B2226,DG!A:D,DG!$D$2,)</f>
        <v>mét</v>
      </c>
      <c r="H2226" s="1845">
        <f t="shared" si="393"/>
        <v>0</v>
      </c>
      <c r="I2226" s="1845"/>
      <c r="J2226" s="1845"/>
      <c r="K2226" s="1845"/>
      <c r="L2226" s="1845"/>
      <c r="M2226" s="1845"/>
      <c r="N2226" s="1845"/>
      <c r="O2226" s="1845"/>
      <c r="P2226" s="1845">
        <f t="shared" si="394"/>
        <v>0</v>
      </c>
      <c r="Q2226" s="1056"/>
      <c r="R2226" s="1056"/>
      <c r="S2226" s="1056"/>
      <c r="T2226" s="2059">
        <f t="shared" si="395"/>
        <v>0</v>
      </c>
    </row>
    <row r="2227" spans="1:20" ht="22.15" hidden="1" customHeight="1">
      <c r="A2227" s="59"/>
      <c r="B2227" s="1620" t="s">
        <v>596</v>
      </c>
      <c r="C2227" s="1015" t="str">
        <f t="shared" si="392"/>
        <v xml:space="preserve"> </v>
      </c>
      <c r="D2227" s="1547">
        <f>D2201</f>
        <v>0</v>
      </c>
      <c r="E2227" s="1047" t="str">
        <f>VLOOKUP($B2227,DG!A:D,DG!$B$2,)</f>
        <v>CS4.03.010</v>
      </c>
      <c r="F2227" s="1052" t="str">
        <f>VLOOKUP($B2227,DG!A:D,DG!$C$2,)</f>
        <v>Lắp đầu cáp ngầm chiếu sáng</v>
      </c>
      <c r="G2227" s="1047" t="str">
        <f>VLOOKUP($B2227,DG!A:D,DG!$D$2,)</f>
        <v>bộ</v>
      </c>
      <c r="H2227" s="1845">
        <f t="shared" si="393"/>
        <v>0</v>
      </c>
      <c r="I2227" s="1845"/>
      <c r="J2227" s="1845"/>
      <c r="K2227" s="1845"/>
      <c r="L2227" s="1845"/>
      <c r="M2227" s="1845"/>
      <c r="N2227" s="1845"/>
      <c r="O2227" s="1845"/>
      <c r="P2227" s="1845">
        <f t="shared" si="394"/>
        <v>0</v>
      </c>
      <c r="Q2227" s="1056"/>
      <c r="R2227" s="1056"/>
      <c r="S2227" s="1056"/>
      <c r="T2227" s="2059">
        <f t="shared" si="395"/>
        <v>0</v>
      </c>
    </row>
    <row r="2228" spans="1:20" ht="22.15" hidden="1" customHeight="1">
      <c r="A2228" s="59"/>
      <c r="B2228" s="1620" t="s">
        <v>1851</v>
      </c>
      <c r="C2228" s="1015" t="str">
        <f t="shared" si="392"/>
        <v xml:space="preserve"> </v>
      </c>
      <c r="D2228" s="1547">
        <f>D2194+D2193</f>
        <v>0</v>
      </c>
      <c r="E2228" s="1047" t="str">
        <f>VLOOKUP($B2228,DG!A:D,DG!$B$2,)</f>
        <v>CS3.02.011</v>
      </c>
      <c r="F2228" s="1052" t="str">
        <f>VLOOKUP($B2228,DG!A:D,DG!$C$2,)</f>
        <v>Lắp cần đèn +  chụp đầu cột hạ thế ≤ 10,5m</v>
      </c>
      <c r="G2228" s="1047" t="str">
        <f>VLOOKUP($B2228,DG!A:D,DG!$D$2,)</f>
        <v>cái</v>
      </c>
      <c r="H2228" s="1845">
        <f t="shared" si="393"/>
        <v>0</v>
      </c>
      <c r="I2228" s="1845"/>
      <c r="J2228" s="1845"/>
      <c r="K2228" s="1845"/>
      <c r="L2228" s="1845"/>
      <c r="M2228" s="1845"/>
      <c r="N2228" s="1845"/>
      <c r="O2228" s="1845"/>
      <c r="P2228" s="1845">
        <f t="shared" si="394"/>
        <v>0</v>
      </c>
      <c r="Q2228" s="1056"/>
      <c r="R2228" s="1056"/>
      <c r="S2228" s="1056"/>
      <c r="T2228" s="2059">
        <f t="shared" si="395"/>
        <v>0</v>
      </c>
    </row>
    <row r="2229" spans="1:20" ht="22.15" hidden="1" customHeight="1">
      <c r="A2229" s="59"/>
      <c r="B2229" s="1620" t="s">
        <v>1174</v>
      </c>
      <c r="C2229" s="1015" t="str">
        <f t="shared" si="392"/>
        <v xml:space="preserve"> </v>
      </c>
      <c r="D2229" s="1547">
        <f>D2196</f>
        <v>0</v>
      </c>
      <c r="E2229" s="1047" t="str">
        <f>VLOOKUP($B2229,DG!A:D,DG!$B$2,)</f>
        <v>CS3.05.001</v>
      </c>
      <c r="F2229" s="1052" t="str">
        <f>VLOOKUP($B2229,DG!A:D,DG!$C$2,)</f>
        <v>Lắp chóa đèn chiếu sáng ≤ 12m</v>
      </c>
      <c r="G2229" s="1047" t="str">
        <f>VLOOKUP($B2229,DG!A:D,DG!$D$2,)</f>
        <v>bộ</v>
      </c>
      <c r="H2229" s="1845">
        <f t="shared" si="393"/>
        <v>0</v>
      </c>
      <c r="I2229" s="1845"/>
      <c r="J2229" s="1845"/>
      <c r="K2229" s="1845"/>
      <c r="L2229" s="1845"/>
      <c r="M2229" s="1845"/>
      <c r="N2229" s="1845"/>
      <c r="O2229" s="1845"/>
      <c r="P2229" s="1845">
        <f t="shared" si="394"/>
        <v>0</v>
      </c>
      <c r="Q2229" s="1056"/>
      <c r="R2229" s="1056"/>
      <c r="S2229" s="1056"/>
      <c r="T2229" s="2059">
        <f t="shared" si="395"/>
        <v>0</v>
      </c>
    </row>
    <row r="2230" spans="1:20" ht="22.15" hidden="1" customHeight="1">
      <c r="A2230" s="59"/>
      <c r="B2230" s="1620" t="s">
        <v>1690</v>
      </c>
      <c r="C2230" s="1015" t="str">
        <f t="shared" si="392"/>
        <v xml:space="preserve"> </v>
      </c>
      <c r="D2230" s="1544">
        <f>D2192+D2191</f>
        <v>0</v>
      </c>
      <c r="E2230" s="1047" t="str">
        <f>VLOOKUP($B2230,DG!A:D,DG!$B$2,)</f>
        <v>CS4.08.010</v>
      </c>
      <c r="F2230" s="1059" t="str">
        <f>VLOOKUP($B2230,DG!A:D,DG!$C$2,)</f>
        <v>Luồn dây lên đèn</v>
      </c>
      <c r="G2230" s="1047" t="str">
        <f>VLOOKUP($B2230,DG!A:D,DG!$D$2,)</f>
        <v>mét</v>
      </c>
      <c r="H2230" s="1845">
        <f t="shared" si="393"/>
        <v>0</v>
      </c>
      <c r="I2230" s="1845"/>
      <c r="J2230" s="1845"/>
      <c r="K2230" s="1845"/>
      <c r="L2230" s="1845"/>
      <c r="M2230" s="1845"/>
      <c r="N2230" s="1845"/>
      <c r="O2230" s="1845"/>
      <c r="P2230" s="1845">
        <f t="shared" si="394"/>
        <v>0</v>
      </c>
      <c r="Q2230" s="1056"/>
      <c r="R2230" s="1056"/>
      <c r="S2230" s="1056"/>
      <c r="T2230" s="2059">
        <f t="shared" si="395"/>
        <v>0</v>
      </c>
    </row>
    <row r="2231" spans="1:20" ht="22.15" hidden="1" customHeight="1">
      <c r="A2231" s="59"/>
      <c r="B2231" s="1620" t="s">
        <v>1125</v>
      </c>
      <c r="C2231" s="1015" t="str">
        <f t="shared" si="392"/>
        <v xml:space="preserve"> </v>
      </c>
      <c r="D2231" s="1544">
        <f>D2206</f>
        <v>0</v>
      </c>
      <c r="E2231" s="1047" t="str">
        <f>VLOOKUP($B2231,DG!A:D,DG!$B$2,)</f>
        <v>CS4.03.020</v>
      </c>
      <c r="F2231" s="1052" t="str">
        <f>VLOOKUP($B2231,DG!A:D,DG!$C$2,)</f>
        <v>Lắp cầu chì đuôi cá</v>
      </c>
      <c r="G2231" s="1047" t="str">
        <f>VLOOKUP($B2231,DG!A:D,DG!$D$2,)</f>
        <v>cái</v>
      </c>
      <c r="H2231" s="1845">
        <f t="shared" si="393"/>
        <v>0</v>
      </c>
      <c r="I2231" s="1845"/>
      <c r="J2231" s="1845"/>
      <c r="K2231" s="1845"/>
      <c r="L2231" s="1845"/>
      <c r="M2231" s="1845"/>
      <c r="N2231" s="1845"/>
      <c r="O2231" s="1845"/>
      <c r="P2231" s="1845">
        <f t="shared" si="394"/>
        <v>0</v>
      </c>
      <c r="Q2231" s="1056"/>
      <c r="R2231" s="1056"/>
      <c r="S2231" s="1056"/>
      <c r="T2231" s="2059">
        <f t="shared" si="395"/>
        <v>0</v>
      </c>
    </row>
    <row r="2232" spans="1:20" ht="22.15" hidden="1" customHeight="1">
      <c r="A2232" s="59"/>
      <c r="B2232" s="1620" t="s">
        <v>973</v>
      </c>
      <c r="C2232" s="1015" t="str">
        <f t="shared" si="392"/>
        <v xml:space="preserve"> </v>
      </c>
      <c r="D2232" s="1544">
        <f>D2207</f>
        <v>0</v>
      </c>
      <c r="E2232" s="1047">
        <f>VLOOKUP($B2232,DG!A:D,DG!$B$2,)</f>
        <v>0</v>
      </c>
      <c r="F2232" s="1052" t="str">
        <f>VLOOKUP($B2232,DG!A:D,DG!$C$2,)</f>
        <v>Lắp tấm bakelit</v>
      </c>
      <c r="G2232" s="1047">
        <f>VLOOKUP($B2232,DG!A:D,DG!$D$2,)</f>
        <v>0</v>
      </c>
      <c r="H2232" s="1845">
        <f t="shared" si="393"/>
        <v>0</v>
      </c>
      <c r="I2232" s="1845"/>
      <c r="J2232" s="1845"/>
      <c r="K2232" s="1845"/>
      <c r="L2232" s="1845"/>
      <c r="M2232" s="1845"/>
      <c r="N2232" s="1845"/>
      <c r="O2232" s="1845"/>
      <c r="P2232" s="1845">
        <f t="shared" si="394"/>
        <v>0</v>
      </c>
      <c r="Q2232" s="1056"/>
      <c r="R2232" s="1056"/>
      <c r="S2232" s="1056"/>
      <c r="T2232" s="2059">
        <f t="shared" si="395"/>
        <v>0</v>
      </c>
    </row>
    <row r="2233" spans="1:20" ht="22.15" hidden="1" customHeight="1">
      <c r="A2233" s="56" t="s">
        <v>1503</v>
      </c>
      <c r="B2233" s="1583" t="s">
        <v>1503</v>
      </c>
      <c r="C2233" s="1015" t="str">
        <f>IF(D2233&lt;&gt;0,"x"," ")</f>
        <v xml:space="preserve"> </v>
      </c>
      <c r="D2233" s="1565"/>
      <c r="E2233" s="1049" t="s">
        <v>1903</v>
      </c>
      <c r="F2233" s="1396" t="s">
        <v>2577</v>
      </c>
      <c r="G2233" s="1049"/>
      <c r="H2233" s="1843">
        <f>SUM(I2233:O2233)</f>
        <v>0</v>
      </c>
      <c r="I2233" s="1844"/>
      <c r="J2233" s="1844"/>
      <c r="K2233" s="1844"/>
      <c r="L2233" s="1844">
        <f>IFERROR(HLOOKUP(chitiet!B2233,pp1p!$1:$3,3,0),0)</f>
        <v>0</v>
      </c>
      <c r="M2233" s="1844"/>
      <c r="N2233" s="1844"/>
      <c r="O2233" s="1844"/>
      <c r="P2233" s="1845">
        <f t="shared" si="394"/>
        <v>0</v>
      </c>
      <c r="Q2233" s="1068"/>
      <c r="R2233" s="1068"/>
      <c r="S2233" s="1068"/>
      <c r="T2233" s="2059">
        <f t="shared" si="395"/>
        <v>0</v>
      </c>
    </row>
    <row r="2234" spans="1:20" ht="22.15" hidden="1" customHeight="1">
      <c r="A2234" s="59"/>
      <c r="B2234" s="1583">
        <v>0</v>
      </c>
      <c r="C2234" s="1015" t="str">
        <f t="shared" si="392"/>
        <v xml:space="preserve"> </v>
      </c>
      <c r="D2234" s="1557"/>
      <c r="E2234" s="1047" t="e">
        <f>VLOOKUP($B2234,DG!A:D,DG!$B$2,)</f>
        <v>#N/A</v>
      </c>
      <c r="F2234" s="1052" t="e">
        <f>VLOOKUP($B2234,DG!A:D,DG!$C$2,)</f>
        <v>#N/A</v>
      </c>
      <c r="G2234" s="1047" t="e">
        <f>VLOOKUP($B2234,DG!A:D,DG!$D$2,)</f>
        <v>#N/A</v>
      </c>
      <c r="H2234" s="1845">
        <f t="shared" ref="H2234:H2240" si="396">D2234</f>
        <v>0</v>
      </c>
      <c r="I2234" s="1845"/>
      <c r="J2234" s="1845">
        <f t="shared" ref="J2234:J2240" si="397">D2234</f>
        <v>0</v>
      </c>
      <c r="K2234" s="1845"/>
      <c r="L2234" s="1845"/>
      <c r="M2234" s="1845"/>
      <c r="N2234" s="1845"/>
      <c r="O2234" s="1845"/>
      <c r="P2234" s="1845">
        <f t="shared" si="394"/>
        <v>0</v>
      </c>
      <c r="Q2234" s="1056"/>
      <c r="R2234" s="1056"/>
      <c r="S2234" s="1056"/>
      <c r="T2234" s="2059">
        <f t="shared" si="395"/>
        <v>0</v>
      </c>
    </row>
    <row r="2235" spans="1:20" ht="22.15" hidden="1" customHeight="1">
      <c r="A2235" s="59"/>
      <c r="B2235" s="1583">
        <v>0</v>
      </c>
      <c r="C2235" s="1015" t="str">
        <f t="shared" si="392"/>
        <v xml:space="preserve"> </v>
      </c>
      <c r="D2235" s="1557"/>
      <c r="E2235" s="1047" t="e">
        <f>VLOOKUP($B2235,DG!A:D,DG!$B$2,)</f>
        <v>#N/A</v>
      </c>
      <c r="F2235" s="1052" t="e">
        <f>VLOOKUP($B2235,DG!A:D,DG!$C$2,)</f>
        <v>#N/A</v>
      </c>
      <c r="G2235" s="1047" t="e">
        <f>VLOOKUP($B2235,DG!A:D,DG!$D$2,)</f>
        <v>#N/A</v>
      </c>
      <c r="H2235" s="1845">
        <f t="shared" si="396"/>
        <v>0</v>
      </c>
      <c r="I2235" s="1845"/>
      <c r="J2235" s="1845">
        <f t="shared" si="397"/>
        <v>0</v>
      </c>
      <c r="K2235" s="1845"/>
      <c r="L2235" s="1845"/>
      <c r="M2235" s="1845"/>
      <c r="N2235" s="1845"/>
      <c r="O2235" s="1845"/>
      <c r="P2235" s="1845">
        <f t="shared" si="394"/>
        <v>0</v>
      </c>
      <c r="Q2235" s="1056"/>
      <c r="R2235" s="1056"/>
      <c r="S2235" s="1056"/>
      <c r="T2235" s="2059">
        <f t="shared" si="395"/>
        <v>0</v>
      </c>
    </row>
    <row r="2236" spans="1:20" ht="22.15" hidden="1" customHeight="1">
      <c r="A2236" s="59"/>
      <c r="B2236" s="1583">
        <v>0</v>
      </c>
      <c r="C2236" s="1015" t="str">
        <f t="shared" si="392"/>
        <v xml:space="preserve"> </v>
      </c>
      <c r="D2236" s="1557"/>
      <c r="E2236" s="1047" t="e">
        <f>VLOOKUP($B2236,DG!A:D,DG!$B$2,)</f>
        <v>#N/A</v>
      </c>
      <c r="F2236" s="1059" t="e">
        <f>VLOOKUP($B2236,DG!A:D,DG!$C$2,)</f>
        <v>#N/A</v>
      </c>
      <c r="G2236" s="1047" t="e">
        <f>VLOOKUP($B2236,DG!A:D,DG!$D$2,)</f>
        <v>#N/A</v>
      </c>
      <c r="H2236" s="1845">
        <f t="shared" si="396"/>
        <v>0</v>
      </c>
      <c r="I2236" s="1845"/>
      <c r="J2236" s="1845">
        <f t="shared" si="397"/>
        <v>0</v>
      </c>
      <c r="K2236" s="1845"/>
      <c r="L2236" s="1845"/>
      <c r="M2236" s="1845"/>
      <c r="N2236" s="1845"/>
      <c r="O2236" s="1845"/>
      <c r="P2236" s="1845">
        <f t="shared" si="394"/>
        <v>0</v>
      </c>
      <c r="Q2236" s="1056"/>
      <c r="R2236" s="1056"/>
      <c r="S2236" s="1056"/>
      <c r="T2236" s="2059">
        <f t="shared" si="395"/>
        <v>0</v>
      </c>
    </row>
    <row r="2237" spans="1:20" ht="22.15" hidden="1" customHeight="1">
      <c r="A2237" s="59"/>
      <c r="B2237" s="1583">
        <v>0</v>
      </c>
      <c r="C2237" s="1015" t="str">
        <f t="shared" ref="C2237:C2302" si="398">IF(OR(P2237&lt;&gt;0,H2237&lt;&gt;0),"x"," ")</f>
        <v xml:space="preserve"> </v>
      </c>
      <c r="D2237" s="1557"/>
      <c r="E2237" s="1047" t="e">
        <f>VLOOKUP($B2237,DG!A:D,DG!$B$2,)</f>
        <v>#N/A</v>
      </c>
      <c r="F2237" s="1052" t="e">
        <f>VLOOKUP($B2237,DG!A:D,DG!$C$2,)</f>
        <v>#N/A</v>
      </c>
      <c r="G2237" s="1047" t="e">
        <f>VLOOKUP($B2237,DG!A:D,DG!$D$2,)</f>
        <v>#N/A</v>
      </c>
      <c r="H2237" s="1845">
        <f t="shared" si="396"/>
        <v>0</v>
      </c>
      <c r="I2237" s="1845"/>
      <c r="J2237" s="1845">
        <f t="shared" si="397"/>
        <v>0</v>
      </c>
      <c r="K2237" s="1845"/>
      <c r="L2237" s="1845"/>
      <c r="M2237" s="1845"/>
      <c r="N2237" s="1845"/>
      <c r="O2237" s="1845"/>
      <c r="P2237" s="1845">
        <f t="shared" si="394"/>
        <v>0</v>
      </c>
      <c r="Q2237" s="1056"/>
      <c r="R2237" s="1056"/>
      <c r="S2237" s="1056"/>
      <c r="T2237" s="2059">
        <f t="shared" si="395"/>
        <v>0</v>
      </c>
    </row>
    <row r="2238" spans="1:20" ht="22.15" hidden="1" customHeight="1">
      <c r="A2238" s="59"/>
      <c r="B2238" s="1583">
        <v>0</v>
      </c>
      <c r="C2238" s="1015" t="str">
        <f t="shared" si="398"/>
        <v xml:space="preserve"> </v>
      </c>
      <c r="D2238" s="1557"/>
      <c r="E2238" s="1047" t="e">
        <f>VLOOKUP($B2238,DG!A:D,DG!$B$2,)</f>
        <v>#N/A</v>
      </c>
      <c r="F2238" s="1052" t="e">
        <f>VLOOKUP($B2238,DG!A:D,DG!$C$2,)</f>
        <v>#N/A</v>
      </c>
      <c r="G2238" s="1047" t="e">
        <f>VLOOKUP($B2238,DG!A:D,DG!$D$2,)</f>
        <v>#N/A</v>
      </c>
      <c r="H2238" s="1845">
        <f t="shared" si="396"/>
        <v>0</v>
      </c>
      <c r="I2238" s="1845"/>
      <c r="J2238" s="1845">
        <f t="shared" si="397"/>
        <v>0</v>
      </c>
      <c r="K2238" s="1845"/>
      <c r="L2238" s="1845"/>
      <c r="M2238" s="1845"/>
      <c r="N2238" s="1845"/>
      <c r="O2238" s="1845"/>
      <c r="P2238" s="1845">
        <f t="shared" si="394"/>
        <v>0</v>
      </c>
      <c r="Q2238" s="1056"/>
      <c r="R2238" s="1056"/>
      <c r="S2238" s="1056"/>
      <c r="T2238" s="2059">
        <f t="shared" si="395"/>
        <v>0</v>
      </c>
    </row>
    <row r="2239" spans="1:20" ht="22.15" hidden="1" customHeight="1">
      <c r="A2239" s="59"/>
      <c r="B2239" s="1583">
        <v>0</v>
      </c>
      <c r="C2239" s="1015" t="str">
        <f t="shared" si="398"/>
        <v xml:space="preserve"> </v>
      </c>
      <c r="D2239" s="1557"/>
      <c r="E2239" s="1047" t="e">
        <f>VLOOKUP($B2239,DG!A:D,DG!$B$2,)</f>
        <v>#N/A</v>
      </c>
      <c r="F2239" s="1052" t="e">
        <f>VLOOKUP($B2239,DG!A:D,DG!$C$2,)</f>
        <v>#N/A</v>
      </c>
      <c r="G2239" s="1047" t="e">
        <f>VLOOKUP($B2239,DG!A:D,DG!$D$2,)</f>
        <v>#N/A</v>
      </c>
      <c r="H2239" s="1845">
        <f t="shared" si="396"/>
        <v>0</v>
      </c>
      <c r="I2239" s="1845"/>
      <c r="J2239" s="1845">
        <f t="shared" si="397"/>
        <v>0</v>
      </c>
      <c r="K2239" s="1845"/>
      <c r="L2239" s="1845"/>
      <c r="M2239" s="1845"/>
      <c r="N2239" s="1845"/>
      <c r="O2239" s="1845"/>
      <c r="P2239" s="1845">
        <f t="shared" si="394"/>
        <v>0</v>
      </c>
      <c r="Q2239" s="1056"/>
      <c r="R2239" s="1056"/>
      <c r="S2239" s="1056"/>
      <c r="T2239" s="2059">
        <f t="shared" si="395"/>
        <v>0</v>
      </c>
    </row>
    <row r="2240" spans="1:20" ht="22.15" hidden="1" customHeight="1">
      <c r="A2240" s="59"/>
      <c r="B2240" s="1583">
        <v>0</v>
      </c>
      <c r="C2240" s="1015" t="str">
        <f t="shared" si="398"/>
        <v xml:space="preserve"> </v>
      </c>
      <c r="D2240" s="1557"/>
      <c r="E2240" s="1047" t="e">
        <f>VLOOKUP($B2240,DG!A:D,DG!$B$2,)</f>
        <v>#N/A</v>
      </c>
      <c r="F2240" s="1052" t="e">
        <f>VLOOKUP($B2240,DG!A:D,DG!$C$2,)</f>
        <v>#N/A</v>
      </c>
      <c r="G2240" s="1047" t="e">
        <f>VLOOKUP($B2240,DG!A:D,DG!$D$2,)</f>
        <v>#N/A</v>
      </c>
      <c r="H2240" s="1845">
        <f t="shared" si="396"/>
        <v>0</v>
      </c>
      <c r="I2240" s="1845"/>
      <c r="J2240" s="1845">
        <f t="shared" si="397"/>
        <v>0</v>
      </c>
      <c r="K2240" s="1845"/>
      <c r="L2240" s="1845"/>
      <c r="M2240" s="1845"/>
      <c r="N2240" s="1845"/>
      <c r="O2240" s="1845"/>
      <c r="P2240" s="1845">
        <f t="shared" si="394"/>
        <v>0</v>
      </c>
      <c r="Q2240" s="1056"/>
      <c r="R2240" s="1056"/>
      <c r="S2240" s="1056"/>
      <c r="T2240" s="2059">
        <f t="shared" si="395"/>
        <v>0</v>
      </c>
    </row>
    <row r="2241" spans="1:20" ht="22.15" hidden="1" customHeight="1">
      <c r="A2241" s="1018" t="s">
        <v>589</v>
      </c>
      <c r="B2241" s="1583" t="s">
        <v>589</v>
      </c>
      <c r="C2241" s="1015"/>
      <c r="D2241" s="1541">
        <f>IF(SUM(D2242:D2251)=0,0,1)</f>
        <v>0</v>
      </c>
      <c r="E2241" s="1049" t="s">
        <v>1906</v>
      </c>
      <c r="F2241" s="1396" t="s">
        <v>2578</v>
      </c>
      <c r="G2241" s="1049"/>
      <c r="H2241" s="1843">
        <f>SUM(I2241:O2241)</f>
        <v>0</v>
      </c>
      <c r="I2241" s="1844"/>
      <c r="J2241" s="1844"/>
      <c r="K2241" s="1844"/>
      <c r="L2241" s="1844">
        <f>IFERROR(HLOOKUP(chitiet!B2241,pp1p!$1:$3,3,0),0)</f>
        <v>0</v>
      </c>
      <c r="M2241" s="1844"/>
      <c r="N2241" s="1844"/>
      <c r="O2241" s="1844"/>
      <c r="P2241" s="1845">
        <f t="shared" si="394"/>
        <v>0</v>
      </c>
      <c r="Q2241" s="1068"/>
      <c r="R2241" s="1068"/>
      <c r="S2241" s="1068"/>
      <c r="T2241" s="2059">
        <f t="shared" si="395"/>
        <v>0</v>
      </c>
    </row>
    <row r="2242" spans="1:20" ht="22.15" hidden="1" customHeight="1">
      <c r="A2242" s="59"/>
      <c r="B2242" s="1593" t="s">
        <v>790</v>
      </c>
      <c r="C2242" s="1015" t="str">
        <f t="shared" si="398"/>
        <v xml:space="preserve"> </v>
      </c>
      <c r="D2242" s="1557">
        <f>+pp_NC!ED184</f>
        <v>0</v>
      </c>
      <c r="E2242" s="1047" t="str">
        <f>VLOOKUP($B2242,DG!A:D,DG!$B$2,)</f>
        <v>02.3104</v>
      </c>
      <c r="F2242" s="1059" t="str">
        <f>VLOOKUP($B2242,DG!A:D,DG!$C$2,)</f>
        <v>LTD 1P 24KV - 800A</v>
      </c>
      <c r="G2242" s="1047" t="str">
        <f>VLOOKUP($B2242,DG!A:D,DG!$D$2,)</f>
        <v>cái</v>
      </c>
      <c r="H2242" s="1845">
        <f t="shared" ref="H2242:H2251" si="399">D2242</f>
        <v>0</v>
      </c>
      <c r="I2242" s="1845"/>
      <c r="J2242" s="1845">
        <f t="shared" ref="J2242:J2251" si="400">D2242</f>
        <v>0</v>
      </c>
      <c r="K2242" s="1845"/>
      <c r="L2242" s="1845"/>
      <c r="M2242" s="1845"/>
      <c r="N2242" s="1845"/>
      <c r="O2242" s="1845"/>
      <c r="P2242" s="1845">
        <f t="shared" si="394"/>
        <v>0</v>
      </c>
      <c r="Q2242" s="1056"/>
      <c r="R2242" s="1056"/>
      <c r="S2242" s="1056"/>
      <c r="T2242" s="2059">
        <f t="shared" si="395"/>
        <v>0</v>
      </c>
    </row>
    <row r="2243" spans="1:20" ht="22.15" hidden="1" customHeight="1">
      <c r="A2243" s="59"/>
      <c r="B2243" s="1593" t="s">
        <v>4632</v>
      </c>
      <c r="C2243" s="1015" t="str">
        <f t="shared" si="398"/>
        <v xml:space="preserve"> </v>
      </c>
      <c r="D2243" s="1557">
        <f>pp_NC!EF184</f>
        <v>0</v>
      </c>
      <c r="E2243" s="1047" t="str">
        <f>VLOOKUP($B2243,DG!A:D,DG!$B$2,)</f>
        <v>02.3505</v>
      </c>
      <c r="F2243" s="1059" t="str">
        <f>VLOOKUP($B2243,DG!A:D,DG!$C$2,)</f>
        <v>LBFCO-24KV-200A</v>
      </c>
      <c r="G2243" s="1047" t="str">
        <f>VLOOKUP($B2243,DG!A:D,DG!$D$2,)</f>
        <v>cái</v>
      </c>
      <c r="H2243" s="1845">
        <f t="shared" si="399"/>
        <v>0</v>
      </c>
      <c r="I2243" s="1845"/>
      <c r="J2243" s="1845">
        <f t="shared" si="400"/>
        <v>0</v>
      </c>
      <c r="K2243" s="1845"/>
      <c r="L2243" s="1845"/>
      <c r="M2243" s="1845"/>
      <c r="N2243" s="1845"/>
      <c r="O2243" s="1845"/>
      <c r="P2243" s="1845">
        <f t="shared" si="394"/>
        <v>0</v>
      </c>
      <c r="Q2243" s="1056"/>
      <c r="R2243" s="1056"/>
      <c r="S2243" s="1056"/>
      <c r="T2243" s="2059">
        <f t="shared" si="395"/>
        <v>0</v>
      </c>
    </row>
    <row r="2244" spans="1:20" ht="22.15" hidden="1" customHeight="1">
      <c r="A2244" s="59"/>
      <c r="B2244" s="1593" t="s">
        <v>1658</v>
      </c>
      <c r="C2244" s="1015" t="str">
        <f t="shared" si="398"/>
        <v xml:space="preserve"> </v>
      </c>
      <c r="D2244" s="1557">
        <f>pp_NC!EG184</f>
        <v>0</v>
      </c>
      <c r="E2244" s="1047" t="str">
        <f>VLOOKUP($B2244,DG!A:D,DG!$B$2,)</f>
        <v>02.3505</v>
      </c>
      <c r="F2244" s="1059" t="str">
        <f>VLOOKUP($B2244,DG!A:D,DG!$C$2,)</f>
        <v xml:space="preserve">FCO 24KV - 200A </v>
      </c>
      <c r="G2244" s="1047" t="str">
        <f>VLOOKUP($B2244,DG!A:D,DG!$D$2,)</f>
        <v>cái</v>
      </c>
      <c r="H2244" s="1845">
        <f t="shared" si="399"/>
        <v>0</v>
      </c>
      <c r="I2244" s="1845"/>
      <c r="J2244" s="1845">
        <f t="shared" si="400"/>
        <v>0</v>
      </c>
      <c r="K2244" s="1845"/>
      <c r="L2244" s="1845"/>
      <c r="M2244" s="1845"/>
      <c r="N2244" s="1845"/>
      <c r="O2244" s="1845"/>
      <c r="P2244" s="1845">
        <f t="shared" si="394"/>
        <v>0</v>
      </c>
      <c r="Q2244" s="1056"/>
      <c r="R2244" s="1056"/>
      <c r="S2244" s="1056"/>
      <c r="T2244" s="2059">
        <f t="shared" si="395"/>
        <v>0</v>
      </c>
    </row>
    <row r="2245" spans="1:20" ht="22.15" hidden="1" customHeight="1">
      <c r="A2245" s="1017"/>
      <c r="B2245" s="1578" t="s">
        <v>1657</v>
      </c>
      <c r="C2245" s="1015" t="str">
        <f t="shared" si="398"/>
        <v xml:space="preserve"> </v>
      </c>
      <c r="D2245" s="1557">
        <f>pp_NC!EH184</f>
        <v>0</v>
      </c>
      <c r="E2245" s="1047" t="str">
        <f>VLOOKUP($B2245,DG!A:D,DG!$B$2,)</f>
        <v>02.3155</v>
      </c>
      <c r="F2245" s="1059" t="str">
        <f>VLOOKUP($B2245,DG!A:D,DG!$C$2,)</f>
        <v>FCO 27kV - 100A</v>
      </c>
      <c r="G2245" s="1047" t="str">
        <f>VLOOKUP($B2245,DG!A:D,DG!$D$2,)</f>
        <v>cái</v>
      </c>
      <c r="H2245" s="1845">
        <f t="shared" si="399"/>
        <v>0</v>
      </c>
      <c r="I2245" s="1845"/>
      <c r="J2245" s="1845">
        <f t="shared" si="400"/>
        <v>0</v>
      </c>
      <c r="K2245" s="1845"/>
      <c r="L2245" s="1845"/>
      <c r="M2245" s="1845"/>
      <c r="N2245" s="1845"/>
      <c r="O2245" s="1845"/>
      <c r="P2245" s="1845">
        <f t="shared" si="394"/>
        <v>0</v>
      </c>
      <c r="Q2245" s="1056"/>
      <c r="R2245" s="1056"/>
      <c r="S2245" s="1056"/>
      <c r="T2245" s="2059">
        <f t="shared" si="395"/>
        <v>0</v>
      </c>
    </row>
    <row r="2246" spans="1:20" ht="22.15" hidden="1" customHeight="1">
      <c r="A2246" s="1017"/>
      <c r="B2246" s="1592" t="s">
        <v>386</v>
      </c>
      <c r="C2246" s="1015" t="str">
        <f t="shared" si="398"/>
        <v xml:space="preserve"> </v>
      </c>
      <c r="D2246" s="1557"/>
      <c r="E2246" s="1047">
        <f>VLOOKUP($B2246,DG!A:D,DG!$B$2,)</f>
        <v>0</v>
      </c>
      <c r="F2246" s="1059" t="str">
        <f>VLOOKUP($B2246,DG!A:D,DG!$C$2,)</f>
        <v>Dây chảy 12K</v>
      </c>
      <c r="G2246" s="1047" t="str">
        <f>VLOOKUP($B2246,DG!A:D,DG!$D$2,)</f>
        <v>Sợi</v>
      </c>
      <c r="H2246" s="1845">
        <f t="shared" si="399"/>
        <v>0</v>
      </c>
      <c r="I2246" s="1845"/>
      <c r="J2246" s="1845">
        <f t="shared" si="400"/>
        <v>0</v>
      </c>
      <c r="K2246" s="1845"/>
      <c r="L2246" s="1845"/>
      <c r="M2246" s="1845"/>
      <c r="N2246" s="1845"/>
      <c r="O2246" s="1845"/>
      <c r="P2246" s="1845">
        <f t="shared" si="394"/>
        <v>0</v>
      </c>
      <c r="Q2246" s="1056"/>
      <c r="R2246" s="1056"/>
      <c r="S2246" s="1056"/>
      <c r="T2246" s="2059">
        <f t="shared" si="395"/>
        <v>0</v>
      </c>
    </row>
    <row r="2247" spans="1:20" ht="22.15" hidden="1" customHeight="1">
      <c r="A2247" s="1017"/>
      <c r="B2247" s="1592" t="s">
        <v>4373</v>
      </c>
      <c r="C2247" s="1015" t="str">
        <f t="shared" si="398"/>
        <v xml:space="preserve"> </v>
      </c>
      <c r="D2247" s="1557"/>
      <c r="E2247" s="1047">
        <f>VLOOKUP($B2247,DG!A:D,DG!$B$2,)</f>
        <v>0</v>
      </c>
      <c r="F2247" s="1059" t="str">
        <f>VLOOKUP($B2247,DG!A:D,DG!$C$2,)</f>
        <v>Chụp cách điện đầu cực FCO (trên + dưới)</v>
      </c>
      <c r="G2247" s="1047" t="str">
        <f>VLOOKUP($B2247,DG!A:D,DG!$D$2,)</f>
        <v>bộ</v>
      </c>
      <c r="H2247" s="1845">
        <f t="shared" si="399"/>
        <v>0</v>
      </c>
      <c r="I2247" s="1845"/>
      <c r="J2247" s="1845">
        <f t="shared" si="400"/>
        <v>0</v>
      </c>
      <c r="K2247" s="1845"/>
      <c r="L2247" s="1845"/>
      <c r="M2247" s="1845"/>
      <c r="N2247" s="1845"/>
      <c r="O2247" s="1845"/>
      <c r="P2247" s="1845">
        <f>H2247+Q2247-R2247</f>
        <v>0</v>
      </c>
      <c r="Q2247" s="1056"/>
      <c r="R2247" s="1056"/>
      <c r="S2247" s="1056"/>
      <c r="T2247" s="2059">
        <f t="shared" si="395"/>
        <v>0</v>
      </c>
    </row>
    <row r="2248" spans="1:20" ht="22.15" hidden="1" customHeight="1">
      <c r="A2248" s="59"/>
      <c r="B2248" s="1593" t="s">
        <v>446</v>
      </c>
      <c r="C2248" s="1015" t="str">
        <f t="shared" si="398"/>
        <v xml:space="preserve"> </v>
      </c>
      <c r="D2248" s="1557"/>
      <c r="E2248" s="1047" t="str">
        <f>VLOOKUP($B2248,DG!A:D,DG!$B$2,)</f>
        <v>02.3302</v>
      </c>
      <c r="F2248" s="1059" t="str">
        <f>VLOOKUP($B2248,DG!A:D,DG!$C$2,)</f>
        <v xml:space="preserve">DS 1P - 24KV - 600A </v>
      </c>
      <c r="G2248" s="1047" t="str">
        <f>VLOOKUP($B2248,DG!A:D,DG!$D$2,)</f>
        <v>bộ</v>
      </c>
      <c r="H2248" s="1845">
        <f t="shared" si="399"/>
        <v>0</v>
      </c>
      <c r="I2248" s="1845"/>
      <c r="J2248" s="1845">
        <f t="shared" si="400"/>
        <v>0</v>
      </c>
      <c r="K2248" s="1845"/>
      <c r="L2248" s="1845"/>
      <c r="M2248" s="1845"/>
      <c r="N2248" s="1845"/>
      <c r="O2248" s="1845"/>
      <c r="P2248" s="1845">
        <f t="shared" si="394"/>
        <v>0</v>
      </c>
      <c r="Q2248" s="1056"/>
      <c r="R2248" s="1056"/>
      <c r="S2248" s="1056"/>
      <c r="T2248" s="2059">
        <f t="shared" si="395"/>
        <v>0</v>
      </c>
    </row>
    <row r="2249" spans="1:20" ht="22.15" hidden="1" customHeight="1">
      <c r="A2249" s="59"/>
      <c r="B2249" s="1593" t="s">
        <v>1927</v>
      </c>
      <c r="C2249" s="1015" t="str">
        <f t="shared" si="398"/>
        <v xml:space="preserve"> </v>
      </c>
      <c r="D2249" s="1557">
        <f>pp_NC!EJ184</f>
        <v>0</v>
      </c>
      <c r="E2249" s="1047" t="str">
        <f>VLOOKUP($B2249,DG!A:D,DG!$B$2,)</f>
        <v>02.3302</v>
      </c>
      <c r="F2249" s="1059" t="str">
        <f>VLOOKUP($B2249,DG!A:D,DG!$C$2,)</f>
        <v xml:space="preserve">DS 3P - 24KV - 630A </v>
      </c>
      <c r="G2249" s="1047" t="str">
        <f>VLOOKUP($B2249,DG!A:D,DG!$D$2,)</f>
        <v>bộ</v>
      </c>
      <c r="H2249" s="1845">
        <f t="shared" si="399"/>
        <v>0</v>
      </c>
      <c r="I2249" s="1845"/>
      <c r="J2249" s="1845">
        <f t="shared" si="400"/>
        <v>0</v>
      </c>
      <c r="K2249" s="1845"/>
      <c r="L2249" s="1845"/>
      <c r="M2249" s="1845"/>
      <c r="N2249" s="1845"/>
      <c r="O2249" s="1845"/>
      <c r="P2249" s="1845">
        <f t="shared" si="394"/>
        <v>0</v>
      </c>
      <c r="Q2249" s="1056"/>
      <c r="R2249" s="1056"/>
      <c r="S2249" s="1056"/>
      <c r="T2249" s="2059">
        <f t="shared" si="395"/>
        <v>0</v>
      </c>
    </row>
    <row r="2250" spans="1:20" ht="22.15" hidden="1" customHeight="1">
      <c r="A2250" s="59"/>
      <c r="B2250" s="1593" t="s">
        <v>602</v>
      </c>
      <c r="C2250" s="1015" t="str">
        <f t="shared" si="398"/>
        <v xml:space="preserve"> </v>
      </c>
      <c r="D2250" s="1557"/>
      <c r="E2250" s="1047" t="str">
        <f>VLOOKUP($B2250,DG!A:D,DG!$B$2,)</f>
        <v>02.2124</v>
      </c>
      <c r="F2250" s="1059" t="str">
        <f>VLOOKUP($B2250,DG!A:D,DG!$C$2,)</f>
        <v>LBS SF6 3pha 24kV 630A - 16kA</v>
      </c>
      <c r="G2250" s="1047" t="str">
        <f>VLOOKUP($B2250,DG!A:D,DG!$D$2,)</f>
        <v>bộ</v>
      </c>
      <c r="H2250" s="1845">
        <f t="shared" si="399"/>
        <v>0</v>
      </c>
      <c r="I2250" s="1845"/>
      <c r="J2250" s="1845">
        <f t="shared" si="400"/>
        <v>0</v>
      </c>
      <c r="K2250" s="1845"/>
      <c r="L2250" s="1845"/>
      <c r="M2250" s="1845"/>
      <c r="N2250" s="1845"/>
      <c r="O2250" s="1845"/>
      <c r="P2250" s="1845">
        <f t="shared" si="394"/>
        <v>0</v>
      </c>
      <c r="Q2250" s="1056"/>
      <c r="R2250" s="1056"/>
      <c r="S2250" s="1056"/>
      <c r="T2250" s="2059">
        <f t="shared" si="395"/>
        <v>0</v>
      </c>
    </row>
    <row r="2251" spans="1:20" ht="22.15" hidden="1" customHeight="1">
      <c r="A2251" s="59"/>
      <c r="B2251" s="1593" t="s">
        <v>1918</v>
      </c>
      <c r="C2251" s="1015" t="str">
        <f t="shared" si="398"/>
        <v xml:space="preserve"> </v>
      </c>
      <c r="D2251" s="1557"/>
      <c r="E2251" s="1047" t="str">
        <f>VLOOKUP($B2251,DG!A:D,DG!$B$2,)</f>
        <v>02.2124</v>
      </c>
      <c r="F2251" s="1059" t="str">
        <f>VLOOKUP($B2251,DG!A:D,DG!$C$2,)</f>
        <v>Recloser 24kV 630-800A</v>
      </c>
      <c r="G2251" s="1047" t="str">
        <f>VLOOKUP($B2251,DG!A:D,DG!$D$2,)</f>
        <v>bộ</v>
      </c>
      <c r="H2251" s="1845">
        <f t="shared" si="399"/>
        <v>0</v>
      </c>
      <c r="I2251" s="1845"/>
      <c r="J2251" s="1845">
        <f t="shared" si="400"/>
        <v>0</v>
      </c>
      <c r="K2251" s="1845"/>
      <c r="L2251" s="1845"/>
      <c r="M2251" s="1845"/>
      <c r="N2251" s="1845"/>
      <c r="O2251" s="1845"/>
      <c r="P2251" s="1845">
        <f t="shared" si="394"/>
        <v>0</v>
      </c>
      <c r="Q2251" s="1056"/>
      <c r="R2251" s="1056"/>
      <c r="S2251" s="1056"/>
      <c r="T2251" s="2059">
        <f t="shared" si="395"/>
        <v>0</v>
      </c>
    </row>
    <row r="2252" spans="1:20" ht="22.15" hidden="1" customHeight="1">
      <c r="A2252" s="56" t="s">
        <v>1928</v>
      </c>
      <c r="B2252" s="1583" t="s">
        <v>1928</v>
      </c>
      <c r="C2252" s="1015" t="str">
        <f>IF(D2252&lt;&gt;0,"x"," ")</f>
        <v xml:space="preserve"> </v>
      </c>
      <c r="D2252" s="1541">
        <f>IF(SUM(D2253:D2262)=0,0,1)</f>
        <v>0</v>
      </c>
      <c r="E2252" s="1049" t="s">
        <v>1906</v>
      </c>
      <c r="F2252" s="1396" t="s">
        <v>2579</v>
      </c>
      <c r="G2252" s="1049"/>
      <c r="H2252" s="1843">
        <f>SUM(I2252:O2252)</f>
        <v>0</v>
      </c>
      <c r="I2252" s="1844"/>
      <c r="J2252" s="1844"/>
      <c r="K2252" s="1844"/>
      <c r="L2252" s="1844">
        <f>IFERROR(HLOOKUP(chitiet!B2252,pp1p!$1:$3,3,0),0)</f>
        <v>0</v>
      </c>
      <c r="M2252" s="1844"/>
      <c r="N2252" s="1844"/>
      <c r="O2252" s="1844"/>
      <c r="P2252" s="1845">
        <f t="shared" si="394"/>
        <v>0</v>
      </c>
      <c r="Q2252" s="1068"/>
      <c r="R2252" s="1068"/>
      <c r="S2252" s="1068"/>
      <c r="T2252" s="2059">
        <f t="shared" si="395"/>
        <v>0</v>
      </c>
    </row>
    <row r="2253" spans="1:20" ht="22.15" hidden="1" customHeight="1">
      <c r="A2253" s="59"/>
      <c r="B2253" s="1593" t="s">
        <v>790</v>
      </c>
      <c r="C2253" s="1015" t="str">
        <f t="shared" si="398"/>
        <v xml:space="preserve"> </v>
      </c>
      <c r="D2253" s="1558">
        <f>+'pp3p2m '!DM82</f>
        <v>0</v>
      </c>
      <c r="E2253" s="1047" t="str">
        <f>VLOOKUP($B2253,DG!A:D,DG!$B$2,)</f>
        <v>02.3104</v>
      </c>
      <c r="F2253" s="1059" t="str">
        <f>VLOOKUP($B2253,DG!A:D,DG!$C$2,)</f>
        <v>LTD 1P 24KV - 800A</v>
      </c>
      <c r="G2253" s="1047" t="str">
        <f>VLOOKUP($B2253,DG!A:D,DG!$D$2,)</f>
        <v>cái</v>
      </c>
      <c r="H2253" s="1846">
        <f t="shared" ref="H2253:H2262" si="401">D2253</f>
        <v>0</v>
      </c>
      <c r="I2253" s="1846">
        <f t="shared" ref="I2253:I2262" si="402">D2253</f>
        <v>0</v>
      </c>
      <c r="J2253" s="1846"/>
      <c r="K2253" s="1846"/>
      <c r="L2253" s="1846"/>
      <c r="M2253" s="1846"/>
      <c r="N2253" s="1846"/>
      <c r="O2253" s="1846"/>
      <c r="P2253" s="1845">
        <f t="shared" si="394"/>
        <v>0</v>
      </c>
      <c r="Q2253" s="1055"/>
      <c r="R2253" s="1055"/>
      <c r="S2253" s="1055"/>
      <c r="T2253" s="2059">
        <f t="shared" si="395"/>
        <v>0</v>
      </c>
    </row>
    <row r="2254" spans="1:20" ht="22.15" hidden="1" customHeight="1">
      <c r="A2254" s="59"/>
      <c r="B2254" s="1593" t="s">
        <v>2133</v>
      </c>
      <c r="C2254" s="1015" t="str">
        <f t="shared" si="398"/>
        <v xml:space="preserve"> </v>
      </c>
      <c r="D2254" s="1558"/>
      <c r="E2254" s="1047" t="str">
        <f>VLOOKUP($B2254,DG!A:D,DG!$B$2,)</f>
        <v>02.3505</v>
      </c>
      <c r="F2254" s="1059" t="str">
        <f>VLOOKUP($B2254,DG!A:D,DG!$C$2,)</f>
        <v>LBFCO-24KV-100A</v>
      </c>
      <c r="G2254" s="1047" t="str">
        <f>VLOOKUP($B2254,DG!A:D,DG!$D$2,)</f>
        <v>cái</v>
      </c>
      <c r="H2254" s="1846">
        <f t="shared" si="401"/>
        <v>0</v>
      </c>
      <c r="I2254" s="1846">
        <f t="shared" si="402"/>
        <v>0</v>
      </c>
      <c r="J2254" s="1846"/>
      <c r="K2254" s="1846"/>
      <c r="L2254" s="1846"/>
      <c r="M2254" s="1846"/>
      <c r="N2254" s="1846"/>
      <c r="O2254" s="1846"/>
      <c r="P2254" s="1845">
        <f t="shared" si="394"/>
        <v>0</v>
      </c>
      <c r="Q2254" s="1055"/>
      <c r="R2254" s="1055"/>
      <c r="S2254" s="1055"/>
      <c r="T2254" s="2059">
        <f t="shared" si="395"/>
        <v>0</v>
      </c>
    </row>
    <row r="2255" spans="1:20" ht="22.15" hidden="1" customHeight="1">
      <c r="A2255" s="59"/>
      <c r="B2255" s="1593" t="s">
        <v>1658</v>
      </c>
      <c r="C2255" s="1015" t="str">
        <f t="shared" si="398"/>
        <v xml:space="preserve"> </v>
      </c>
      <c r="D2255" s="1558"/>
      <c r="E2255" s="1047" t="str">
        <f>VLOOKUP($B2255,DG!A:D,DG!$B$2,)</f>
        <v>02.3505</v>
      </c>
      <c r="F2255" s="1059" t="str">
        <f>VLOOKUP($B2255,DG!A:D,DG!$C$2,)</f>
        <v xml:space="preserve">FCO 24KV - 200A </v>
      </c>
      <c r="G2255" s="1047" t="str">
        <f>VLOOKUP($B2255,DG!A:D,DG!$D$2,)</f>
        <v>cái</v>
      </c>
      <c r="H2255" s="1846">
        <f t="shared" si="401"/>
        <v>0</v>
      </c>
      <c r="I2255" s="1846">
        <f t="shared" si="402"/>
        <v>0</v>
      </c>
      <c r="J2255" s="1846"/>
      <c r="K2255" s="1846"/>
      <c r="L2255" s="1846"/>
      <c r="M2255" s="1846"/>
      <c r="N2255" s="1846"/>
      <c r="O2255" s="1846"/>
      <c r="P2255" s="1845">
        <f t="shared" si="394"/>
        <v>0</v>
      </c>
      <c r="Q2255" s="1055"/>
      <c r="R2255" s="1055"/>
      <c r="S2255" s="1055"/>
      <c r="T2255" s="2059">
        <f t="shared" si="395"/>
        <v>0</v>
      </c>
    </row>
    <row r="2256" spans="1:20" ht="22.15" hidden="1" customHeight="1">
      <c r="A2256" s="59"/>
      <c r="B2256" s="1578" t="s">
        <v>1657</v>
      </c>
      <c r="C2256" s="1015" t="str">
        <f t="shared" si="398"/>
        <v xml:space="preserve"> </v>
      </c>
      <c r="D2256" s="1558"/>
      <c r="E2256" s="1047" t="str">
        <f>VLOOKUP($B2256,DG!A:D,DG!$B$2,)</f>
        <v>02.3155</v>
      </c>
      <c r="F2256" s="1059" t="str">
        <f>VLOOKUP($B2256,DG!A:D,DG!$C$2,)</f>
        <v>FCO 27kV - 100A</v>
      </c>
      <c r="G2256" s="1047" t="str">
        <f>VLOOKUP($B2256,DG!A:D,DG!$D$2,)</f>
        <v>cái</v>
      </c>
      <c r="H2256" s="1846">
        <f t="shared" si="401"/>
        <v>0</v>
      </c>
      <c r="I2256" s="1846">
        <f t="shared" si="402"/>
        <v>0</v>
      </c>
      <c r="J2256" s="1846"/>
      <c r="K2256" s="1846"/>
      <c r="L2256" s="1846"/>
      <c r="M2256" s="1846"/>
      <c r="N2256" s="1846"/>
      <c r="O2256" s="1846"/>
      <c r="P2256" s="1845">
        <f t="shared" si="394"/>
        <v>0</v>
      </c>
      <c r="Q2256" s="1055"/>
      <c r="R2256" s="1055"/>
      <c r="S2256" s="1055"/>
      <c r="T2256" s="2059">
        <f t="shared" si="395"/>
        <v>0</v>
      </c>
    </row>
    <row r="2257" spans="1:20" ht="22.15" hidden="1" customHeight="1">
      <c r="A2257" s="59"/>
      <c r="B2257" s="1593" t="s">
        <v>446</v>
      </c>
      <c r="C2257" s="1015" t="str">
        <f t="shared" si="398"/>
        <v xml:space="preserve"> </v>
      </c>
      <c r="D2257" s="1558"/>
      <c r="E2257" s="1047" t="str">
        <f>VLOOKUP($B2257,DG!A:D,DG!$B$2,)</f>
        <v>02.3302</v>
      </c>
      <c r="F2257" s="1059" t="str">
        <f>VLOOKUP($B2257,DG!A:D,DG!$C$2,)</f>
        <v xml:space="preserve">DS 1P - 24KV - 600A </v>
      </c>
      <c r="G2257" s="1047" t="str">
        <f>VLOOKUP($B2257,DG!A:D,DG!$D$2,)</f>
        <v>bộ</v>
      </c>
      <c r="H2257" s="1846">
        <f t="shared" si="401"/>
        <v>0</v>
      </c>
      <c r="I2257" s="1846">
        <f t="shared" si="402"/>
        <v>0</v>
      </c>
      <c r="J2257" s="1846"/>
      <c r="K2257" s="1846"/>
      <c r="L2257" s="1846"/>
      <c r="M2257" s="1846"/>
      <c r="N2257" s="1846"/>
      <c r="O2257" s="1846"/>
      <c r="P2257" s="1845">
        <f t="shared" si="394"/>
        <v>0</v>
      </c>
      <c r="Q2257" s="1055"/>
      <c r="R2257" s="1055"/>
      <c r="S2257" s="1055"/>
      <c r="T2257" s="2059">
        <f t="shared" si="395"/>
        <v>0</v>
      </c>
    </row>
    <row r="2258" spans="1:20" ht="22.15" hidden="1" customHeight="1">
      <c r="A2258" s="59"/>
      <c r="B2258" s="1593" t="s">
        <v>393</v>
      </c>
      <c r="C2258" s="1015" t="str">
        <f t="shared" si="398"/>
        <v xml:space="preserve"> </v>
      </c>
      <c r="D2258" s="1558">
        <f>'pp3p2m '!DQ82</f>
        <v>0</v>
      </c>
      <c r="E2258" s="1047" t="str">
        <f>VLOOKUP($B2258,DG!A:D,DG!$B$2,)</f>
        <v>02.3302</v>
      </c>
      <c r="F2258" s="1059" t="str">
        <f>VLOOKUP($B2258,DG!A:D,DG!$C$2,)</f>
        <v xml:space="preserve">DS 3P - 24KV - 630A </v>
      </c>
      <c r="G2258" s="1047" t="str">
        <f>VLOOKUP($B2258,DG!A:D,DG!$D$2,)</f>
        <v>bộ</v>
      </c>
      <c r="H2258" s="1846">
        <f t="shared" si="401"/>
        <v>0</v>
      </c>
      <c r="I2258" s="1846">
        <f t="shared" si="402"/>
        <v>0</v>
      </c>
      <c r="J2258" s="1846"/>
      <c r="K2258" s="1846"/>
      <c r="L2258" s="1846"/>
      <c r="M2258" s="1846"/>
      <c r="N2258" s="1846"/>
      <c r="O2258" s="1846"/>
      <c r="P2258" s="1845">
        <f t="shared" si="394"/>
        <v>0</v>
      </c>
      <c r="Q2258" s="1055"/>
      <c r="R2258" s="1055"/>
      <c r="S2258" s="1055"/>
      <c r="T2258" s="2059">
        <f t="shared" si="395"/>
        <v>0</v>
      </c>
    </row>
    <row r="2259" spans="1:20" ht="22.15" hidden="1" customHeight="1">
      <c r="A2259" s="59"/>
      <c r="B2259" s="1593" t="s">
        <v>602</v>
      </c>
      <c r="C2259" s="1015" t="str">
        <f t="shared" si="398"/>
        <v xml:space="preserve"> </v>
      </c>
      <c r="D2259" s="1558"/>
      <c r="E2259" s="1047" t="str">
        <f>VLOOKUP($B2259,DG!A:D,DG!$B$2,)</f>
        <v>02.2124</v>
      </c>
      <c r="F2259" s="1059" t="str">
        <f>VLOOKUP($B2259,DG!A:D,DG!$C$2,)</f>
        <v>LBS SF6 3pha 24kV 630A - 16kA</v>
      </c>
      <c r="G2259" s="1047" t="str">
        <f>VLOOKUP($B2259,DG!A:D,DG!$D$2,)</f>
        <v>bộ</v>
      </c>
      <c r="H2259" s="1846">
        <f t="shared" si="401"/>
        <v>0</v>
      </c>
      <c r="I2259" s="1846">
        <f t="shared" si="402"/>
        <v>0</v>
      </c>
      <c r="J2259" s="1846"/>
      <c r="K2259" s="1846"/>
      <c r="L2259" s="1846"/>
      <c r="M2259" s="1846"/>
      <c r="N2259" s="1846"/>
      <c r="O2259" s="1846"/>
      <c r="P2259" s="1845">
        <f t="shared" si="394"/>
        <v>0</v>
      </c>
      <c r="Q2259" s="1055"/>
      <c r="R2259" s="1055"/>
      <c r="S2259" s="1055"/>
      <c r="T2259" s="2059">
        <f t="shared" si="395"/>
        <v>0</v>
      </c>
    </row>
    <row r="2260" spans="1:20" ht="22.15" hidden="1" customHeight="1">
      <c r="A2260" s="59"/>
      <c r="B2260" s="1593" t="s">
        <v>1918</v>
      </c>
      <c r="C2260" s="1015" t="str">
        <f t="shared" si="398"/>
        <v xml:space="preserve"> </v>
      </c>
      <c r="D2260" s="1558"/>
      <c r="E2260" s="1047" t="str">
        <f>VLOOKUP($B2260,DG!A:D,DG!$B$2,)</f>
        <v>02.2124</v>
      </c>
      <c r="F2260" s="1059" t="str">
        <f>VLOOKUP($B2260,DG!A:D,DG!$C$2,)</f>
        <v>Recloser 24kV 630-800A</v>
      </c>
      <c r="G2260" s="1047" t="str">
        <f>VLOOKUP($B2260,DG!A:D,DG!$D$2,)</f>
        <v>bộ</v>
      </c>
      <c r="H2260" s="1846">
        <f t="shared" si="401"/>
        <v>0</v>
      </c>
      <c r="I2260" s="1846">
        <f t="shared" si="402"/>
        <v>0</v>
      </c>
      <c r="J2260" s="1846"/>
      <c r="K2260" s="1846"/>
      <c r="L2260" s="1846"/>
      <c r="M2260" s="1846"/>
      <c r="N2260" s="1846"/>
      <c r="O2260" s="1846"/>
      <c r="P2260" s="1845">
        <f t="shared" si="394"/>
        <v>0</v>
      </c>
      <c r="Q2260" s="1055"/>
      <c r="R2260" s="1055"/>
      <c r="S2260" s="1055"/>
      <c r="T2260" s="2059">
        <f t="shared" si="395"/>
        <v>0</v>
      </c>
    </row>
    <row r="2261" spans="1:20" ht="22.15" hidden="1" customHeight="1">
      <c r="A2261" s="59"/>
      <c r="B2261" s="1593" t="s">
        <v>1378</v>
      </c>
      <c r="C2261" s="1015" t="str">
        <f t="shared" si="398"/>
        <v xml:space="preserve"> </v>
      </c>
      <c r="D2261" s="1558"/>
      <c r="E2261" s="1047" t="str">
        <f>VLOOKUP($B2261,DG!A:D,DG!$B$2,)</f>
        <v>02.5114</v>
      </c>
      <c r="F2261" s="1059" t="str">
        <f>VLOOKUP($B2261,DG!A:D,DG!$C$2,)</f>
        <v>Chống sét van LA-18KV-10KA</v>
      </c>
      <c r="G2261" s="1047" t="str">
        <f>VLOOKUP($B2261,DG!A:D,DG!$D$2,)</f>
        <v>cái</v>
      </c>
      <c r="H2261" s="1846">
        <f t="shared" si="401"/>
        <v>0</v>
      </c>
      <c r="I2261" s="1846">
        <f t="shared" si="402"/>
        <v>0</v>
      </c>
      <c r="J2261" s="1846"/>
      <c r="K2261" s="1846"/>
      <c r="L2261" s="1846"/>
      <c r="M2261" s="1846"/>
      <c r="N2261" s="1846"/>
      <c r="O2261" s="1846"/>
      <c r="P2261" s="1845">
        <f t="shared" si="394"/>
        <v>0</v>
      </c>
      <c r="Q2261" s="1055"/>
      <c r="R2261" s="1055"/>
      <c r="S2261" s="1055"/>
      <c r="T2261" s="2059">
        <f t="shared" si="395"/>
        <v>0</v>
      </c>
    </row>
    <row r="2262" spans="1:20" ht="22.15" hidden="1" customHeight="1">
      <c r="A2262" s="59"/>
      <c r="B2262" s="1593" t="s">
        <v>968</v>
      </c>
      <c r="C2262" s="1015" t="str">
        <f t="shared" si="398"/>
        <v xml:space="preserve"> </v>
      </c>
      <c r="D2262" s="1558"/>
      <c r="E2262" s="1047" t="str">
        <f>VLOOKUP($B2262,DG!A:D,DG!$B$2,)</f>
        <v>02.5114</v>
      </c>
      <c r="F2262" s="1059" t="str">
        <f>VLOOKUP($B2262,DG!A:D,DG!$C$2,)</f>
        <v>LA 12kV 10kA</v>
      </c>
      <c r="G2262" s="1047" t="str">
        <f>VLOOKUP($B2262,DG!A:D,DG!$D$2,)</f>
        <v>cái</v>
      </c>
      <c r="H2262" s="1846">
        <f t="shared" si="401"/>
        <v>0</v>
      </c>
      <c r="I2262" s="1846">
        <f t="shared" si="402"/>
        <v>0</v>
      </c>
      <c r="J2262" s="1846"/>
      <c r="K2262" s="1846"/>
      <c r="L2262" s="1846"/>
      <c r="M2262" s="1846"/>
      <c r="N2262" s="1846"/>
      <c r="O2262" s="1846"/>
      <c r="P2262" s="1845">
        <f t="shared" si="394"/>
        <v>0</v>
      </c>
      <c r="Q2262" s="1055"/>
      <c r="R2262" s="1055"/>
      <c r="S2262" s="1055"/>
      <c r="T2262" s="2059">
        <f t="shared" si="395"/>
        <v>0</v>
      </c>
    </row>
    <row r="2263" spans="1:20" ht="22.15" customHeight="1">
      <c r="A2263" s="1581" t="s">
        <v>1141</v>
      </c>
      <c r="B2263" s="1583" t="s">
        <v>1141</v>
      </c>
      <c r="C2263" s="1854" t="str">
        <f>IF(D2263&lt;&gt;0,"x"," ")</f>
        <v>x</v>
      </c>
      <c r="D2263" s="1541">
        <f>IF(SUM(D2264:D2283)=0,0,1)</f>
        <v>1</v>
      </c>
      <c r="E2263" s="1049" t="s">
        <v>1903</v>
      </c>
      <c r="F2263" s="1396" t="s">
        <v>2580</v>
      </c>
      <c r="G2263" s="1049"/>
      <c r="H2263" s="1843">
        <f>SUM(I2263:O2263)</f>
        <v>0</v>
      </c>
      <c r="I2263" s="1844"/>
      <c r="J2263" s="1844"/>
      <c r="K2263" s="1844"/>
      <c r="L2263" s="1844">
        <f>IFERROR(HLOOKUP(chitiet!B2263,pp1p!$1:$3,3,0),0)</f>
        <v>0</v>
      </c>
      <c r="M2263" s="1844"/>
      <c r="N2263" s="1844"/>
      <c r="O2263" s="1844"/>
      <c r="P2263" s="1845">
        <f t="shared" si="394"/>
        <v>0</v>
      </c>
      <c r="Q2263" s="1068"/>
      <c r="R2263" s="1068"/>
      <c r="S2263" s="1068"/>
      <c r="T2263" s="2059">
        <f t="shared" si="395"/>
        <v>0</v>
      </c>
    </row>
    <row r="2264" spans="1:20" ht="22.15" hidden="1" customHeight="1">
      <c r="A2264" s="59"/>
      <c r="B2264" s="1593" t="s">
        <v>790</v>
      </c>
      <c r="C2264" s="1015" t="str">
        <f t="shared" si="398"/>
        <v xml:space="preserve"> </v>
      </c>
      <c r="D2264" s="1566"/>
      <c r="E2264" s="1047" t="str">
        <f>VLOOKUP($B2264,DG!A:D,DG!$B$2,)</f>
        <v>02.3104</v>
      </c>
      <c r="F2264" s="1059" t="str">
        <f>VLOOKUP($B2264,DG!A:D,DG!$C$2,)</f>
        <v>LTD 1P 24KV - 800A</v>
      </c>
      <c r="G2264" s="1047" t="str">
        <f>VLOOKUP($B2264,DG!A:D,DG!$D$2,)</f>
        <v>cái</v>
      </c>
      <c r="H2264" s="1846">
        <f t="shared" ref="H2264:H2269" si="403">D2264</f>
        <v>0</v>
      </c>
      <c r="I2264" s="1846"/>
      <c r="J2264" s="1846"/>
      <c r="K2264" s="1846">
        <f>IFERROR(HLOOKUP(B2264,pp3p1m!$1:$3,2,0),0)</f>
        <v>0</v>
      </c>
      <c r="L2264" s="1846"/>
      <c r="M2264" s="1846"/>
      <c r="N2264" s="1846"/>
      <c r="O2264" s="1846"/>
      <c r="P2264" s="1845">
        <f t="shared" si="394"/>
        <v>0</v>
      </c>
      <c r="Q2264" s="1055"/>
      <c r="R2264" s="1055"/>
      <c r="S2264" s="1055"/>
      <c r="T2264" s="2059">
        <f>IFERROR(HLOOKUP(B2264,pp3p1m!$1:$3,3,0),0)</f>
        <v>0</v>
      </c>
    </row>
    <row r="2265" spans="1:20" ht="22.15" hidden="1" customHeight="1">
      <c r="A2265" s="59"/>
      <c r="B2265" s="1593" t="s">
        <v>2133</v>
      </c>
      <c r="C2265" s="1015" t="str">
        <f t="shared" si="398"/>
        <v xml:space="preserve"> </v>
      </c>
      <c r="D2265" s="1566"/>
      <c r="E2265" s="1047" t="str">
        <f>VLOOKUP($B2265,DG!A:D,DG!$B$2,)</f>
        <v>02.3505</v>
      </c>
      <c r="F2265" s="1059" t="str">
        <f>VLOOKUP($B2265,DG!A:D,DG!$C$2,)&amp;" : lắp trụ đo đếm"</f>
        <v>LBFCO-24KV-100A : lắp trụ đo đếm</v>
      </c>
      <c r="G2265" s="1047" t="str">
        <f>VLOOKUP($B2265,DG!A:D,DG!$D$2,)</f>
        <v>cái</v>
      </c>
      <c r="H2265" s="1846">
        <f t="shared" si="403"/>
        <v>0</v>
      </c>
      <c r="I2265" s="1846"/>
      <c r="J2265" s="1846"/>
      <c r="K2265" s="1846">
        <f>IFERROR(HLOOKUP(B2265,pp3p1m!$1:$3,2,0),0)</f>
        <v>0</v>
      </c>
      <c r="L2265" s="1846"/>
      <c r="M2265" s="1846"/>
      <c r="N2265" s="1846"/>
      <c r="O2265" s="1846"/>
      <c r="P2265" s="1845">
        <f t="shared" si="394"/>
        <v>0</v>
      </c>
      <c r="Q2265" s="1055"/>
      <c r="R2265" s="1055"/>
      <c r="S2265" s="1055"/>
      <c r="T2265" s="2059">
        <f>IFERROR(HLOOKUP(B2265,pp3p1m!$1:$3,3,0),0)</f>
        <v>0</v>
      </c>
    </row>
    <row r="2266" spans="1:20" ht="22.15" hidden="1" customHeight="1">
      <c r="A2266" s="59"/>
      <c r="B2266" s="1593" t="s">
        <v>591</v>
      </c>
      <c r="C2266" s="1015" t="str">
        <f t="shared" si="398"/>
        <v xml:space="preserve"> </v>
      </c>
      <c r="D2266" s="1566"/>
      <c r="E2266" s="1047">
        <f>VLOOKUP($B2266,DG!A:D,DG!$B$2,)</f>
        <v>0</v>
      </c>
      <c r="F2266" s="1059" t="str">
        <f>VLOOKUP($B2266,DG!A:D,DG!$C$2,)</f>
        <v>Dây chảy 80K</v>
      </c>
      <c r="G2266" s="1047" t="str">
        <f>VLOOKUP($B2266,DG!A:D,DG!$D$2,)</f>
        <v>Sợi</v>
      </c>
      <c r="H2266" s="1846">
        <f t="shared" si="403"/>
        <v>0</v>
      </c>
      <c r="I2266" s="1846"/>
      <c r="J2266" s="1846"/>
      <c r="K2266" s="1846">
        <f>IFERROR(HLOOKUP(B2266,pp3p1m!$1:$3,2,0),0)</f>
        <v>0</v>
      </c>
      <c r="L2266" s="1846"/>
      <c r="M2266" s="1846"/>
      <c r="N2266" s="1846"/>
      <c r="O2266" s="1846"/>
      <c r="P2266" s="1845">
        <f t="shared" si="394"/>
        <v>0</v>
      </c>
      <c r="Q2266" s="1055"/>
      <c r="R2266" s="1055"/>
      <c r="S2266" s="1055"/>
      <c r="T2266" s="2059">
        <f>IFERROR(HLOOKUP(B2266,pp3p1m!$1:$3,3,0),0)</f>
        <v>0</v>
      </c>
    </row>
    <row r="2267" spans="1:20" ht="22.15" hidden="1" customHeight="1">
      <c r="A2267" s="59"/>
      <c r="B2267" s="1593" t="s">
        <v>4632</v>
      </c>
      <c r="C2267" s="1015" t="str">
        <f t="shared" si="398"/>
        <v xml:space="preserve"> </v>
      </c>
      <c r="D2267" s="1566"/>
      <c r="E2267" s="1047" t="str">
        <f>VLOOKUP($B2267,DG!A:D,DG!$B$2,)</f>
        <v>02.3505</v>
      </c>
      <c r="F2267" s="1059" t="str">
        <f>VLOOKUP($B2267,DG!A:D,DG!$C$2,)&amp;" : lắp trụ đầu nhánh"</f>
        <v>LBFCO-24KV-200A : lắp trụ đầu nhánh</v>
      </c>
      <c r="G2267" s="1047" t="str">
        <f>VLOOKUP($B2267,DG!A:D,DG!$D$2,)</f>
        <v>cái</v>
      </c>
      <c r="H2267" s="1846">
        <f t="shared" si="403"/>
        <v>0</v>
      </c>
      <c r="I2267" s="1846"/>
      <c r="J2267" s="1846"/>
      <c r="K2267" s="1846">
        <f>IFERROR(HLOOKUP(B2267,pp3p1m!$1:$3,2,0),0)</f>
        <v>0</v>
      </c>
      <c r="L2267" s="1846"/>
      <c r="M2267" s="1846"/>
      <c r="N2267" s="1846"/>
      <c r="O2267" s="1846"/>
      <c r="P2267" s="1845">
        <f t="shared" si="394"/>
        <v>0</v>
      </c>
      <c r="Q2267" s="1055"/>
      <c r="R2267" s="1055"/>
      <c r="S2267" s="1055"/>
      <c r="T2267" s="2059">
        <f>IFERROR(HLOOKUP(B2267,pp3p1m!$1:$3,3,0),0)</f>
        <v>0</v>
      </c>
    </row>
    <row r="2268" spans="1:20" ht="22.15" hidden="1" customHeight="1">
      <c r="A2268" s="59"/>
      <c r="B2268" s="1593" t="s">
        <v>887</v>
      </c>
      <c r="C2268" s="1015" t="str">
        <f t="shared" si="398"/>
        <v xml:space="preserve"> </v>
      </c>
      <c r="D2268" s="1558"/>
      <c r="E2268" s="1047">
        <f>VLOOKUP($B2268,DG!A:D,DG!$B$2,)</f>
        <v>0</v>
      </c>
      <c r="F2268" s="1059" t="str">
        <f>VLOOKUP($B2268,DG!A:D,DG!$C$2,)</f>
        <v>Dây chảy 100K</v>
      </c>
      <c r="G2268" s="1047" t="str">
        <f>VLOOKUP($B2268,DG!A:D,DG!$D$2,)</f>
        <v>Sợi</v>
      </c>
      <c r="H2268" s="1846">
        <f t="shared" si="403"/>
        <v>0</v>
      </c>
      <c r="I2268" s="1846"/>
      <c r="J2268" s="1846"/>
      <c r="K2268" s="1846">
        <f>IFERROR(HLOOKUP(B2268,pp3p1m!$1:$3,2,0),0)</f>
        <v>0</v>
      </c>
      <c r="L2268" s="1846"/>
      <c r="M2268" s="1846"/>
      <c r="N2268" s="1846"/>
      <c r="O2268" s="1846"/>
      <c r="P2268" s="1845">
        <f t="shared" si="394"/>
        <v>0</v>
      </c>
      <c r="Q2268" s="1055"/>
      <c r="R2268" s="1055"/>
      <c r="S2268" s="1055"/>
      <c r="T2268" s="2059">
        <f>IFERROR(HLOOKUP(B2268,pp3p1m!$1:$3,3,0),0)</f>
        <v>0</v>
      </c>
    </row>
    <row r="2269" spans="1:20" ht="22.15" hidden="1" customHeight="1">
      <c r="A2269" s="59"/>
      <c r="B2269" s="1593" t="s">
        <v>1658</v>
      </c>
      <c r="C2269" s="1015" t="str">
        <f t="shared" si="398"/>
        <v xml:space="preserve"> </v>
      </c>
      <c r="D2269" s="1566"/>
      <c r="E2269" s="1047" t="str">
        <f>VLOOKUP($B2269,DG!A:D,DG!$B$2,)</f>
        <v>02.3505</v>
      </c>
      <c r="F2269" s="1059" t="str">
        <f>VLOOKUP($B2269,DG!A:D,DG!$C$2,)</f>
        <v xml:space="preserve">FCO 24KV - 200A </v>
      </c>
      <c r="G2269" s="1047" t="str">
        <f>VLOOKUP($B2269,DG!A:D,DG!$D$2,)</f>
        <v>cái</v>
      </c>
      <c r="H2269" s="1846">
        <f t="shared" si="403"/>
        <v>0</v>
      </c>
      <c r="I2269" s="1846"/>
      <c r="J2269" s="1846"/>
      <c r="K2269" s="1846">
        <f>IFERROR(HLOOKUP(B2269,pp3p1m!$1:$3,2,0),0)</f>
        <v>0</v>
      </c>
      <c r="L2269" s="1846"/>
      <c r="M2269" s="1846"/>
      <c r="N2269" s="1846"/>
      <c r="O2269" s="1846"/>
      <c r="P2269" s="1845">
        <f t="shared" si="394"/>
        <v>0</v>
      </c>
      <c r="Q2269" s="1055"/>
      <c r="R2269" s="1055"/>
      <c r="S2269" s="1055"/>
      <c r="T2269" s="2059">
        <f>IFERROR(HLOOKUP(B2269,pp3p1m!$1:$3,3,0),0)</f>
        <v>0</v>
      </c>
    </row>
    <row r="2270" spans="1:20" ht="22.15" customHeight="1">
      <c r="B2270" s="1579" t="s">
        <v>1657</v>
      </c>
      <c r="C2270" s="1854" t="str">
        <f t="shared" si="398"/>
        <v>x</v>
      </c>
      <c r="D2270" s="1566">
        <f>H2270</f>
        <v>3</v>
      </c>
      <c r="E2270" s="1047" t="str">
        <f>VLOOKUP($B2270,DG!A:D,DG!$B$2,)</f>
        <v>02.3155</v>
      </c>
      <c r="F2270" s="1059" t="str">
        <f>VLOOKUP($B2270,DG!A:D,DG!$C$2,)</f>
        <v>FCO 27kV - 100A</v>
      </c>
      <c r="G2270" s="1047" t="str">
        <f>VLOOKUP($B2270,DG!A:D,DG!$D$2,)</f>
        <v>cái</v>
      </c>
      <c r="H2270" s="1846">
        <f>K2270</f>
        <v>3</v>
      </c>
      <c r="I2270" s="1846"/>
      <c r="J2270" s="1846"/>
      <c r="K2270" s="1846">
        <f>IFERROR(HLOOKUP(B2270,pp3p1m!$1:$3,2,0),0)</f>
        <v>3</v>
      </c>
      <c r="L2270" s="1846"/>
      <c r="M2270" s="1846"/>
      <c r="N2270" s="1846"/>
      <c r="O2270" s="1846"/>
      <c r="P2270" s="1845">
        <f>T2270</f>
        <v>3</v>
      </c>
      <c r="Q2270" s="1055"/>
      <c r="R2270" s="1055"/>
      <c r="S2270" s="1055"/>
      <c r="T2270" s="2059">
        <f>IFERROR(HLOOKUP(B2270,pp3p1m!$1:$3,3,0),0)</f>
        <v>3</v>
      </c>
    </row>
    <row r="2271" spans="1:20" ht="22.15" customHeight="1">
      <c r="A2271" s="59"/>
      <c r="B2271" s="1593" t="s">
        <v>4763</v>
      </c>
      <c r="C2271" s="1854" t="str">
        <f t="shared" si="398"/>
        <v>x</v>
      </c>
      <c r="D2271" s="1566"/>
      <c r="E2271" s="1047">
        <f>VLOOKUP($B2271,DG!A:D,DG!$B$2,)</f>
        <v>0</v>
      </c>
      <c r="F2271" s="1059" t="str">
        <f>VLOOKUP($B2271,DG!A:D,DG!$C$2,)</f>
        <v>Dây chảy 8K</v>
      </c>
      <c r="G2271" s="1047" t="str">
        <f>VLOOKUP($B2271,DG!A:D,DG!$D$2,)</f>
        <v>Sợi</v>
      </c>
      <c r="H2271" s="1846">
        <f>K2271</f>
        <v>3</v>
      </c>
      <c r="I2271" s="1846"/>
      <c r="J2271" s="1846"/>
      <c r="K2271" s="1846">
        <f>IFERROR(HLOOKUP(B2271,pp3p1m!$1:$3,2,0),0)</f>
        <v>3</v>
      </c>
      <c r="L2271" s="1846"/>
      <c r="M2271" s="1846"/>
      <c r="N2271" s="1846"/>
      <c r="O2271" s="1846"/>
      <c r="P2271" s="1845">
        <f t="shared" ref="P2271" si="404">H2271+Q2271-R2271</f>
        <v>3</v>
      </c>
      <c r="Q2271" s="1055"/>
      <c r="R2271" s="1055"/>
      <c r="S2271" s="1055"/>
      <c r="T2271" s="2059">
        <f>IFERROR(HLOOKUP(B2271,pp3p1m!$1:$3,3,0),0)</f>
        <v>3</v>
      </c>
    </row>
    <row r="2272" spans="1:20" ht="22.15" hidden="1" customHeight="1">
      <c r="A2272" s="59"/>
      <c r="B2272" s="1593" t="s">
        <v>386</v>
      </c>
      <c r="C2272" s="1015" t="str">
        <f t="shared" si="398"/>
        <v xml:space="preserve"> </v>
      </c>
      <c r="D2272" s="1566">
        <f>H2272</f>
        <v>0</v>
      </c>
      <c r="E2272" s="1047">
        <f>VLOOKUP($B2272,DG!A:D,DG!$B$2,)</f>
        <v>0</v>
      </c>
      <c r="F2272" s="1059" t="str">
        <f>VLOOKUP($B2272,DG!A:D,DG!$C$2,)</f>
        <v>Dây chảy 12K</v>
      </c>
      <c r="G2272" s="1047" t="str">
        <f>VLOOKUP($B2272,DG!A:D,DG!$D$2,)</f>
        <v>Sợi</v>
      </c>
      <c r="H2272" s="1846">
        <f>K2272</f>
        <v>0</v>
      </c>
      <c r="I2272" s="1846"/>
      <c r="J2272" s="1846"/>
      <c r="K2272" s="1846">
        <f>IFERROR(HLOOKUP(B2272,pp3p1m!$1:$3,2,0),0)</f>
        <v>0</v>
      </c>
      <c r="L2272" s="1846"/>
      <c r="M2272" s="1846"/>
      <c r="N2272" s="1846"/>
      <c r="O2272" s="1846"/>
      <c r="P2272" s="1845">
        <f t="shared" ref="P2272" si="405">H2272+Q2272-R2272</f>
        <v>0</v>
      </c>
      <c r="Q2272" s="1055"/>
      <c r="R2272" s="1055"/>
      <c r="S2272" s="1055"/>
      <c r="T2272" s="2059">
        <f>IFERROR(HLOOKUP(B2272,pp3p1m!$1:$3,3,0),0)</f>
        <v>0</v>
      </c>
    </row>
    <row r="2273" spans="1:20" ht="22.15" hidden="1" customHeight="1">
      <c r="A2273" s="59"/>
      <c r="B2273" s="1593" t="s">
        <v>4537</v>
      </c>
      <c r="C2273" s="1015" t="str">
        <f t="shared" si="398"/>
        <v xml:space="preserve"> </v>
      </c>
      <c r="D2273" s="1558">
        <f>D2284*3</f>
        <v>0</v>
      </c>
      <c r="E2273" s="1047" t="str">
        <f>VLOOKUP($B2273,DG!A:D,DG!$B$2,)</f>
        <v>02.1114</v>
      </c>
      <c r="F2273" s="1059" t="str">
        <f>VLOOKUP($B2273,DG!A:D,DG!$C$2,)</f>
        <v>Biến điện áp 12000/120(60)V</v>
      </c>
      <c r="G2273" s="1047" t="str">
        <f>VLOOKUP($B2273,DG!A:D,DG!$D$2,)</f>
        <v>cái</v>
      </c>
      <c r="H2273" s="1846">
        <f t="shared" ref="H2273:H2281" si="406">D2273</f>
        <v>0</v>
      </c>
      <c r="I2273" s="1846"/>
      <c r="J2273" s="1846"/>
      <c r="K2273" s="1846">
        <f>IFERROR(HLOOKUP(B2273,pp3p1m!$1:$3,2,0),0)</f>
        <v>0</v>
      </c>
      <c r="L2273" s="1846"/>
      <c r="M2273" s="1846"/>
      <c r="N2273" s="1846"/>
      <c r="O2273" s="1846"/>
      <c r="P2273" s="1845">
        <f t="shared" si="394"/>
        <v>0</v>
      </c>
      <c r="Q2273" s="1055"/>
      <c r="R2273" s="1055"/>
      <c r="S2273" s="1055"/>
      <c r="T2273" s="2059">
        <f>IFERROR(HLOOKUP(B2273,pp3p1m!$1:$3,3,0),0)</f>
        <v>0</v>
      </c>
    </row>
    <row r="2274" spans="1:20" ht="22.15" hidden="1" customHeight="1">
      <c r="A2274" s="59"/>
      <c r="B2274" s="1593" t="s">
        <v>78</v>
      </c>
      <c r="C2274" s="1015" t="str">
        <f t="shared" si="398"/>
        <v xml:space="preserve"> </v>
      </c>
      <c r="D2274" s="1566">
        <f>D2273</f>
        <v>0</v>
      </c>
      <c r="E2274" s="1047" t="str">
        <f>VLOOKUP($B2274,DG!A:D,DG!$B$2,)</f>
        <v>02.1124</v>
      </c>
      <c r="F2274" s="1059" t="str">
        <f>VLOOKUP($B2274,DG!A:D,DG!$C$2,)</f>
        <v>Biến dòng 24kV  20/5A</v>
      </c>
      <c r="G2274" s="1047" t="str">
        <f>VLOOKUP($B2274,DG!A:D,DG!$D$2,)</f>
        <v>cái</v>
      </c>
      <c r="H2274" s="1846">
        <f t="shared" si="406"/>
        <v>0</v>
      </c>
      <c r="I2274" s="1846"/>
      <c r="J2274" s="1846"/>
      <c r="K2274" s="1846">
        <f>IFERROR(HLOOKUP(B2274,pp3p1m!$1:$3,2,0),0)</f>
        <v>0</v>
      </c>
      <c r="L2274" s="1846"/>
      <c r="M2274" s="1846"/>
      <c r="N2274" s="1846"/>
      <c r="O2274" s="1846"/>
      <c r="P2274" s="1845">
        <f t="shared" ref="P2274:P2341" si="407">H2274+Q2274-R2274</f>
        <v>0</v>
      </c>
      <c r="Q2274" s="1055"/>
      <c r="R2274" s="1055"/>
      <c r="S2274" s="1055"/>
      <c r="T2274" s="2059">
        <f>IFERROR(HLOOKUP(B2274,pp3p1m!$1:$3,3,0),0)</f>
        <v>0</v>
      </c>
    </row>
    <row r="2275" spans="1:20" ht="22.15" hidden="1" customHeight="1">
      <c r="A2275" s="59"/>
      <c r="B2275" s="1593" t="s">
        <v>2</v>
      </c>
      <c r="C2275" s="1015" t="str">
        <f t="shared" si="398"/>
        <v xml:space="preserve"> </v>
      </c>
      <c r="D2275" s="1566">
        <f>D2284</f>
        <v>0</v>
      </c>
      <c r="E2275" s="1047">
        <f>VLOOKUP($B2275,DG!A:D,DG!$B$2,)</f>
        <v>0</v>
      </c>
      <c r="F2275" s="1059" t="str">
        <f>VLOOKUP($B2275,DG!A:D,DG!$C$2,)</f>
        <v>Điện kế 3 pha điện tử 600V-5A</v>
      </c>
      <c r="G2275" s="1047" t="str">
        <f>VLOOKUP($B2275,DG!A:D,DG!$D$2,)</f>
        <v>cái</v>
      </c>
      <c r="H2275" s="1846">
        <f t="shared" si="406"/>
        <v>0</v>
      </c>
      <c r="I2275" s="1846"/>
      <c r="J2275" s="1846"/>
      <c r="K2275" s="1846">
        <f>IFERROR(HLOOKUP(B2275,pp3p1m!$1:$3,2,0),0)</f>
        <v>0</v>
      </c>
      <c r="L2275" s="1846"/>
      <c r="M2275" s="1846"/>
      <c r="N2275" s="1846"/>
      <c r="O2275" s="1846"/>
      <c r="P2275" s="1845">
        <f t="shared" si="407"/>
        <v>0</v>
      </c>
      <c r="Q2275" s="1055"/>
      <c r="R2275" s="1055"/>
      <c r="S2275" s="1055"/>
      <c r="T2275" s="2059">
        <f>IFERROR(HLOOKUP(B2275,pp3p1m!$1:$3,3,0),0)</f>
        <v>0</v>
      </c>
    </row>
    <row r="2276" spans="1:20" ht="22.15" hidden="1" customHeight="1">
      <c r="A2276" s="59"/>
      <c r="B2276" s="1593" t="s">
        <v>446</v>
      </c>
      <c r="C2276" s="1015" t="str">
        <f t="shared" si="398"/>
        <v xml:space="preserve"> </v>
      </c>
      <c r="D2276" s="1566"/>
      <c r="E2276" s="1047" t="str">
        <f>VLOOKUP($B2276,DG!A:D,DG!$B$2,)</f>
        <v>02.3302</v>
      </c>
      <c r="F2276" s="1059" t="str">
        <f>VLOOKUP($B2276,DG!A:D,DG!$C$2,)</f>
        <v xml:space="preserve">DS 1P - 24KV - 600A </v>
      </c>
      <c r="G2276" s="1047" t="str">
        <f>VLOOKUP($B2276,DG!A:D,DG!$D$2,)</f>
        <v>bộ</v>
      </c>
      <c r="H2276" s="1846">
        <f t="shared" si="406"/>
        <v>0</v>
      </c>
      <c r="I2276" s="1846"/>
      <c r="J2276" s="1846"/>
      <c r="K2276" s="1846">
        <f>IFERROR(HLOOKUP(B2276,pp3p1m!$1:$3,2,0),0)</f>
        <v>0</v>
      </c>
      <c r="L2276" s="1846"/>
      <c r="M2276" s="1846"/>
      <c r="N2276" s="1846"/>
      <c r="O2276" s="1846"/>
      <c r="P2276" s="1845">
        <f t="shared" si="407"/>
        <v>0</v>
      </c>
      <c r="Q2276" s="1055"/>
      <c r="R2276" s="1055"/>
      <c r="S2276" s="1055"/>
      <c r="T2276" s="2059">
        <f>IFERROR(HLOOKUP(B2276,pp3p1m!$1:$3,3,0),0)</f>
        <v>0</v>
      </c>
    </row>
    <row r="2277" spans="1:20" ht="22.15" hidden="1" customHeight="1">
      <c r="A2277" s="59"/>
      <c r="B2277" s="1593" t="s">
        <v>393</v>
      </c>
      <c r="C2277" s="1015" t="str">
        <f t="shared" si="398"/>
        <v xml:space="preserve"> </v>
      </c>
      <c r="D2277" s="1566"/>
      <c r="E2277" s="1047" t="str">
        <f>VLOOKUP($B2277,DG!A:D,DG!$B$2,)</f>
        <v>02.3302</v>
      </c>
      <c r="F2277" s="1059" t="str">
        <f>VLOOKUP($B2277,DG!A:D,DG!$C$2,)</f>
        <v xml:space="preserve">DS 3P - 24KV - 630A </v>
      </c>
      <c r="G2277" s="1047" t="str">
        <f>VLOOKUP($B2277,DG!A:D,DG!$D$2,)</f>
        <v>bộ</v>
      </c>
      <c r="H2277" s="1846">
        <f t="shared" si="406"/>
        <v>0</v>
      </c>
      <c r="I2277" s="1846"/>
      <c r="J2277" s="1846"/>
      <c r="K2277" s="1846">
        <f>IFERROR(HLOOKUP(B2277,pp3p1m!$1:$3,2,0),0)</f>
        <v>0</v>
      </c>
      <c r="L2277" s="1846"/>
      <c r="M2277" s="1846"/>
      <c r="N2277" s="1846"/>
      <c r="O2277" s="1846"/>
      <c r="P2277" s="1845">
        <f t="shared" si="407"/>
        <v>0</v>
      </c>
      <c r="Q2277" s="1055"/>
      <c r="R2277" s="1055"/>
      <c r="S2277" s="1055"/>
      <c r="T2277" s="2059">
        <f>IFERROR(HLOOKUP(B2277,pp3p1m!$1:$3,3,0),0)</f>
        <v>0</v>
      </c>
    </row>
    <row r="2278" spans="1:20" ht="22.15" hidden="1" customHeight="1">
      <c r="A2278" s="59"/>
      <c r="B2278" s="1593" t="s">
        <v>602</v>
      </c>
      <c r="C2278" s="1015" t="str">
        <f t="shared" si="398"/>
        <v xml:space="preserve"> </v>
      </c>
      <c r="D2278" s="1566"/>
      <c r="E2278" s="1047" t="str">
        <f>VLOOKUP($B2278,DG!A:D,DG!$B$2,)</f>
        <v>02.2124</v>
      </c>
      <c r="F2278" s="1059" t="str">
        <f>VLOOKUP($B2278,DG!A:D,DG!$C$2,)</f>
        <v>LBS SF6 3pha 24kV 630A - 16kA</v>
      </c>
      <c r="G2278" s="1047" t="str">
        <f>VLOOKUP($B2278,DG!A:D,DG!$D$2,)</f>
        <v>bộ</v>
      </c>
      <c r="H2278" s="1846">
        <f t="shared" si="406"/>
        <v>0</v>
      </c>
      <c r="I2278" s="1846"/>
      <c r="J2278" s="1846"/>
      <c r="K2278" s="1846">
        <f>IFERROR(HLOOKUP(B2278,pp3p1m!$1:$3,2,0),0)</f>
        <v>0</v>
      </c>
      <c r="L2278" s="1846"/>
      <c r="M2278" s="1846"/>
      <c r="N2278" s="1846"/>
      <c r="O2278" s="1846"/>
      <c r="P2278" s="1845">
        <f t="shared" si="407"/>
        <v>0</v>
      </c>
      <c r="Q2278" s="1055"/>
      <c r="R2278" s="1055"/>
      <c r="S2278" s="1055"/>
      <c r="T2278" s="2059">
        <f>IFERROR(HLOOKUP(B2278,pp3p1m!$1:$3,3,0),0)</f>
        <v>0</v>
      </c>
    </row>
    <row r="2279" spans="1:20" ht="22.15" hidden="1" customHeight="1">
      <c r="A2279" s="59"/>
      <c r="B2279" s="1593" t="s">
        <v>1918</v>
      </c>
      <c r="C2279" s="1015" t="str">
        <f t="shared" si="398"/>
        <v xml:space="preserve"> </v>
      </c>
      <c r="D2279" s="1566"/>
      <c r="E2279" s="1047" t="str">
        <f>VLOOKUP($B2279,DG!A:D,DG!$B$2,)</f>
        <v>02.2124</v>
      </c>
      <c r="F2279" s="1059" t="str">
        <f>VLOOKUP($B2279,DG!A:D,DG!$C$2,)</f>
        <v>Recloser 24kV 630-800A</v>
      </c>
      <c r="G2279" s="1047" t="str">
        <f>VLOOKUP($B2279,DG!A:D,DG!$D$2,)</f>
        <v>bộ</v>
      </c>
      <c r="H2279" s="1846">
        <f t="shared" si="406"/>
        <v>0</v>
      </c>
      <c r="I2279" s="1846"/>
      <c r="J2279" s="1846"/>
      <c r="K2279" s="1846">
        <f>IFERROR(HLOOKUP(B2279,pp3p1m!$1:$3,2,0),0)</f>
        <v>0</v>
      </c>
      <c r="L2279" s="1846"/>
      <c r="M2279" s="1846"/>
      <c r="N2279" s="1846"/>
      <c r="O2279" s="1846"/>
      <c r="P2279" s="1845">
        <f t="shared" si="407"/>
        <v>0</v>
      </c>
      <c r="Q2279" s="1055"/>
      <c r="R2279" s="1055"/>
      <c r="S2279" s="1055"/>
      <c r="T2279" s="2059">
        <f>IFERROR(HLOOKUP(B2279,pp3p1m!$1:$3,3,0),0)</f>
        <v>0</v>
      </c>
    </row>
    <row r="2280" spans="1:20" ht="22.15" hidden="1" customHeight="1">
      <c r="A2280" s="59"/>
      <c r="B2280" s="1593" t="s">
        <v>1378</v>
      </c>
      <c r="C2280" s="1015" t="str">
        <f t="shared" ref="C2280:C2281" si="408">IF(OR(P2280&lt;&gt;0,H2280&lt;&gt;0),"x"," ")</f>
        <v xml:space="preserve"> </v>
      </c>
      <c r="D2280" s="1566"/>
      <c r="E2280" s="1047" t="str">
        <f>VLOOKUP($B2280,DG!A:D,DG!$B$2,)</f>
        <v>02.5114</v>
      </c>
      <c r="F2280" s="1059" t="str">
        <f>VLOOKUP($B2280,DG!A:D,DG!$C$2,)</f>
        <v>Chống sét van LA-18KV-10KA</v>
      </c>
      <c r="G2280" s="1047" t="str">
        <f>VLOOKUP($B2280,DG!A:D,DG!$D$2,)</f>
        <v>cái</v>
      </c>
      <c r="H2280" s="1846">
        <f t="shared" si="406"/>
        <v>0</v>
      </c>
      <c r="I2280" s="1846"/>
      <c r="J2280" s="1846"/>
      <c r="K2280" s="1846">
        <f>IFERROR(HLOOKUP(B2280,pp3p1m!$1:$3,2,0),0)</f>
        <v>0</v>
      </c>
      <c r="L2280" s="1846"/>
      <c r="M2280" s="1846"/>
      <c r="N2280" s="1846"/>
      <c r="O2280" s="1846"/>
      <c r="P2280" s="1845">
        <f t="shared" ref="P2280:P2281" si="409">H2280+Q2280-R2280</f>
        <v>0</v>
      </c>
      <c r="Q2280" s="1055"/>
      <c r="R2280" s="1055"/>
      <c r="S2280" s="1055"/>
      <c r="T2280" s="2059">
        <f>IFERROR(HLOOKUP(B2280,pp3p1m!$1:$3,3,0),0)</f>
        <v>0</v>
      </c>
    </row>
    <row r="2281" spans="1:20" ht="22.15" hidden="1" customHeight="1">
      <c r="A2281" s="59"/>
      <c r="B2281" s="1593" t="s">
        <v>968</v>
      </c>
      <c r="C2281" s="1015" t="str">
        <f t="shared" si="408"/>
        <v xml:space="preserve"> </v>
      </c>
      <c r="D2281" s="1566"/>
      <c r="E2281" s="1047" t="str">
        <f>VLOOKUP($B2281,DG!A:D,DG!$B$2,)</f>
        <v>02.5114</v>
      </c>
      <c r="F2281" s="1059" t="str">
        <f>VLOOKUP($B2281,DG!A:D,DG!$C$2,)</f>
        <v>LA 12kV 10kA</v>
      </c>
      <c r="G2281" s="1047" t="str">
        <f>VLOOKUP($B2281,DG!A:D,DG!$D$2,)</f>
        <v>cái</v>
      </c>
      <c r="H2281" s="1846">
        <f t="shared" si="406"/>
        <v>0</v>
      </c>
      <c r="I2281" s="1846"/>
      <c r="J2281" s="1846"/>
      <c r="K2281" s="1846">
        <f>IFERROR(HLOOKUP(B2281,pp3p1m!$1:$3,2,0),0)</f>
        <v>0</v>
      </c>
      <c r="L2281" s="1846"/>
      <c r="M2281" s="1846"/>
      <c r="N2281" s="1846"/>
      <c r="O2281" s="1846"/>
      <c r="P2281" s="1845">
        <f t="shared" si="409"/>
        <v>0</v>
      </c>
      <c r="Q2281" s="1055"/>
      <c r="R2281" s="1055"/>
      <c r="S2281" s="1055"/>
      <c r="T2281" s="2059">
        <f>IFERROR(HLOOKUP(B2281,pp3p1m!$1:$3,3,0),0)</f>
        <v>0</v>
      </c>
    </row>
    <row r="2282" spans="1:20" ht="22.15" hidden="1" customHeight="1">
      <c r="A2282" s="59"/>
      <c r="B2282" s="1593" t="s">
        <v>2057</v>
      </c>
      <c r="C2282" s="1854" t="str">
        <f t="shared" si="398"/>
        <v xml:space="preserve"> </v>
      </c>
      <c r="D2282" s="1566"/>
      <c r="E2282" s="1047">
        <f>VLOOKUP($B2282,DG!A:D,DG!$B$2,)</f>
        <v>0</v>
      </c>
      <c r="F2282" s="1059" t="str">
        <f>VLOOKUP($B2282,DG!A:D,DG!$C$2,)</f>
        <v>Bass LI bắt FCO</v>
      </c>
      <c r="G2282" s="1047" t="str">
        <f>VLOOKUP($B2282,DG!A:D,DG!$D$2,)</f>
        <v>Bộ</v>
      </c>
      <c r="H2282" s="1846"/>
      <c r="I2282" s="1846"/>
      <c r="J2282" s="1846"/>
      <c r="K2282" s="1846">
        <f>IFERROR(HLOOKUP(B2282,pp3p1m!$1:$3,2,0),0)</f>
        <v>0</v>
      </c>
      <c r="L2282" s="1846"/>
      <c r="M2282" s="1846"/>
      <c r="N2282" s="1846"/>
      <c r="O2282" s="1846"/>
      <c r="P2282" s="1845">
        <f t="shared" si="407"/>
        <v>0</v>
      </c>
      <c r="Q2282" s="1055"/>
      <c r="R2282" s="1055"/>
      <c r="S2282" s="1055"/>
      <c r="T2282" s="2059">
        <f>IFERROR(HLOOKUP(B2282,pp3p1m!$1:$3,3,0),0)</f>
        <v>0</v>
      </c>
    </row>
    <row r="2283" spans="1:20" ht="22.15" hidden="1" customHeight="1">
      <c r="A2283" s="59"/>
      <c r="B2283" s="1593" t="s">
        <v>382</v>
      </c>
      <c r="C2283" s="1854" t="str">
        <f t="shared" si="398"/>
        <v xml:space="preserve"> </v>
      </c>
      <c r="D2283" s="1566"/>
      <c r="E2283" s="1047">
        <f>VLOOKUP($B2283,DG!A:D,DG!$B$2,)</f>
        <v>0</v>
      </c>
      <c r="F2283" s="1059" t="str">
        <f>VLOOKUP($B2283,DG!A:D,DG!$C$2,)</f>
        <v>Chụp đầu cực FCO (bộ 2 cái)</v>
      </c>
      <c r="G2283" s="1047" t="str">
        <f>VLOOKUP($B2283,DG!A:D,DG!$D$2,)</f>
        <v>bộ</v>
      </c>
      <c r="H2283" s="1846">
        <f>D2283</f>
        <v>0</v>
      </c>
      <c r="I2283" s="1846"/>
      <c r="J2283" s="1846"/>
      <c r="K2283" s="1846">
        <f>IFERROR(HLOOKUP(B2283,pp3p1m!$1:$3,2,0),0)</f>
        <v>0</v>
      </c>
      <c r="L2283" s="1846"/>
      <c r="M2283" s="1846"/>
      <c r="N2283" s="1846"/>
      <c r="O2283" s="1846"/>
      <c r="P2283" s="1845">
        <f t="shared" si="407"/>
        <v>0</v>
      </c>
      <c r="Q2283" s="1055"/>
      <c r="R2283" s="1055"/>
      <c r="S2283" s="1055"/>
      <c r="T2283" s="2059">
        <f>IFERROR(HLOOKUP(B2283,pp3p1m!$1:$3,3,0),0)</f>
        <v>0</v>
      </c>
    </row>
    <row r="2284" spans="1:20" ht="22.15" hidden="1" customHeight="1">
      <c r="A2284" s="56" t="s">
        <v>2320</v>
      </c>
      <c r="B2284" s="1583" t="s">
        <v>2320</v>
      </c>
      <c r="C2284" s="1015" t="str">
        <f>IF(D2284&lt;&gt;0,"x"," ")</f>
        <v xml:space="preserve"> </v>
      </c>
      <c r="D2284" s="1541"/>
      <c r="E2284" s="1049" t="s">
        <v>1670</v>
      </c>
      <c r="F2284" s="1396" t="s">
        <v>2581</v>
      </c>
      <c r="G2284" s="1049"/>
      <c r="H2284" s="1843">
        <f>SUM(I2284:O2284)</f>
        <v>0</v>
      </c>
      <c r="I2284" s="1844"/>
      <c r="J2284" s="1844"/>
      <c r="K2284" s="1846">
        <f>IFERROR(HLOOKUP(B2284,pp3p1m!$1:$3,2,0),0)</f>
        <v>0</v>
      </c>
      <c r="L2284" s="1844">
        <f>IFERROR(HLOOKUP(chitiet!B2284,pp1p!$1:$3,3,0),0)</f>
        <v>0</v>
      </c>
      <c r="M2284" s="1844"/>
      <c r="N2284" s="1844"/>
      <c r="O2284" s="1844"/>
      <c r="P2284" s="1845">
        <f t="shared" si="407"/>
        <v>0</v>
      </c>
      <c r="Q2284" s="1068"/>
      <c r="R2284" s="1068"/>
      <c r="S2284" s="1068"/>
      <c r="T2284" s="2059">
        <f t="shared" si="395"/>
        <v>0</v>
      </c>
    </row>
    <row r="2285" spans="1:20" ht="22.15" hidden="1" customHeight="1">
      <c r="A2285" s="59"/>
      <c r="B2285" s="1621" t="s">
        <v>1828</v>
      </c>
      <c r="C2285" s="1015" t="str">
        <f t="shared" si="398"/>
        <v xml:space="preserve"> </v>
      </c>
      <c r="D2285" s="1567">
        <f>D2284*26</f>
        <v>0</v>
      </c>
      <c r="E2285" s="1047" t="str">
        <f>VLOOKUP($B2285,DG!A:D,DG!$B$2,)</f>
        <v>03.1401</v>
      </c>
      <c r="F2285" s="1059" t="str">
        <f>VLOOKUP($B2285,DG!A:D,DG!$C$2,)</f>
        <v xml:space="preserve">Cáp CVV 4x2,5mm2  </v>
      </c>
      <c r="G2285" s="1047" t="str">
        <f>VLOOKUP($B2285,DG!A:D,DG!$D$2,)</f>
        <v>mét</v>
      </c>
      <c r="H2285" s="1846">
        <f t="shared" ref="H2285:H2308" si="410">D2285</f>
        <v>0</v>
      </c>
      <c r="I2285" s="1846"/>
      <c r="J2285" s="1846"/>
      <c r="K2285" s="1846">
        <f>IFERROR(HLOOKUP(B2285,pp3p1m!$1:$3,2,0),0)</f>
        <v>0</v>
      </c>
      <c r="L2285" s="1846"/>
      <c r="M2285" s="1846"/>
      <c r="N2285" s="1846"/>
      <c r="O2285" s="1846"/>
      <c r="P2285" s="1845">
        <f t="shared" si="407"/>
        <v>0</v>
      </c>
      <c r="Q2285" s="1055"/>
      <c r="R2285" s="1055"/>
      <c r="S2285" s="1055"/>
      <c r="T2285" s="2059">
        <f t="shared" ref="T2285:T2348" si="411">IFERROR(HLOOKUP(B2285,BangKeTru,3,0),0)</f>
        <v>0</v>
      </c>
    </row>
    <row r="2286" spans="1:20" ht="22.15" hidden="1" customHeight="1">
      <c r="A2286" s="59"/>
      <c r="B2286" s="1621" t="s">
        <v>246</v>
      </c>
      <c r="C2286" s="1015" t="str">
        <f t="shared" si="398"/>
        <v xml:space="preserve"> </v>
      </c>
      <c r="D2286" s="1567">
        <f>D2284*24</f>
        <v>0</v>
      </c>
      <c r="E2286" s="1047" t="str">
        <f>VLOOKUP($B2286,DG!A:D,DG!$B$2,)</f>
        <v>05.6101</v>
      </c>
      <c r="F2286" s="1059" t="str">
        <f>VLOOKUP($B2286,DG!A:D,DG!$C$2,)</f>
        <v>Xà kẹp TU, TI U50x32x4 350</v>
      </c>
      <c r="G2286" s="1047" t="str">
        <f>VLOOKUP($B2286,DG!A:D,DG!$D$2,)</f>
        <v>Bộ</v>
      </c>
      <c r="H2286" s="1846">
        <f t="shared" si="410"/>
        <v>0</v>
      </c>
      <c r="I2286" s="1846"/>
      <c r="J2286" s="1846"/>
      <c r="K2286" s="1846">
        <f>IFERROR(HLOOKUP(B2286,pp3p1m!$1:$3,2,0),0)</f>
        <v>0</v>
      </c>
      <c r="L2286" s="1846"/>
      <c r="M2286" s="1846"/>
      <c r="N2286" s="1846"/>
      <c r="O2286" s="1846"/>
      <c r="P2286" s="1845">
        <f t="shared" si="407"/>
        <v>0</v>
      </c>
      <c r="Q2286" s="1055"/>
      <c r="R2286" s="1055"/>
      <c r="S2286" s="1055"/>
      <c r="T2286" s="2059">
        <f t="shared" si="411"/>
        <v>0</v>
      </c>
    </row>
    <row r="2287" spans="1:20" ht="22.15" hidden="1" customHeight="1">
      <c r="A2287" s="59"/>
      <c r="B2287" s="1621" t="s">
        <v>2057</v>
      </c>
      <c r="C2287" s="1015" t="str">
        <f t="shared" si="398"/>
        <v xml:space="preserve"> </v>
      </c>
      <c r="D2287" s="1567">
        <f>D2284*6*0</f>
        <v>0</v>
      </c>
      <c r="E2287" s="1047">
        <f>VLOOKUP($B2287,DG!A:D,DG!$B$2,)</f>
        <v>0</v>
      </c>
      <c r="F2287" s="1059" t="str">
        <f>VLOOKUP($B2287,DG!A:D,DG!$C$2,)</f>
        <v>Bass LI bắt FCO</v>
      </c>
      <c r="G2287" s="1047" t="str">
        <f>VLOOKUP($B2287,DG!A:D,DG!$D$2,)</f>
        <v>Bộ</v>
      </c>
      <c r="H2287" s="1846">
        <f t="shared" si="410"/>
        <v>0</v>
      </c>
      <c r="I2287" s="1846"/>
      <c r="J2287" s="1846"/>
      <c r="K2287" s="1846">
        <f>IFERROR(HLOOKUP(B2287,pp3p1m!$1:$3,2,0),0)</f>
        <v>0</v>
      </c>
      <c r="L2287" s="1846"/>
      <c r="M2287" s="1846"/>
      <c r="N2287" s="1846"/>
      <c r="O2287" s="1846"/>
      <c r="P2287" s="1845">
        <f t="shared" si="407"/>
        <v>0</v>
      </c>
      <c r="Q2287" s="1055"/>
      <c r="R2287" s="1055"/>
      <c r="S2287" s="1055"/>
      <c r="T2287" s="2059">
        <f t="shared" si="411"/>
        <v>0</v>
      </c>
    </row>
    <row r="2288" spans="1:20" ht="22.15" hidden="1" customHeight="1">
      <c r="A2288" s="59"/>
      <c r="B2288" s="1621" t="s">
        <v>1871</v>
      </c>
      <c r="C2288" s="1015" t="str">
        <f t="shared" si="398"/>
        <v xml:space="preserve"> </v>
      </c>
      <c r="D2288" s="1567">
        <f>D2284*16</f>
        <v>0</v>
      </c>
      <c r="E2288" s="1047" t="str">
        <f>VLOOKUP($B2288,DG!A:D,DG!$B$2,)</f>
        <v>03.4001</v>
      </c>
      <c r="F2288" s="1059" t="str">
        <f>VLOOKUP($B2288,DG!A:D,DG!$C$2,)</f>
        <v xml:space="preserve">Đầu cosse ép Cu 2,5mm2 + bao PVC </v>
      </c>
      <c r="G2288" s="1047" t="str">
        <f>VLOOKUP($B2288,DG!A:D,DG!$D$2,)</f>
        <v>cái</v>
      </c>
      <c r="H2288" s="1846">
        <f t="shared" si="410"/>
        <v>0</v>
      </c>
      <c r="I2288" s="1846"/>
      <c r="J2288" s="1846"/>
      <c r="K2288" s="1846">
        <f>IFERROR(HLOOKUP(B2288,pp3p1m!$1:$3,2,0),0)</f>
        <v>0</v>
      </c>
      <c r="L2288" s="1846"/>
      <c r="M2288" s="1846"/>
      <c r="N2288" s="1846"/>
      <c r="O2288" s="1846"/>
      <c r="P2288" s="1845">
        <f t="shared" si="407"/>
        <v>0</v>
      </c>
      <c r="Q2288" s="1055"/>
      <c r="R2288" s="1055"/>
      <c r="S2288" s="1055"/>
      <c r="T2288" s="2059">
        <f t="shared" si="411"/>
        <v>0</v>
      </c>
    </row>
    <row r="2289" spans="1:20" ht="22.15" hidden="1" customHeight="1">
      <c r="A2289" s="59"/>
      <c r="B2289" s="1621" t="s">
        <v>1515</v>
      </c>
      <c r="C2289" s="1015" t="str">
        <f t="shared" si="398"/>
        <v xml:space="preserve"> </v>
      </c>
      <c r="D2289" s="1567">
        <f>6*D2284</f>
        <v>0</v>
      </c>
      <c r="E2289" s="1047">
        <f>VLOOKUP($B2289,DG!A:D,DG!$B$2,)</f>
        <v>0</v>
      </c>
      <c r="F2289" s="1059" t="str">
        <f>VLOOKUP($B2289,DG!A:D,DG!$C$2,)</f>
        <v>Dây điện đôi 16/10</v>
      </c>
      <c r="G2289" s="1047" t="str">
        <f>VLOOKUP($B2289,DG!A:D,DG!$D$2,)</f>
        <v>mét</v>
      </c>
      <c r="H2289" s="1846">
        <f t="shared" si="410"/>
        <v>0</v>
      </c>
      <c r="I2289" s="1846"/>
      <c r="J2289" s="1846"/>
      <c r="K2289" s="1846">
        <f>IFERROR(HLOOKUP(B2289,pp3p1m!$1:$3,2,0),0)</f>
        <v>0</v>
      </c>
      <c r="L2289" s="1846"/>
      <c r="M2289" s="1846"/>
      <c r="N2289" s="1846"/>
      <c r="O2289" s="1846"/>
      <c r="P2289" s="1845">
        <f t="shared" si="407"/>
        <v>0</v>
      </c>
      <c r="Q2289" s="1055"/>
      <c r="R2289" s="1055"/>
      <c r="S2289" s="1055"/>
      <c r="T2289" s="2059">
        <f t="shared" si="411"/>
        <v>0</v>
      </c>
    </row>
    <row r="2290" spans="1:20" ht="22.15" hidden="1" customHeight="1">
      <c r="A2290" s="59"/>
      <c r="B2290" s="1621" t="s">
        <v>818</v>
      </c>
      <c r="C2290" s="1015" t="str">
        <f t="shared" si="398"/>
        <v xml:space="preserve"> </v>
      </c>
      <c r="D2290" s="1567">
        <f>+D2284*3</f>
        <v>0</v>
      </c>
      <c r="E2290" s="1047" t="str">
        <f>VLOOKUP($B2290,DG!A:D,DG!$B$2,)</f>
        <v>04.3107</v>
      </c>
      <c r="F2290" s="1059" t="str">
        <f>VLOOKUP($B2290,DG!A:D,DG!$C$2,)</f>
        <v>Ốc siết cáp cỡ 25mm2</v>
      </c>
      <c r="G2290" s="1047" t="str">
        <f>VLOOKUP($B2290,DG!A:D,DG!$D$2,)</f>
        <v>cái</v>
      </c>
      <c r="H2290" s="1846">
        <f t="shared" si="410"/>
        <v>0</v>
      </c>
      <c r="I2290" s="1846"/>
      <c r="J2290" s="1846"/>
      <c r="K2290" s="1846">
        <f>IFERROR(HLOOKUP(B2290,pp3p1m!$1:$3,2,0),0)</f>
        <v>0</v>
      </c>
      <c r="L2290" s="1846"/>
      <c r="M2290" s="1846"/>
      <c r="N2290" s="1846"/>
      <c r="O2290" s="1846"/>
      <c r="P2290" s="1845">
        <f t="shared" si="407"/>
        <v>0</v>
      </c>
      <c r="Q2290" s="1055"/>
      <c r="R2290" s="1055"/>
      <c r="S2290" s="1055"/>
      <c r="T2290" s="2059">
        <f t="shared" si="411"/>
        <v>0</v>
      </c>
    </row>
    <row r="2291" spans="1:20" ht="22.15" hidden="1" customHeight="1">
      <c r="A2291" s="59"/>
      <c r="B2291" s="1621" t="s">
        <v>2149</v>
      </c>
      <c r="C2291" s="1015" t="str">
        <f t="shared" si="398"/>
        <v xml:space="preserve"> </v>
      </c>
      <c r="D2291" s="1567">
        <f>D2302*18</f>
        <v>0</v>
      </c>
      <c r="E2291" s="1047" t="str">
        <f>VLOOKUP($B2291,DG!A:D,DG!$B$2,)</f>
        <v>07.2403</v>
      </c>
      <c r="F2291" s="1059" t="str">
        <f>VLOOKUP($B2291,DG!A:D,DG!$C$2,)</f>
        <v>Ống PVC D42x2,1mm</v>
      </c>
      <c r="G2291" s="1047" t="str">
        <f>VLOOKUP($B2291,DG!A:D,DG!$D$2,)</f>
        <v>m</v>
      </c>
      <c r="H2291" s="1846">
        <f t="shared" si="410"/>
        <v>0</v>
      </c>
      <c r="I2291" s="1846"/>
      <c r="J2291" s="1846"/>
      <c r="K2291" s="1846">
        <f>IFERROR(HLOOKUP(B2291,pp3p1m!$1:$3,2,0),0)</f>
        <v>0</v>
      </c>
      <c r="L2291" s="1846"/>
      <c r="M2291" s="1846"/>
      <c r="N2291" s="1846"/>
      <c r="O2291" s="1846"/>
      <c r="P2291" s="1845">
        <f t="shared" si="407"/>
        <v>0</v>
      </c>
      <c r="Q2291" s="1055"/>
      <c r="R2291" s="1055"/>
      <c r="S2291" s="1055"/>
      <c r="T2291" s="2059">
        <f t="shared" si="411"/>
        <v>0</v>
      </c>
    </row>
    <row r="2292" spans="1:20" ht="22.15" hidden="1" customHeight="1">
      <c r="A2292" s="59"/>
      <c r="B2292" s="1621" t="s">
        <v>227</v>
      </c>
      <c r="C2292" s="1015" t="str">
        <f t="shared" si="398"/>
        <v xml:space="preserve"> </v>
      </c>
      <c r="D2292" s="1567">
        <f>D2284*4</f>
        <v>0</v>
      </c>
      <c r="E2292" s="1047" t="str">
        <f>VLOOKUP($B2292,DG!A:D,DG!$B$2,)</f>
        <v>06.3231</v>
      </c>
      <c r="F2292" s="1059" t="str">
        <f>VLOOKUP($B2292,DG!A:D,DG!$C$2,)</f>
        <v>Côllier 25x2</v>
      </c>
      <c r="G2292" s="1047" t="str">
        <f>VLOOKUP($B2292,DG!A:D,DG!$D$2,)</f>
        <v>bộ</v>
      </c>
      <c r="H2292" s="1846">
        <f t="shared" si="410"/>
        <v>0</v>
      </c>
      <c r="I2292" s="1846"/>
      <c r="J2292" s="1846"/>
      <c r="K2292" s="1846">
        <f>IFERROR(HLOOKUP(B2292,pp3p1m!$1:$3,2,0),0)</f>
        <v>0</v>
      </c>
      <c r="L2292" s="1846"/>
      <c r="M2292" s="1846"/>
      <c r="N2292" s="1846"/>
      <c r="O2292" s="1846"/>
      <c r="P2292" s="1845">
        <f t="shared" si="407"/>
        <v>0</v>
      </c>
      <c r="Q2292" s="1055"/>
      <c r="R2292" s="1055"/>
      <c r="S2292" s="1055"/>
      <c r="T2292" s="2059">
        <f t="shared" si="411"/>
        <v>0</v>
      </c>
    </row>
    <row r="2293" spans="1:20" ht="22.15" hidden="1" customHeight="1">
      <c r="A2293" s="59"/>
      <c r="B2293" s="1621" t="s">
        <v>1621</v>
      </c>
      <c r="C2293" s="1015" t="str">
        <f t="shared" si="398"/>
        <v xml:space="preserve"> </v>
      </c>
      <c r="D2293" s="1567">
        <f>D2284*8</f>
        <v>0</v>
      </c>
      <c r="E2293" s="1047">
        <f>VLOOKUP($B2293,DG!A:D,DG!$B$2,)</f>
        <v>0</v>
      </c>
      <c r="F2293" s="1059" t="str">
        <f>VLOOKUP($B2293,DG!A:D,DG!$C$2,)</f>
        <v>Co 90 độ PVC 42</v>
      </c>
      <c r="G2293" s="1047" t="str">
        <f>VLOOKUP($B2293,DG!A:D,DG!$D$2,)</f>
        <v>cái</v>
      </c>
      <c r="H2293" s="1846">
        <f t="shared" si="410"/>
        <v>0</v>
      </c>
      <c r="I2293" s="1846"/>
      <c r="J2293" s="1846"/>
      <c r="K2293" s="1846">
        <f>IFERROR(HLOOKUP(B2293,pp3p1m!$1:$3,2,0),0)</f>
        <v>0</v>
      </c>
      <c r="L2293" s="1846"/>
      <c r="M2293" s="1846"/>
      <c r="N2293" s="1846"/>
      <c r="O2293" s="1846"/>
      <c r="P2293" s="1845">
        <f t="shared" si="407"/>
        <v>0</v>
      </c>
      <c r="Q2293" s="1055"/>
      <c r="R2293" s="1055"/>
      <c r="S2293" s="1055"/>
      <c r="T2293" s="2059">
        <f t="shared" si="411"/>
        <v>0</v>
      </c>
    </row>
    <row r="2294" spans="1:20" ht="22.15" hidden="1" customHeight="1">
      <c r="A2294" s="59"/>
      <c r="B2294" s="1621" t="s">
        <v>1052</v>
      </c>
      <c r="C2294" s="1015" t="str">
        <f t="shared" si="398"/>
        <v xml:space="preserve"> </v>
      </c>
      <c r="D2294" s="1567">
        <f>D2284*4</f>
        <v>0</v>
      </c>
      <c r="E2294" s="1047">
        <f>VLOOKUP($B2294,DG!A:D,DG!$B$2,)</f>
        <v>0</v>
      </c>
      <c r="F2294" s="1059" t="str">
        <f>VLOOKUP($B2294,DG!A:D,DG!$C$2,)</f>
        <v>Co chữ T ống PVC 42</v>
      </c>
      <c r="G2294" s="1047" t="str">
        <f>VLOOKUP($B2294,DG!A:D,DG!$D$2,)</f>
        <v>cái</v>
      </c>
      <c r="H2294" s="1846">
        <f t="shared" si="410"/>
        <v>0</v>
      </c>
      <c r="I2294" s="1846"/>
      <c r="J2294" s="1846"/>
      <c r="K2294" s="1846">
        <f>IFERROR(HLOOKUP(B2294,pp3p1m!$1:$3,2,0),0)</f>
        <v>0</v>
      </c>
      <c r="L2294" s="1846"/>
      <c r="M2294" s="1846"/>
      <c r="N2294" s="1846"/>
      <c r="O2294" s="1846"/>
      <c r="P2294" s="1845">
        <f t="shared" si="407"/>
        <v>0</v>
      </c>
      <c r="Q2294" s="1055"/>
      <c r="R2294" s="1055"/>
      <c r="S2294" s="1055"/>
      <c r="T2294" s="2059">
        <f t="shared" si="411"/>
        <v>0</v>
      </c>
    </row>
    <row r="2295" spans="1:20" ht="22.15" hidden="1" customHeight="1">
      <c r="A2295" s="59"/>
      <c r="B2295" s="1621" t="s">
        <v>1919</v>
      </c>
      <c r="C2295" s="1015" t="str">
        <f t="shared" si="398"/>
        <v xml:space="preserve"> </v>
      </c>
      <c r="D2295" s="1567">
        <f>D2284*2</f>
        <v>0</v>
      </c>
      <c r="E2295" s="1047">
        <f>VLOOKUP($B2295,DG!A:D,DG!$B$2,)</f>
        <v>0</v>
      </c>
      <c r="F2295" s="1059" t="str">
        <f>VLOOKUP($B2295,DG!A:D,DG!$C$2,)</f>
        <v>Nối thẳng ống PVC 42</v>
      </c>
      <c r="G2295" s="1047" t="str">
        <f>VLOOKUP($B2295,DG!A:D,DG!$D$2,)</f>
        <v>cái</v>
      </c>
      <c r="H2295" s="1846">
        <f t="shared" si="410"/>
        <v>0</v>
      </c>
      <c r="I2295" s="1846"/>
      <c r="J2295" s="1846"/>
      <c r="K2295" s="1846">
        <f>IFERROR(HLOOKUP(B2295,pp3p1m!$1:$3,2,0),0)</f>
        <v>0</v>
      </c>
      <c r="L2295" s="1846"/>
      <c r="M2295" s="1846"/>
      <c r="N2295" s="1846"/>
      <c r="O2295" s="1846"/>
      <c r="P2295" s="1845">
        <f t="shared" si="407"/>
        <v>0</v>
      </c>
      <c r="Q2295" s="1055"/>
      <c r="R2295" s="1055"/>
      <c r="S2295" s="1055"/>
      <c r="T2295" s="2059">
        <f t="shared" si="411"/>
        <v>0</v>
      </c>
    </row>
    <row r="2296" spans="1:20" ht="22.15" hidden="1" customHeight="1">
      <c r="A2296" s="59"/>
      <c r="B2296" s="1504" t="s">
        <v>699</v>
      </c>
      <c r="C2296" s="1015" t="str">
        <f t="shared" si="398"/>
        <v xml:space="preserve"> </v>
      </c>
      <c r="D2296" s="1568">
        <f>D2284*(2)*3</f>
        <v>0</v>
      </c>
      <c r="E2296" s="1047">
        <f>VLOOKUP($B2296,DG!A:D,DG!$B$2,)</f>
        <v>0</v>
      </c>
      <c r="F2296" s="1059" t="str">
        <f>VLOOKUP($B2296,DG!A:D,DG!$C$2,)</f>
        <v>Cáp 24KV CX-25mm2</v>
      </c>
      <c r="G2296" s="1047" t="str">
        <f>VLOOKUP($B2296,DG!A:D,DG!$D$2,)</f>
        <v>mét</v>
      </c>
      <c r="H2296" s="1846">
        <f t="shared" si="410"/>
        <v>0</v>
      </c>
      <c r="I2296" s="1846"/>
      <c r="J2296" s="1846"/>
      <c r="K2296" s="1846">
        <f>IFERROR(HLOOKUP(B2296,pp3p1m!$1:$3,2,0),0)</f>
        <v>9</v>
      </c>
      <c r="L2296" s="1846"/>
      <c r="M2296" s="1846"/>
      <c r="N2296" s="1846"/>
      <c r="O2296" s="1846"/>
      <c r="P2296" s="1845">
        <f t="shared" si="407"/>
        <v>0</v>
      </c>
      <c r="Q2296" s="1055"/>
      <c r="R2296" s="1055"/>
      <c r="S2296" s="1055"/>
      <c r="T2296" s="2059">
        <f t="shared" si="411"/>
        <v>0</v>
      </c>
    </row>
    <row r="2297" spans="1:20" ht="22.15" hidden="1" customHeight="1">
      <c r="A2297" s="59"/>
      <c r="B2297" s="1621" t="s">
        <v>728</v>
      </c>
      <c r="C2297" s="1015" t="str">
        <f t="shared" si="398"/>
        <v xml:space="preserve"> </v>
      </c>
      <c r="D2297" s="1567">
        <f>D2284*2</f>
        <v>0</v>
      </c>
      <c r="E2297" s="1047">
        <f>VLOOKUP($B2297,DG!A:D,DG!$B$2,)</f>
        <v>0</v>
      </c>
      <c r="F2297" s="1059" t="str">
        <f>VLOOKUP($B2297,DG!A:D,DG!$C$2,)</f>
        <v>Keo dán ống PVC (500gr)</v>
      </c>
      <c r="G2297" s="1047" t="str">
        <f>VLOOKUP($B2297,DG!A:D,DG!$D$2,)</f>
        <v>lon</v>
      </c>
      <c r="H2297" s="1846">
        <f t="shared" si="410"/>
        <v>0</v>
      </c>
      <c r="I2297" s="1846"/>
      <c r="J2297" s="1846"/>
      <c r="K2297" s="1846">
        <f>IFERROR(HLOOKUP(B2297,pp3p1m!$1:$3,2,0),0)</f>
        <v>0</v>
      </c>
      <c r="L2297" s="1846"/>
      <c r="M2297" s="1846"/>
      <c r="N2297" s="1846"/>
      <c r="O2297" s="1846"/>
      <c r="P2297" s="1845">
        <f t="shared" si="407"/>
        <v>0</v>
      </c>
      <c r="Q2297" s="1055"/>
      <c r="R2297" s="1055"/>
      <c r="S2297" s="1055"/>
      <c r="T2297" s="2059">
        <f t="shared" si="411"/>
        <v>0</v>
      </c>
    </row>
    <row r="2298" spans="1:20" ht="22.15" hidden="1" customHeight="1">
      <c r="A2298" s="59"/>
      <c r="B2298" s="1621" t="s">
        <v>672</v>
      </c>
      <c r="C2298" s="1015" t="str">
        <f t="shared" si="398"/>
        <v xml:space="preserve"> </v>
      </c>
      <c r="D2298" s="1567">
        <f>D2284*2</f>
        <v>0</v>
      </c>
      <c r="E2298" s="1047">
        <f>VLOOKUP($B2298,DG!A:D,DG!$B$2,)</f>
        <v>0</v>
      </c>
      <c r="F2298" s="1059" t="str">
        <f>VLOOKUP($B2298,DG!A:D,DG!$C$2,)</f>
        <v>Băng keo cách điện</v>
      </c>
      <c r="G2298" s="1047" t="str">
        <f>VLOOKUP($B2298,DG!A:D,DG!$D$2,)</f>
        <v>cuộn</v>
      </c>
      <c r="H2298" s="1846">
        <f t="shared" si="410"/>
        <v>0</v>
      </c>
      <c r="I2298" s="1846"/>
      <c r="J2298" s="1846"/>
      <c r="K2298" s="1846">
        <f>IFERROR(HLOOKUP(B2298,pp3p1m!$1:$3,2,0),0)</f>
        <v>0</v>
      </c>
      <c r="L2298" s="1846"/>
      <c r="M2298" s="1846"/>
      <c r="N2298" s="1846"/>
      <c r="O2298" s="1846"/>
      <c r="P2298" s="1845">
        <f t="shared" si="407"/>
        <v>0</v>
      </c>
      <c r="Q2298" s="1055"/>
      <c r="R2298" s="1055"/>
      <c r="S2298" s="1055"/>
      <c r="T2298" s="2059">
        <f t="shared" si="411"/>
        <v>0</v>
      </c>
    </row>
    <row r="2299" spans="1:20" ht="22.15" hidden="1" customHeight="1">
      <c r="A2299" s="59"/>
      <c r="B2299" s="1621" t="s">
        <v>2128</v>
      </c>
      <c r="C2299" s="1015" t="str">
        <f t="shared" si="398"/>
        <v xml:space="preserve"> </v>
      </c>
      <c r="D2299" s="1567">
        <f>D2284*4</f>
        <v>0</v>
      </c>
      <c r="E2299" s="1047">
        <f>VLOOKUP($B2299,DG!A:D,DG!$B$2,)</f>
        <v>0</v>
      </c>
      <c r="F2299" s="1059" t="str">
        <f>VLOOKUP($B2299,DG!A:D,DG!$C$2,)</f>
        <v>Khâu ven răng trong D42</v>
      </c>
      <c r="G2299" s="1047" t="str">
        <f>VLOOKUP($B2299,DG!A:D,DG!$D$2,)</f>
        <v>cái</v>
      </c>
      <c r="H2299" s="1846">
        <f t="shared" si="410"/>
        <v>0</v>
      </c>
      <c r="I2299" s="1846"/>
      <c r="J2299" s="1846"/>
      <c r="K2299" s="1846">
        <f>IFERROR(HLOOKUP(B2299,pp3p1m!$1:$3,2,0),0)</f>
        <v>0</v>
      </c>
      <c r="L2299" s="1846"/>
      <c r="M2299" s="1846"/>
      <c r="N2299" s="1846"/>
      <c r="O2299" s="1846"/>
      <c r="P2299" s="1845">
        <f t="shared" si="407"/>
        <v>0</v>
      </c>
      <c r="Q2299" s="1055"/>
      <c r="R2299" s="1055"/>
      <c r="S2299" s="1055"/>
      <c r="T2299" s="2059">
        <f t="shared" si="411"/>
        <v>0</v>
      </c>
    </row>
    <row r="2300" spans="1:20" ht="22.15" hidden="1" customHeight="1">
      <c r="A2300" s="59"/>
      <c r="B2300" s="1621" t="s">
        <v>961</v>
      </c>
      <c r="C2300" s="1015" t="str">
        <f t="shared" si="398"/>
        <v xml:space="preserve"> </v>
      </c>
      <c r="D2300" s="1567">
        <f>D2299</f>
        <v>0</v>
      </c>
      <c r="E2300" s="1047">
        <f>VLOOKUP($B2300,DG!A:D,DG!$B$2,)</f>
        <v>0</v>
      </c>
      <c r="F2300" s="1059" t="str">
        <f>VLOOKUP($B2300,DG!A:D,DG!$C$2,)</f>
        <v>Khâu ven răng ngoài D42</v>
      </c>
      <c r="G2300" s="1047" t="str">
        <f>VLOOKUP($B2300,DG!A:D,DG!$D$2,)</f>
        <v>cái</v>
      </c>
      <c r="H2300" s="1846">
        <f t="shared" si="410"/>
        <v>0</v>
      </c>
      <c r="I2300" s="1846"/>
      <c r="J2300" s="1846"/>
      <c r="K2300" s="1846">
        <f>IFERROR(HLOOKUP(B2300,pp3p1m!$1:$3,2,0),0)</f>
        <v>0</v>
      </c>
      <c r="L2300" s="1846"/>
      <c r="M2300" s="1846"/>
      <c r="N2300" s="1846"/>
      <c r="O2300" s="1846"/>
      <c r="P2300" s="1845">
        <f t="shared" si="407"/>
        <v>0</v>
      </c>
      <c r="Q2300" s="1055"/>
      <c r="R2300" s="1055"/>
      <c r="S2300" s="1055"/>
      <c r="T2300" s="2059">
        <f t="shared" si="411"/>
        <v>0</v>
      </c>
    </row>
    <row r="2301" spans="1:20" ht="22.15" hidden="1" customHeight="1">
      <c r="A2301" s="59"/>
      <c r="B2301" s="1621" t="s">
        <v>455</v>
      </c>
      <c r="C2301" s="1015" t="str">
        <f t="shared" si="398"/>
        <v xml:space="preserve"> </v>
      </c>
      <c r="D2301" s="1567">
        <f>D2284*2</f>
        <v>0</v>
      </c>
      <c r="E2301" s="1047">
        <f>VLOOKUP($B2301,DG!A:D,DG!$B$2,)</f>
        <v>0</v>
      </c>
      <c r="F2301" s="1059" t="str">
        <f>VLOOKUP($B2301,DG!A:D,DG!$C$2,)</f>
        <v>Bảng nhựa gắn tủ điện kế điện tử</v>
      </c>
      <c r="G2301" s="1047" t="str">
        <f>VLOOKUP($B2301,DG!A:D,DG!$D$2,)</f>
        <v>cái</v>
      </c>
      <c r="H2301" s="1846">
        <f t="shared" si="410"/>
        <v>0</v>
      </c>
      <c r="I2301" s="1846"/>
      <c r="J2301" s="1846"/>
      <c r="K2301" s="1846">
        <f>IFERROR(HLOOKUP(B2301,pp3p1m!$1:$3,2,0),0)</f>
        <v>0</v>
      </c>
      <c r="L2301" s="1846"/>
      <c r="M2301" s="1846"/>
      <c r="N2301" s="1846"/>
      <c r="O2301" s="1846"/>
      <c r="P2301" s="1845">
        <f t="shared" si="407"/>
        <v>0</v>
      </c>
      <c r="Q2301" s="1055"/>
      <c r="R2301" s="1055"/>
      <c r="S2301" s="1055"/>
      <c r="T2301" s="2059">
        <f t="shared" si="411"/>
        <v>0</v>
      </c>
    </row>
    <row r="2302" spans="1:20" ht="22.15" hidden="1" customHeight="1">
      <c r="A2302" s="59"/>
      <c r="B2302" s="1621" t="s">
        <v>1921</v>
      </c>
      <c r="C2302" s="1015" t="str">
        <f t="shared" si="398"/>
        <v xml:space="preserve"> </v>
      </c>
      <c r="D2302" s="1567">
        <f>D2284</f>
        <v>0</v>
      </c>
      <c r="E2302" s="1047" t="str">
        <f>VLOOKUP($B2302,DG!A:D,DG!$B$2,)</f>
        <v>05.1101</v>
      </c>
      <c r="F2302" s="1059" t="str">
        <f>VLOOKUP($B2302,DG!A:D,DG!$C$2,)</f>
        <v>Thùng điện kế 450x300x200mm đo đếm trung thế</v>
      </c>
      <c r="G2302" s="1047" t="str">
        <f>VLOOKUP($B2302,DG!A:D,DG!$D$2,)</f>
        <v>cái</v>
      </c>
      <c r="H2302" s="1846">
        <f t="shared" si="410"/>
        <v>0</v>
      </c>
      <c r="I2302" s="1846"/>
      <c r="J2302" s="1846"/>
      <c r="K2302" s="1846">
        <f>IFERROR(HLOOKUP(B2302,pp3p1m!$1:$3,2,0),0)</f>
        <v>0</v>
      </c>
      <c r="L2302" s="1846"/>
      <c r="M2302" s="1846"/>
      <c r="N2302" s="1846"/>
      <c r="O2302" s="1846"/>
      <c r="P2302" s="1845">
        <f t="shared" si="407"/>
        <v>0</v>
      </c>
      <c r="Q2302" s="1055"/>
      <c r="R2302" s="1055"/>
      <c r="S2302" s="1055"/>
      <c r="T2302" s="2059">
        <f t="shared" si="411"/>
        <v>0</v>
      </c>
    </row>
    <row r="2303" spans="1:20" ht="22.15" hidden="1" customHeight="1">
      <c r="A2303" s="59"/>
      <c r="B2303" s="1621" t="s">
        <v>940</v>
      </c>
      <c r="C2303" s="1015" t="str">
        <f t="shared" ref="C2303:C2367" si="412">IF(OR(P2303&lt;&gt;0,H2303&lt;&gt;0),"x"," ")</f>
        <v xml:space="preserve"> </v>
      </c>
      <c r="D2303" s="1569">
        <f>D2302*2</f>
        <v>0</v>
      </c>
      <c r="E2303" s="1047" t="str">
        <f>VLOOKUP($B2303,DG!A:D,DG!$B$2,)</f>
        <v>06.3231</v>
      </c>
      <c r="F2303" s="1399" t="str">
        <f>VLOOKUP($B2303,DG!A:D,DG!$C$2,)</f>
        <v>Cổ dê CDĐKĐT( bắt thùng điện kế)</v>
      </c>
      <c r="G2303" s="1419" t="str">
        <f>VLOOKUP($B2303,DG!A:D,DG!$D$2,)</f>
        <v>bộ</v>
      </c>
      <c r="H2303" s="1846">
        <f t="shared" si="410"/>
        <v>0</v>
      </c>
      <c r="I2303" s="1846"/>
      <c r="J2303" s="1846"/>
      <c r="K2303" s="1846">
        <f>IFERROR(HLOOKUP(B2303,pp3p1m!$1:$3,2,0),0)</f>
        <v>0</v>
      </c>
      <c r="L2303" s="1846"/>
      <c r="M2303" s="1846"/>
      <c r="N2303" s="1846"/>
      <c r="O2303" s="1846"/>
      <c r="P2303" s="1845">
        <f t="shared" si="407"/>
        <v>0</v>
      </c>
      <c r="Q2303" s="1055"/>
      <c r="R2303" s="1055"/>
      <c r="S2303" s="1055"/>
      <c r="T2303" s="2059">
        <f t="shared" si="411"/>
        <v>0</v>
      </c>
    </row>
    <row r="2304" spans="1:20" ht="22.15" hidden="1" customHeight="1">
      <c r="A2304" s="59"/>
      <c r="B2304" s="1621" t="s">
        <v>6</v>
      </c>
      <c r="C2304" s="1015" t="str">
        <f t="shared" si="412"/>
        <v xml:space="preserve"> </v>
      </c>
      <c r="D2304" s="1567">
        <f>D2284*4</f>
        <v>0</v>
      </c>
      <c r="E2304" s="1047">
        <f>VLOOKUP($B2304,DG!A:D,DG!$B$2,)</f>
        <v>0</v>
      </c>
      <c r="F2304" s="1059" t="str">
        <f>VLOOKUP($B2304,DG!A:D,DG!$C$2,)</f>
        <v>Keo silicon bít miệng ống</v>
      </c>
      <c r="G2304" s="1047" t="str">
        <f>VLOOKUP($B2304,DG!A:D,DG!$D$2,)</f>
        <v>ống</v>
      </c>
      <c r="H2304" s="1846">
        <f t="shared" si="410"/>
        <v>0</v>
      </c>
      <c r="I2304" s="1846"/>
      <c r="J2304" s="1846"/>
      <c r="K2304" s="1846">
        <f>IFERROR(HLOOKUP(B2304,pp3p1m!$1:$3,2,0),0)</f>
        <v>0</v>
      </c>
      <c r="L2304" s="1846"/>
      <c r="M2304" s="1846"/>
      <c r="N2304" s="1846"/>
      <c r="O2304" s="1846"/>
      <c r="P2304" s="1845">
        <f t="shared" si="407"/>
        <v>0</v>
      </c>
      <c r="Q2304" s="1055"/>
      <c r="R2304" s="1055"/>
      <c r="S2304" s="1055"/>
      <c r="T2304" s="2059">
        <f t="shared" si="411"/>
        <v>0</v>
      </c>
    </row>
    <row r="2305" spans="1:20" ht="22.15" hidden="1" customHeight="1">
      <c r="A2305" s="59"/>
      <c r="B2305" s="1621" t="s">
        <v>2147</v>
      </c>
      <c r="C2305" s="1015" t="str">
        <f t="shared" si="412"/>
        <v xml:space="preserve"> </v>
      </c>
      <c r="D2305" s="1567">
        <f>D2284*4</f>
        <v>0</v>
      </c>
      <c r="E2305" s="1047">
        <f>VLOOKUP($B2305,DG!A:D,DG!$B$2,)</f>
        <v>0</v>
      </c>
      <c r="F2305" s="1059" t="str">
        <f>VLOOKUP($B2305,DG!A:D,DG!$C$2,)</f>
        <v>Dây đồng trần mềm dẹt</v>
      </c>
      <c r="G2305" s="1047" t="str">
        <f>VLOOKUP($B2305,DG!A:D,DG!$D$2,)</f>
        <v>mét</v>
      </c>
      <c r="H2305" s="1846">
        <f t="shared" si="410"/>
        <v>0</v>
      </c>
      <c r="I2305" s="1846"/>
      <c r="J2305" s="1846"/>
      <c r="K2305" s="1846">
        <f>IFERROR(HLOOKUP(B2305,pp3p1m!$1:$3,2,0),0)</f>
        <v>0</v>
      </c>
      <c r="L2305" s="1846"/>
      <c r="M2305" s="1846"/>
      <c r="N2305" s="1846"/>
      <c r="O2305" s="1846"/>
      <c r="P2305" s="1845">
        <f t="shared" si="407"/>
        <v>0</v>
      </c>
      <c r="Q2305" s="1055"/>
      <c r="R2305" s="1055"/>
      <c r="S2305" s="1055"/>
      <c r="T2305" s="2059">
        <f t="shared" si="411"/>
        <v>0</v>
      </c>
    </row>
    <row r="2306" spans="1:20" ht="22.15" hidden="1" customHeight="1">
      <c r="A2306" s="59"/>
      <c r="B2306" s="1621" t="s">
        <v>251</v>
      </c>
      <c r="C2306" s="1015" t="str">
        <f t="shared" si="412"/>
        <v xml:space="preserve"> </v>
      </c>
      <c r="D2306" s="1567">
        <f>2*D2286</f>
        <v>0</v>
      </c>
      <c r="E2306" s="1047">
        <f>VLOOKUP($B2306,DG!A:D,DG!$B$2,)</f>
        <v>0</v>
      </c>
      <c r="F2306" s="1059" t="str">
        <f>VLOOKUP($B2306,DG!A:D,DG!$C$2,)</f>
        <v>Boulon 12x150+ 2 long đền vuông D14-50x50x3/Zn</v>
      </c>
      <c r="G2306" s="1047" t="str">
        <f>VLOOKUP($B2306,DG!A:D,DG!$D$2,)</f>
        <v>bộ</v>
      </c>
      <c r="H2306" s="1846">
        <f t="shared" si="410"/>
        <v>0</v>
      </c>
      <c r="I2306" s="1846"/>
      <c r="J2306" s="1846"/>
      <c r="K2306" s="1846">
        <f>IFERROR(HLOOKUP(B2306,pp3p1m!$1:$3,2,0),0)</f>
        <v>0</v>
      </c>
      <c r="L2306" s="1846"/>
      <c r="M2306" s="1846"/>
      <c r="N2306" s="1846"/>
      <c r="O2306" s="1846"/>
      <c r="P2306" s="1845">
        <f t="shared" si="407"/>
        <v>0</v>
      </c>
      <c r="Q2306" s="1055"/>
      <c r="R2306" s="1055"/>
      <c r="S2306" s="1055"/>
      <c r="T2306" s="2059">
        <f t="shared" si="411"/>
        <v>0</v>
      </c>
    </row>
    <row r="2307" spans="1:20" ht="22.15" hidden="1" customHeight="1">
      <c r="A2307" s="59"/>
      <c r="B2307" s="1621" t="s">
        <v>1037</v>
      </c>
      <c r="C2307" s="1015" t="str">
        <f t="shared" si="412"/>
        <v xml:space="preserve"> </v>
      </c>
      <c r="D2307" s="1570">
        <f>3.77*D2284*0</f>
        <v>0</v>
      </c>
      <c r="E2307" s="1047">
        <f>VLOOKUP($B2307,DG!A:D,DG!$B$2,)</f>
        <v>0</v>
      </c>
      <c r="F2307" s="1059" t="str">
        <f>VLOOKUP($B2307,DG!A:D,DG!$C$2,)&amp;" : 2 thanh daøi 0,5m"</f>
        <v>Sắt góc L50 x50 x5 : 2 thanh daøi 0,5m</v>
      </c>
      <c r="G2307" s="1047" t="str">
        <f>VLOOKUP($B2307,DG!A:D,DG!$D$2,)</f>
        <v>kg</v>
      </c>
      <c r="H2307" s="1846">
        <f t="shared" si="410"/>
        <v>0</v>
      </c>
      <c r="I2307" s="1846"/>
      <c r="J2307" s="1846"/>
      <c r="K2307" s="1846">
        <f>IFERROR(HLOOKUP(B2307,pp3p1m!$1:$3,2,0),0)</f>
        <v>0</v>
      </c>
      <c r="L2307" s="1846"/>
      <c r="M2307" s="1846"/>
      <c r="N2307" s="1846"/>
      <c r="O2307" s="1846"/>
      <c r="P2307" s="1845">
        <f t="shared" si="407"/>
        <v>0</v>
      </c>
      <c r="Q2307" s="1055"/>
      <c r="R2307" s="1055"/>
      <c r="S2307" s="1055"/>
      <c r="T2307" s="2059">
        <f t="shared" si="411"/>
        <v>0</v>
      </c>
    </row>
    <row r="2308" spans="1:20" ht="22.15" hidden="1" customHeight="1">
      <c r="A2308" s="59"/>
      <c r="B2308" s="1621" t="s">
        <v>1355</v>
      </c>
      <c r="C2308" s="1015" t="str">
        <f t="shared" si="412"/>
        <v xml:space="preserve"> </v>
      </c>
      <c r="D2308" s="1567">
        <f>4*D2284*0</f>
        <v>0</v>
      </c>
      <c r="E2308" s="1047">
        <f>VLOOKUP($B2308,DG!A:D,DG!$B$2,)</f>
        <v>0</v>
      </c>
      <c r="F2308" s="1059" t="str">
        <f>VLOOKUP($B2308,DG!A:D,DG!$C$2,)</f>
        <v>Boulon 12x60+ 2 long đền vuông D14-50x50x3/Zn</v>
      </c>
      <c r="G2308" s="1047" t="str">
        <f>VLOOKUP($B2308,DG!A:D,DG!$D$2,)</f>
        <v>bộ</v>
      </c>
      <c r="H2308" s="1846">
        <f t="shared" si="410"/>
        <v>0</v>
      </c>
      <c r="I2308" s="1846"/>
      <c r="J2308" s="1846"/>
      <c r="K2308" s="1846">
        <f>IFERROR(HLOOKUP(B2308,pp3p1m!$1:$3,2,0),0)</f>
        <v>0</v>
      </c>
      <c r="L2308" s="1846"/>
      <c r="M2308" s="1846"/>
      <c r="N2308" s="1846"/>
      <c r="O2308" s="1846"/>
      <c r="P2308" s="1845">
        <f t="shared" si="407"/>
        <v>0</v>
      </c>
      <c r="Q2308" s="1055"/>
      <c r="R2308" s="1055"/>
      <c r="S2308" s="1055"/>
      <c r="T2308" s="2059">
        <f t="shared" si="411"/>
        <v>0</v>
      </c>
    </row>
    <row r="2309" spans="1:20" ht="22.15" hidden="1" customHeight="1">
      <c r="A2309" s="1018" t="s">
        <v>1905</v>
      </c>
      <c r="B2309" s="1583" t="s">
        <v>1905</v>
      </c>
      <c r="C2309" s="1015" t="str">
        <f>IF(L2309&gt;0,"x","")</f>
        <v/>
      </c>
      <c r="D2309" s="1541">
        <f>IF(SUM(D2310:D2314)=0,0,1)</f>
        <v>0</v>
      </c>
      <c r="E2309" s="1049" t="s">
        <v>1903</v>
      </c>
      <c r="F2309" s="1396" t="s">
        <v>2582</v>
      </c>
      <c r="G2309" s="1049"/>
      <c r="H2309" s="1843"/>
      <c r="I2309" s="1844"/>
      <c r="J2309" s="1844"/>
      <c r="K2309" s="1844"/>
      <c r="L2309" s="1844">
        <f>SUM(L2310:L2314)</f>
        <v>0</v>
      </c>
      <c r="M2309" s="1844"/>
      <c r="N2309" s="1844"/>
      <c r="O2309" s="1844"/>
      <c r="P2309" s="1845">
        <f t="shared" si="407"/>
        <v>0</v>
      </c>
      <c r="Q2309" s="1050"/>
      <c r="R2309" s="1050"/>
      <c r="S2309" s="1050"/>
      <c r="T2309" s="2059">
        <f t="shared" si="411"/>
        <v>0</v>
      </c>
    </row>
    <row r="2310" spans="1:20" ht="22.15" hidden="1" customHeight="1">
      <c r="A2310" s="59"/>
      <c r="B2310" s="1578" t="s">
        <v>1657</v>
      </c>
      <c r="C2310" s="1015" t="str">
        <f t="shared" si="412"/>
        <v xml:space="preserve"> </v>
      </c>
      <c r="D2310" s="1557"/>
      <c r="E2310" s="1047" t="str">
        <f>VLOOKUP($B2310,DG!A:D,DG!$B$2,)</f>
        <v>02.3155</v>
      </c>
      <c r="F2310" s="1059" t="str">
        <f>VLOOKUP($B2310,DG!A:D,DG!$C$2,)</f>
        <v>FCO 27kV - 100A</v>
      </c>
      <c r="G2310" s="1047" t="str">
        <f>VLOOKUP($B2310,DG!A:D,DG!$D$2,)</f>
        <v>cái</v>
      </c>
      <c r="H2310" s="1845">
        <f>L2310</f>
        <v>0</v>
      </c>
      <c r="I2310" s="1845"/>
      <c r="J2310" s="1845"/>
      <c r="K2310" s="1845"/>
      <c r="L2310" s="1844">
        <f>IFERROR(HLOOKUP(chitiet!B2310,pp1p!$1:$3,3,0),0)</f>
        <v>0</v>
      </c>
      <c r="M2310" s="1845"/>
      <c r="N2310" s="1845"/>
      <c r="O2310" s="1845"/>
      <c r="P2310" s="1845">
        <f t="shared" si="407"/>
        <v>0</v>
      </c>
      <c r="Q2310" s="1056"/>
      <c r="R2310" s="1056"/>
      <c r="S2310" s="1056"/>
      <c r="T2310" s="2059">
        <f t="shared" si="411"/>
        <v>0</v>
      </c>
    </row>
    <row r="2311" spans="1:20" ht="22.15" hidden="1" customHeight="1">
      <c r="A2311" s="59"/>
      <c r="B2311" s="1593" t="s">
        <v>382</v>
      </c>
      <c r="C2311" s="1854" t="str">
        <f t="shared" si="412"/>
        <v xml:space="preserve"> </v>
      </c>
      <c r="D2311" s="1566"/>
      <c r="E2311" s="1047">
        <f>VLOOKUP($B2311,DG!A:D,DG!$B$2,)</f>
        <v>0</v>
      </c>
      <c r="F2311" s="1059" t="str">
        <f>VLOOKUP($B2311,DG!A:D,DG!$C$2,)</f>
        <v>Chụp đầu cực FCO (bộ 2 cái)</v>
      </c>
      <c r="G2311" s="1047" t="str">
        <f>VLOOKUP($B2311,DG!A:D,DG!$D$2,)</f>
        <v>bộ</v>
      </c>
      <c r="H2311" s="1845">
        <f t="shared" ref="H2311:H2314" si="413">L2311</f>
        <v>0</v>
      </c>
      <c r="I2311" s="1846"/>
      <c r="J2311" s="1846"/>
      <c r="K2311" s="1846">
        <f t="shared" ref="K2311" si="414">D2311</f>
        <v>0</v>
      </c>
      <c r="L2311" s="1844">
        <f>IFERROR(HLOOKUP(chitiet!B2311,pp1p!$1:$3,3,0),0)</f>
        <v>0</v>
      </c>
      <c r="M2311" s="1846"/>
      <c r="N2311" s="1846"/>
      <c r="O2311" s="1846"/>
      <c r="P2311" s="1845">
        <f t="shared" si="407"/>
        <v>0</v>
      </c>
      <c r="Q2311" s="1055"/>
      <c r="R2311" s="1055"/>
      <c r="S2311" s="1055"/>
      <c r="T2311" s="2059">
        <f t="shared" si="411"/>
        <v>0</v>
      </c>
    </row>
    <row r="2312" spans="1:20" ht="22.15" hidden="1" customHeight="1">
      <c r="A2312" s="59"/>
      <c r="B2312" s="1578" t="s">
        <v>368</v>
      </c>
      <c r="C2312" s="1015" t="str">
        <f t="shared" si="412"/>
        <v xml:space="preserve"> </v>
      </c>
      <c r="D2312" s="1557"/>
      <c r="E2312" s="1047">
        <f>VLOOKUP($B2312,DG!A:D,DG!$B$2,)</f>
        <v>0</v>
      </c>
      <c r="F2312" s="1059" t="str">
        <f>VLOOKUP($B2312,DG!A:D,DG!$C$2,)</f>
        <v>Dây chảy 8K</v>
      </c>
      <c r="G2312" s="1047" t="str">
        <f>VLOOKUP($B2312,DG!A:D,DG!$D$2,)</f>
        <v>Sợi</v>
      </c>
      <c r="H2312" s="1845">
        <f t="shared" si="413"/>
        <v>0</v>
      </c>
      <c r="I2312" s="1845"/>
      <c r="J2312" s="1845"/>
      <c r="K2312" s="1845"/>
      <c r="L2312" s="1844">
        <f>IFERROR(HLOOKUP(chitiet!B2312,pp1p!$1:$3,3,0),0)</f>
        <v>0</v>
      </c>
      <c r="M2312" s="1845"/>
      <c r="N2312" s="1845"/>
      <c r="O2312" s="1845"/>
      <c r="P2312" s="1845">
        <f t="shared" si="407"/>
        <v>0</v>
      </c>
      <c r="Q2312" s="1056"/>
      <c r="R2312" s="1056"/>
      <c r="S2312" s="1056"/>
      <c r="T2312" s="2059">
        <f t="shared" si="411"/>
        <v>0</v>
      </c>
    </row>
    <row r="2313" spans="1:20" ht="22.15" hidden="1" customHeight="1">
      <c r="A2313" s="1017"/>
      <c r="B2313" s="1578" t="s">
        <v>369</v>
      </c>
      <c r="C2313" s="1015" t="str">
        <f t="shared" ref="C2313" si="415">IF(OR(P2313&lt;&gt;0,H2313&lt;&gt;0),"x"," ")</f>
        <v xml:space="preserve"> </v>
      </c>
      <c r="D2313" s="1557"/>
      <c r="E2313" s="1047">
        <f>VLOOKUP($B2313,DG!A:D,DG!$B$2,)</f>
        <v>0</v>
      </c>
      <c r="F2313" s="1059" t="str">
        <f>VLOOKUP($B2313,DG!A:D,DG!$C$2,)</f>
        <v>Dây chảy 10K</v>
      </c>
      <c r="G2313" s="1047" t="str">
        <f>VLOOKUP($B2313,DG!A:D,DG!$D$2,)</f>
        <v>Sợi</v>
      </c>
      <c r="H2313" s="1845">
        <f t="shared" si="413"/>
        <v>0</v>
      </c>
      <c r="I2313" s="1845"/>
      <c r="J2313" s="1845"/>
      <c r="K2313" s="1845"/>
      <c r="L2313" s="1844">
        <f>IFERROR(HLOOKUP(chitiet!B2313,pp1p!$1:$3,3,0),0)</f>
        <v>0</v>
      </c>
      <c r="M2313" s="1845"/>
      <c r="N2313" s="1845"/>
      <c r="O2313" s="1845"/>
      <c r="P2313" s="1845">
        <f t="shared" si="407"/>
        <v>0</v>
      </c>
      <c r="Q2313" s="1056"/>
      <c r="R2313" s="1056"/>
      <c r="S2313" s="1056"/>
      <c r="T2313" s="2059">
        <f t="shared" si="411"/>
        <v>0</v>
      </c>
    </row>
    <row r="2314" spans="1:20" ht="22.15" hidden="1" customHeight="1">
      <c r="A2314" s="1017"/>
      <c r="B2314" s="1578" t="s">
        <v>4776</v>
      </c>
      <c r="C2314" s="1015" t="str">
        <f t="shared" si="412"/>
        <v xml:space="preserve"> </v>
      </c>
      <c r="D2314" s="1557"/>
      <c r="E2314" s="1047">
        <f>VLOOKUP($B2314,DG!A:D,DG!$B$2,)</f>
        <v>0</v>
      </c>
      <c r="F2314" s="1059" t="str">
        <f>VLOOKUP($B2314,DG!A:D,DG!$C$2,)</f>
        <v>Dây chảy 12K</v>
      </c>
      <c r="G2314" s="1047" t="str">
        <f>VLOOKUP($B2314,DG!A:D,DG!$D$2,)</f>
        <v>Sợi</v>
      </c>
      <c r="H2314" s="1845">
        <f t="shared" si="413"/>
        <v>0</v>
      </c>
      <c r="I2314" s="1845"/>
      <c r="J2314" s="1845"/>
      <c r="K2314" s="1845"/>
      <c r="L2314" s="1844">
        <f>IFERROR(HLOOKUP(chitiet!B2314,pp1p!$1:$3,3,0),0)</f>
        <v>0</v>
      </c>
      <c r="M2314" s="1845"/>
      <c r="N2314" s="1845"/>
      <c r="O2314" s="1845"/>
      <c r="P2314" s="1845">
        <f t="shared" si="407"/>
        <v>0</v>
      </c>
      <c r="Q2314" s="1056"/>
      <c r="R2314" s="1056"/>
      <c r="S2314" s="1056"/>
      <c r="T2314" s="2059">
        <f t="shared" si="411"/>
        <v>0</v>
      </c>
    </row>
    <row r="2315" spans="1:20" ht="22.15" hidden="1" customHeight="1">
      <c r="A2315" s="56" t="s">
        <v>949</v>
      </c>
      <c r="B2315" s="1583" t="s">
        <v>949</v>
      </c>
      <c r="C2315" s="1015" t="str">
        <f>IF(D2315&lt;&gt;0,"x"," ")</f>
        <v xml:space="preserve"> </v>
      </c>
      <c r="D2315" s="1541">
        <f>IF(SUM(D2316:D2319)=0,0,1)</f>
        <v>0</v>
      </c>
      <c r="E2315" s="1049" t="s">
        <v>1962</v>
      </c>
      <c r="F2315" s="1396" t="s">
        <v>2583</v>
      </c>
      <c r="G2315" s="1049"/>
      <c r="H2315" s="1843">
        <f>SUM(I2315:O2315)</f>
        <v>0</v>
      </c>
      <c r="I2315" s="1844"/>
      <c r="J2315" s="1844"/>
      <c r="K2315" s="1844"/>
      <c r="L2315" s="1844">
        <f>IFERROR(HLOOKUP(chitiet!B2315,pp1p!$1:$3,3,0),0)</f>
        <v>0</v>
      </c>
      <c r="M2315" s="1844"/>
      <c r="N2315" s="1844"/>
      <c r="O2315" s="1844"/>
      <c r="P2315" s="1845">
        <f t="shared" si="407"/>
        <v>0</v>
      </c>
      <c r="Q2315" s="1068"/>
      <c r="R2315" s="1068"/>
      <c r="S2315" s="1068"/>
      <c r="T2315" s="2059">
        <f t="shared" si="411"/>
        <v>0</v>
      </c>
    </row>
    <row r="2316" spans="1:20" ht="22.15" hidden="1" customHeight="1">
      <c r="A2316" s="59"/>
      <c r="B2316" s="1593" t="s">
        <v>945</v>
      </c>
      <c r="C2316" s="1015" t="str">
        <f t="shared" si="412"/>
        <v xml:space="preserve"> </v>
      </c>
      <c r="D2316" s="1557"/>
      <c r="E2316" s="1047" t="str">
        <f>VLOOKUP($B2316,DG!A:D,DG!$B$2,)</f>
        <v>05.5104</v>
      </c>
      <c r="F2316" s="1059" t="str">
        <f>VLOOKUP($B2316,DG!A:D,DG!$C$2,)</f>
        <v>Điện năng kế 3 pha 380V-5A</v>
      </c>
      <c r="G2316" s="1047" t="str">
        <f>VLOOKUP($B2316,DG!A:D,DG!$D$2,)</f>
        <v>cái</v>
      </c>
      <c r="H2316" s="1845">
        <f>D2316</f>
        <v>0</v>
      </c>
      <c r="I2316" s="1845"/>
      <c r="J2316" s="1845"/>
      <c r="K2316" s="1845"/>
      <c r="L2316" s="1845">
        <f>D2316</f>
        <v>0</v>
      </c>
      <c r="M2316" s="1845"/>
      <c r="N2316" s="1845"/>
      <c r="O2316" s="1845"/>
      <c r="P2316" s="1845">
        <f t="shared" si="407"/>
        <v>0</v>
      </c>
      <c r="Q2316" s="1056"/>
      <c r="R2316" s="1056"/>
      <c r="S2316" s="1056"/>
      <c r="T2316" s="2059">
        <f t="shared" si="411"/>
        <v>0</v>
      </c>
    </row>
    <row r="2317" spans="1:20" ht="22.15" hidden="1" customHeight="1">
      <c r="A2317" s="59"/>
      <c r="B2317" s="1593" t="s">
        <v>2050</v>
      </c>
      <c r="C2317" s="1015" t="str">
        <f t="shared" si="412"/>
        <v xml:space="preserve"> </v>
      </c>
      <c r="D2317" s="1557"/>
      <c r="E2317" s="1047">
        <f>VLOOKUP($B2317,DG!A:D,DG!$B$2,)</f>
        <v>0</v>
      </c>
      <c r="F2317" s="1059" t="str">
        <f>VLOOKUP($B2317,DG!A:D,DG!$C$2,)</f>
        <v>Biến dòng 600V - 100/5A</v>
      </c>
      <c r="G2317" s="1047" t="str">
        <f>VLOOKUP($B2317,DG!A:D,DG!$D$2,)</f>
        <v>cái</v>
      </c>
      <c r="H2317" s="1845">
        <f>D2317</f>
        <v>0</v>
      </c>
      <c r="I2317" s="1845"/>
      <c r="J2317" s="1845"/>
      <c r="K2317" s="1845"/>
      <c r="L2317" s="1845">
        <f>D2317</f>
        <v>0</v>
      </c>
      <c r="M2317" s="1845"/>
      <c r="N2317" s="1845"/>
      <c r="O2317" s="1845"/>
      <c r="P2317" s="1845">
        <f t="shared" si="407"/>
        <v>0</v>
      </c>
      <c r="Q2317" s="1056"/>
      <c r="R2317" s="1056"/>
      <c r="S2317" s="1056"/>
      <c r="T2317" s="2059">
        <f t="shared" si="411"/>
        <v>0</v>
      </c>
    </row>
    <row r="2318" spans="1:20" ht="22.15" hidden="1" customHeight="1">
      <c r="A2318" s="59"/>
      <c r="B2318" s="1593" t="s">
        <v>795</v>
      </c>
      <c r="C2318" s="1015" t="str">
        <f t="shared" si="412"/>
        <v xml:space="preserve"> </v>
      </c>
      <c r="D2318" s="1557"/>
      <c r="E2318" s="1047" t="str">
        <f>VLOOKUP($B2318,DG!A:D,DG!$B$2,)</f>
        <v>02.8401</v>
      </c>
      <c r="F2318" s="1059" t="str">
        <f>VLOOKUP($B2318,DG!A:D,DG!$C$2,)</f>
        <v>MCCB 3 cực 400V-100A - 30KA</v>
      </c>
      <c r="G2318" s="1047" t="str">
        <f>VLOOKUP($B2318,DG!A:D,DG!$D$2,)</f>
        <v>cái</v>
      </c>
      <c r="H2318" s="1845">
        <f>D2318</f>
        <v>0</v>
      </c>
      <c r="I2318" s="1845"/>
      <c r="J2318" s="1845"/>
      <c r="K2318" s="1845"/>
      <c r="L2318" s="1845">
        <f>D2318</f>
        <v>0</v>
      </c>
      <c r="M2318" s="1845"/>
      <c r="N2318" s="1845"/>
      <c r="O2318" s="1845"/>
      <c r="P2318" s="1845">
        <f t="shared" si="407"/>
        <v>0</v>
      </c>
      <c r="Q2318" s="1056"/>
      <c r="R2318" s="1056"/>
      <c r="S2318" s="1056"/>
      <c r="T2318" s="2059">
        <f t="shared" si="411"/>
        <v>0</v>
      </c>
    </row>
    <row r="2319" spans="1:20" ht="22.15" hidden="1" customHeight="1">
      <c r="A2319" s="59"/>
      <c r="B2319" s="1593" t="s">
        <v>1802</v>
      </c>
      <c r="C2319" s="1015" t="str">
        <f t="shared" si="412"/>
        <v xml:space="preserve"> </v>
      </c>
      <c r="D2319" s="1557"/>
      <c r="E2319" s="1047">
        <f>VLOOKUP($B2319,DG!A:D,DG!$B$2,)</f>
        <v>0</v>
      </c>
      <c r="F2319" s="1059" t="str">
        <f>VLOOKUP($B2319,DG!A:D,DG!$C$2,)</f>
        <v>Contactor 3P-50A</v>
      </c>
      <c r="G2319" s="1047" t="str">
        <f>VLOOKUP($B2319,DG!A:D,DG!$D$2,)</f>
        <v>cái</v>
      </c>
      <c r="H2319" s="1845">
        <f>D2319</f>
        <v>0</v>
      </c>
      <c r="I2319" s="1845"/>
      <c r="J2319" s="1845"/>
      <c r="K2319" s="1845"/>
      <c r="L2319" s="1845">
        <f>D2319</f>
        <v>0</v>
      </c>
      <c r="M2319" s="1845"/>
      <c r="N2319" s="1845"/>
      <c r="O2319" s="1845"/>
      <c r="P2319" s="1845">
        <f t="shared" si="407"/>
        <v>0</v>
      </c>
      <c r="Q2319" s="1056"/>
      <c r="R2319" s="1056"/>
      <c r="S2319" s="1056"/>
      <c r="T2319" s="2059">
        <f t="shared" si="411"/>
        <v>0</v>
      </c>
    </row>
    <row r="2320" spans="1:20" ht="22.15" hidden="1" customHeight="1">
      <c r="A2320" s="56" t="s">
        <v>1046</v>
      </c>
      <c r="B2320" s="1583" t="s">
        <v>1046</v>
      </c>
      <c r="C2320" s="1015" t="str">
        <f>IF(D2320&lt;&gt;0,"x"," ")</f>
        <v xml:space="preserve"> </v>
      </c>
      <c r="D2320" s="1571"/>
      <c r="E2320" s="1420" t="s">
        <v>400</v>
      </c>
      <c r="F2320" s="1508" t="s">
        <v>2584</v>
      </c>
      <c r="G2320" s="1420"/>
      <c r="H2320" s="1843">
        <f t="shared" ref="H2320:H2321" si="416">SUM(I2320:O2320)</f>
        <v>0</v>
      </c>
      <c r="I2320" s="1844"/>
      <c r="J2320" s="1844"/>
      <c r="K2320" s="1844"/>
      <c r="L2320" s="1844">
        <f>IFERROR(HLOOKUP(chitiet!B2320,pp1p!$1:$3,3,0),0)</f>
        <v>0</v>
      </c>
      <c r="M2320" s="1844"/>
      <c r="N2320" s="1844"/>
      <c r="O2320" s="1850"/>
      <c r="P2320" s="1845">
        <f t="shared" si="407"/>
        <v>0</v>
      </c>
      <c r="Q2320" s="1050"/>
      <c r="R2320" s="1050"/>
      <c r="S2320" s="1050"/>
      <c r="T2320" s="2059">
        <f t="shared" si="411"/>
        <v>0</v>
      </c>
    </row>
    <row r="2321" spans="1:20" ht="22.15" hidden="1" customHeight="1">
      <c r="A2321" s="56" t="s">
        <v>1047</v>
      </c>
      <c r="B2321" s="1583" t="s">
        <v>1047</v>
      </c>
      <c r="C2321" s="62" t="str">
        <f t="shared" si="412"/>
        <v xml:space="preserve"> </v>
      </c>
      <c r="D2321" s="1541"/>
      <c r="E2321" s="1049"/>
      <c r="F2321" s="1396" t="s">
        <v>2585</v>
      </c>
      <c r="G2321" s="1049" t="s">
        <v>2586</v>
      </c>
      <c r="H2321" s="1843">
        <f t="shared" si="416"/>
        <v>0</v>
      </c>
      <c r="I2321" s="1844"/>
      <c r="J2321" s="1844"/>
      <c r="K2321" s="1844"/>
      <c r="L2321" s="1844">
        <f>IFERROR(HLOOKUP(chitiet!B2321,pp1p!$1:$3,3,0),0)</f>
        <v>0</v>
      </c>
      <c r="M2321" s="1844"/>
      <c r="N2321" s="1844"/>
      <c r="O2321" s="1844"/>
      <c r="P2321" s="1845">
        <f t="shared" si="407"/>
        <v>0</v>
      </c>
      <c r="Q2321" s="1050"/>
      <c r="R2321" s="1050"/>
      <c r="S2321" s="1050"/>
      <c r="T2321" s="2059">
        <f t="shared" si="411"/>
        <v>0</v>
      </c>
    </row>
    <row r="2322" spans="1:20" ht="22.15" hidden="1" customHeight="1">
      <c r="A2322" s="63"/>
      <c r="B2322" s="1594" t="s">
        <v>2014</v>
      </c>
      <c r="C2322" s="64" t="str">
        <f t="shared" si="412"/>
        <v xml:space="preserve"> </v>
      </c>
      <c r="D2322" s="1548">
        <v>3.2</v>
      </c>
      <c r="E2322" s="1051"/>
      <c r="F2322" s="1059" t="str">
        <f>VLOOKUP($B2322,DG!A:D,DG!$C$2,)</f>
        <v>Sắt Ø10</v>
      </c>
      <c r="G2322" s="1047" t="str">
        <f>VLOOKUP($B2322,DG!A:D,DG!$D$2,)</f>
        <v>kg</v>
      </c>
      <c r="H2322" s="1846">
        <f t="shared" ref="H2322:H2334" si="417">IF($H$2320&lt;&gt;0,D2322,)</f>
        <v>0</v>
      </c>
      <c r="I2322" s="1846">
        <f t="shared" ref="I2322:I2331" si="418">$I$2320*D2322</f>
        <v>0</v>
      </c>
      <c r="J2322" s="1846">
        <f t="shared" ref="J2322:J2331" si="419">$J$2320*D2322</f>
        <v>0</v>
      </c>
      <c r="K2322" s="1846">
        <f t="shared" ref="K2322:K2331" si="420">$K$2320*D2322</f>
        <v>0</v>
      </c>
      <c r="L2322" s="1846">
        <f t="shared" ref="L2322:L2357" si="421">$K$2320*H2322</f>
        <v>0</v>
      </c>
      <c r="M2322" s="1846"/>
      <c r="N2322" s="1846"/>
      <c r="O2322" s="1846"/>
      <c r="P2322" s="1845">
        <f t="shared" si="407"/>
        <v>0</v>
      </c>
      <c r="Q2322" s="1055"/>
      <c r="R2322" s="1055"/>
      <c r="S2322" s="1055"/>
      <c r="T2322" s="2059">
        <f t="shared" si="411"/>
        <v>0</v>
      </c>
    </row>
    <row r="2323" spans="1:20" ht="22.15" hidden="1" customHeight="1">
      <c r="A2323" s="63"/>
      <c r="B2323" s="1594" t="s">
        <v>1521</v>
      </c>
      <c r="C2323" s="64" t="str">
        <f t="shared" si="412"/>
        <v xml:space="preserve"> </v>
      </c>
      <c r="D2323" s="1572"/>
      <c r="E2323" s="1051"/>
      <c r="F2323" s="1398" t="str">
        <f>VLOOKUP($B2323,DG!A:D,DG!$C$2,)</f>
        <v>Sắt Ø12</v>
      </c>
      <c r="G2323" s="1047" t="str">
        <f>VLOOKUP($B2323,DG!A:D,DG!$D$2,)</f>
        <v>kg</v>
      </c>
      <c r="H2323" s="1846">
        <f t="shared" si="417"/>
        <v>0</v>
      </c>
      <c r="I2323" s="1846">
        <f t="shared" si="418"/>
        <v>0</v>
      </c>
      <c r="J2323" s="1846">
        <f t="shared" si="419"/>
        <v>0</v>
      </c>
      <c r="K2323" s="1846">
        <f t="shared" si="420"/>
        <v>0</v>
      </c>
      <c r="L2323" s="1846">
        <f t="shared" si="421"/>
        <v>0</v>
      </c>
      <c r="M2323" s="1846"/>
      <c r="N2323" s="1846"/>
      <c r="O2323" s="1846"/>
      <c r="P2323" s="1845">
        <f t="shared" si="407"/>
        <v>0</v>
      </c>
      <c r="Q2323" s="1055"/>
      <c r="R2323" s="1055"/>
      <c r="S2323" s="1055"/>
      <c r="T2323" s="2059">
        <f t="shared" si="411"/>
        <v>0</v>
      </c>
    </row>
    <row r="2324" spans="1:20" ht="22.15" hidden="1" customHeight="1">
      <c r="A2324" s="63"/>
      <c r="B2324" s="1594" t="s">
        <v>52</v>
      </c>
      <c r="C2324" s="64" t="str">
        <f t="shared" si="412"/>
        <v xml:space="preserve"> </v>
      </c>
      <c r="D2324" s="1572">
        <v>2.92</v>
      </c>
      <c r="E2324" s="1051"/>
      <c r="F2324" s="1059" t="str">
        <f>VLOOKUP($B2324,DG!A:D,DG!$C$2,)</f>
        <v>Thép tấm 6mm</v>
      </c>
      <c r="G2324" s="1047" t="str">
        <f>VLOOKUP($B2324,DG!A:D,DG!$D$2,)</f>
        <v>kg</v>
      </c>
      <c r="H2324" s="1846">
        <f t="shared" si="417"/>
        <v>0</v>
      </c>
      <c r="I2324" s="1846">
        <f t="shared" si="418"/>
        <v>0</v>
      </c>
      <c r="J2324" s="1846">
        <f t="shared" si="419"/>
        <v>0</v>
      </c>
      <c r="K2324" s="1846">
        <f t="shared" si="420"/>
        <v>0</v>
      </c>
      <c r="L2324" s="1846">
        <f t="shared" si="421"/>
        <v>0</v>
      </c>
      <c r="M2324" s="1846"/>
      <c r="N2324" s="1846"/>
      <c r="O2324" s="1846"/>
      <c r="P2324" s="1845">
        <f t="shared" si="407"/>
        <v>0</v>
      </c>
      <c r="Q2324" s="1055"/>
      <c r="R2324" s="1055"/>
      <c r="S2324" s="1055"/>
      <c r="T2324" s="2059">
        <f t="shared" si="411"/>
        <v>0</v>
      </c>
    </row>
    <row r="2325" spans="1:20" ht="22.15" hidden="1" customHeight="1">
      <c r="A2325" s="63"/>
      <c r="B2325" s="1594" t="s">
        <v>703</v>
      </c>
      <c r="C2325" s="64" t="str">
        <f t="shared" si="412"/>
        <v xml:space="preserve"> </v>
      </c>
      <c r="D2325" s="1572">
        <v>4</v>
      </c>
      <c r="E2325" s="1051"/>
      <c r="F2325" s="1059" t="str">
        <f>VLOOKUP($B2325,DG!A:D,DG!$C$2,)</f>
        <v>Boulon 12x50+ 2 long đền vuông D14-50x50x3/Zn</v>
      </c>
      <c r="G2325" s="1047" t="str">
        <f>VLOOKUP($B2325,DG!A:D,DG!$D$2,)</f>
        <v>bộ</v>
      </c>
      <c r="H2325" s="1846">
        <f t="shared" si="417"/>
        <v>0</v>
      </c>
      <c r="I2325" s="1846">
        <f t="shared" si="418"/>
        <v>0</v>
      </c>
      <c r="J2325" s="1846">
        <f t="shared" si="419"/>
        <v>0</v>
      </c>
      <c r="K2325" s="1846">
        <f t="shared" si="420"/>
        <v>0</v>
      </c>
      <c r="L2325" s="1846">
        <f t="shared" si="421"/>
        <v>0</v>
      </c>
      <c r="M2325" s="1846"/>
      <c r="N2325" s="1846"/>
      <c r="O2325" s="1846"/>
      <c r="P2325" s="1845">
        <f t="shared" si="407"/>
        <v>0</v>
      </c>
      <c r="Q2325" s="1055"/>
      <c r="R2325" s="1055"/>
      <c r="S2325" s="1055"/>
      <c r="T2325" s="2059">
        <f t="shared" si="411"/>
        <v>0</v>
      </c>
    </row>
    <row r="2326" spans="1:20" ht="22.15" hidden="1" customHeight="1">
      <c r="A2326" s="63"/>
      <c r="B2326" s="1594" t="s">
        <v>704</v>
      </c>
      <c r="C2326" s="64" t="str">
        <f t="shared" si="412"/>
        <v xml:space="preserve"> </v>
      </c>
      <c r="D2326" s="1572">
        <v>2.5</v>
      </c>
      <c r="E2326" s="1051"/>
      <c r="F2326" s="1059" t="str">
        <f>VLOOKUP($B2326,DG!A:D,DG!$C$2,)</f>
        <v>Que hàn điện</v>
      </c>
      <c r="G2326" s="1047" t="str">
        <f>VLOOKUP($B2326,DG!A:D,DG!$D$2,)</f>
        <v>kg</v>
      </c>
      <c r="H2326" s="1846">
        <f t="shared" si="417"/>
        <v>0</v>
      </c>
      <c r="I2326" s="1846">
        <f t="shared" si="418"/>
        <v>0</v>
      </c>
      <c r="J2326" s="1846">
        <f t="shared" si="419"/>
        <v>0</v>
      </c>
      <c r="K2326" s="1846">
        <f t="shared" si="420"/>
        <v>0</v>
      </c>
      <c r="L2326" s="1846">
        <f t="shared" si="421"/>
        <v>0</v>
      </c>
      <c r="M2326" s="1846"/>
      <c r="N2326" s="1846"/>
      <c r="O2326" s="1846"/>
      <c r="P2326" s="1845">
        <f t="shared" si="407"/>
        <v>0</v>
      </c>
      <c r="Q2326" s="1055"/>
      <c r="R2326" s="1055"/>
      <c r="S2326" s="1055"/>
      <c r="T2326" s="2059">
        <f t="shared" si="411"/>
        <v>0</v>
      </c>
    </row>
    <row r="2327" spans="1:20" ht="22.15" hidden="1" customHeight="1">
      <c r="A2327" s="63"/>
      <c r="B2327" s="1594" t="s">
        <v>705</v>
      </c>
      <c r="C2327" s="64" t="str">
        <f t="shared" si="412"/>
        <v xml:space="preserve"> </v>
      </c>
      <c r="D2327" s="1572">
        <v>1.5</v>
      </c>
      <c r="E2327" s="1051"/>
      <c r="F2327" s="1059" t="str">
        <f>VLOOKUP($B2327,DG!A:D,DG!$C$2,)</f>
        <v>Sơn chống rỉ</v>
      </c>
      <c r="G2327" s="1047" t="str">
        <f>VLOOKUP($B2327,DG!A:D,DG!$D$2,)</f>
        <v>kg</v>
      </c>
      <c r="H2327" s="1846">
        <f t="shared" si="417"/>
        <v>0</v>
      </c>
      <c r="I2327" s="1846">
        <f t="shared" si="418"/>
        <v>0</v>
      </c>
      <c r="J2327" s="1846">
        <f t="shared" si="419"/>
        <v>0</v>
      </c>
      <c r="K2327" s="1846">
        <f t="shared" si="420"/>
        <v>0</v>
      </c>
      <c r="L2327" s="1846">
        <f t="shared" si="421"/>
        <v>0</v>
      </c>
      <c r="M2327" s="1846"/>
      <c r="N2327" s="1846"/>
      <c r="O2327" s="1846"/>
      <c r="P2327" s="1845">
        <f t="shared" si="407"/>
        <v>0</v>
      </c>
      <c r="Q2327" s="1055"/>
      <c r="R2327" s="1055"/>
      <c r="S2327" s="1055"/>
      <c r="T2327" s="2059">
        <f t="shared" si="411"/>
        <v>0</v>
      </c>
    </row>
    <row r="2328" spans="1:20" ht="22.15" hidden="1" customHeight="1">
      <c r="A2328" s="63"/>
      <c r="B2328" s="1594" t="s">
        <v>706</v>
      </c>
      <c r="C2328" s="64" t="str">
        <f t="shared" si="412"/>
        <v xml:space="preserve"> </v>
      </c>
      <c r="D2328" s="1572">
        <v>1</v>
      </c>
      <c r="E2328" s="1051"/>
      <c r="F2328" s="1059" t="str">
        <f>VLOOKUP($B2328,DG!A:D,DG!$C$2,)</f>
        <v>Sơn màu</v>
      </c>
      <c r="G2328" s="1047" t="str">
        <f>VLOOKUP($B2328,DG!A:D,DG!$D$2,)</f>
        <v>kg</v>
      </c>
      <c r="H2328" s="1846">
        <f t="shared" si="417"/>
        <v>0</v>
      </c>
      <c r="I2328" s="1846">
        <f t="shared" si="418"/>
        <v>0</v>
      </c>
      <c r="J2328" s="1846">
        <f t="shared" si="419"/>
        <v>0</v>
      </c>
      <c r="K2328" s="1846">
        <f t="shared" si="420"/>
        <v>0</v>
      </c>
      <c r="L2328" s="1846">
        <f t="shared" si="421"/>
        <v>0</v>
      </c>
      <c r="M2328" s="1846"/>
      <c r="N2328" s="1846"/>
      <c r="O2328" s="1846"/>
      <c r="P2328" s="1845">
        <f t="shared" si="407"/>
        <v>0</v>
      </c>
      <c r="Q2328" s="1055"/>
      <c r="R2328" s="1055"/>
      <c r="S2328" s="1055"/>
      <c r="T2328" s="2059">
        <f t="shared" si="411"/>
        <v>0</v>
      </c>
    </row>
    <row r="2329" spans="1:20" ht="22.15" hidden="1" customHeight="1">
      <c r="A2329" s="63"/>
      <c r="B2329" s="1594" t="s">
        <v>438</v>
      </c>
      <c r="C2329" s="64" t="str">
        <f t="shared" si="412"/>
        <v xml:space="preserve"> </v>
      </c>
      <c r="D2329" s="1572">
        <v>0.9</v>
      </c>
      <c r="E2329" s="1051"/>
      <c r="F2329" s="1059" t="str">
        <f>VLOOKUP($B2329,DG!A:D,DG!$C$2,)</f>
        <v>Ô xy gió</v>
      </c>
      <c r="G2329" s="1047" t="str">
        <f>VLOOKUP($B2329,DG!A:D,DG!$D$2,)</f>
        <v>m3</v>
      </c>
      <c r="H2329" s="1846">
        <f t="shared" si="417"/>
        <v>0</v>
      </c>
      <c r="I2329" s="1846">
        <f t="shared" si="418"/>
        <v>0</v>
      </c>
      <c r="J2329" s="1846">
        <f t="shared" si="419"/>
        <v>0</v>
      </c>
      <c r="K2329" s="1846">
        <f t="shared" si="420"/>
        <v>0</v>
      </c>
      <c r="L2329" s="1846">
        <f t="shared" si="421"/>
        <v>0</v>
      </c>
      <c r="M2329" s="1846"/>
      <c r="N2329" s="1846"/>
      <c r="O2329" s="1846"/>
      <c r="P2329" s="1845">
        <f t="shared" si="407"/>
        <v>0</v>
      </c>
      <c r="Q2329" s="1055"/>
      <c r="R2329" s="1055"/>
      <c r="S2329" s="1055"/>
      <c r="T2329" s="2059">
        <f t="shared" si="411"/>
        <v>0</v>
      </c>
    </row>
    <row r="2330" spans="1:20" ht="22.15" hidden="1" customHeight="1">
      <c r="A2330" s="63"/>
      <c r="B2330" s="1594" t="s">
        <v>1569</v>
      </c>
      <c r="C2330" s="64" t="str">
        <f t="shared" si="412"/>
        <v xml:space="preserve"> </v>
      </c>
      <c r="D2330" s="1572">
        <v>0.3</v>
      </c>
      <c r="E2330" s="1051"/>
      <c r="F2330" s="1059" t="str">
        <f>VLOOKUP($B2330,DG!A:D,DG!$C$2,)</f>
        <v>Hơi Axetylen</v>
      </c>
      <c r="G2330" s="1047" t="str">
        <f>VLOOKUP($B2330,DG!A:D,DG!$D$2,)</f>
        <v>m3</v>
      </c>
      <c r="H2330" s="1846">
        <f t="shared" si="417"/>
        <v>0</v>
      </c>
      <c r="I2330" s="1846">
        <f t="shared" si="418"/>
        <v>0</v>
      </c>
      <c r="J2330" s="1846">
        <f t="shared" si="419"/>
        <v>0</v>
      </c>
      <c r="K2330" s="1846">
        <f t="shared" si="420"/>
        <v>0</v>
      </c>
      <c r="L2330" s="1846">
        <f>$K$2320*H2330</f>
        <v>0</v>
      </c>
      <c r="M2330" s="1846"/>
      <c r="N2330" s="1846"/>
      <c r="O2330" s="1846"/>
      <c r="P2330" s="1845">
        <f t="shared" si="407"/>
        <v>0</v>
      </c>
      <c r="Q2330" s="1055"/>
      <c r="R2330" s="1055"/>
      <c r="S2330" s="1055"/>
      <c r="T2330" s="2059">
        <f t="shared" si="411"/>
        <v>0</v>
      </c>
    </row>
    <row r="2331" spans="1:20" ht="22.15" hidden="1" customHeight="1">
      <c r="A2331" s="63"/>
      <c r="B2331" s="1594" t="s">
        <v>871</v>
      </c>
      <c r="C2331" s="64" t="str">
        <f t="shared" si="412"/>
        <v xml:space="preserve"> </v>
      </c>
      <c r="D2331" s="1572">
        <v>6</v>
      </c>
      <c r="E2331" s="1051"/>
      <c r="F2331" s="1059" t="str">
        <f>VLOOKUP($B2331,DG!A:D,DG!$C$2,)</f>
        <v>Cọ sơn</v>
      </c>
      <c r="G2331" s="1047" t="str">
        <f>VLOOKUP($B2331,DG!A:D,DG!$D$2,)</f>
        <v>cái</v>
      </c>
      <c r="H2331" s="1846">
        <f t="shared" si="417"/>
        <v>0</v>
      </c>
      <c r="I2331" s="1846">
        <f t="shared" si="418"/>
        <v>0</v>
      </c>
      <c r="J2331" s="1846">
        <f t="shared" si="419"/>
        <v>0</v>
      </c>
      <c r="K2331" s="1846">
        <f t="shared" si="420"/>
        <v>0</v>
      </c>
      <c r="L2331" s="1846">
        <f>$K$2320*H2331</f>
        <v>0</v>
      </c>
      <c r="M2331" s="1846"/>
      <c r="N2331" s="1846"/>
      <c r="O2331" s="1846"/>
      <c r="P2331" s="1845">
        <f t="shared" si="407"/>
        <v>0</v>
      </c>
      <c r="Q2331" s="1055"/>
      <c r="R2331" s="1055"/>
      <c r="S2331" s="1055"/>
      <c r="T2331" s="2059">
        <f t="shared" si="411"/>
        <v>0</v>
      </c>
    </row>
    <row r="2332" spans="1:20" ht="22.15" hidden="1" customHeight="1">
      <c r="A2332" s="63"/>
      <c r="B2332" s="1594" t="s">
        <v>872</v>
      </c>
      <c r="C2332" s="64" t="str">
        <f t="shared" si="412"/>
        <v xml:space="preserve"> </v>
      </c>
      <c r="D2332" s="1572">
        <v>0.19</v>
      </c>
      <c r="E2332" s="1047" t="str">
        <f>VLOOKUP($B2332,DG!A:D,DG!$B$2,)</f>
        <v>NB.1110</v>
      </c>
      <c r="F2332" s="1052" t="str">
        <f>VLOOKUP($B2332,DG!A:D,DG!$C$2,)</f>
        <v>Gia công và lắp dựng cột báo hiệu cao 9m</v>
      </c>
      <c r="G2332" s="1047" t="str">
        <f>VLOOKUP($B2332,DG!A:D,DG!$D$2,)</f>
        <v>Tấn</v>
      </c>
      <c r="H2332" s="1846">
        <f t="shared" si="417"/>
        <v>0</v>
      </c>
      <c r="I2332" s="1846"/>
      <c r="J2332" s="1846"/>
      <c r="K2332" s="1846"/>
      <c r="L2332" s="1846"/>
      <c r="M2332" s="1846"/>
      <c r="N2332" s="1846"/>
      <c r="O2332" s="1846"/>
      <c r="P2332" s="1845">
        <f t="shared" si="407"/>
        <v>0</v>
      </c>
      <c r="Q2332" s="1055"/>
      <c r="R2332" s="1055"/>
      <c r="S2332" s="1055"/>
      <c r="T2332" s="2059">
        <f t="shared" si="411"/>
        <v>0</v>
      </c>
    </row>
    <row r="2333" spans="1:20" ht="22.15" hidden="1" customHeight="1">
      <c r="A2333" s="63"/>
      <c r="B2333" s="1594" t="s">
        <v>1645</v>
      </c>
      <c r="C2333" s="64" t="str">
        <f t="shared" si="412"/>
        <v xml:space="preserve"> </v>
      </c>
      <c r="D2333" s="1572">
        <v>3.98</v>
      </c>
      <c r="E2333" s="1047" t="str">
        <f>VLOOKUP($B2333,DG!A:D,DG!$B$2,)</f>
        <v>S2.118</v>
      </c>
      <c r="F2333" s="1059" t="str">
        <f>VLOOKUP($B2333,DG!A:D,DG!$C$2,)</f>
        <v>Sơn cột báo hiệu</v>
      </c>
      <c r="G2333" s="1047" t="str">
        <f>VLOOKUP($B2333,DG!A:D,DG!$D$2,)</f>
        <v>m2</v>
      </c>
      <c r="H2333" s="1846">
        <f t="shared" si="417"/>
        <v>0</v>
      </c>
      <c r="I2333" s="1846">
        <f>$I$2320*D2333</f>
        <v>0</v>
      </c>
      <c r="J2333" s="1846">
        <f>$J$2320*D2333</f>
        <v>0</v>
      </c>
      <c r="K2333" s="1846">
        <f>$K$2320*D2333</f>
        <v>0</v>
      </c>
      <c r="L2333" s="1846">
        <f t="shared" si="421"/>
        <v>0</v>
      </c>
      <c r="M2333" s="1846"/>
      <c r="N2333" s="1846"/>
      <c r="O2333" s="1846"/>
      <c r="P2333" s="1845">
        <f t="shared" si="407"/>
        <v>0</v>
      </c>
      <c r="Q2333" s="1055"/>
      <c r="R2333" s="1055"/>
      <c r="S2333" s="1055"/>
      <c r="T2333" s="2059">
        <f t="shared" si="411"/>
        <v>0</v>
      </c>
    </row>
    <row r="2334" spans="1:20" ht="22.15" hidden="1" customHeight="1">
      <c r="A2334" s="63"/>
      <c r="B2334" s="1594" t="s">
        <v>1646</v>
      </c>
      <c r="C2334" s="64" t="str">
        <f t="shared" si="412"/>
        <v xml:space="preserve"> </v>
      </c>
      <c r="D2334" s="1572">
        <v>0.19</v>
      </c>
      <c r="E2334" s="1047" t="str">
        <f>VLOOKUP($B2334,DG!A:D,DG!$B$2,)</f>
        <v>021351</v>
      </c>
      <c r="F2334" s="1059" t="str">
        <f>VLOOKUP($B2334,DG!A:D,DG!$C$2,)</f>
        <v>Vận Chuyển thép</v>
      </c>
      <c r="G2334" s="1047" t="str">
        <f>VLOOKUP($B2334,DG!A:D,DG!$D$2,)</f>
        <v>Tấn</v>
      </c>
      <c r="H2334" s="1846">
        <f t="shared" si="417"/>
        <v>0</v>
      </c>
      <c r="I2334" s="1846"/>
      <c r="J2334" s="1846"/>
      <c r="K2334" s="1846"/>
      <c r="L2334" s="1846"/>
      <c r="M2334" s="1846"/>
      <c r="N2334" s="1846"/>
      <c r="O2334" s="1846"/>
      <c r="P2334" s="1845">
        <f t="shared" si="407"/>
        <v>0</v>
      </c>
      <c r="Q2334" s="1055"/>
      <c r="R2334" s="1055"/>
      <c r="S2334" s="1055"/>
      <c r="T2334" s="2059">
        <f t="shared" si="411"/>
        <v>0</v>
      </c>
    </row>
    <row r="2335" spans="1:20" ht="22.15" hidden="1" customHeight="1">
      <c r="A2335" s="56" t="s">
        <v>1048</v>
      </c>
      <c r="B2335" s="1583" t="s">
        <v>1048</v>
      </c>
      <c r="C2335" s="62" t="str">
        <f t="shared" si="412"/>
        <v xml:space="preserve"> </v>
      </c>
      <c r="D2335" s="1541"/>
      <c r="E2335" s="1049"/>
      <c r="F2335" s="1396" t="s">
        <v>2587</v>
      </c>
      <c r="G2335" s="1049" t="s">
        <v>2588</v>
      </c>
      <c r="H2335" s="1843">
        <f>SUM(I2335:O2335)</f>
        <v>0</v>
      </c>
      <c r="I2335" s="1844"/>
      <c r="J2335" s="1844"/>
      <c r="K2335" s="1844"/>
      <c r="L2335" s="1844">
        <f>IFERROR(HLOOKUP(chitiet!B2335,pp1p!$1:$3,3,0),0)</f>
        <v>0</v>
      </c>
      <c r="M2335" s="1844"/>
      <c r="N2335" s="1844"/>
      <c r="O2335" s="1844"/>
      <c r="P2335" s="1845">
        <f t="shared" si="407"/>
        <v>0</v>
      </c>
      <c r="Q2335" s="1050"/>
      <c r="R2335" s="1050"/>
      <c r="S2335" s="1050"/>
      <c r="T2335" s="2059">
        <f t="shared" si="411"/>
        <v>0</v>
      </c>
    </row>
    <row r="2336" spans="1:20" ht="22.15" hidden="1" customHeight="1">
      <c r="A2336" s="63"/>
      <c r="B2336" s="1594" t="s">
        <v>1520</v>
      </c>
      <c r="C2336" s="64" t="str">
        <f t="shared" si="412"/>
        <v xml:space="preserve"> </v>
      </c>
      <c r="D2336" s="1572">
        <v>26.3</v>
      </c>
      <c r="E2336" s="1051"/>
      <c r="F2336" s="1059" t="str">
        <f>VLOOKUP($B2336,DG!A:D,DG!$C$2,)</f>
        <v>Sắt góc L45 x45 x 4</v>
      </c>
      <c r="G2336" s="1047" t="str">
        <f>VLOOKUP($B2336,DG!A:D,DG!$D$2,)</f>
        <v>kg</v>
      </c>
      <c r="H2336" s="1846">
        <f t="shared" ref="H2336:H2348" si="422">IF($H$2320&lt;&gt;0,D2336,)</f>
        <v>0</v>
      </c>
      <c r="I2336" s="1846">
        <f t="shared" ref="I2336:I2345" si="423">$I$2320*D2336</f>
        <v>0</v>
      </c>
      <c r="J2336" s="1846">
        <f t="shared" ref="J2336:J2345" si="424">$J$2320*D2336</f>
        <v>0</v>
      </c>
      <c r="K2336" s="1846">
        <f t="shared" ref="K2336:K2345" si="425">$K$2320*D2336</f>
        <v>0</v>
      </c>
      <c r="L2336" s="1846">
        <f t="shared" si="421"/>
        <v>0</v>
      </c>
      <c r="M2336" s="1846"/>
      <c r="N2336" s="1846"/>
      <c r="O2336" s="1846"/>
      <c r="P2336" s="1845">
        <f t="shared" si="407"/>
        <v>0</v>
      </c>
      <c r="Q2336" s="1055"/>
      <c r="R2336" s="1055"/>
      <c r="S2336" s="1055"/>
      <c r="T2336" s="2059">
        <f t="shared" si="411"/>
        <v>0</v>
      </c>
    </row>
    <row r="2337" spans="1:20" ht="22.15" hidden="1" customHeight="1">
      <c r="A2337" s="63"/>
      <c r="B2337" s="1594" t="s">
        <v>844</v>
      </c>
      <c r="C2337" s="64" t="str">
        <f t="shared" si="412"/>
        <v xml:space="preserve"> </v>
      </c>
      <c r="D2337" s="1572">
        <v>3.14</v>
      </c>
      <c r="E2337" s="1051"/>
      <c r="F2337" s="1059" t="str">
        <f>VLOOKUP($B2337,DG!A:D,DG!$C$2,)</f>
        <v>Thép tấm 4mm</v>
      </c>
      <c r="G2337" s="1047" t="str">
        <f>VLOOKUP($B2337,DG!A:D,DG!$D$2,)</f>
        <v>kg</v>
      </c>
      <c r="H2337" s="1846">
        <f t="shared" si="422"/>
        <v>0</v>
      </c>
      <c r="I2337" s="1846">
        <f t="shared" si="423"/>
        <v>0</v>
      </c>
      <c r="J2337" s="1846">
        <f t="shared" si="424"/>
        <v>0</v>
      </c>
      <c r="K2337" s="1846">
        <f t="shared" si="425"/>
        <v>0</v>
      </c>
      <c r="L2337" s="1846">
        <f t="shared" si="421"/>
        <v>0</v>
      </c>
      <c r="M2337" s="1846"/>
      <c r="N2337" s="1846"/>
      <c r="O2337" s="1846"/>
      <c r="P2337" s="1845">
        <f t="shared" si="407"/>
        <v>0</v>
      </c>
      <c r="Q2337" s="1055"/>
      <c r="R2337" s="1055"/>
      <c r="S2337" s="1055"/>
      <c r="T2337" s="2059">
        <f t="shared" si="411"/>
        <v>0</v>
      </c>
    </row>
    <row r="2338" spans="1:20" ht="22.15" hidden="1" customHeight="1">
      <c r="A2338" s="63"/>
      <c r="B2338" s="1594" t="s">
        <v>310</v>
      </c>
      <c r="C2338" s="64" t="str">
        <f t="shared" si="412"/>
        <v xml:space="preserve"> </v>
      </c>
      <c r="D2338" s="1572">
        <v>45.22</v>
      </c>
      <c r="E2338" s="1051"/>
      <c r="F2338" s="1059" t="str">
        <f>VLOOKUP($B2338,DG!A:D,DG!$C$2,)</f>
        <v>Thép tấm 2mm</v>
      </c>
      <c r="G2338" s="1047" t="str">
        <f>VLOOKUP($B2338,DG!A:D,DG!$D$2,)</f>
        <v>kg</v>
      </c>
      <c r="H2338" s="1846">
        <f t="shared" si="422"/>
        <v>0</v>
      </c>
      <c r="I2338" s="1846">
        <f t="shared" si="423"/>
        <v>0</v>
      </c>
      <c r="J2338" s="1846">
        <f t="shared" si="424"/>
        <v>0</v>
      </c>
      <c r="K2338" s="1846">
        <f t="shared" si="425"/>
        <v>0</v>
      </c>
      <c r="L2338" s="1846">
        <f t="shared" si="421"/>
        <v>0</v>
      </c>
      <c r="M2338" s="1846"/>
      <c r="N2338" s="1846"/>
      <c r="O2338" s="1846"/>
      <c r="P2338" s="1845">
        <f t="shared" si="407"/>
        <v>0</v>
      </c>
      <c r="Q2338" s="1055"/>
      <c r="R2338" s="1055"/>
      <c r="S2338" s="1055"/>
      <c r="T2338" s="2059">
        <f t="shared" si="411"/>
        <v>0</v>
      </c>
    </row>
    <row r="2339" spans="1:20" ht="22.15" hidden="1" customHeight="1">
      <c r="A2339" s="63"/>
      <c r="B2339" s="1594" t="s">
        <v>703</v>
      </c>
      <c r="C2339" s="64" t="str">
        <f t="shared" si="412"/>
        <v xml:space="preserve"> </v>
      </c>
      <c r="D2339" s="1572">
        <v>2</v>
      </c>
      <c r="E2339" s="1051"/>
      <c r="F2339" s="1059" t="str">
        <f>VLOOKUP($B2339,DG!A:D,DG!$C$2,)</f>
        <v>Boulon 12x50+ 2 long đền vuông D14-50x50x3/Zn</v>
      </c>
      <c r="G2339" s="1047" t="str">
        <f>VLOOKUP($B2339,DG!A:D,DG!$D$2,)</f>
        <v>bộ</v>
      </c>
      <c r="H2339" s="1846">
        <f t="shared" si="422"/>
        <v>0</v>
      </c>
      <c r="I2339" s="1846">
        <f t="shared" si="423"/>
        <v>0</v>
      </c>
      <c r="J2339" s="1846">
        <f t="shared" si="424"/>
        <v>0</v>
      </c>
      <c r="K2339" s="1846">
        <f t="shared" si="425"/>
        <v>0</v>
      </c>
      <c r="L2339" s="1846">
        <f>$K$2320*H2339</f>
        <v>0</v>
      </c>
      <c r="M2339" s="1846"/>
      <c r="N2339" s="1846"/>
      <c r="O2339" s="1846"/>
      <c r="P2339" s="1845">
        <f t="shared" si="407"/>
        <v>0</v>
      </c>
      <c r="Q2339" s="1055"/>
      <c r="R2339" s="1055"/>
      <c r="S2339" s="1055"/>
      <c r="T2339" s="2059">
        <f t="shared" si="411"/>
        <v>0</v>
      </c>
    </row>
    <row r="2340" spans="1:20" ht="22.15" hidden="1" customHeight="1">
      <c r="A2340" s="63"/>
      <c r="B2340" s="1594" t="s">
        <v>704</v>
      </c>
      <c r="C2340" s="64" t="str">
        <f t="shared" si="412"/>
        <v xml:space="preserve"> </v>
      </c>
      <c r="D2340" s="1572">
        <v>3</v>
      </c>
      <c r="E2340" s="1051"/>
      <c r="F2340" s="1059" t="str">
        <f>VLOOKUP($B2340,DG!A:D,DG!$C$2,)</f>
        <v>Que hàn điện</v>
      </c>
      <c r="G2340" s="1047" t="str">
        <f>VLOOKUP($B2340,DG!A:D,DG!$D$2,)</f>
        <v>kg</v>
      </c>
      <c r="H2340" s="1846">
        <f t="shared" si="422"/>
        <v>0</v>
      </c>
      <c r="I2340" s="1846">
        <f t="shared" si="423"/>
        <v>0</v>
      </c>
      <c r="J2340" s="1846">
        <f t="shared" si="424"/>
        <v>0</v>
      </c>
      <c r="K2340" s="1846">
        <f t="shared" si="425"/>
        <v>0</v>
      </c>
      <c r="L2340" s="1846">
        <f t="shared" si="421"/>
        <v>0</v>
      </c>
      <c r="M2340" s="1846"/>
      <c r="N2340" s="1846"/>
      <c r="O2340" s="1846"/>
      <c r="P2340" s="1845">
        <f t="shared" si="407"/>
        <v>0</v>
      </c>
      <c r="Q2340" s="1055"/>
      <c r="R2340" s="1055"/>
      <c r="S2340" s="1055"/>
      <c r="T2340" s="2059">
        <f t="shared" si="411"/>
        <v>0</v>
      </c>
    </row>
    <row r="2341" spans="1:20" ht="22.15" hidden="1" customHeight="1">
      <c r="A2341" s="63"/>
      <c r="B2341" s="1594" t="s">
        <v>705</v>
      </c>
      <c r="C2341" s="64" t="str">
        <f t="shared" si="412"/>
        <v xml:space="preserve"> </v>
      </c>
      <c r="D2341" s="1572">
        <v>1.8</v>
      </c>
      <c r="E2341" s="1051"/>
      <c r="F2341" s="1059" t="str">
        <f>VLOOKUP($B2341,DG!A:D,DG!$C$2,)</f>
        <v>Sơn chống rỉ</v>
      </c>
      <c r="G2341" s="1047" t="str">
        <f>VLOOKUP($B2341,DG!A:D,DG!$D$2,)</f>
        <v>kg</v>
      </c>
      <c r="H2341" s="1846">
        <f t="shared" si="422"/>
        <v>0</v>
      </c>
      <c r="I2341" s="1846">
        <f t="shared" si="423"/>
        <v>0</v>
      </c>
      <c r="J2341" s="1846">
        <f t="shared" si="424"/>
        <v>0</v>
      </c>
      <c r="K2341" s="1846">
        <f t="shared" si="425"/>
        <v>0</v>
      </c>
      <c r="L2341" s="1846">
        <f t="shared" si="421"/>
        <v>0</v>
      </c>
      <c r="M2341" s="1846"/>
      <c r="N2341" s="1846"/>
      <c r="O2341" s="1846"/>
      <c r="P2341" s="1845">
        <f t="shared" si="407"/>
        <v>0</v>
      </c>
      <c r="Q2341" s="1055"/>
      <c r="R2341" s="1055"/>
      <c r="S2341" s="1055"/>
      <c r="T2341" s="2059">
        <f t="shared" si="411"/>
        <v>0</v>
      </c>
    </row>
    <row r="2342" spans="1:20" ht="22.15" hidden="1" customHeight="1">
      <c r="A2342" s="63"/>
      <c r="B2342" s="1594" t="s">
        <v>706</v>
      </c>
      <c r="C2342" s="64" t="str">
        <f t="shared" si="412"/>
        <v xml:space="preserve"> </v>
      </c>
      <c r="D2342" s="1572">
        <v>1</v>
      </c>
      <c r="E2342" s="1051"/>
      <c r="F2342" s="1059" t="str">
        <f>VLOOKUP($B2342,DG!A:D,DG!$C$2,)</f>
        <v>Sơn màu</v>
      </c>
      <c r="G2342" s="1047" t="str">
        <f>VLOOKUP($B2342,DG!A:D,DG!$D$2,)</f>
        <v>kg</v>
      </c>
      <c r="H2342" s="1846">
        <f t="shared" si="422"/>
        <v>0</v>
      </c>
      <c r="I2342" s="1846">
        <f t="shared" si="423"/>
        <v>0</v>
      </c>
      <c r="J2342" s="1846">
        <f t="shared" si="424"/>
        <v>0</v>
      </c>
      <c r="K2342" s="1846">
        <f t="shared" si="425"/>
        <v>0</v>
      </c>
      <c r="L2342" s="1846">
        <f t="shared" si="421"/>
        <v>0</v>
      </c>
      <c r="M2342" s="1846"/>
      <c r="N2342" s="1846"/>
      <c r="O2342" s="1846"/>
      <c r="P2342" s="1845">
        <f t="shared" ref="P2342:P2367" si="426">H2342+Q2342-R2342</f>
        <v>0</v>
      </c>
      <c r="Q2342" s="1055"/>
      <c r="R2342" s="1055"/>
      <c r="S2342" s="1055"/>
      <c r="T2342" s="2059">
        <f t="shared" si="411"/>
        <v>0</v>
      </c>
    </row>
    <row r="2343" spans="1:20" ht="22.15" hidden="1" customHeight="1">
      <c r="A2343" s="63"/>
      <c r="B2343" s="1594" t="s">
        <v>438</v>
      </c>
      <c r="C2343" s="64" t="str">
        <f t="shared" si="412"/>
        <v xml:space="preserve"> </v>
      </c>
      <c r="D2343" s="1572">
        <v>1.8</v>
      </c>
      <c r="E2343" s="1051"/>
      <c r="F2343" s="1059" t="str">
        <f>VLOOKUP($B2343,DG!A:D,DG!$C$2,)</f>
        <v>Ô xy gió</v>
      </c>
      <c r="G2343" s="1047" t="str">
        <f>VLOOKUP($B2343,DG!A:D,DG!$D$2,)</f>
        <v>m3</v>
      </c>
      <c r="H2343" s="1846">
        <f t="shared" si="422"/>
        <v>0</v>
      </c>
      <c r="I2343" s="1846">
        <f t="shared" si="423"/>
        <v>0</v>
      </c>
      <c r="J2343" s="1846">
        <f t="shared" si="424"/>
        <v>0</v>
      </c>
      <c r="K2343" s="1846">
        <f t="shared" si="425"/>
        <v>0</v>
      </c>
      <c r="L2343" s="1846">
        <f t="shared" si="421"/>
        <v>0</v>
      </c>
      <c r="M2343" s="1846"/>
      <c r="N2343" s="1846"/>
      <c r="O2343" s="1846"/>
      <c r="P2343" s="1845">
        <f t="shared" si="426"/>
        <v>0</v>
      </c>
      <c r="Q2343" s="1055"/>
      <c r="R2343" s="1055"/>
      <c r="S2343" s="1055"/>
      <c r="T2343" s="2059">
        <f t="shared" si="411"/>
        <v>0</v>
      </c>
    </row>
    <row r="2344" spans="1:20" ht="22.15" hidden="1" customHeight="1">
      <c r="A2344" s="63"/>
      <c r="B2344" s="1594" t="s">
        <v>1569</v>
      </c>
      <c r="C2344" s="64" t="str">
        <f t="shared" si="412"/>
        <v xml:space="preserve"> </v>
      </c>
      <c r="D2344" s="1572">
        <v>0.6</v>
      </c>
      <c r="E2344" s="1051"/>
      <c r="F2344" s="1059" t="str">
        <f>VLOOKUP($B2344,DG!A:D,DG!$C$2,)</f>
        <v>Hơi Axetylen</v>
      </c>
      <c r="G2344" s="1047" t="str">
        <f>VLOOKUP($B2344,DG!A:D,DG!$D$2,)</f>
        <v>m3</v>
      </c>
      <c r="H2344" s="1846">
        <f t="shared" si="422"/>
        <v>0</v>
      </c>
      <c r="I2344" s="1846">
        <f t="shared" si="423"/>
        <v>0</v>
      </c>
      <c r="J2344" s="1846">
        <f t="shared" si="424"/>
        <v>0</v>
      </c>
      <c r="K2344" s="1846">
        <f t="shared" si="425"/>
        <v>0</v>
      </c>
      <c r="L2344" s="1846">
        <f t="shared" si="421"/>
        <v>0</v>
      </c>
      <c r="M2344" s="1846"/>
      <c r="N2344" s="1846"/>
      <c r="O2344" s="1846"/>
      <c r="P2344" s="1845">
        <f t="shared" si="426"/>
        <v>0</v>
      </c>
      <c r="Q2344" s="1055"/>
      <c r="R2344" s="1055"/>
      <c r="S2344" s="1055"/>
      <c r="T2344" s="2059">
        <f t="shared" si="411"/>
        <v>0</v>
      </c>
    </row>
    <row r="2345" spans="1:20" ht="22.15" hidden="1" customHeight="1">
      <c r="A2345" s="63"/>
      <c r="B2345" s="1594" t="s">
        <v>871</v>
      </c>
      <c r="C2345" s="64" t="str">
        <f t="shared" si="412"/>
        <v xml:space="preserve"> </v>
      </c>
      <c r="D2345" s="1572">
        <v>4</v>
      </c>
      <c r="E2345" s="1051"/>
      <c r="F2345" s="1059" t="str">
        <f>VLOOKUP($B2345,DG!A:D,DG!$C$2,)</f>
        <v>Cọ sơn</v>
      </c>
      <c r="G2345" s="1047" t="str">
        <f>VLOOKUP($B2345,DG!A:D,DG!$D$2,)</f>
        <v>cái</v>
      </c>
      <c r="H2345" s="1846">
        <f t="shared" si="422"/>
        <v>0</v>
      </c>
      <c r="I2345" s="1846">
        <f t="shared" si="423"/>
        <v>0</v>
      </c>
      <c r="J2345" s="1846">
        <f t="shared" si="424"/>
        <v>0</v>
      </c>
      <c r="K2345" s="1846">
        <f t="shared" si="425"/>
        <v>0</v>
      </c>
      <c r="L2345" s="1846">
        <f t="shared" si="421"/>
        <v>0</v>
      </c>
      <c r="M2345" s="1846"/>
      <c r="N2345" s="1846"/>
      <c r="O2345" s="1846"/>
      <c r="P2345" s="1845">
        <f t="shared" si="426"/>
        <v>0</v>
      </c>
      <c r="Q2345" s="1055"/>
      <c r="R2345" s="1055"/>
      <c r="S2345" s="1055"/>
      <c r="T2345" s="2059">
        <f t="shared" si="411"/>
        <v>0</v>
      </c>
    </row>
    <row r="2346" spans="1:20" ht="22.15" hidden="1" customHeight="1">
      <c r="A2346" s="63"/>
      <c r="B2346" s="1594" t="s">
        <v>1644</v>
      </c>
      <c r="C2346" s="64" t="str">
        <f t="shared" si="412"/>
        <v xml:space="preserve"> </v>
      </c>
      <c r="D2346" s="1572">
        <v>0.08</v>
      </c>
      <c r="E2346" s="1047" t="str">
        <f>VLOOKUP($B2346,DG!A:D,DG!$B$2,)</f>
        <v>NB.1710</v>
      </c>
      <c r="F2346" s="1052" t="str">
        <f>VLOOKUP($B2346,DG!A:D,DG!$C$2,)</f>
        <v>Gia công và lắp dựng bảng báo hiệu</v>
      </c>
      <c r="G2346" s="1047" t="str">
        <f>VLOOKUP($B2346,DG!A:D,DG!$D$2,)</f>
        <v>Tấn</v>
      </c>
      <c r="H2346" s="1846">
        <f t="shared" si="422"/>
        <v>0</v>
      </c>
      <c r="I2346" s="1846"/>
      <c r="J2346" s="1846"/>
      <c r="K2346" s="1846"/>
      <c r="L2346" s="1846"/>
      <c r="M2346" s="1846"/>
      <c r="N2346" s="1846"/>
      <c r="O2346" s="1846"/>
      <c r="P2346" s="1845">
        <f t="shared" si="426"/>
        <v>0</v>
      </c>
      <c r="Q2346" s="1055"/>
      <c r="R2346" s="1055"/>
      <c r="S2346" s="1055"/>
      <c r="T2346" s="2059">
        <f t="shared" si="411"/>
        <v>0</v>
      </c>
    </row>
    <row r="2347" spans="1:20" ht="22.15" hidden="1" customHeight="1">
      <c r="A2347" s="63"/>
      <c r="B2347" s="1594" t="s">
        <v>311</v>
      </c>
      <c r="C2347" s="64" t="str">
        <f t="shared" si="412"/>
        <v xml:space="preserve"> </v>
      </c>
      <c r="D2347" s="1572">
        <v>5.76</v>
      </c>
      <c r="E2347" s="1047" t="str">
        <f>VLOOKUP($B2347,DG!A:D,DG!$B$2,)</f>
        <v>S2.118</v>
      </c>
      <c r="F2347" s="1059" t="str">
        <f>VLOOKUP($B2347,DG!A:D,DG!$C$2,)</f>
        <v>Sơn biển báo hiệu</v>
      </c>
      <c r="G2347" s="1047" t="str">
        <f>VLOOKUP($B2347,DG!A:D,DG!$D$2,)</f>
        <v>m2</v>
      </c>
      <c r="H2347" s="1846">
        <f t="shared" si="422"/>
        <v>0</v>
      </c>
      <c r="I2347" s="1846">
        <f>$I$2320*D2347</f>
        <v>0</v>
      </c>
      <c r="J2347" s="1846">
        <f>$J$2320*D2347</f>
        <v>0</v>
      </c>
      <c r="K2347" s="1846">
        <f>$K$2320*D2347</f>
        <v>0</v>
      </c>
      <c r="L2347" s="1846">
        <f t="shared" si="421"/>
        <v>0</v>
      </c>
      <c r="M2347" s="1846"/>
      <c r="N2347" s="1846"/>
      <c r="O2347" s="1846"/>
      <c r="P2347" s="1845">
        <f t="shared" si="426"/>
        <v>0</v>
      </c>
      <c r="Q2347" s="1055"/>
      <c r="R2347" s="1055"/>
      <c r="S2347" s="1055"/>
      <c r="T2347" s="2059">
        <f t="shared" si="411"/>
        <v>0</v>
      </c>
    </row>
    <row r="2348" spans="1:20" ht="22.15" hidden="1" customHeight="1">
      <c r="A2348" s="63"/>
      <c r="B2348" s="1594" t="s">
        <v>1646</v>
      </c>
      <c r="C2348" s="64" t="str">
        <f t="shared" si="412"/>
        <v xml:space="preserve"> </v>
      </c>
      <c r="D2348" s="1572">
        <v>0.08</v>
      </c>
      <c r="E2348" s="1047" t="str">
        <f>VLOOKUP($B2348,DG!A:D,DG!$B$2,)</f>
        <v>021351</v>
      </c>
      <c r="F2348" s="1059" t="str">
        <f>VLOOKUP($B2348,DG!A:D,DG!$C$2,)</f>
        <v>Vận Chuyển thép</v>
      </c>
      <c r="G2348" s="1047" t="str">
        <f>VLOOKUP($B2348,DG!A:D,DG!$D$2,)</f>
        <v>Tấn</v>
      </c>
      <c r="H2348" s="1846">
        <f t="shared" si="422"/>
        <v>0</v>
      </c>
      <c r="I2348" s="1846"/>
      <c r="J2348" s="1846"/>
      <c r="K2348" s="1846"/>
      <c r="L2348" s="1846"/>
      <c r="M2348" s="1846"/>
      <c r="N2348" s="1846"/>
      <c r="O2348" s="1846"/>
      <c r="P2348" s="1845">
        <f t="shared" si="426"/>
        <v>0</v>
      </c>
      <c r="Q2348" s="1055"/>
      <c r="R2348" s="1055"/>
      <c r="S2348" s="1055"/>
      <c r="T2348" s="2059">
        <f t="shared" si="411"/>
        <v>0</v>
      </c>
    </row>
    <row r="2349" spans="1:20" ht="22.15" hidden="1" customHeight="1">
      <c r="A2349" s="56" t="s">
        <v>1049</v>
      </c>
      <c r="B2349" s="1583" t="s">
        <v>1049</v>
      </c>
      <c r="C2349" s="62" t="str">
        <f t="shared" si="412"/>
        <v xml:space="preserve"> </v>
      </c>
      <c r="D2349" s="1541"/>
      <c r="E2349" s="1049"/>
      <c r="F2349" s="1396" t="s">
        <v>2589</v>
      </c>
      <c r="G2349" s="1049" t="s">
        <v>2336</v>
      </c>
      <c r="H2349" s="1843">
        <f>SUM(I2349:O2349)</f>
        <v>0</v>
      </c>
      <c r="I2349" s="1844"/>
      <c r="J2349" s="1844"/>
      <c r="K2349" s="1844"/>
      <c r="L2349" s="1844">
        <f>IFERROR(HLOOKUP(chitiet!B2349,pp1p!$1:$3,3,0),0)</f>
        <v>0</v>
      </c>
      <c r="M2349" s="1844"/>
      <c r="N2349" s="1844"/>
      <c r="O2349" s="1844"/>
      <c r="P2349" s="1845">
        <f t="shared" si="426"/>
        <v>0</v>
      </c>
      <c r="Q2349" s="1050"/>
      <c r="R2349" s="1050"/>
      <c r="S2349" s="1050"/>
      <c r="T2349" s="2059">
        <f t="shared" ref="T2349:T2368" si="427">IFERROR(HLOOKUP(B2349,BangKeTru,3,0),0)</f>
        <v>0</v>
      </c>
    </row>
    <row r="2350" spans="1:20" ht="22.15" hidden="1" customHeight="1">
      <c r="A2350" s="63"/>
      <c r="B2350" s="1594" t="s">
        <v>753</v>
      </c>
      <c r="C2350" s="64" t="str">
        <f t="shared" si="412"/>
        <v xml:space="preserve"> </v>
      </c>
      <c r="D2350" s="1572">
        <v>398</v>
      </c>
      <c r="E2350" s="1051"/>
      <c r="F2350" s="1052" t="str">
        <f>VLOOKUP($B2350,DG!A:D,DG!$C$2,)</f>
        <v>Ximăng (PC40)</v>
      </c>
      <c r="G2350" s="1047" t="str">
        <f>VLOOKUP($B2350,DG!A:D,DG!$D$2,)</f>
        <v>kg</v>
      </c>
      <c r="H2350" s="1846">
        <f t="shared" ref="H2350:H2360" si="428">IF($H$2320&lt;&gt;0,D2350,)</f>
        <v>0</v>
      </c>
      <c r="I2350" s="1846">
        <f t="shared" ref="I2350:I2357" si="429">$I$2320*D2350</f>
        <v>0</v>
      </c>
      <c r="J2350" s="1846">
        <f t="shared" ref="J2350:J2357" si="430">$J$2320*D2350</f>
        <v>0</v>
      </c>
      <c r="K2350" s="1846">
        <f t="shared" ref="K2350:K2357" si="431">$K$2320*D2350</f>
        <v>0</v>
      </c>
      <c r="L2350" s="1846">
        <f t="shared" si="421"/>
        <v>0</v>
      </c>
      <c r="M2350" s="1846"/>
      <c r="N2350" s="1846"/>
      <c r="O2350" s="1846"/>
      <c r="P2350" s="1845">
        <f t="shared" si="426"/>
        <v>0</v>
      </c>
      <c r="Q2350" s="1055"/>
      <c r="R2350" s="1055"/>
      <c r="S2350" s="1055"/>
      <c r="T2350" s="2059">
        <f t="shared" si="427"/>
        <v>0</v>
      </c>
    </row>
    <row r="2351" spans="1:20" ht="22.15" hidden="1" customHeight="1">
      <c r="A2351" s="63"/>
      <c r="B2351" s="1585" t="s">
        <v>4447</v>
      </c>
      <c r="C2351" s="64" t="str">
        <f t="shared" si="412"/>
        <v xml:space="preserve"> </v>
      </c>
      <c r="D2351" s="1572">
        <v>0.81</v>
      </c>
      <c r="E2351" s="1051"/>
      <c r="F2351" s="1052" t="str">
        <f>VLOOKUP($B2351,DG!A:D,DG!$C$2,)</f>
        <v>Cát vàng</v>
      </c>
      <c r="G2351" s="1047" t="str">
        <f>VLOOKUP($B2351,DG!A:D,DG!$D$2,)</f>
        <v>m3</v>
      </c>
      <c r="H2351" s="1846">
        <f t="shared" si="428"/>
        <v>0</v>
      </c>
      <c r="I2351" s="1846">
        <f t="shared" si="429"/>
        <v>0</v>
      </c>
      <c r="J2351" s="1846">
        <f t="shared" si="430"/>
        <v>0</v>
      </c>
      <c r="K2351" s="1846">
        <f t="shared" si="431"/>
        <v>0</v>
      </c>
      <c r="L2351" s="1846">
        <f t="shared" si="421"/>
        <v>0</v>
      </c>
      <c r="M2351" s="1846"/>
      <c r="N2351" s="1846"/>
      <c r="O2351" s="1846"/>
      <c r="P2351" s="1845">
        <f t="shared" si="426"/>
        <v>0</v>
      </c>
      <c r="Q2351" s="1055"/>
      <c r="R2351" s="1055"/>
      <c r="S2351" s="1055"/>
      <c r="T2351" s="2059">
        <f t="shared" si="427"/>
        <v>0</v>
      </c>
    </row>
    <row r="2352" spans="1:20" ht="22.15" hidden="1" customHeight="1">
      <c r="A2352" s="63"/>
      <c r="B2352" s="1594" t="s">
        <v>755</v>
      </c>
      <c r="C2352" s="64" t="str">
        <f t="shared" si="412"/>
        <v xml:space="preserve"> </v>
      </c>
      <c r="D2352" s="1572">
        <v>0.85</v>
      </c>
      <c r="E2352" s="1051"/>
      <c r="F2352" s="1052" t="str">
        <f>VLOOKUP($B2352,DG!A:D,DG!$C$2,)</f>
        <v>Đá 1x2</v>
      </c>
      <c r="G2352" s="1047" t="str">
        <f>VLOOKUP($B2352,DG!A:D,DG!$D$2,)</f>
        <v>m3</v>
      </c>
      <c r="H2352" s="1846">
        <f t="shared" si="428"/>
        <v>0</v>
      </c>
      <c r="I2352" s="1846">
        <f t="shared" si="429"/>
        <v>0</v>
      </c>
      <c r="J2352" s="1846">
        <f t="shared" si="430"/>
        <v>0</v>
      </c>
      <c r="K2352" s="1846">
        <f t="shared" si="431"/>
        <v>0</v>
      </c>
      <c r="L2352" s="1846">
        <f t="shared" si="421"/>
        <v>0</v>
      </c>
      <c r="M2352" s="1846"/>
      <c r="N2352" s="1846"/>
      <c r="O2352" s="1846"/>
      <c r="P2352" s="1845">
        <f t="shared" si="426"/>
        <v>0</v>
      </c>
      <c r="Q2352" s="1055"/>
      <c r="R2352" s="1055"/>
      <c r="S2352" s="1055"/>
      <c r="T2352" s="2059">
        <f t="shared" si="427"/>
        <v>0</v>
      </c>
    </row>
    <row r="2353" spans="1:20" ht="22.15" hidden="1" customHeight="1">
      <c r="A2353" s="63"/>
      <c r="B2353" s="1594" t="s">
        <v>756</v>
      </c>
      <c r="C2353" s="64" t="str">
        <f t="shared" si="412"/>
        <v xml:space="preserve"> </v>
      </c>
      <c r="D2353" s="1572">
        <v>0.13</v>
      </c>
      <c r="E2353" s="1051"/>
      <c r="F2353" s="1052" t="str">
        <f>VLOOKUP($B2353,DG!A:D,DG!$C$2,)</f>
        <v>Đá 4x6</v>
      </c>
      <c r="G2353" s="1047" t="str">
        <f>VLOOKUP($B2353,DG!A:D,DG!$D$2,)</f>
        <v>m3</v>
      </c>
      <c r="H2353" s="1846">
        <f t="shared" si="428"/>
        <v>0</v>
      </c>
      <c r="I2353" s="1846">
        <f t="shared" si="429"/>
        <v>0</v>
      </c>
      <c r="J2353" s="1846">
        <f t="shared" si="430"/>
        <v>0</v>
      </c>
      <c r="K2353" s="1846">
        <f t="shared" si="431"/>
        <v>0</v>
      </c>
      <c r="L2353" s="1846">
        <f t="shared" si="421"/>
        <v>0</v>
      </c>
      <c r="M2353" s="1846"/>
      <c r="N2353" s="1846"/>
      <c r="O2353" s="1846"/>
      <c r="P2353" s="1845">
        <f t="shared" si="426"/>
        <v>0</v>
      </c>
      <c r="Q2353" s="1055"/>
      <c r="R2353" s="1055"/>
      <c r="S2353" s="1055"/>
      <c r="T2353" s="2059">
        <f t="shared" si="427"/>
        <v>0</v>
      </c>
    </row>
    <row r="2354" spans="1:20" ht="22.15" hidden="1" customHeight="1">
      <c r="A2354" s="63"/>
      <c r="B2354" s="1594" t="s">
        <v>757</v>
      </c>
      <c r="C2354" s="64" t="str">
        <f t="shared" si="412"/>
        <v xml:space="preserve"> </v>
      </c>
      <c r="D2354" s="1572">
        <v>0.5</v>
      </c>
      <c r="E2354" s="1051"/>
      <c r="F2354" s="1052" t="str">
        <f>VLOOKUP($B2354,DG!A:D,DG!$C$2,)</f>
        <v>Nước đổ bê tông</v>
      </c>
      <c r="G2354" s="1047" t="str">
        <f>VLOOKUP($B2354,DG!A:D,DG!$D$2,)</f>
        <v>m3</v>
      </c>
      <c r="H2354" s="1846">
        <f t="shared" si="428"/>
        <v>0</v>
      </c>
      <c r="I2354" s="1846">
        <f t="shared" si="429"/>
        <v>0</v>
      </c>
      <c r="J2354" s="1846">
        <f t="shared" si="430"/>
        <v>0</v>
      </c>
      <c r="K2354" s="1846">
        <f t="shared" si="431"/>
        <v>0</v>
      </c>
      <c r="L2354" s="1846">
        <f t="shared" si="421"/>
        <v>0</v>
      </c>
      <c r="M2354" s="1846"/>
      <c r="N2354" s="1846"/>
      <c r="O2354" s="1846"/>
      <c r="P2354" s="1845">
        <f t="shared" si="426"/>
        <v>0</v>
      </c>
      <c r="Q2354" s="1055"/>
      <c r="R2354" s="1055"/>
      <c r="S2354" s="1055"/>
      <c r="T2354" s="2059">
        <f t="shared" si="427"/>
        <v>0</v>
      </c>
    </row>
    <row r="2355" spans="1:20" ht="22.15" hidden="1" customHeight="1">
      <c r="A2355" s="63"/>
      <c r="B2355" s="1594" t="s">
        <v>758</v>
      </c>
      <c r="C2355" s="64" t="str">
        <f t="shared" si="412"/>
        <v xml:space="preserve"> </v>
      </c>
      <c r="D2355" s="1572">
        <v>0.14000000000000001</v>
      </c>
      <c r="E2355" s="1051"/>
      <c r="F2355" s="1059" t="str">
        <f>VLOOKUP($B2355,DG!A:D,DG!$C$2,)</f>
        <v>Dây thép buộc A70</v>
      </c>
      <c r="G2355" s="1047" t="str">
        <f>VLOOKUP($B2355,DG!A:D,DG!$D$2,)</f>
        <v>kg</v>
      </c>
      <c r="H2355" s="1846">
        <f t="shared" si="428"/>
        <v>0</v>
      </c>
      <c r="I2355" s="1846">
        <f t="shared" si="429"/>
        <v>0</v>
      </c>
      <c r="J2355" s="1846">
        <f t="shared" si="430"/>
        <v>0</v>
      </c>
      <c r="K2355" s="1846">
        <f t="shared" si="431"/>
        <v>0</v>
      </c>
      <c r="L2355" s="1846">
        <f t="shared" si="421"/>
        <v>0</v>
      </c>
      <c r="M2355" s="1846"/>
      <c r="N2355" s="1846"/>
      <c r="O2355" s="1846"/>
      <c r="P2355" s="1845">
        <f t="shared" si="426"/>
        <v>0</v>
      </c>
      <c r="Q2355" s="1055"/>
      <c r="R2355" s="1055"/>
      <c r="S2355" s="1055"/>
      <c r="T2355" s="2059">
        <f t="shared" si="427"/>
        <v>0</v>
      </c>
    </row>
    <row r="2356" spans="1:20" ht="22.15" hidden="1" customHeight="1">
      <c r="A2356" s="63"/>
      <c r="B2356" s="1594" t="s">
        <v>1429</v>
      </c>
      <c r="C2356" s="64" t="str">
        <f t="shared" si="412"/>
        <v xml:space="preserve"> </v>
      </c>
      <c r="D2356" s="1572">
        <v>16</v>
      </c>
      <c r="E2356" s="1051"/>
      <c r="F2356" s="1059" t="str">
        <f>VLOOKUP($B2356,DG!A:D,DG!$C$2,)</f>
        <v>Sắt Ø8</v>
      </c>
      <c r="G2356" s="1047" t="str">
        <f>VLOOKUP($B2356,DG!A:D,DG!$D$2,)</f>
        <v>kg</v>
      </c>
      <c r="H2356" s="1846">
        <f t="shared" si="428"/>
        <v>0</v>
      </c>
      <c r="I2356" s="1846">
        <f t="shared" si="429"/>
        <v>0</v>
      </c>
      <c r="J2356" s="1846">
        <f t="shared" si="430"/>
        <v>0</v>
      </c>
      <c r="K2356" s="1846">
        <f t="shared" si="431"/>
        <v>0</v>
      </c>
      <c r="L2356" s="1846">
        <f t="shared" si="421"/>
        <v>0</v>
      </c>
      <c r="M2356" s="1846"/>
      <c r="N2356" s="1846"/>
      <c r="O2356" s="1846"/>
      <c r="P2356" s="1845">
        <f t="shared" si="426"/>
        <v>0</v>
      </c>
      <c r="Q2356" s="1055"/>
      <c r="R2356" s="1055"/>
      <c r="S2356" s="1055"/>
      <c r="T2356" s="2059">
        <f t="shared" si="427"/>
        <v>0</v>
      </c>
    </row>
    <row r="2357" spans="1:20" ht="22.15" hidden="1" customHeight="1">
      <c r="A2357" s="63"/>
      <c r="B2357" s="1594" t="s">
        <v>759</v>
      </c>
      <c r="C2357" s="64" t="str">
        <f t="shared" si="412"/>
        <v xml:space="preserve"> </v>
      </c>
      <c r="D2357" s="1572">
        <v>36</v>
      </c>
      <c r="E2357" s="1047" t="str">
        <f>VLOOKUP($B2357,DG!A:D,DG!$B$2,)</f>
        <v>04.5142</v>
      </c>
      <c r="F2357" s="1059" t="str">
        <f>VLOOKUP($B2357,DG!A:D,DG!$C$2,)</f>
        <v>Cừ tràm 2,5m</v>
      </c>
      <c r="G2357" s="1047" t="str">
        <f>VLOOKUP($B2357,DG!A:D,DG!$D$2,)</f>
        <v>cây</v>
      </c>
      <c r="H2357" s="1846">
        <f t="shared" si="428"/>
        <v>0</v>
      </c>
      <c r="I2357" s="1846">
        <f t="shared" si="429"/>
        <v>0</v>
      </c>
      <c r="J2357" s="1846">
        <f t="shared" si="430"/>
        <v>0</v>
      </c>
      <c r="K2357" s="1846">
        <f t="shared" si="431"/>
        <v>0</v>
      </c>
      <c r="L2357" s="1846">
        <f t="shared" si="421"/>
        <v>0</v>
      </c>
      <c r="M2357" s="1846"/>
      <c r="N2357" s="1846"/>
      <c r="O2357" s="1846"/>
      <c r="P2357" s="1845">
        <f t="shared" si="426"/>
        <v>0</v>
      </c>
      <c r="Q2357" s="1055"/>
      <c r="R2357" s="1055"/>
      <c r="S2357" s="1055"/>
      <c r="T2357" s="2059">
        <f t="shared" si="427"/>
        <v>0</v>
      </c>
    </row>
    <row r="2358" spans="1:20" ht="22.15" hidden="1" customHeight="1">
      <c r="A2358" s="63"/>
      <c r="B2358" s="1594" t="s">
        <v>978</v>
      </c>
      <c r="C2358" s="64" t="str">
        <f t="shared" si="412"/>
        <v xml:space="preserve"> </v>
      </c>
      <c r="D2358" s="1572">
        <v>15</v>
      </c>
      <c r="E2358" s="1047" t="str">
        <f>VLOOKUP($B2358,DG!A:D,DG!$B$2,)</f>
        <v>03.1112</v>
      </c>
      <c r="F2358" s="1052" t="str">
        <f>VLOOKUP($B2358,DG!A:D,DG!$C$2,)</f>
        <v>Đào hố móng đất cấp 2 sâu &gt;1m</v>
      </c>
      <c r="G2358" s="1047" t="str">
        <f>VLOOKUP($B2358,DG!A:D,DG!$D$2,)</f>
        <v>m3</v>
      </c>
      <c r="H2358" s="1846">
        <f t="shared" si="428"/>
        <v>0</v>
      </c>
      <c r="I2358" s="1846"/>
      <c r="J2358" s="1846"/>
      <c r="K2358" s="1846"/>
      <c r="L2358" s="1846"/>
      <c r="M2358" s="1846"/>
      <c r="N2358" s="1846"/>
      <c r="O2358" s="1846"/>
      <c r="P2358" s="1845">
        <f t="shared" si="426"/>
        <v>0</v>
      </c>
      <c r="Q2358" s="1055"/>
      <c r="R2358" s="1055"/>
      <c r="S2358" s="1055"/>
      <c r="T2358" s="2059">
        <f t="shared" si="427"/>
        <v>0</v>
      </c>
    </row>
    <row r="2359" spans="1:20" ht="22.15" hidden="1" customHeight="1">
      <c r="A2359" s="63"/>
      <c r="B2359" s="1594" t="s">
        <v>979</v>
      </c>
      <c r="C2359" s="64" t="str">
        <f t="shared" si="412"/>
        <v xml:space="preserve"> </v>
      </c>
      <c r="D2359" s="1572">
        <v>15</v>
      </c>
      <c r="E2359" s="1047" t="str">
        <f>VLOOKUP($B2359,DG!A:D,DG!$B$2,)</f>
        <v>03.2202</v>
      </c>
      <c r="F2359" s="1052" t="str">
        <f>VLOOKUP($B2359,DG!A:D,DG!$C$2,)</f>
        <v>Đắp đất hố móng, đất cấp 2</v>
      </c>
      <c r="G2359" s="1047" t="str">
        <f>VLOOKUP($B2359,DG!A:D,DG!$D$2,)</f>
        <v>m3</v>
      </c>
      <c r="H2359" s="1846">
        <f t="shared" si="428"/>
        <v>0</v>
      </c>
      <c r="I2359" s="1846"/>
      <c r="J2359" s="1846"/>
      <c r="K2359" s="1846"/>
      <c r="L2359" s="1846"/>
      <c r="M2359" s="1846"/>
      <c r="N2359" s="1846"/>
      <c r="O2359" s="1846"/>
      <c r="P2359" s="1845">
        <f t="shared" si="426"/>
        <v>0</v>
      </c>
      <c r="Q2359" s="1055"/>
      <c r="R2359" s="1055"/>
      <c r="S2359" s="1055"/>
      <c r="T2359" s="2059">
        <f t="shared" si="427"/>
        <v>0</v>
      </c>
    </row>
    <row r="2360" spans="1:20" ht="22.15" hidden="1" customHeight="1">
      <c r="A2360" s="63"/>
      <c r="B2360" s="1594" t="s">
        <v>1961</v>
      </c>
      <c r="C2360" s="64" t="str">
        <f t="shared" si="412"/>
        <v xml:space="preserve"> </v>
      </c>
      <c r="D2360" s="1572">
        <v>0.14399999999999999</v>
      </c>
      <c r="E2360" s="1047" t="str">
        <f>VLOOKUP($B2360,DG!A:D,DG!$B$2,)</f>
        <v>04.3112</v>
      </c>
      <c r="F2360" s="1052" t="str">
        <f>VLOOKUP($B2360,DG!A:D,DG!$C$2,)</f>
        <v>Đổ bê tông mác M100 đá 4x6</v>
      </c>
      <c r="G2360" s="1047" t="str">
        <f>VLOOKUP($B2360,DG!A:D,DG!$D$2,)</f>
        <v>m3</v>
      </c>
      <c r="H2360" s="1846">
        <f t="shared" si="428"/>
        <v>0</v>
      </c>
      <c r="I2360" s="1846"/>
      <c r="J2360" s="1846"/>
      <c r="K2360" s="1846"/>
      <c r="L2360" s="1846"/>
      <c r="M2360" s="1846"/>
      <c r="N2360" s="1846"/>
      <c r="O2360" s="1846"/>
      <c r="P2360" s="1845">
        <f t="shared" si="426"/>
        <v>0</v>
      </c>
      <c r="Q2360" s="1055"/>
      <c r="R2360" s="1055"/>
      <c r="S2360" s="1055"/>
      <c r="T2360" s="2059">
        <f t="shared" si="427"/>
        <v>0</v>
      </c>
    </row>
    <row r="2361" spans="1:20" ht="22.15" hidden="1" customHeight="1">
      <c r="A2361" s="63"/>
      <c r="B2361" s="1594" t="s">
        <v>1842</v>
      </c>
      <c r="C2361" s="64" t="str">
        <f t="shared" si="412"/>
        <v xml:space="preserve"> </v>
      </c>
      <c r="D2361" s="1572">
        <v>1</v>
      </c>
      <c r="E2361" s="1047" t="str">
        <f>VLOOKUP($B2361,DG!A:D,DG!$B$2,)</f>
        <v>04.1203c</v>
      </c>
      <c r="F2361" s="1052" t="str">
        <f>VLOOKUP($B2361,DG!A:D,DG!$C$2,)</f>
        <v>Đổ bê tông móng trụ &lt;=250cm-M200 đá 1x2</v>
      </c>
      <c r="G2361" s="1047" t="str">
        <f>VLOOKUP($B2361,DG!A:D,DG!$D$2,)</f>
        <v>m3</v>
      </c>
      <c r="H2361" s="1846"/>
      <c r="I2361" s="1846"/>
      <c r="J2361" s="1846"/>
      <c r="K2361" s="1846"/>
      <c r="L2361" s="1846"/>
      <c r="M2361" s="1846"/>
      <c r="N2361" s="1846"/>
      <c r="O2361" s="1846"/>
      <c r="P2361" s="1845">
        <f t="shared" si="426"/>
        <v>0</v>
      </c>
      <c r="Q2361" s="1055"/>
      <c r="R2361" s="1055"/>
      <c r="S2361" s="1055"/>
      <c r="T2361" s="2059">
        <f t="shared" si="427"/>
        <v>0</v>
      </c>
    </row>
    <row r="2362" spans="1:20" ht="22.15" hidden="1" customHeight="1">
      <c r="A2362" s="63"/>
      <c r="B2362" s="1594" t="s">
        <v>9</v>
      </c>
      <c r="C2362" s="64" t="str">
        <f t="shared" si="412"/>
        <v xml:space="preserve"> </v>
      </c>
      <c r="D2362" s="1572">
        <v>17</v>
      </c>
      <c r="E2362" s="1047" t="str">
        <f>VLOOKUP($B2362,DG!A:D,DG!$B$2,)</f>
        <v>04.5101</v>
      </c>
      <c r="F2362" s="1052" t="str">
        <f>VLOOKUP($B2362,DG!A:D,DG!$C$2,)</f>
        <v>Gia công và lắp dựng cốt thép D&lt;=10</v>
      </c>
      <c r="G2362" s="1047" t="str">
        <f>VLOOKUP($B2362,DG!A:D,DG!$D$2,)</f>
        <v>kg</v>
      </c>
      <c r="H2362" s="1846"/>
      <c r="I2362" s="1846"/>
      <c r="J2362" s="1846"/>
      <c r="K2362" s="1846"/>
      <c r="L2362" s="1846"/>
      <c r="M2362" s="1846"/>
      <c r="N2362" s="1846"/>
      <c r="O2362" s="1846"/>
      <c r="P2362" s="1845">
        <f t="shared" si="426"/>
        <v>0</v>
      </c>
      <c r="Q2362" s="1055"/>
      <c r="R2362" s="1055"/>
      <c r="S2362" s="1055"/>
      <c r="T2362" s="2059">
        <f t="shared" si="427"/>
        <v>0</v>
      </c>
    </row>
    <row r="2363" spans="1:20" ht="22.15" hidden="1" customHeight="1">
      <c r="A2363" s="63"/>
      <c r="B2363" s="1594" t="s">
        <v>10</v>
      </c>
      <c r="C2363" s="64" t="str">
        <f t="shared" si="412"/>
        <v xml:space="preserve"> </v>
      </c>
      <c r="D2363" s="1572">
        <v>0.14399999999999999</v>
      </c>
      <c r="E2363" s="1047" t="str">
        <f>VLOOKUP($B2363,DG!A:D,DG!$B$2,)</f>
        <v>04.2001</v>
      </c>
      <c r="F2363" s="1052" t="str">
        <f>VLOOKUP($B2363,DG!A:D,DG!$C$2,)</f>
        <v>Gia công và lắp dựng ván khuôn</v>
      </c>
      <c r="G2363" s="1047" t="str">
        <f>VLOOKUP($B2363,DG!A:D,DG!$D$2,)</f>
        <v>m2</v>
      </c>
      <c r="H2363" s="1846"/>
      <c r="I2363" s="1846"/>
      <c r="J2363" s="1846"/>
      <c r="K2363" s="1846"/>
      <c r="L2363" s="1846"/>
      <c r="M2363" s="1846"/>
      <c r="N2363" s="1846"/>
      <c r="O2363" s="1846"/>
      <c r="P2363" s="1845">
        <f t="shared" si="426"/>
        <v>0</v>
      </c>
      <c r="Q2363" s="1055"/>
      <c r="R2363" s="1055"/>
      <c r="S2363" s="1055"/>
      <c r="T2363" s="2059">
        <f t="shared" si="427"/>
        <v>0</v>
      </c>
    </row>
    <row r="2364" spans="1:20" ht="22.15" hidden="1" customHeight="1">
      <c r="A2364" s="63"/>
      <c r="B2364" s="1594" t="s">
        <v>18</v>
      </c>
      <c r="C2364" s="64" t="str">
        <f t="shared" si="412"/>
        <v xml:space="preserve"> </v>
      </c>
      <c r="D2364" s="1546">
        <v>0.4</v>
      </c>
      <c r="E2364" s="1051" t="str">
        <f>VLOOKUP($B2364,DG!A:C,2,)</f>
        <v>02.1211</v>
      </c>
      <c r="F2364" s="1052" t="str">
        <f>VLOOKUP($B2364,DG!A:C,3,)</f>
        <v>V/c xi măng ( cự ly &lt;=100m)</v>
      </c>
      <c r="G2364" s="1051" t="str">
        <f>VLOOKUP($B2364,DG!A:D,4,0)</f>
        <v>tấn</v>
      </c>
      <c r="H2364" s="1846"/>
      <c r="I2364" s="1846"/>
      <c r="J2364" s="1846"/>
      <c r="K2364" s="1846"/>
      <c r="L2364" s="1846"/>
      <c r="M2364" s="1846"/>
      <c r="N2364" s="1846"/>
      <c r="O2364" s="1846"/>
      <c r="P2364" s="1845">
        <f t="shared" si="426"/>
        <v>0</v>
      </c>
      <c r="Q2364" s="1058"/>
      <c r="R2364" s="1058"/>
      <c r="S2364" s="1058"/>
      <c r="T2364" s="2059">
        <f t="shared" si="427"/>
        <v>0</v>
      </c>
    </row>
    <row r="2365" spans="1:20" ht="22.15" hidden="1" customHeight="1">
      <c r="A2365" s="63"/>
      <c r="B2365" s="1594" t="s">
        <v>19</v>
      </c>
      <c r="C2365" s="64" t="str">
        <f t="shared" si="412"/>
        <v xml:space="preserve"> </v>
      </c>
      <c r="D2365" s="1546">
        <v>0.81</v>
      </c>
      <c r="E2365" s="1051">
        <f>VLOOKUP($B2365,DG!A:C,2,)</f>
        <v>0</v>
      </c>
      <c r="F2365" s="1052" t="str">
        <f>VLOOKUP($B2365,DG!A:C,3,)</f>
        <v>Cát vàng</v>
      </c>
      <c r="G2365" s="1051" t="str">
        <f>VLOOKUP($B2365,DG!A:D,4,0)</f>
        <v>m3</v>
      </c>
      <c r="H2365" s="1846"/>
      <c r="I2365" s="1846"/>
      <c r="J2365" s="1846"/>
      <c r="K2365" s="1846"/>
      <c r="L2365" s="1846"/>
      <c r="M2365" s="1846"/>
      <c r="N2365" s="1846"/>
      <c r="O2365" s="1846"/>
      <c r="P2365" s="1845">
        <f t="shared" si="426"/>
        <v>0</v>
      </c>
      <c r="Q2365" s="1058"/>
      <c r="R2365" s="1058"/>
      <c r="S2365" s="1058"/>
      <c r="T2365" s="2059">
        <f t="shared" si="427"/>
        <v>0</v>
      </c>
    </row>
    <row r="2366" spans="1:20" ht="22.15" hidden="1" customHeight="1">
      <c r="A2366" s="63"/>
      <c r="B2366" s="1594" t="s">
        <v>17</v>
      </c>
      <c r="C2366" s="64" t="str">
        <f t="shared" si="412"/>
        <v xml:space="preserve"> </v>
      </c>
      <c r="D2366" s="1546">
        <v>0.02</v>
      </c>
      <c r="E2366" s="1051" t="str">
        <f>VLOOKUP($B2366,DG!A:C,2,)</f>
        <v>02.1351</v>
      </c>
      <c r="F2366" s="1052" t="str">
        <f>VLOOKUP($B2366,DG!A:C,3,)</f>
        <v>V/c cốt thép ( cự ly &lt;=100m)</v>
      </c>
      <c r="G2366" s="1051" t="str">
        <f>VLOOKUP($B2366,DG!A:D,4,0)</f>
        <v>tấn</v>
      </c>
      <c r="H2366" s="1846"/>
      <c r="I2366" s="1846"/>
      <c r="J2366" s="1846"/>
      <c r="K2366" s="1846"/>
      <c r="L2366" s="1846"/>
      <c r="M2366" s="1846"/>
      <c r="N2366" s="1846"/>
      <c r="O2366" s="1846"/>
      <c r="P2366" s="1845">
        <f t="shared" si="426"/>
        <v>0</v>
      </c>
      <c r="Q2366" s="1058"/>
      <c r="R2366" s="1058"/>
      <c r="S2366" s="1058"/>
      <c r="T2366" s="2059">
        <f t="shared" si="427"/>
        <v>0</v>
      </c>
    </row>
    <row r="2367" spans="1:20" ht="22.15" hidden="1" customHeight="1">
      <c r="A2367" s="63"/>
      <c r="B2367" s="1594" t="s">
        <v>20</v>
      </c>
      <c r="C2367" s="64" t="str">
        <f t="shared" si="412"/>
        <v xml:space="preserve"> </v>
      </c>
      <c r="D2367" s="1573">
        <v>0.98</v>
      </c>
      <c r="E2367" s="1421" t="str">
        <f>VLOOKUP($B2367,DG!A:C,2,)</f>
        <v>02.1241</v>
      </c>
      <c r="F2367" s="1422" t="str">
        <f>VLOOKUP($B2367,DG!A:C,3,)</f>
        <v>V/c đá dăm ( cự ly &lt;=100m)</v>
      </c>
      <c r="G2367" s="1401" t="str">
        <f>VLOOKUP($B2367,DG!A:D,4,0)</f>
        <v>m3</v>
      </c>
      <c r="H2367" s="1851"/>
      <c r="I2367" s="1851"/>
      <c r="J2367" s="1851"/>
      <c r="K2367" s="1851"/>
      <c r="L2367" s="1851"/>
      <c r="M2367" s="1851"/>
      <c r="N2367" s="1851"/>
      <c r="O2367" s="1851"/>
      <c r="P2367" s="1845">
        <f t="shared" si="426"/>
        <v>0</v>
      </c>
      <c r="Q2367" s="1423"/>
      <c r="R2367" s="1423"/>
      <c r="S2367" s="1423"/>
      <c r="T2367" s="2059">
        <f t="shared" si="427"/>
        <v>0</v>
      </c>
    </row>
    <row r="2368" spans="1:20" ht="15.75">
      <c r="B2368" s="1595"/>
      <c r="C2368" s="1855" t="s">
        <v>512</v>
      </c>
      <c r="D2368" s="1538"/>
      <c r="E2368" s="1402"/>
      <c r="F2368" s="1403"/>
      <c r="G2368" s="1402"/>
      <c r="H2368" s="1839"/>
      <c r="I2368" s="1839"/>
      <c r="J2368" s="1839"/>
      <c r="K2368" s="1839"/>
      <c r="L2368" s="1839"/>
      <c r="M2368" s="1839"/>
      <c r="N2368" s="1839"/>
      <c r="O2368" s="1839"/>
      <c r="P2368" s="1839"/>
      <c r="Q2368" s="1402"/>
      <c r="R2368" s="1402"/>
      <c r="S2368" s="1402"/>
      <c r="T2368" s="2059">
        <f t="shared" si="427"/>
        <v>0</v>
      </c>
    </row>
    <row r="2369" spans="1:20" ht="15.75" hidden="1">
      <c r="A2369" s="59"/>
      <c r="C2369" s="1016"/>
      <c r="D2369" s="1574"/>
      <c r="T2369" s="53"/>
    </row>
    <row r="2370" spans="1:20" ht="15.75">
      <c r="D2370" s="1574"/>
    </row>
    <row r="2371" spans="1:20" ht="15.75">
      <c r="D2371" s="1574"/>
    </row>
    <row r="2372" spans="1:20" ht="15.75">
      <c r="D2372" s="1574"/>
    </row>
    <row r="2373" spans="1:20" ht="15.75">
      <c r="D2373" s="1574"/>
    </row>
    <row r="2374" spans="1:20" ht="15.75">
      <c r="D2374" s="1574"/>
      <c r="F2374" s="1001"/>
    </row>
    <row r="2375" spans="1:20" ht="16.5">
      <c r="D2375" s="1574"/>
      <c r="F2375" s="1002"/>
    </row>
    <row r="2376" spans="1:20" ht="15.75">
      <c r="D2376" s="1574"/>
    </row>
    <row r="2377" spans="1:20" ht="15.75">
      <c r="D2377" s="1574"/>
    </row>
    <row r="2378" spans="1:20" ht="15.75">
      <c r="D2378" s="1574"/>
    </row>
    <row r="2379" spans="1:20" ht="15.75">
      <c r="D2379" s="1574"/>
    </row>
    <row r="2380" spans="1:20" ht="15.75">
      <c r="D2380" s="1574"/>
    </row>
    <row r="2381" spans="1:20" ht="15.75">
      <c r="D2381" s="1574"/>
    </row>
    <row r="2382" spans="1:20" ht="15.75">
      <c r="D2382" s="1574"/>
    </row>
    <row r="2383" spans="1:20" ht="15.75">
      <c r="D2383" s="1574"/>
    </row>
    <row r="2384" spans="1:20" ht="15.75">
      <c r="D2384" s="1574"/>
    </row>
    <row r="2385" spans="4:4" ht="15.75">
      <c r="D2385" s="1574"/>
    </row>
    <row r="2386" spans="4:4" ht="15.75">
      <c r="D2386" s="1574"/>
    </row>
    <row r="2387" spans="4:4" ht="15.75">
      <c r="D2387" s="1574"/>
    </row>
    <row r="2388" spans="4:4" ht="15.75">
      <c r="D2388" s="1574"/>
    </row>
    <row r="2389" spans="4:4" ht="15.75">
      <c r="D2389" s="1574"/>
    </row>
    <row r="2390" spans="4:4" ht="15.75">
      <c r="D2390" s="1574"/>
    </row>
    <row r="2391" spans="4:4" ht="15.75">
      <c r="D2391" s="1574"/>
    </row>
    <row r="2392" spans="4:4" ht="15.75">
      <c r="D2392" s="1574"/>
    </row>
    <row r="2393" spans="4:4" ht="15.75">
      <c r="D2393" s="1574"/>
    </row>
    <row r="2394" spans="4:4" ht="15.75">
      <c r="D2394" s="1574"/>
    </row>
    <row r="2395" spans="4:4" ht="15.75">
      <c r="D2395" s="1574"/>
    </row>
    <row r="2396" spans="4:4" ht="15.75">
      <c r="D2396" s="1574"/>
    </row>
    <row r="2397" spans="4:4" ht="15.75">
      <c r="D2397" s="1574"/>
    </row>
    <row r="2398" spans="4:4" ht="15.75">
      <c r="D2398" s="1574"/>
    </row>
    <row r="2399" spans="4:4" ht="15.75">
      <c r="D2399" s="1574"/>
    </row>
    <row r="2400" spans="4:4" ht="15.75">
      <c r="D2400" s="1574"/>
    </row>
    <row r="2401" spans="4:4" ht="15.75">
      <c r="D2401" s="1574"/>
    </row>
    <row r="2402" spans="4:4" ht="15.75">
      <c r="D2402" s="1574"/>
    </row>
    <row r="2403" spans="4:4" ht="15.75">
      <c r="D2403" s="1574"/>
    </row>
    <row r="2404" spans="4:4" ht="15.75">
      <c r="D2404" s="1574"/>
    </row>
    <row r="2405" spans="4:4" ht="15.75">
      <c r="D2405" s="1574"/>
    </row>
    <row r="2406" spans="4:4" ht="15.75">
      <c r="D2406" s="1574"/>
    </row>
    <row r="2407" spans="4:4" ht="15.75">
      <c r="D2407" s="1574"/>
    </row>
    <row r="2408" spans="4:4" ht="15.75">
      <c r="D2408" s="1574"/>
    </row>
    <row r="2409" spans="4:4" ht="15.75">
      <c r="D2409" s="1574"/>
    </row>
    <row r="2410" spans="4:4" ht="15.75">
      <c r="D2410" s="1574"/>
    </row>
    <row r="2411" spans="4:4" ht="15.75">
      <c r="D2411" s="1574"/>
    </row>
    <row r="2412" spans="4:4" ht="15.75">
      <c r="D2412" s="1574"/>
    </row>
    <row r="2413" spans="4:4" ht="15.75">
      <c r="D2413" s="1574"/>
    </row>
    <row r="2414" spans="4:4" ht="15.75">
      <c r="D2414" s="1574"/>
    </row>
    <row r="2415" spans="4:4" ht="15.75">
      <c r="D2415" s="1574"/>
    </row>
    <row r="2416" spans="4:4" ht="15.75">
      <c r="D2416" s="1574"/>
    </row>
    <row r="2417" spans="4:4" ht="15.75">
      <c r="D2417" s="1574"/>
    </row>
    <row r="2418" spans="4:4" ht="15.75">
      <c r="D2418" s="1574"/>
    </row>
    <row r="2419" spans="4:4" ht="15.75">
      <c r="D2419" s="1574"/>
    </row>
    <row r="2420" spans="4:4" ht="15.75">
      <c r="D2420" s="1574"/>
    </row>
    <row r="2421" spans="4:4" ht="15.75">
      <c r="D2421" s="1574"/>
    </row>
    <row r="2422" spans="4:4" ht="15.75">
      <c r="D2422" s="1574"/>
    </row>
    <row r="2423" spans="4:4" ht="15.75">
      <c r="D2423" s="1574"/>
    </row>
    <row r="2424" spans="4:4" ht="15.75">
      <c r="D2424" s="1574"/>
    </row>
    <row r="2425" spans="4:4" ht="15.75">
      <c r="D2425" s="1574"/>
    </row>
    <row r="2426" spans="4:4" ht="15.75">
      <c r="D2426" s="1574"/>
    </row>
    <row r="2427" spans="4:4" ht="15.75">
      <c r="D2427" s="1574"/>
    </row>
    <row r="2428" spans="4:4" ht="15.75">
      <c r="D2428" s="1574"/>
    </row>
    <row r="2429" spans="4:4" ht="15.75">
      <c r="D2429" s="1574"/>
    </row>
    <row r="2430" spans="4:4" ht="15.75">
      <c r="D2430" s="1574"/>
    </row>
    <row r="2431" spans="4:4" ht="15.75">
      <c r="D2431" s="1574"/>
    </row>
    <row r="2432" spans="4:4" ht="15.75">
      <c r="D2432" s="1574"/>
    </row>
    <row r="2433" spans="4:4" ht="15.75">
      <c r="D2433" s="1574"/>
    </row>
    <row r="2434" spans="4:4" ht="15.75">
      <c r="D2434" s="1574"/>
    </row>
    <row r="2435" spans="4:4" ht="15.75">
      <c r="D2435" s="1574"/>
    </row>
    <row r="2436" spans="4:4" ht="15.75">
      <c r="D2436" s="1574"/>
    </row>
    <row r="2437" spans="4:4" ht="15.75">
      <c r="D2437" s="1574"/>
    </row>
    <row r="2438" spans="4:4" ht="15.75">
      <c r="D2438" s="1574"/>
    </row>
    <row r="2439" spans="4:4" ht="15.75">
      <c r="D2439" s="1574"/>
    </row>
    <row r="2440" spans="4:4" ht="15.75">
      <c r="D2440" s="1574"/>
    </row>
    <row r="2441" spans="4:4" ht="15.75">
      <c r="D2441" s="1574"/>
    </row>
    <row r="2442" spans="4:4" ht="15.75">
      <c r="D2442" s="1574"/>
    </row>
    <row r="2443" spans="4:4" ht="15.75">
      <c r="D2443" s="1574"/>
    </row>
    <row r="2444" spans="4:4" ht="15.75">
      <c r="D2444" s="1574"/>
    </row>
    <row r="2445" spans="4:4" ht="15.75">
      <c r="D2445" s="1574"/>
    </row>
    <row r="2446" spans="4:4" ht="15.75">
      <c r="D2446" s="1574"/>
    </row>
    <row r="2447" spans="4:4" ht="15.75">
      <c r="D2447" s="1574"/>
    </row>
    <row r="2448" spans="4:4" ht="15.75">
      <c r="D2448" s="1574"/>
    </row>
    <row r="2449" spans="4:4" ht="15.75">
      <c r="D2449" s="1574"/>
    </row>
    <row r="2450" spans="4:4" ht="15.75">
      <c r="D2450" s="1574"/>
    </row>
    <row r="2451" spans="4:4" ht="15.75">
      <c r="D2451" s="1574"/>
    </row>
    <row r="2452" spans="4:4" ht="15.75">
      <c r="D2452" s="1574"/>
    </row>
    <row r="2453" spans="4:4" ht="15.75">
      <c r="D2453" s="1574"/>
    </row>
    <row r="2454" spans="4:4" ht="15.75">
      <c r="D2454" s="1574"/>
    </row>
    <row r="2455" spans="4:4" ht="15.75">
      <c r="D2455" s="1574"/>
    </row>
    <row r="2456" spans="4:4" ht="15.75">
      <c r="D2456" s="1574"/>
    </row>
    <row r="2457" spans="4:4" ht="15.75">
      <c r="D2457" s="1574"/>
    </row>
    <row r="2458" spans="4:4" ht="15.75">
      <c r="D2458" s="1574"/>
    </row>
    <row r="2459" spans="4:4" ht="15.75">
      <c r="D2459" s="1574"/>
    </row>
    <row r="2460" spans="4:4" ht="15.75">
      <c r="D2460" s="1574"/>
    </row>
    <row r="2461" spans="4:4" ht="15.75">
      <c r="D2461" s="1574"/>
    </row>
    <row r="2462" spans="4:4" ht="15.75">
      <c r="D2462" s="1574"/>
    </row>
    <row r="2463" spans="4:4" ht="15.75">
      <c r="D2463" s="1574"/>
    </row>
    <row r="2464" spans="4:4" ht="15.75">
      <c r="D2464" s="1574"/>
    </row>
    <row r="2465" spans="4:4" ht="15.75">
      <c r="D2465" s="1574"/>
    </row>
    <row r="2466" spans="4:4" ht="15.75">
      <c r="D2466" s="1574"/>
    </row>
    <row r="2467" spans="4:4" ht="15.75">
      <c r="D2467" s="1574"/>
    </row>
    <row r="2468" spans="4:4" ht="15.75">
      <c r="D2468" s="1574"/>
    </row>
    <row r="2469" spans="4:4" ht="15.75">
      <c r="D2469" s="1574"/>
    </row>
    <row r="2470" spans="4:4" ht="15.75">
      <c r="D2470" s="1574"/>
    </row>
    <row r="2471" spans="4:4" ht="15.75">
      <c r="D2471" s="1574"/>
    </row>
    <row r="2472" spans="4:4" ht="15.75">
      <c r="D2472" s="1574"/>
    </row>
    <row r="2473" spans="4:4" ht="15.75">
      <c r="D2473" s="1574"/>
    </row>
    <row r="2474" spans="4:4" ht="15.75">
      <c r="D2474" s="1574"/>
    </row>
    <row r="2475" spans="4:4" ht="15.75">
      <c r="D2475" s="1574"/>
    </row>
    <row r="2476" spans="4:4" ht="15.75">
      <c r="D2476" s="1574"/>
    </row>
    <row r="2477" spans="4:4" ht="15.75">
      <c r="D2477" s="1574"/>
    </row>
    <row r="2478" spans="4:4" ht="15.75">
      <c r="D2478" s="1574"/>
    </row>
    <row r="2479" spans="4:4" ht="15.75">
      <c r="D2479" s="1574"/>
    </row>
    <row r="2480" spans="4:4" ht="15.75">
      <c r="D2480" s="1574"/>
    </row>
    <row r="2481" spans="4:4" ht="15.75">
      <c r="D2481" s="1574"/>
    </row>
    <row r="2482" spans="4:4" ht="15.75">
      <c r="D2482" s="1574"/>
    </row>
    <row r="2483" spans="4:4" ht="15.75">
      <c r="D2483" s="1574"/>
    </row>
    <row r="2484" spans="4:4" ht="15.75">
      <c r="D2484" s="1574"/>
    </row>
    <row r="2485" spans="4:4" ht="15.75">
      <c r="D2485" s="1574"/>
    </row>
    <row r="2486" spans="4:4" ht="15.75">
      <c r="D2486" s="1574"/>
    </row>
    <row r="2487" spans="4:4" ht="15.75">
      <c r="D2487" s="1574"/>
    </row>
    <row r="2488" spans="4:4" ht="15.75">
      <c r="D2488" s="1574"/>
    </row>
    <row r="2489" spans="4:4" ht="15.75">
      <c r="D2489" s="1574"/>
    </row>
    <row r="2490" spans="4:4" ht="15.75">
      <c r="D2490" s="1574"/>
    </row>
    <row r="2491" spans="4:4" ht="15.75">
      <c r="D2491" s="1574"/>
    </row>
    <row r="2492" spans="4:4" ht="15.75">
      <c r="D2492" s="1574"/>
    </row>
    <row r="2493" spans="4:4" ht="15.75">
      <c r="D2493" s="1574"/>
    </row>
    <row r="2494" spans="4:4" ht="15.75">
      <c r="D2494" s="1574"/>
    </row>
    <row r="2495" spans="4:4" ht="15.75">
      <c r="D2495" s="1574"/>
    </row>
    <row r="2496" spans="4:4" ht="15.75">
      <c r="D2496" s="1574"/>
    </row>
    <row r="2497" spans="4:4" ht="15.75">
      <c r="D2497" s="1574"/>
    </row>
    <row r="2498" spans="4:4" ht="15.75">
      <c r="D2498" s="1574"/>
    </row>
    <row r="2499" spans="4:4" ht="15.75">
      <c r="D2499" s="1574"/>
    </row>
    <row r="2500" spans="4:4" ht="15.75">
      <c r="D2500" s="1574"/>
    </row>
    <row r="2501" spans="4:4" ht="15.75">
      <c r="D2501" s="1574"/>
    </row>
    <row r="2502" spans="4:4" ht="15.75">
      <c r="D2502" s="1574"/>
    </row>
    <row r="2503" spans="4:4" ht="15.75">
      <c r="D2503" s="1574"/>
    </row>
    <row r="2504" spans="4:4" ht="15.75">
      <c r="D2504" s="1574"/>
    </row>
    <row r="2505" spans="4:4" ht="15.75">
      <c r="D2505" s="1574"/>
    </row>
    <row r="2506" spans="4:4" ht="15.75">
      <c r="D2506" s="1574"/>
    </row>
    <row r="2507" spans="4:4" ht="15.75">
      <c r="D2507" s="1574"/>
    </row>
    <row r="2508" spans="4:4" ht="15.75">
      <c r="D2508" s="1574"/>
    </row>
    <row r="2509" spans="4:4" ht="15.75">
      <c r="D2509" s="1574"/>
    </row>
    <row r="2510" spans="4:4" ht="15.75">
      <c r="D2510" s="1574"/>
    </row>
    <row r="2511" spans="4:4" ht="15.75">
      <c r="D2511" s="1574"/>
    </row>
    <row r="2512" spans="4:4" ht="15.75">
      <c r="D2512" s="1574"/>
    </row>
    <row r="2513" spans="4:4" ht="15.75">
      <c r="D2513" s="1574"/>
    </row>
    <row r="2514" spans="4:4" ht="15.75">
      <c r="D2514" s="1574"/>
    </row>
    <row r="2515" spans="4:4" ht="15.75">
      <c r="D2515" s="1574"/>
    </row>
    <row r="2516" spans="4:4" ht="15.75">
      <c r="D2516" s="1574"/>
    </row>
    <row r="2517" spans="4:4" ht="15.75">
      <c r="D2517" s="1574"/>
    </row>
    <row r="2518" spans="4:4" ht="15.75">
      <c r="D2518" s="1574"/>
    </row>
    <row r="2519" spans="4:4" ht="15.75">
      <c r="D2519" s="1574"/>
    </row>
    <row r="2520" spans="4:4" ht="15.75">
      <c r="D2520" s="1574"/>
    </row>
    <row r="2521" spans="4:4" ht="15.75">
      <c r="D2521" s="1574"/>
    </row>
    <row r="2522" spans="4:4" ht="15.75">
      <c r="D2522" s="1574"/>
    </row>
    <row r="2523" spans="4:4" ht="15.75">
      <c r="D2523" s="1574"/>
    </row>
    <row r="2524" spans="4:4" ht="15.75">
      <c r="D2524" s="1574"/>
    </row>
    <row r="2525" spans="4:4" ht="15.75">
      <c r="D2525" s="1574"/>
    </row>
    <row r="2526" spans="4:4" ht="15.75">
      <c r="D2526" s="1574"/>
    </row>
    <row r="2527" spans="4:4" ht="15.75">
      <c r="D2527" s="1574"/>
    </row>
    <row r="2528" spans="4:4" ht="15.75">
      <c r="D2528" s="1574"/>
    </row>
    <row r="2529" spans="4:4" ht="15.75">
      <c r="D2529" s="1574"/>
    </row>
    <row r="2530" spans="4:4" ht="15.75">
      <c r="D2530" s="1574"/>
    </row>
    <row r="2531" spans="4:4" ht="15.75">
      <c r="D2531" s="1574"/>
    </row>
    <row r="2532" spans="4:4" ht="15.75">
      <c r="D2532" s="1574"/>
    </row>
    <row r="2533" spans="4:4" ht="15.75">
      <c r="D2533" s="1574"/>
    </row>
    <row r="2534" spans="4:4" ht="15.75">
      <c r="D2534" s="1574"/>
    </row>
    <row r="2535" spans="4:4" ht="15.75">
      <c r="D2535" s="1574"/>
    </row>
    <row r="2536" spans="4:4" ht="15.75">
      <c r="D2536" s="1574"/>
    </row>
    <row r="2537" spans="4:4" ht="15.75">
      <c r="D2537" s="1574"/>
    </row>
    <row r="2538" spans="4:4" ht="15.75">
      <c r="D2538" s="1574"/>
    </row>
    <row r="2539" spans="4:4" ht="15.75">
      <c r="D2539" s="1574"/>
    </row>
    <row r="2540" spans="4:4" ht="15.75">
      <c r="D2540" s="1574"/>
    </row>
    <row r="2541" spans="4:4" ht="15.75">
      <c r="D2541" s="1574"/>
    </row>
    <row r="2542" spans="4:4" ht="15.75">
      <c r="D2542" s="1574"/>
    </row>
    <row r="2543" spans="4:4" ht="15.75">
      <c r="D2543" s="1574"/>
    </row>
    <row r="2544" spans="4:4" ht="15.75">
      <c r="D2544" s="1574"/>
    </row>
    <row r="2545" spans="4:4" ht="15.75">
      <c r="D2545" s="1574"/>
    </row>
    <row r="2546" spans="4:4" ht="15.75">
      <c r="D2546" s="1574"/>
    </row>
    <row r="2547" spans="4:4" ht="15.75">
      <c r="D2547" s="1574"/>
    </row>
    <row r="2548" spans="4:4" ht="15.75">
      <c r="D2548" s="1574"/>
    </row>
    <row r="2549" spans="4:4" ht="15.75">
      <c r="D2549" s="1574"/>
    </row>
    <row r="2550" spans="4:4" ht="15.75">
      <c r="D2550" s="1574"/>
    </row>
    <row r="2551" spans="4:4" ht="15.75">
      <c r="D2551" s="1574"/>
    </row>
    <row r="2552" spans="4:4" ht="15.75">
      <c r="D2552" s="1574"/>
    </row>
    <row r="2553" spans="4:4" ht="15.75">
      <c r="D2553" s="1574"/>
    </row>
    <row r="2554" spans="4:4" ht="15.75">
      <c r="D2554" s="1574"/>
    </row>
    <row r="2555" spans="4:4" ht="15.75">
      <c r="D2555" s="1574"/>
    </row>
    <row r="2556" spans="4:4" ht="15.75">
      <c r="D2556" s="1574"/>
    </row>
    <row r="2557" spans="4:4" ht="15.75">
      <c r="D2557" s="1574"/>
    </row>
    <row r="2558" spans="4:4" ht="15.75">
      <c r="D2558" s="1574"/>
    </row>
    <row r="2559" spans="4:4" ht="15.75">
      <c r="D2559" s="1574"/>
    </row>
    <row r="2560" spans="4:4" ht="15.75">
      <c r="D2560" s="1574"/>
    </row>
    <row r="2561" spans="4:4" ht="15.75">
      <c r="D2561" s="1574"/>
    </row>
    <row r="2562" spans="4:4" ht="15.75">
      <c r="D2562" s="1574"/>
    </row>
    <row r="2563" spans="4:4" ht="15.75">
      <c r="D2563" s="1574"/>
    </row>
    <row r="2564" spans="4:4" ht="15.75">
      <c r="D2564" s="1574"/>
    </row>
    <row r="2565" spans="4:4" ht="15.75">
      <c r="D2565" s="1574"/>
    </row>
    <row r="2566" spans="4:4" ht="15.75">
      <c r="D2566" s="1574"/>
    </row>
    <row r="2567" spans="4:4" ht="15.75">
      <c r="D2567" s="1574"/>
    </row>
    <row r="2568" spans="4:4" ht="15.75">
      <c r="D2568" s="1574"/>
    </row>
    <row r="2569" spans="4:4" ht="15.75">
      <c r="D2569" s="1574"/>
    </row>
    <row r="2570" spans="4:4" ht="15.75">
      <c r="D2570" s="1574"/>
    </row>
    <row r="2571" spans="4:4" ht="15.75">
      <c r="D2571" s="1574"/>
    </row>
    <row r="2572" spans="4:4" ht="15.75">
      <c r="D2572" s="1574"/>
    </row>
    <row r="2573" spans="4:4" ht="15.75">
      <c r="D2573" s="1574"/>
    </row>
    <row r="2574" spans="4:4" ht="15.75">
      <c r="D2574" s="1574"/>
    </row>
    <row r="2575" spans="4:4" ht="15.75">
      <c r="D2575" s="1574"/>
    </row>
    <row r="2576" spans="4:4" ht="15.75">
      <c r="D2576" s="1574"/>
    </row>
    <row r="2577" spans="4:4" ht="15.75">
      <c r="D2577" s="1574"/>
    </row>
    <row r="2578" spans="4:4" ht="15.75">
      <c r="D2578" s="1574"/>
    </row>
    <row r="2579" spans="4:4" ht="15.75">
      <c r="D2579" s="1574"/>
    </row>
    <row r="2580" spans="4:4" ht="15.75">
      <c r="D2580" s="1574"/>
    </row>
    <row r="2581" spans="4:4" ht="15.75">
      <c r="D2581" s="1574"/>
    </row>
    <row r="2582" spans="4:4" ht="15.75">
      <c r="D2582" s="1574"/>
    </row>
    <row r="2583" spans="4:4" ht="15.75">
      <c r="D2583" s="1574"/>
    </row>
    <row r="2584" spans="4:4" ht="15.75">
      <c r="D2584" s="1574"/>
    </row>
    <row r="2585" spans="4:4" ht="15.75">
      <c r="D2585" s="1574"/>
    </row>
    <row r="2586" spans="4:4" ht="15.75">
      <c r="D2586" s="1574"/>
    </row>
    <row r="2587" spans="4:4" ht="15.75">
      <c r="D2587" s="1574"/>
    </row>
    <row r="2588" spans="4:4" ht="15.75">
      <c r="D2588" s="1574"/>
    </row>
    <row r="2589" spans="4:4" ht="15.75">
      <c r="D2589" s="1574"/>
    </row>
    <row r="2590" spans="4:4" ht="15.75">
      <c r="D2590" s="1574"/>
    </row>
    <row r="2591" spans="4:4" ht="15.75">
      <c r="D2591" s="1574"/>
    </row>
    <row r="2592" spans="4:4" ht="15.75">
      <c r="D2592" s="1574"/>
    </row>
    <row r="2593" spans="4:4" ht="15.75">
      <c r="D2593" s="1574"/>
    </row>
    <row r="2594" spans="4:4" ht="15.75">
      <c r="D2594" s="1574"/>
    </row>
    <row r="2595" spans="4:4" ht="15.75">
      <c r="D2595" s="1574"/>
    </row>
    <row r="2596" spans="4:4" ht="15.75">
      <c r="D2596" s="1574"/>
    </row>
    <row r="2597" spans="4:4" ht="15.75">
      <c r="D2597" s="1574"/>
    </row>
    <row r="2598" spans="4:4" ht="15.75">
      <c r="D2598" s="1574"/>
    </row>
    <row r="2599" spans="4:4" ht="15.75">
      <c r="D2599" s="1574"/>
    </row>
    <row r="2600" spans="4:4" ht="15.75">
      <c r="D2600" s="1574"/>
    </row>
    <row r="2601" spans="4:4" ht="15.75">
      <c r="D2601" s="1574"/>
    </row>
    <row r="2602" spans="4:4" ht="15.75">
      <c r="D2602" s="1574"/>
    </row>
    <row r="2603" spans="4:4" ht="15.75">
      <c r="D2603" s="1574"/>
    </row>
    <row r="2604" spans="4:4" ht="15.75">
      <c r="D2604" s="1574"/>
    </row>
    <row r="2605" spans="4:4" ht="15.75">
      <c r="D2605" s="1574"/>
    </row>
    <row r="2606" spans="4:4" ht="15.75">
      <c r="D2606" s="1574"/>
    </row>
    <row r="2607" spans="4:4" ht="15.75">
      <c r="D2607" s="1574"/>
    </row>
    <row r="2608" spans="4:4" ht="15.75">
      <c r="D2608" s="1574"/>
    </row>
    <row r="2609" spans="4:4" ht="15.75">
      <c r="D2609" s="1574"/>
    </row>
    <row r="2610" spans="4:4" ht="15.75">
      <c r="D2610" s="1574"/>
    </row>
    <row r="2611" spans="4:4" ht="15.75">
      <c r="D2611" s="1574"/>
    </row>
    <row r="2612" spans="4:4" ht="15.75">
      <c r="D2612" s="1574"/>
    </row>
    <row r="2613" spans="4:4" ht="15.75">
      <c r="D2613" s="1574"/>
    </row>
    <row r="2614" spans="4:4" ht="15.75">
      <c r="D2614" s="1574"/>
    </row>
    <row r="2615" spans="4:4" ht="15.75">
      <c r="D2615" s="1574"/>
    </row>
    <row r="2616" spans="4:4" ht="15.75">
      <c r="D2616" s="1574"/>
    </row>
    <row r="2617" spans="4:4" ht="15.75">
      <c r="D2617" s="1574"/>
    </row>
    <row r="2618" spans="4:4" ht="15.75">
      <c r="D2618" s="1574"/>
    </row>
    <row r="2619" spans="4:4" ht="15.75">
      <c r="D2619" s="1574"/>
    </row>
    <row r="2620" spans="4:4" ht="15.75">
      <c r="D2620" s="1574"/>
    </row>
    <row r="2621" spans="4:4" ht="15.75">
      <c r="D2621" s="1574"/>
    </row>
    <row r="2622" spans="4:4" ht="15.75">
      <c r="D2622" s="1574"/>
    </row>
    <row r="2623" spans="4:4" ht="15.75">
      <c r="D2623" s="1574"/>
    </row>
    <row r="2624" spans="4:4" ht="15.75">
      <c r="D2624" s="1574"/>
    </row>
    <row r="2625" spans="4:4" ht="15.75">
      <c r="D2625" s="1574"/>
    </row>
    <row r="2626" spans="4:4" ht="15.75">
      <c r="D2626" s="1574"/>
    </row>
    <row r="2627" spans="4:4" ht="15.75">
      <c r="D2627" s="1574"/>
    </row>
    <row r="2628" spans="4:4" ht="15.75">
      <c r="D2628" s="1574"/>
    </row>
    <row r="2629" spans="4:4" ht="15.75">
      <c r="D2629" s="1574"/>
    </row>
    <row r="2630" spans="4:4" ht="15.75">
      <c r="D2630" s="1574"/>
    </row>
    <row r="2631" spans="4:4" ht="15.75">
      <c r="D2631" s="1574"/>
    </row>
    <row r="2632" spans="4:4" ht="15.75">
      <c r="D2632" s="1574"/>
    </row>
    <row r="2633" spans="4:4" ht="15.75">
      <c r="D2633" s="1574"/>
    </row>
    <row r="2634" spans="4:4" ht="15.75">
      <c r="D2634" s="1574"/>
    </row>
    <row r="2635" spans="4:4" ht="15.75">
      <c r="D2635" s="1574"/>
    </row>
    <row r="2636" spans="4:4" ht="15.75">
      <c r="D2636" s="1574"/>
    </row>
    <row r="2637" spans="4:4" ht="15.75">
      <c r="D2637" s="1574"/>
    </row>
    <row r="2638" spans="4:4" ht="15.75">
      <c r="D2638" s="1574"/>
    </row>
    <row r="2639" spans="4:4" ht="15.75">
      <c r="D2639" s="1574"/>
    </row>
    <row r="2640" spans="4:4" ht="15.75">
      <c r="D2640" s="1574"/>
    </row>
    <row r="2641" spans="4:4" ht="15.75">
      <c r="D2641" s="1574"/>
    </row>
    <row r="2642" spans="4:4" ht="15.75">
      <c r="D2642" s="1574"/>
    </row>
    <row r="2643" spans="4:4" ht="15.75">
      <c r="D2643" s="1574"/>
    </row>
    <row r="2644" spans="4:4" ht="15.75">
      <c r="D2644" s="1574"/>
    </row>
    <row r="2645" spans="4:4" ht="15.75">
      <c r="D2645" s="1574"/>
    </row>
    <row r="2646" spans="4:4" ht="15.75">
      <c r="D2646" s="1574"/>
    </row>
    <row r="2647" spans="4:4" ht="15.75">
      <c r="D2647" s="1574"/>
    </row>
    <row r="2648" spans="4:4" ht="15.75">
      <c r="D2648" s="1574"/>
    </row>
    <row r="2649" spans="4:4" ht="15.75">
      <c r="D2649" s="1574"/>
    </row>
    <row r="2650" spans="4:4" ht="15.75">
      <c r="D2650" s="1574"/>
    </row>
    <row r="2651" spans="4:4" ht="15.75">
      <c r="D2651" s="1574"/>
    </row>
    <row r="2652" spans="4:4" ht="15.75">
      <c r="D2652" s="1574"/>
    </row>
    <row r="2653" spans="4:4" ht="15.75">
      <c r="D2653" s="1574"/>
    </row>
    <row r="2654" spans="4:4" ht="15.75">
      <c r="D2654" s="1574"/>
    </row>
    <row r="2655" spans="4:4" ht="15.75">
      <c r="D2655" s="1574"/>
    </row>
    <row r="2656" spans="4:4" ht="15.75">
      <c r="D2656" s="1574"/>
    </row>
    <row r="2657" spans="4:4" ht="15.75">
      <c r="D2657" s="1574"/>
    </row>
    <row r="2658" spans="4:4" ht="15.75">
      <c r="D2658" s="1574"/>
    </row>
    <row r="2659" spans="4:4" ht="15.75">
      <c r="D2659" s="1574"/>
    </row>
    <row r="2660" spans="4:4" ht="15.75">
      <c r="D2660" s="1574"/>
    </row>
    <row r="2661" spans="4:4" ht="15.75">
      <c r="D2661" s="1574"/>
    </row>
    <row r="2662" spans="4:4" ht="15.75">
      <c r="D2662" s="1574"/>
    </row>
    <row r="2663" spans="4:4" ht="15.75">
      <c r="D2663" s="1574"/>
    </row>
    <row r="2664" spans="4:4" ht="15.75">
      <c r="D2664" s="1574"/>
    </row>
    <row r="2665" spans="4:4" ht="15.75">
      <c r="D2665" s="1574"/>
    </row>
    <row r="2666" spans="4:4" ht="15.75">
      <c r="D2666" s="1574"/>
    </row>
    <row r="2667" spans="4:4" ht="15.75">
      <c r="D2667" s="1574"/>
    </row>
    <row r="2668" spans="4:4" ht="15.75">
      <c r="D2668" s="1574"/>
    </row>
    <row r="2669" spans="4:4" ht="15.75">
      <c r="D2669" s="1574"/>
    </row>
    <row r="2670" spans="4:4" ht="15.75">
      <c r="D2670" s="1574"/>
    </row>
    <row r="2671" spans="4:4" ht="15.75">
      <c r="D2671" s="1574"/>
    </row>
    <row r="2672" spans="4:4" ht="15.75">
      <c r="D2672" s="1574"/>
    </row>
    <row r="2673" spans="4:4" ht="15.75">
      <c r="D2673" s="1574"/>
    </row>
    <row r="2674" spans="4:4" ht="15.75">
      <c r="D2674" s="1574"/>
    </row>
    <row r="2675" spans="4:4" ht="15.75">
      <c r="D2675" s="1574"/>
    </row>
    <row r="2676" spans="4:4" ht="15.75">
      <c r="D2676" s="1574"/>
    </row>
    <row r="2677" spans="4:4" ht="15.75">
      <c r="D2677" s="1574"/>
    </row>
    <row r="2678" spans="4:4" ht="15.75">
      <c r="D2678" s="1574"/>
    </row>
    <row r="2679" spans="4:4" ht="15.75">
      <c r="D2679" s="1574"/>
    </row>
    <row r="2680" spans="4:4" ht="15.75">
      <c r="D2680" s="1574"/>
    </row>
    <row r="2681" spans="4:4" ht="15.75">
      <c r="D2681" s="1574"/>
    </row>
    <row r="2682" spans="4:4" ht="15.75">
      <c r="D2682" s="1574"/>
    </row>
    <row r="2683" spans="4:4" ht="15.75">
      <c r="D2683" s="1574"/>
    </row>
    <row r="2684" spans="4:4" ht="15.75">
      <c r="D2684" s="1574"/>
    </row>
    <row r="2685" spans="4:4" ht="15.75">
      <c r="D2685" s="1574"/>
    </row>
    <row r="2686" spans="4:4" ht="15.75">
      <c r="D2686" s="1574"/>
    </row>
    <row r="2687" spans="4:4" ht="15.75">
      <c r="D2687" s="1574"/>
    </row>
    <row r="2688" spans="4:4" ht="15.75">
      <c r="D2688" s="1574"/>
    </row>
    <row r="2689" spans="4:4" ht="15.75">
      <c r="D2689" s="1574"/>
    </row>
    <row r="2690" spans="4:4" ht="15.75">
      <c r="D2690" s="1574"/>
    </row>
    <row r="2691" spans="4:4" ht="15.75">
      <c r="D2691" s="1574"/>
    </row>
    <row r="2692" spans="4:4" ht="15.75">
      <c r="D2692" s="1574"/>
    </row>
    <row r="2693" spans="4:4" ht="15.75">
      <c r="D2693" s="1574"/>
    </row>
    <row r="2694" spans="4:4" ht="15.75">
      <c r="D2694" s="1574"/>
    </row>
    <row r="2695" spans="4:4" ht="15.75">
      <c r="D2695" s="1574"/>
    </row>
    <row r="2696" spans="4:4" ht="15.75">
      <c r="D2696" s="1574"/>
    </row>
    <row r="2697" spans="4:4" ht="15.75">
      <c r="D2697" s="1574"/>
    </row>
    <row r="2698" spans="4:4" ht="15.75">
      <c r="D2698" s="1574"/>
    </row>
    <row r="2699" spans="4:4" ht="15.75">
      <c r="D2699" s="1574"/>
    </row>
    <row r="2700" spans="4:4" ht="15.75">
      <c r="D2700" s="1574"/>
    </row>
    <row r="2701" spans="4:4" ht="15.75">
      <c r="D2701" s="1574"/>
    </row>
    <row r="2702" spans="4:4" ht="15.75">
      <c r="D2702" s="1574"/>
    </row>
    <row r="2703" spans="4:4" ht="15.75">
      <c r="D2703" s="1574"/>
    </row>
    <row r="2704" spans="4:4" ht="15.75">
      <c r="D2704" s="1574"/>
    </row>
    <row r="2705" spans="4:4" ht="15.75">
      <c r="D2705" s="1574"/>
    </row>
    <row r="2706" spans="4:4" ht="15.75">
      <c r="D2706" s="1574"/>
    </row>
    <row r="2707" spans="4:4" ht="15.75">
      <c r="D2707" s="1574"/>
    </row>
    <row r="2708" spans="4:4" ht="15.75">
      <c r="D2708" s="1574"/>
    </row>
    <row r="2709" spans="4:4" ht="15.75">
      <c r="D2709" s="1574"/>
    </row>
    <row r="2710" spans="4:4" ht="15.75">
      <c r="D2710" s="1574"/>
    </row>
    <row r="2711" spans="4:4" ht="15.75">
      <c r="D2711" s="1574"/>
    </row>
    <row r="2712" spans="4:4" ht="15.75">
      <c r="D2712" s="1574"/>
    </row>
    <row r="2713" spans="4:4" ht="15.75">
      <c r="D2713" s="1574"/>
    </row>
    <row r="2714" spans="4:4" ht="15.75">
      <c r="D2714" s="1574"/>
    </row>
    <row r="2715" spans="4:4" ht="15.75">
      <c r="D2715" s="1574"/>
    </row>
    <row r="2716" spans="4:4" ht="15.75">
      <c r="D2716" s="1574"/>
    </row>
    <row r="2717" spans="4:4" ht="15.75">
      <c r="D2717" s="1574"/>
    </row>
    <row r="2718" spans="4:4" ht="15.75">
      <c r="D2718" s="1574"/>
    </row>
    <row r="2719" spans="4:4" ht="15.75">
      <c r="D2719" s="1574"/>
    </row>
    <row r="2720" spans="4:4" ht="15.75">
      <c r="D2720" s="1574"/>
    </row>
    <row r="2721" spans="4:4" ht="15.75">
      <c r="D2721" s="1574"/>
    </row>
    <row r="2722" spans="4:4" ht="15.75">
      <c r="D2722" s="1574"/>
    </row>
    <row r="2723" spans="4:4" ht="15.75">
      <c r="D2723" s="1574"/>
    </row>
    <row r="2724" spans="4:4" ht="15.75">
      <c r="D2724" s="1574"/>
    </row>
    <row r="2725" spans="4:4" ht="15.75">
      <c r="D2725" s="1574"/>
    </row>
    <row r="2726" spans="4:4" ht="15.75">
      <c r="D2726" s="1574"/>
    </row>
    <row r="2727" spans="4:4" ht="15.75">
      <c r="D2727" s="1574"/>
    </row>
    <row r="2728" spans="4:4" ht="15.75">
      <c r="D2728" s="1574"/>
    </row>
    <row r="2729" spans="4:4" ht="15.75">
      <c r="D2729" s="1574"/>
    </row>
    <row r="2730" spans="4:4" ht="15.75">
      <c r="D2730" s="1574"/>
    </row>
    <row r="2731" spans="4:4" ht="15.75">
      <c r="D2731" s="1574"/>
    </row>
    <row r="2732" spans="4:4" ht="15.75">
      <c r="D2732" s="1574"/>
    </row>
    <row r="2733" spans="4:4" ht="15.75">
      <c r="D2733" s="1574"/>
    </row>
    <row r="2734" spans="4:4" ht="15.75">
      <c r="D2734" s="1574"/>
    </row>
    <row r="2735" spans="4:4" ht="15.75">
      <c r="D2735" s="1574"/>
    </row>
    <row r="2736" spans="4:4" ht="15.75">
      <c r="D2736" s="1574"/>
    </row>
    <row r="2737" spans="4:4" ht="15.75">
      <c r="D2737" s="1574"/>
    </row>
    <row r="2738" spans="4:4" ht="15.75">
      <c r="D2738" s="1574"/>
    </row>
    <row r="2739" spans="4:4" ht="15.75">
      <c r="D2739" s="1574"/>
    </row>
    <row r="2740" spans="4:4" ht="15.75">
      <c r="D2740" s="1574"/>
    </row>
    <row r="2741" spans="4:4" ht="15.75">
      <c r="D2741" s="1574"/>
    </row>
    <row r="2742" spans="4:4" ht="15.75">
      <c r="D2742" s="1574"/>
    </row>
    <row r="2743" spans="4:4" ht="15.75">
      <c r="D2743" s="1574"/>
    </row>
    <row r="2744" spans="4:4" ht="15.75">
      <c r="D2744" s="1574"/>
    </row>
    <row r="2745" spans="4:4" ht="15.75">
      <c r="D2745" s="1574"/>
    </row>
    <row r="2746" spans="4:4" ht="15.75">
      <c r="D2746" s="1574"/>
    </row>
    <row r="2747" spans="4:4" ht="15.75">
      <c r="D2747" s="1574"/>
    </row>
    <row r="2748" spans="4:4" ht="15.75">
      <c r="D2748" s="1574"/>
    </row>
    <row r="2749" spans="4:4" ht="15.75">
      <c r="D2749" s="1574"/>
    </row>
    <row r="2750" spans="4:4" ht="15.75">
      <c r="D2750" s="1574"/>
    </row>
    <row r="2751" spans="4:4" ht="15.75">
      <c r="D2751" s="1574"/>
    </row>
    <row r="2752" spans="4:4" ht="15.75">
      <c r="D2752" s="1574"/>
    </row>
    <row r="2753" spans="4:4" ht="15.75">
      <c r="D2753" s="1574"/>
    </row>
    <row r="2754" spans="4:4" ht="15.75">
      <c r="D2754" s="1574"/>
    </row>
    <row r="2755" spans="4:4" ht="15.75">
      <c r="D2755" s="1574"/>
    </row>
    <row r="2756" spans="4:4" ht="15.75">
      <c r="D2756" s="1574"/>
    </row>
    <row r="2757" spans="4:4" ht="15.75">
      <c r="D2757" s="1574"/>
    </row>
    <row r="2758" spans="4:4" ht="15.75">
      <c r="D2758" s="1574"/>
    </row>
    <row r="2759" spans="4:4" ht="15.75">
      <c r="D2759" s="1574"/>
    </row>
    <row r="2760" spans="4:4" ht="15.75">
      <c r="D2760" s="1574"/>
    </row>
    <row r="2761" spans="4:4" ht="15.75">
      <c r="D2761" s="1574"/>
    </row>
    <row r="2762" spans="4:4" ht="15.75">
      <c r="D2762" s="1574"/>
    </row>
    <row r="2763" spans="4:4" ht="15.75">
      <c r="D2763" s="1574"/>
    </row>
    <row r="2764" spans="4:4" ht="15.75">
      <c r="D2764" s="1574"/>
    </row>
    <row r="2765" spans="4:4" ht="15.75">
      <c r="D2765" s="1574"/>
    </row>
    <row r="2766" spans="4:4" ht="15.75">
      <c r="D2766" s="1574"/>
    </row>
    <row r="2767" spans="4:4" ht="15.75">
      <c r="D2767" s="1574"/>
    </row>
    <row r="2768" spans="4:4" ht="15.75">
      <c r="D2768" s="1574"/>
    </row>
    <row r="2769" spans="4:4" ht="15.75">
      <c r="D2769" s="1574"/>
    </row>
    <row r="2770" spans="4:4" ht="15.75">
      <c r="D2770" s="1574"/>
    </row>
    <row r="2771" spans="4:4" ht="15.75">
      <c r="D2771" s="1574"/>
    </row>
    <row r="2772" spans="4:4" ht="15.75">
      <c r="D2772" s="1574"/>
    </row>
    <row r="2773" spans="4:4" ht="15.75">
      <c r="D2773" s="1574"/>
    </row>
    <row r="2774" spans="4:4" ht="15.75">
      <c r="D2774" s="1574"/>
    </row>
    <row r="2775" spans="4:4" ht="15.75">
      <c r="D2775" s="1574"/>
    </row>
    <row r="2776" spans="4:4" ht="15.75">
      <c r="D2776" s="1574"/>
    </row>
    <row r="2777" spans="4:4" ht="15.75">
      <c r="D2777" s="1574"/>
    </row>
    <row r="2778" spans="4:4" ht="15.75">
      <c r="D2778" s="1574"/>
    </row>
    <row r="2779" spans="4:4" ht="15.75">
      <c r="D2779" s="1574"/>
    </row>
    <row r="2780" spans="4:4" ht="15.75">
      <c r="D2780" s="1574"/>
    </row>
    <row r="2781" spans="4:4" ht="15.75">
      <c r="D2781" s="1574"/>
    </row>
    <row r="2782" spans="4:4" ht="15.75">
      <c r="D2782" s="1574"/>
    </row>
    <row r="2783" spans="4:4" ht="15.75">
      <c r="D2783" s="1574"/>
    </row>
    <row r="2784" spans="4:4" ht="15.75">
      <c r="D2784" s="1574"/>
    </row>
    <row r="2785" spans="4:4" ht="15.75">
      <c r="D2785" s="1574"/>
    </row>
    <row r="2786" spans="4:4" ht="15.75">
      <c r="D2786" s="1574"/>
    </row>
    <row r="2787" spans="4:4" ht="15.75">
      <c r="D2787" s="1574"/>
    </row>
    <row r="2788" spans="4:4" ht="15.75">
      <c r="D2788" s="1574"/>
    </row>
    <row r="2789" spans="4:4" ht="15.75">
      <c r="D2789" s="1574"/>
    </row>
    <row r="2790" spans="4:4" ht="15.75">
      <c r="D2790" s="1574"/>
    </row>
    <row r="2791" spans="4:4" ht="15.75">
      <c r="D2791" s="1574"/>
    </row>
    <row r="2792" spans="4:4" ht="15.75">
      <c r="D2792" s="1574"/>
    </row>
    <row r="2793" spans="4:4" ht="15.75">
      <c r="D2793" s="1574"/>
    </row>
    <row r="2794" spans="4:4" ht="15.75">
      <c r="D2794" s="1574"/>
    </row>
    <row r="2795" spans="4:4" ht="15.75">
      <c r="D2795" s="1574"/>
    </row>
    <row r="2796" spans="4:4" ht="15.75">
      <c r="D2796" s="1574"/>
    </row>
    <row r="2797" spans="4:4" ht="15.75">
      <c r="D2797" s="1574"/>
    </row>
    <row r="2798" spans="4:4" ht="15.75">
      <c r="D2798" s="1574"/>
    </row>
    <row r="2799" spans="4:4" ht="15.75">
      <c r="D2799" s="1574"/>
    </row>
    <row r="2800" spans="4:4" ht="15.75">
      <c r="D2800" s="1574"/>
    </row>
    <row r="2801" spans="4:4" ht="15.75">
      <c r="D2801" s="1574"/>
    </row>
    <row r="2802" spans="4:4" ht="15.75">
      <c r="D2802" s="1574"/>
    </row>
    <row r="2803" spans="4:4" ht="15.75">
      <c r="D2803" s="1574"/>
    </row>
    <row r="2804" spans="4:4" ht="15.75">
      <c r="D2804" s="1574"/>
    </row>
    <row r="2805" spans="4:4" ht="15.75">
      <c r="D2805" s="1574"/>
    </row>
    <row r="2806" spans="4:4" ht="15.75">
      <c r="D2806" s="1574"/>
    </row>
    <row r="2807" spans="4:4" ht="15.75">
      <c r="D2807" s="1574"/>
    </row>
    <row r="2808" spans="4:4" ht="15.75">
      <c r="D2808" s="1574"/>
    </row>
  </sheetData>
  <autoFilter ref="A10:S2369">
    <filterColumn colId="2">
      <customFilters>
        <customFilter operator="notEqual" val=" "/>
      </customFilters>
    </filterColumn>
  </autoFilter>
  <mergeCells count="3">
    <mergeCell ref="S9:S10"/>
    <mergeCell ref="F9:F10"/>
    <mergeCell ref="G9:G10"/>
  </mergeCells>
  <phoneticPr fontId="0" type="noConversion"/>
  <conditionalFormatting sqref="T1:T8 T10:T359 T889:T1097 T645:T877 T1880:T1048576 T362 T364:T626 T628:T633 T1099:T1161 T1177:T1877 T1163:T1175">
    <cfRule type="timePeriod" dxfId="84" priority="57" timePeriod="today">
      <formula>FLOOR(T1,1)=TODAY()</formula>
    </cfRule>
  </conditionalFormatting>
  <conditionalFormatting sqref="B2351 B77 B94 B176 B341 B378 B398 B433 B516 B536 B552">
    <cfRule type="duplicateValues" dxfId="83" priority="56"/>
  </conditionalFormatting>
  <conditionalFormatting sqref="C1:C359 C1818:C1865 C1094:C1097 C2314:C1048576 C2312 C2030:C2310 C1935:C2028 C1868:C1877 C889:C1086 C645:C877 C1880:C1932 C362 C364:C626 C628:C633 C1099:C1161 C1177:C1816 C1163:C1175">
    <cfRule type="containsText" dxfId="82" priority="52" operator="containsText" text="x">
      <formula>NOT(ISERROR(SEARCH("x",C1)))</formula>
    </cfRule>
  </conditionalFormatting>
  <conditionalFormatting sqref="C1817">
    <cfRule type="containsText" dxfId="81" priority="50" operator="containsText" text="x">
      <formula>NOT(ISERROR(SEARCH("x",C1817)))</formula>
    </cfRule>
  </conditionalFormatting>
  <conditionalFormatting sqref="C1866:C1867">
    <cfRule type="containsText" dxfId="80" priority="48" operator="containsText" text="x">
      <formula>NOT(ISERROR(SEARCH("x",C1866)))</formula>
    </cfRule>
  </conditionalFormatting>
  <conditionalFormatting sqref="C1087:C1093">
    <cfRule type="containsText" dxfId="79" priority="46" operator="containsText" text="x">
      <formula>NOT(ISERROR(SEARCH("x",C1087)))</formula>
    </cfRule>
  </conditionalFormatting>
  <conditionalFormatting sqref="T1:T359 T889:T1097 T645:T877 T1880:T1048576 T362 T364:T626 T628:T633 T1099:T1161 T1177:T1877 T1163:T1175">
    <cfRule type="cellIs" dxfId="78" priority="45" operator="greaterThan">
      <formula>0</formula>
    </cfRule>
  </conditionalFormatting>
  <conditionalFormatting sqref="C2313">
    <cfRule type="containsText" dxfId="77" priority="43" operator="containsText" text="x">
      <formula>NOT(ISERROR(SEARCH("x",C2313)))</formula>
    </cfRule>
  </conditionalFormatting>
  <conditionalFormatting sqref="C2311">
    <cfRule type="containsText" dxfId="76" priority="40" operator="containsText" text="x">
      <formula>NOT(ISERROR(SEARCH("x",C2311)))</formula>
    </cfRule>
  </conditionalFormatting>
  <conditionalFormatting sqref="C2029">
    <cfRule type="containsText" dxfId="75" priority="35" operator="containsText" text="x">
      <formula>NOT(ISERROR(SEARCH("x",C2029)))</formula>
    </cfRule>
  </conditionalFormatting>
  <conditionalFormatting sqref="C1933:C1934">
    <cfRule type="containsText" dxfId="74" priority="32" operator="containsText" text="x">
      <formula>NOT(ISERROR(SEARCH("x",C1933)))</formula>
    </cfRule>
  </conditionalFormatting>
  <conditionalFormatting sqref="T878:T888">
    <cfRule type="timePeriod" dxfId="73" priority="30" timePeriod="today">
      <formula>FLOOR(T878,1)=TODAY()</formula>
    </cfRule>
  </conditionalFormatting>
  <conditionalFormatting sqref="C878:C888">
    <cfRule type="containsText" dxfId="72" priority="29" operator="containsText" text="x">
      <formula>NOT(ISERROR(SEARCH("x",C878)))</formula>
    </cfRule>
  </conditionalFormatting>
  <conditionalFormatting sqref="T878:T888">
    <cfRule type="cellIs" dxfId="71" priority="28" operator="greaterThan">
      <formula>0</formula>
    </cfRule>
  </conditionalFormatting>
  <conditionalFormatting sqref="T634:T644">
    <cfRule type="timePeriod" dxfId="70" priority="27" timePeriod="today">
      <formula>FLOOR(T634,1)=TODAY()</formula>
    </cfRule>
  </conditionalFormatting>
  <conditionalFormatting sqref="C634:C644">
    <cfRule type="containsText" dxfId="69" priority="26" operator="containsText" text="x">
      <formula>NOT(ISERROR(SEARCH("x",C634)))</formula>
    </cfRule>
  </conditionalFormatting>
  <conditionalFormatting sqref="T634:T644">
    <cfRule type="cellIs" dxfId="68" priority="25" operator="greaterThan">
      <formula>0</formula>
    </cfRule>
  </conditionalFormatting>
  <conditionalFormatting sqref="T1878">
    <cfRule type="timePeriod" dxfId="67" priority="24" timePeriod="today">
      <formula>FLOOR(T1878,1)=TODAY()</formula>
    </cfRule>
  </conditionalFormatting>
  <conditionalFormatting sqref="C1878">
    <cfRule type="containsText" dxfId="66" priority="23" operator="containsText" text="x">
      <formula>NOT(ISERROR(SEARCH("x",C1878)))</formula>
    </cfRule>
  </conditionalFormatting>
  <conditionalFormatting sqref="T1878">
    <cfRule type="cellIs" dxfId="65" priority="22" operator="greaterThan">
      <formula>0</formula>
    </cfRule>
  </conditionalFormatting>
  <conditionalFormatting sqref="T1879">
    <cfRule type="timePeriod" dxfId="64" priority="21" timePeriod="today">
      <formula>FLOOR(T1879,1)=TODAY()</formula>
    </cfRule>
  </conditionalFormatting>
  <conditionalFormatting sqref="C1879">
    <cfRule type="containsText" dxfId="63" priority="20" operator="containsText" text="x">
      <formula>NOT(ISERROR(SEARCH("x",C1879)))</formula>
    </cfRule>
  </conditionalFormatting>
  <conditionalFormatting sqref="T1879">
    <cfRule type="cellIs" dxfId="62" priority="19" operator="greaterThan">
      <formula>0</formula>
    </cfRule>
  </conditionalFormatting>
  <conditionalFormatting sqref="T360:T361">
    <cfRule type="timePeriod" dxfId="61" priority="18" timePeriod="today">
      <formula>FLOOR(T360,1)=TODAY()</formula>
    </cfRule>
  </conditionalFormatting>
  <conditionalFormatting sqref="C360:C361">
    <cfRule type="containsText" dxfId="60" priority="17" operator="containsText" text="x">
      <formula>NOT(ISERROR(SEARCH("x",C360)))</formula>
    </cfRule>
  </conditionalFormatting>
  <conditionalFormatting sqref="T360:T361">
    <cfRule type="cellIs" dxfId="59" priority="16" operator="greaterThan">
      <formula>0</formula>
    </cfRule>
  </conditionalFormatting>
  <conditionalFormatting sqref="T363">
    <cfRule type="timePeriod" dxfId="58" priority="15" timePeriod="today">
      <formula>FLOOR(T363,1)=TODAY()</formula>
    </cfRule>
  </conditionalFormatting>
  <conditionalFormatting sqref="C363">
    <cfRule type="containsText" dxfId="57" priority="14" operator="containsText" text="x">
      <formula>NOT(ISERROR(SEARCH("x",C363)))</formula>
    </cfRule>
  </conditionalFormatting>
  <conditionalFormatting sqref="T363">
    <cfRule type="cellIs" dxfId="56" priority="13" operator="greaterThan">
      <formula>0</formula>
    </cfRule>
  </conditionalFormatting>
  <conditionalFormatting sqref="T627">
    <cfRule type="timePeriod" dxfId="55" priority="12" timePeriod="today">
      <formula>FLOOR(T627,1)=TODAY()</formula>
    </cfRule>
  </conditionalFormatting>
  <conditionalFormatting sqref="C627">
    <cfRule type="containsText" dxfId="54" priority="11" operator="containsText" text="x">
      <formula>NOT(ISERROR(SEARCH("x",C627)))</formula>
    </cfRule>
  </conditionalFormatting>
  <conditionalFormatting sqref="T627">
    <cfRule type="cellIs" dxfId="53" priority="10" operator="greaterThan">
      <formula>0</formula>
    </cfRule>
  </conditionalFormatting>
  <conditionalFormatting sqref="T1098">
    <cfRule type="timePeriod" dxfId="52" priority="9" timePeriod="today">
      <formula>FLOOR(T1098,1)=TODAY()</formula>
    </cfRule>
  </conditionalFormatting>
  <conditionalFormatting sqref="C1098">
    <cfRule type="containsText" dxfId="51" priority="8" operator="containsText" text="x">
      <formula>NOT(ISERROR(SEARCH("x",C1098)))</formula>
    </cfRule>
  </conditionalFormatting>
  <conditionalFormatting sqref="T1098">
    <cfRule type="cellIs" dxfId="50" priority="7" operator="greaterThan">
      <formula>0</formula>
    </cfRule>
  </conditionalFormatting>
  <conditionalFormatting sqref="T1176">
    <cfRule type="timePeriod" dxfId="49" priority="6" timePeriod="today">
      <formula>FLOOR(T1176,1)=TODAY()</formula>
    </cfRule>
  </conditionalFormatting>
  <conditionalFormatting sqref="C1176">
    <cfRule type="containsText" dxfId="48" priority="5" operator="containsText" text="x">
      <formula>NOT(ISERROR(SEARCH("x",C1176)))</formula>
    </cfRule>
  </conditionalFormatting>
  <conditionalFormatting sqref="T1176">
    <cfRule type="cellIs" dxfId="47" priority="4" operator="greaterThan">
      <formula>0</formula>
    </cfRule>
  </conditionalFormatting>
  <conditionalFormatting sqref="T1162">
    <cfRule type="timePeriod" dxfId="46" priority="3" timePeriod="today">
      <formula>FLOOR(T1162,1)=TODAY()</formula>
    </cfRule>
  </conditionalFormatting>
  <conditionalFormatting sqref="C1162">
    <cfRule type="containsText" dxfId="45" priority="2" operator="containsText" text="x">
      <formula>NOT(ISERROR(SEARCH("x",C1162)))</formula>
    </cfRule>
  </conditionalFormatting>
  <conditionalFormatting sqref="T1162">
    <cfRule type="cellIs" dxfId="44"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8" customWidth="1"/>
    <col min="2" max="3" width="8.33203125" style="848" customWidth="1"/>
    <col min="4" max="4" width="7.88671875" style="848" customWidth="1"/>
    <col min="5" max="6" width="7.21875" style="848" customWidth="1"/>
    <col min="7" max="7" width="9.109375" style="848" customWidth="1"/>
    <col min="8" max="10" width="8.21875" style="848" customWidth="1"/>
    <col min="11" max="16" width="10.109375" style="848" customWidth="1"/>
    <col min="17" max="17" width="8.88671875" style="848"/>
    <col min="18" max="19" width="3.33203125" style="848" customWidth="1"/>
    <col min="20" max="20" width="3.6640625" style="848" customWidth="1"/>
    <col min="21" max="21" width="4.6640625" style="848" customWidth="1"/>
    <col min="22" max="22" width="7.33203125" style="848" customWidth="1"/>
    <col min="23" max="24" width="3.33203125" style="848" customWidth="1"/>
    <col min="25" max="16384" width="8.88671875" style="848"/>
  </cols>
  <sheetData>
    <row r="1" spans="1:24" ht="27.75" customHeight="1">
      <c r="A1" s="2686" t="s">
        <v>4239</v>
      </c>
      <c r="B1" s="2686"/>
      <c r="C1" s="2686"/>
      <c r="D1" s="2686"/>
      <c r="E1" s="2686"/>
      <c r="F1" s="2686"/>
      <c r="G1" s="2686"/>
      <c r="H1" s="2686"/>
      <c r="I1" s="2686"/>
      <c r="J1" s="2686"/>
      <c r="K1" s="2686"/>
      <c r="L1" s="2686"/>
      <c r="M1" s="2686"/>
      <c r="N1" s="2686"/>
      <c r="O1" s="2686"/>
      <c r="P1" s="2686"/>
      <c r="R1" s="850"/>
    </row>
    <row r="2" spans="1:24" ht="35.25" customHeight="1">
      <c r="A2" s="2685" t="str">
        <f>"Tên công trình: "&amp;Solieu!C6</f>
        <v>Tên công trình: 00</v>
      </c>
      <c r="B2" s="2685"/>
      <c r="C2" s="2685"/>
      <c r="D2" s="2685"/>
      <c r="E2" s="2685"/>
      <c r="F2" s="2685"/>
      <c r="G2" s="2685"/>
      <c r="H2" s="2685"/>
      <c r="I2" s="2685"/>
      <c r="J2" s="2685"/>
      <c r="K2" s="2687" t="str">
        <f>"Đơn vị thi công: "&amp;Solieu!C10</f>
        <v>Đơn vị thi công: 06</v>
      </c>
      <c r="L2" s="2687"/>
      <c r="M2" s="2687"/>
      <c r="N2" s="2687"/>
      <c r="O2" s="2687"/>
      <c r="P2" s="2687"/>
    </row>
    <row r="3" spans="1:24" ht="26.25" customHeight="1" thickBot="1">
      <c r="A3" s="2685" t="s">
        <v>4240</v>
      </c>
      <c r="B3" s="2685"/>
      <c r="C3" s="2685"/>
      <c r="D3" s="2685"/>
      <c r="E3" s="2685"/>
      <c r="F3" s="2685"/>
      <c r="G3" s="2685"/>
      <c r="H3" s="2685"/>
      <c r="I3" s="2685"/>
      <c r="J3" s="2685"/>
      <c r="K3" s="2688" t="s">
        <v>4241</v>
      </c>
      <c r="L3" s="2689"/>
      <c r="M3" s="2689"/>
      <c r="N3" s="2689"/>
      <c r="O3" s="2689"/>
      <c r="P3" s="2690"/>
    </row>
    <row r="4" spans="1:24" ht="26.25" customHeight="1" thickTop="1">
      <c r="A4" s="2685" t="s">
        <v>4242</v>
      </c>
      <c r="B4" s="2685"/>
      <c r="C4" s="2685"/>
      <c r="D4" s="2685"/>
      <c r="E4" s="2685"/>
      <c r="F4" s="2685"/>
      <c r="G4" s="2685"/>
      <c r="H4" s="2685"/>
      <c r="I4" s="2685"/>
      <c r="J4" s="2685"/>
      <c r="K4" s="2685"/>
      <c r="L4" s="2685"/>
      <c r="M4" s="2685"/>
      <c r="N4" s="2685"/>
      <c r="O4" s="2685"/>
      <c r="P4" s="2685"/>
      <c r="R4" s="940"/>
      <c r="S4" s="753"/>
      <c r="T4" s="754"/>
      <c r="U4" s="950"/>
      <c r="V4" s="939"/>
      <c r="W4" s="951"/>
      <c r="X4" s="952"/>
    </row>
    <row r="5" spans="1:24" ht="28.5" customHeight="1">
      <c r="A5" s="2687" t="s">
        <v>4243</v>
      </c>
      <c r="B5" s="2687" t="s">
        <v>4244</v>
      </c>
      <c r="C5" s="2687"/>
      <c r="D5" s="2687" t="s">
        <v>4245</v>
      </c>
      <c r="E5" s="893" t="s">
        <v>4246</v>
      </c>
      <c r="F5" s="893"/>
      <c r="G5" s="893"/>
      <c r="H5" s="893"/>
      <c r="I5" s="893"/>
      <c r="J5" s="893"/>
      <c r="K5" s="893"/>
      <c r="L5" s="893"/>
      <c r="M5" s="893"/>
      <c r="N5" s="2691" t="s">
        <v>4247</v>
      </c>
      <c r="O5" s="2687" t="s">
        <v>4248</v>
      </c>
      <c r="P5" s="2687"/>
      <c r="R5" s="940"/>
      <c r="S5" s="753"/>
      <c r="T5" s="754"/>
      <c r="U5" s="953"/>
      <c r="V5" s="938"/>
      <c r="W5" s="937"/>
      <c r="X5" s="938"/>
    </row>
    <row r="6" spans="1:24" ht="28.5" customHeight="1">
      <c r="A6" s="2687"/>
      <c r="B6" s="2687" t="s">
        <v>4249</v>
      </c>
      <c r="C6" s="2687" t="s">
        <v>4250</v>
      </c>
      <c r="D6" s="2687"/>
      <c r="E6" s="2687" t="s">
        <v>4251</v>
      </c>
      <c r="F6" s="2687" t="s">
        <v>4252</v>
      </c>
      <c r="G6" s="2687" t="s">
        <v>4253</v>
      </c>
      <c r="H6" s="2687" t="s">
        <v>4254</v>
      </c>
      <c r="I6" s="2687"/>
      <c r="J6" s="2687" t="s">
        <v>4255</v>
      </c>
      <c r="K6" s="2687"/>
      <c r="L6" s="2687"/>
      <c r="M6" s="2687"/>
      <c r="N6" s="2692"/>
      <c r="O6" s="2687" t="s">
        <v>4256</v>
      </c>
      <c r="P6" s="2687" t="s">
        <v>4257</v>
      </c>
      <c r="R6" s="940"/>
      <c r="S6" s="753"/>
      <c r="T6" s="754"/>
      <c r="U6" s="949"/>
      <c r="V6" s="949"/>
      <c r="W6" s="949"/>
      <c r="X6" s="949"/>
    </row>
    <row r="7" spans="1:24" ht="48" customHeight="1">
      <c r="A7" s="2687"/>
      <c r="B7" s="2687"/>
      <c r="C7" s="2687"/>
      <c r="D7" s="2687"/>
      <c r="E7" s="2687"/>
      <c r="F7" s="2687"/>
      <c r="G7" s="2687"/>
      <c r="H7" s="858" t="s">
        <v>4258</v>
      </c>
      <c r="I7" s="858" t="s">
        <v>4259</v>
      </c>
      <c r="J7" s="858" t="s">
        <v>4260</v>
      </c>
      <c r="K7" s="858" t="s">
        <v>4261</v>
      </c>
      <c r="L7" s="858" t="s">
        <v>4258</v>
      </c>
      <c r="M7" s="858" t="s">
        <v>4262</v>
      </c>
      <c r="N7" s="2693"/>
      <c r="O7" s="2687"/>
      <c r="P7" s="2687"/>
      <c r="Q7" s="848" t="s">
        <v>512</v>
      </c>
      <c r="R7" s="940"/>
      <c r="S7" s="752"/>
      <c r="T7" s="752"/>
      <c r="U7" s="753"/>
      <c r="V7" s="754"/>
      <c r="W7" s="754"/>
      <c r="X7" s="754"/>
    </row>
    <row r="8" spans="1:24" ht="23.25" customHeight="1">
      <c r="A8" s="899"/>
      <c r="B8" s="954" t="s">
        <v>4328</v>
      </c>
      <c r="C8" s="895" t="str">
        <f t="shared" ref="C8:C26" si="0">B8</f>
        <v>01/13</v>
      </c>
      <c r="D8" s="753">
        <v>25</v>
      </c>
      <c r="E8" s="896" t="s">
        <v>4326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4329</v>
      </c>
      <c r="C9" s="895" t="str">
        <f t="shared" si="0"/>
        <v>01/14</v>
      </c>
      <c r="D9" s="753">
        <v>38</v>
      </c>
      <c r="E9" s="896" t="s">
        <v>4326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4330</v>
      </c>
      <c r="C10" s="895" t="str">
        <f t="shared" si="0"/>
        <v>01/15</v>
      </c>
      <c r="D10" s="752">
        <v>40</v>
      </c>
      <c r="E10" s="896" t="s">
        <v>4326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4331</v>
      </c>
      <c r="C11" s="895" t="str">
        <f t="shared" si="0"/>
        <v>01/16</v>
      </c>
      <c r="D11" s="752">
        <v>40</v>
      </c>
      <c r="E11" s="896" t="s">
        <v>4326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4332</v>
      </c>
      <c r="C12" s="895" t="str">
        <f t="shared" si="0"/>
        <v>01/17</v>
      </c>
      <c r="D12" s="752">
        <v>38</v>
      </c>
      <c r="E12" s="896" t="s">
        <v>4326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4333</v>
      </c>
      <c r="C13" s="895" t="str">
        <f t="shared" si="0"/>
        <v>01/18</v>
      </c>
      <c r="D13" s="752">
        <v>40</v>
      </c>
      <c r="E13" s="896" t="s">
        <v>4326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4334</v>
      </c>
      <c r="C14" s="895" t="str">
        <f t="shared" si="0"/>
        <v>01/19</v>
      </c>
      <c r="D14" s="752">
        <v>40</v>
      </c>
      <c r="E14" s="896" t="s">
        <v>4326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4335</v>
      </c>
      <c r="C15" s="895" t="str">
        <f t="shared" si="0"/>
        <v>01/20</v>
      </c>
      <c r="D15" s="752">
        <v>38</v>
      </c>
      <c r="E15" s="896" t="s">
        <v>4326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4336</v>
      </c>
      <c r="C16" s="895" t="str">
        <f t="shared" si="0"/>
        <v>01/21</v>
      </c>
      <c r="D16" s="752">
        <v>40</v>
      </c>
      <c r="E16" s="896" t="s">
        <v>4326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4337</v>
      </c>
      <c r="C17" s="895" t="str">
        <f t="shared" si="0"/>
        <v>01/22</v>
      </c>
      <c r="D17" s="752">
        <v>40</v>
      </c>
      <c r="E17" s="896" t="s">
        <v>4326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4338</v>
      </c>
      <c r="C18" s="895" t="str">
        <f t="shared" si="0"/>
        <v>01/23</v>
      </c>
      <c r="D18" s="752">
        <v>40</v>
      </c>
      <c r="E18" s="896" t="s">
        <v>4326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4339</v>
      </c>
      <c r="C19" s="895" t="str">
        <f t="shared" si="0"/>
        <v>01/24</v>
      </c>
      <c r="D19" s="941">
        <v>40</v>
      </c>
      <c r="E19" s="896" t="s">
        <v>4326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4340</v>
      </c>
      <c r="C20" s="895" t="str">
        <f t="shared" si="0"/>
        <v>01/25</v>
      </c>
      <c r="D20" s="942">
        <v>38</v>
      </c>
      <c r="E20" s="896" t="s">
        <v>4326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4341</v>
      </c>
      <c r="C21" s="895" t="str">
        <f t="shared" si="0"/>
        <v>01/26</v>
      </c>
      <c r="D21" s="942">
        <v>35</v>
      </c>
      <c r="E21" s="896" t="s">
        <v>4326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4342</v>
      </c>
      <c r="C22" s="895" t="str">
        <f t="shared" si="0"/>
        <v>01/27</v>
      </c>
      <c r="D22" s="752">
        <v>35</v>
      </c>
      <c r="E22" s="896" t="s">
        <v>4326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4343</v>
      </c>
      <c r="C23" s="895" t="str">
        <f t="shared" si="0"/>
        <v>01/28</v>
      </c>
      <c r="D23" s="941">
        <v>38</v>
      </c>
      <c r="E23" s="896" t="s">
        <v>4326</v>
      </c>
      <c r="F23" s="897">
        <v>1.2</v>
      </c>
      <c r="G23" s="898" t="s">
        <v>87</v>
      </c>
      <c r="H23" s="896"/>
      <c r="I23" s="896"/>
      <c r="J23" s="896"/>
      <c r="K23" s="896"/>
      <c r="L23" s="896"/>
      <c r="M23" s="896"/>
      <c r="N23" s="896"/>
      <c r="O23" s="896"/>
      <c r="P23" s="896"/>
      <c r="Q23" s="848" t="str">
        <f t="shared" si="1"/>
        <v>x</v>
      </c>
    </row>
    <row r="24" spans="1:20" ht="28.5" customHeight="1">
      <c r="A24" s="899"/>
      <c r="B24" s="954" t="s">
        <v>4344</v>
      </c>
      <c r="C24" s="895" t="str">
        <f t="shared" si="0"/>
        <v>01/29</v>
      </c>
      <c r="D24" s="551">
        <v>40</v>
      </c>
      <c r="E24" s="896" t="s">
        <v>4326</v>
      </c>
      <c r="F24" s="897">
        <v>1.2</v>
      </c>
      <c r="G24" s="898" t="s">
        <v>87</v>
      </c>
      <c r="H24" s="896"/>
      <c r="I24" s="896"/>
      <c r="J24" s="896"/>
      <c r="K24" s="896"/>
      <c r="L24" s="896"/>
      <c r="M24" s="896"/>
      <c r="N24" s="896"/>
      <c r="O24" s="896"/>
      <c r="P24" s="896"/>
      <c r="Q24" s="848" t="str">
        <f t="shared" si="1"/>
        <v>x</v>
      </c>
    </row>
    <row r="25" spans="1:20" ht="28.5" customHeight="1">
      <c r="A25" s="899"/>
      <c r="B25" s="954" t="s">
        <v>4345</v>
      </c>
      <c r="C25" s="895" t="str">
        <f t="shared" si="0"/>
        <v>01/30</v>
      </c>
      <c r="D25" s="551">
        <v>40</v>
      </c>
      <c r="E25" s="896" t="s">
        <v>4326</v>
      </c>
      <c r="F25" s="897">
        <v>1.2</v>
      </c>
      <c r="G25" s="898" t="s">
        <v>87</v>
      </c>
      <c r="H25" s="896"/>
      <c r="I25" s="896"/>
      <c r="J25" s="896"/>
      <c r="K25" s="896"/>
      <c r="L25" s="896"/>
      <c r="M25" s="896"/>
      <c r="N25" s="896"/>
      <c r="O25" s="896"/>
      <c r="P25" s="896"/>
      <c r="Q25" s="848" t="str">
        <f t="shared" si="1"/>
        <v>x</v>
      </c>
    </row>
    <row r="26" spans="1:20" ht="28.5" customHeight="1">
      <c r="A26" s="899"/>
      <c r="B26" s="954" t="s">
        <v>4346</v>
      </c>
      <c r="C26" s="895" t="str">
        <f t="shared" si="0"/>
        <v>01/31</v>
      </c>
      <c r="D26" s="551">
        <v>40</v>
      </c>
      <c r="E26" s="896" t="s">
        <v>4326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684" t="str">
        <f>"- Tổng chiều dài tuyến: "&amp;ROUND(SUM(D8:D50),1)&amp;" m"</f>
        <v>- Tổng chiều dài tuyến: 725 m</v>
      </c>
      <c r="D52" s="2685"/>
      <c r="E52" s="2685"/>
      <c r="F52" s="2685"/>
      <c r="G52" s="2685"/>
      <c r="H52" s="2685"/>
      <c r="I52" s="2685"/>
      <c r="J52" s="2685"/>
      <c r="K52" s="2685"/>
      <c r="L52" s="2685"/>
      <c r="M52" s="2685"/>
      <c r="N52" s="2685"/>
      <c r="O52" s="2685"/>
      <c r="P52" s="2685"/>
    </row>
    <row r="53" spans="1:17" ht="21.75" customHeight="1">
      <c r="A53" s="964" t="s">
        <v>4263</v>
      </c>
      <c r="B53" s="958"/>
      <c r="C53" s="2684" t="str">
        <f>"- Tổng số lượng trụ "&amp;$E$8&amp;"m: "&amp;COUNTIF(E8:E51,$E$8)&amp;" trụ."</f>
        <v>- Tổng số lượng trụ 7,5m: 19 trụ.</v>
      </c>
      <c r="D53" s="2685"/>
      <c r="E53" s="2685"/>
      <c r="F53" s="2685"/>
      <c r="G53" s="2685"/>
      <c r="H53" s="2685"/>
      <c r="I53" s="2685"/>
      <c r="J53" s="2685"/>
      <c r="K53" s="2685"/>
      <c r="L53" s="2685"/>
      <c r="M53" s="2685"/>
      <c r="N53" s="2685"/>
      <c r="O53" s="2685"/>
      <c r="P53" s="2685"/>
    </row>
    <row r="54" spans="1:17" ht="21.75" customHeight="1">
      <c r="A54" s="959"/>
      <c r="B54" s="960"/>
      <c r="C54" s="2684" t="str">
        <f>"- Tổng số lượng móng M7BT đôi: "&amp;TEXT(COUNTIF(G6:G51,"M7BT ĐÔI"),"00")&amp;" móng."</f>
        <v>- Tổng số lượng móng M7BT đôi: 00 móng.</v>
      </c>
      <c r="D54" s="2685"/>
      <c r="E54" s="2685"/>
      <c r="F54" s="2685"/>
      <c r="G54" s="2685"/>
      <c r="H54" s="2685"/>
      <c r="I54" s="2685"/>
      <c r="J54" s="2685"/>
      <c r="K54" s="2685"/>
      <c r="L54" s="2685"/>
      <c r="M54" s="2685"/>
      <c r="N54" s="2685"/>
      <c r="O54" s="2685"/>
      <c r="P54" s="2685"/>
    </row>
    <row r="55" spans="1:17" ht="21.75" hidden="1" customHeight="1">
      <c r="A55" s="959"/>
      <c r="B55" s="960"/>
      <c r="C55" s="2684" t="str">
        <f>"- Tổng số lượng móng M12BT đơn: "&amp;TEXT(COUNTIF(G6:G13,"M12BT ĐƠN"),"00")&amp;" móng."</f>
        <v>- Tổng số lượng móng M12BT đơn: 00 móng.</v>
      </c>
      <c r="D55" s="2685"/>
      <c r="E55" s="2685"/>
      <c r="F55" s="2685"/>
      <c r="G55" s="2685"/>
      <c r="H55" s="2685"/>
      <c r="I55" s="2685"/>
      <c r="J55" s="2685"/>
      <c r="K55" s="2685"/>
      <c r="L55" s="2685"/>
      <c r="M55" s="2685"/>
      <c r="N55" s="2685"/>
      <c r="O55" s="2685"/>
      <c r="P55" s="2685"/>
      <c r="Q55" s="848">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8" customWidth="1"/>
    <col min="2" max="3" width="8.88671875" style="848" customWidth="1"/>
    <col min="4" max="4" width="7.77734375" style="848" customWidth="1"/>
    <col min="5" max="5" width="7.6640625" style="848" customWidth="1"/>
    <col min="6" max="6" width="6.44140625" style="848" customWidth="1"/>
    <col min="7" max="7" width="8.88671875" style="848" customWidth="1"/>
    <col min="8" max="8" width="6.33203125" style="848" customWidth="1"/>
    <col min="9" max="9" width="7.33203125" style="848" customWidth="1"/>
    <col min="10" max="10" width="6.88671875" style="848" customWidth="1"/>
    <col min="11" max="11" width="8.44140625" style="848" customWidth="1"/>
    <col min="12" max="12" width="9.6640625" style="848" customWidth="1"/>
    <col min="13" max="13" width="11.21875" style="848" customWidth="1"/>
    <col min="14" max="14" width="17.77734375" style="848" customWidth="1"/>
    <col min="15" max="15" width="8.88671875" style="848"/>
    <col min="16" max="16" width="11.88671875" style="848" customWidth="1"/>
    <col min="17" max="17" width="8.88671875" style="848"/>
    <col min="18" max="18" width="0" style="848" hidden="1" customWidth="1"/>
    <col min="19" max="20" width="8.88671875" style="859"/>
    <col min="21" max="16384" width="8.88671875" style="848"/>
  </cols>
  <sheetData>
    <row r="1" spans="1:20" ht="32.25" customHeight="1">
      <c r="A1" s="2686" t="s">
        <v>4264</v>
      </c>
      <c r="B1" s="2686"/>
      <c r="C1" s="2686"/>
      <c r="D1" s="2686"/>
      <c r="E1" s="2686"/>
      <c r="F1" s="2686"/>
      <c r="G1" s="2686"/>
      <c r="H1" s="2686"/>
      <c r="I1" s="2686"/>
      <c r="J1" s="2686"/>
      <c r="K1" s="2686"/>
      <c r="L1" s="2686"/>
      <c r="M1" s="2686"/>
      <c r="N1" s="2686"/>
      <c r="O1" s="2686"/>
      <c r="P1" s="2686"/>
      <c r="R1" s="850" t="s">
        <v>4170</v>
      </c>
    </row>
    <row r="2" spans="1:20" ht="33.75" customHeight="1">
      <c r="A2" s="2694" t="e">
        <f>"Tên công trình: "&amp;Solieu!#REF!</f>
        <v>#REF!</v>
      </c>
      <c r="B2" s="2695"/>
      <c r="C2" s="2695"/>
      <c r="D2" s="2695"/>
      <c r="E2" s="2695"/>
      <c r="F2" s="2695"/>
      <c r="G2" s="2695"/>
      <c r="H2" s="2695"/>
      <c r="I2" s="2695"/>
      <c r="J2" s="2696"/>
      <c r="K2" s="2687" t="str">
        <f>"Đơn vị thi công: "&amp;Solieu!C10</f>
        <v>Đơn vị thi công: 06</v>
      </c>
      <c r="L2" s="2687"/>
      <c r="M2" s="2687"/>
      <c r="N2" s="2687"/>
      <c r="O2" s="2687"/>
      <c r="P2" s="2687"/>
    </row>
    <row r="3" spans="1:20" ht="25.5" customHeight="1">
      <c r="A3" s="2685" t="s">
        <v>4265</v>
      </c>
      <c r="B3" s="2685"/>
      <c r="C3" s="2685"/>
      <c r="D3" s="2685"/>
      <c r="E3" s="2685"/>
      <c r="F3" s="2685"/>
      <c r="G3" s="2685"/>
      <c r="H3" s="2685"/>
      <c r="I3" s="2685"/>
      <c r="J3" s="2685"/>
      <c r="K3" s="2688" t="s">
        <v>4241</v>
      </c>
      <c r="L3" s="2689"/>
      <c r="M3" s="2689"/>
      <c r="N3" s="2689"/>
      <c r="O3" s="2689"/>
      <c r="P3" s="2690"/>
    </row>
    <row r="4" spans="1:20" ht="25.5" customHeight="1">
      <c r="A4" s="2685" t="s">
        <v>4242</v>
      </c>
      <c r="B4" s="2685"/>
      <c r="C4" s="2685"/>
      <c r="D4" s="2685"/>
      <c r="E4" s="2685"/>
      <c r="F4" s="2685"/>
      <c r="G4" s="2685"/>
      <c r="H4" s="2685"/>
      <c r="I4" s="2685"/>
      <c r="J4" s="2685"/>
      <c r="K4" s="2685"/>
      <c r="L4" s="2685"/>
      <c r="M4" s="2685"/>
      <c r="N4" s="2685"/>
      <c r="O4" s="2685"/>
      <c r="P4" s="2685"/>
    </row>
    <row r="5" spans="1:20">
      <c r="A5" s="2687" t="s">
        <v>4243</v>
      </c>
      <c r="B5" s="2687" t="s">
        <v>4266</v>
      </c>
      <c r="C5" s="2687"/>
      <c r="D5" s="2687" t="s">
        <v>3798</v>
      </c>
      <c r="E5" s="2687" t="s">
        <v>4267</v>
      </c>
      <c r="F5" s="2687" t="s">
        <v>4268</v>
      </c>
      <c r="G5" s="2687"/>
      <c r="H5" s="2687" t="s">
        <v>4269</v>
      </c>
      <c r="I5" s="2687"/>
      <c r="J5" s="2687"/>
      <c r="K5" s="2687"/>
      <c r="L5" s="2687" t="s">
        <v>4270</v>
      </c>
      <c r="M5" s="2687"/>
      <c r="N5" s="2687" t="s">
        <v>4247</v>
      </c>
      <c r="O5" s="2687" t="s">
        <v>4248</v>
      </c>
      <c r="P5" s="2687"/>
    </row>
    <row r="6" spans="1:20">
      <c r="A6" s="2687"/>
      <c r="B6" s="2687"/>
      <c r="C6" s="2687"/>
      <c r="D6" s="2687"/>
      <c r="E6" s="2687"/>
      <c r="F6" s="2687"/>
      <c r="G6" s="2687"/>
      <c r="H6" s="2687"/>
      <c r="I6" s="2687"/>
      <c r="J6" s="2687"/>
      <c r="K6" s="2687"/>
      <c r="L6" s="2687"/>
      <c r="M6" s="2687"/>
      <c r="N6" s="2687"/>
      <c r="O6" s="2687"/>
      <c r="P6" s="2687"/>
    </row>
    <row r="7" spans="1:20">
      <c r="A7" s="2687"/>
      <c r="B7" s="2687"/>
      <c r="C7" s="2687"/>
      <c r="D7" s="2687"/>
      <c r="E7" s="2687"/>
      <c r="F7" s="2687"/>
      <c r="G7" s="2687"/>
      <c r="H7" s="2687"/>
      <c r="I7" s="2687"/>
      <c r="J7" s="2687"/>
      <c r="K7" s="2687"/>
      <c r="L7" s="2687"/>
      <c r="M7" s="2687"/>
      <c r="N7" s="2687"/>
      <c r="O7" s="2687"/>
      <c r="P7" s="2687"/>
    </row>
    <row r="8" spans="1:20" ht="69.75" customHeight="1">
      <c r="A8" s="2687"/>
      <c r="B8" s="858" t="s">
        <v>4249</v>
      </c>
      <c r="C8" s="858" t="s">
        <v>4271</v>
      </c>
      <c r="D8" s="2687"/>
      <c r="E8" s="2687"/>
      <c r="F8" s="858" t="s">
        <v>4272</v>
      </c>
      <c r="G8" s="858" t="s">
        <v>4273</v>
      </c>
      <c r="H8" s="858" t="s">
        <v>4274</v>
      </c>
      <c r="I8" s="858" t="s">
        <v>4262</v>
      </c>
      <c r="J8" s="858" t="s">
        <v>4275</v>
      </c>
      <c r="K8" s="902" t="s">
        <v>4262</v>
      </c>
      <c r="L8" s="858" t="s">
        <v>4276</v>
      </c>
      <c r="M8" s="858" t="s">
        <v>4262</v>
      </c>
      <c r="N8" s="2687"/>
      <c r="O8" s="858" t="s">
        <v>4256</v>
      </c>
      <c r="P8" s="858" t="s">
        <v>4257</v>
      </c>
      <c r="Q8" s="903" t="s">
        <v>512</v>
      </c>
      <c r="S8" s="859" t="s">
        <v>663</v>
      </c>
      <c r="T8" s="859" t="s">
        <v>664</v>
      </c>
    </row>
    <row r="9" spans="1:20" ht="33" customHeight="1">
      <c r="A9" s="888"/>
      <c r="B9" s="940" t="s">
        <v>4328</v>
      </c>
      <c r="C9" s="940" t="s">
        <v>4328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4329</v>
      </c>
      <c r="C10" s="940" t="s">
        <v>4329</v>
      </c>
      <c r="D10" s="753" t="s">
        <v>4347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4331</v>
      </c>
      <c r="C11" s="940" t="s">
        <v>4331</v>
      </c>
      <c r="D11" s="753" t="s">
        <v>4347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4332</v>
      </c>
      <c r="C12" s="940" t="s">
        <v>4332</v>
      </c>
      <c r="D12" s="753" t="s">
        <v>4347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4334</v>
      </c>
      <c r="C13" s="940" t="s">
        <v>4334</v>
      </c>
      <c r="D13" s="753" t="s">
        <v>4347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4335</v>
      </c>
      <c r="C14" s="940" t="s">
        <v>4335</v>
      </c>
      <c r="D14" s="753" t="s">
        <v>4347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4340</v>
      </c>
      <c r="C15" s="940" t="s">
        <v>4340</v>
      </c>
      <c r="D15" s="754" t="s">
        <v>4347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4341</v>
      </c>
      <c r="C16" s="940" t="s">
        <v>4341</v>
      </c>
      <c r="D16" s="754" t="s">
        <v>4347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4346</v>
      </c>
      <c r="C17" s="940" t="s">
        <v>4346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685" t="str">
        <f>"Tổng cộng: "&amp;TEXT((17-COUNTBLANK(B9:B25)),"00")&amp;" bộ."</f>
        <v>Tổng cộng: 09 bộ.</v>
      </c>
      <c r="B26" s="2685"/>
      <c r="C26" s="2685"/>
      <c r="D26" s="908"/>
      <c r="E26" s="908"/>
      <c r="F26" s="908"/>
      <c r="G26" s="908"/>
      <c r="H26" s="908"/>
      <c r="I26" s="908"/>
      <c r="J26" s="908"/>
      <c r="K26" s="909"/>
      <c r="L26" s="908"/>
      <c r="M26" s="908"/>
      <c r="N26" s="908"/>
      <c r="O26" s="908"/>
      <c r="P26" s="908"/>
    </row>
    <row r="27" spans="1:18" ht="28.5" customHeight="1">
      <c r="A27" s="2685" t="s">
        <v>4277</v>
      </c>
      <c r="B27" s="2685"/>
      <c r="C27" s="2685"/>
      <c r="D27" s="2685" t="str">
        <f>"NXL:  "&amp;TEXT(COUNTIF(R:R,"CL"),"00")&amp;" bộ."</f>
        <v>NXL:  00 bộ.</v>
      </c>
      <c r="E27" s="2685"/>
      <c r="F27" s="2685"/>
      <c r="G27" s="2685"/>
      <c r="H27" s="2685"/>
      <c r="I27" s="2685"/>
      <c r="J27" s="2685"/>
      <c r="K27" s="2685"/>
      <c r="L27" s="2685"/>
      <c r="M27" s="2685"/>
      <c r="N27" s="2685"/>
      <c r="O27" s="2685"/>
      <c r="P27" s="2685"/>
    </row>
    <row r="28" spans="1:18" ht="28.5" customHeight="1">
      <c r="A28" s="2685"/>
      <c r="B28" s="2685"/>
      <c r="C28" s="2685"/>
      <c r="D28" s="2685" t="str">
        <f>"NXX:  "&amp;TEXT(COUNTIF(R:R,"CX"),"00")&amp;" bộ."</f>
        <v>NXX:  09 bộ.</v>
      </c>
      <c r="E28" s="2685"/>
      <c r="F28" s="2685"/>
      <c r="G28" s="2685"/>
      <c r="H28" s="2685"/>
      <c r="I28" s="2685"/>
      <c r="J28" s="2685"/>
      <c r="K28" s="2685"/>
      <c r="L28" s="2685"/>
      <c r="M28" s="2685"/>
      <c r="N28" s="2685"/>
      <c r="O28" s="2685"/>
      <c r="P28" s="2685"/>
    </row>
    <row r="29" spans="1:18">
      <c r="A29" s="849"/>
      <c r="B29" s="849"/>
      <c r="C29" s="849"/>
      <c r="D29" s="849"/>
      <c r="E29" s="849"/>
      <c r="F29" s="849"/>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8" customWidth="1"/>
    <col min="2" max="2" width="6.21875" style="848" customWidth="1"/>
    <col min="3" max="3" width="5.88671875" style="848" customWidth="1"/>
    <col min="4" max="4" width="7.21875" style="848" customWidth="1"/>
    <col min="5" max="5" width="6.33203125" style="848" customWidth="1"/>
    <col min="6" max="6" width="6.77734375" style="848" customWidth="1"/>
    <col min="7" max="11" width="6.6640625" style="848" customWidth="1"/>
    <col min="12" max="12" width="6.77734375" style="848" customWidth="1"/>
    <col min="13" max="14" width="7.109375" style="848" customWidth="1"/>
    <col min="15" max="15" width="8.6640625" style="848" customWidth="1"/>
    <col min="16" max="16" width="7.33203125" style="848" customWidth="1"/>
    <col min="17" max="17" width="7.109375" style="848" customWidth="1"/>
    <col min="18" max="20" width="11.109375" style="848" customWidth="1"/>
    <col min="21" max="16384" width="8.88671875" style="848"/>
  </cols>
  <sheetData>
    <row r="1" spans="1:30" ht="32.25" customHeight="1">
      <c r="A1" s="2698" t="s">
        <v>4278</v>
      </c>
      <c r="B1" s="2698"/>
      <c r="C1" s="2698"/>
      <c r="D1" s="2698"/>
      <c r="E1" s="2698"/>
      <c r="F1" s="2698"/>
      <c r="G1" s="2698"/>
      <c r="H1" s="2698"/>
      <c r="I1" s="2698"/>
      <c r="J1" s="2698"/>
      <c r="K1" s="2698"/>
      <c r="L1" s="2698"/>
      <c r="M1" s="2698"/>
      <c r="N1" s="2698"/>
      <c r="O1" s="2698"/>
      <c r="P1" s="2698"/>
      <c r="Q1" s="2698"/>
      <c r="R1" s="2698"/>
      <c r="S1" s="2698"/>
      <c r="T1" s="2698"/>
      <c r="V1" s="850" t="s">
        <v>4170</v>
      </c>
    </row>
    <row r="2" spans="1:30" ht="33" customHeight="1">
      <c r="A2" s="2694" t="e">
        <f>"Tên công trình: "&amp;Solieu!#REF!</f>
        <v>#REF!</v>
      </c>
      <c r="B2" s="2695"/>
      <c r="C2" s="2695"/>
      <c r="D2" s="2695"/>
      <c r="E2" s="2695"/>
      <c r="F2" s="2695"/>
      <c r="G2" s="2695"/>
      <c r="H2" s="2695"/>
      <c r="I2" s="2695"/>
      <c r="J2" s="2695"/>
      <c r="K2" s="2695"/>
      <c r="L2" s="2695"/>
      <c r="M2" s="2695"/>
      <c r="N2" s="2696"/>
      <c r="O2" s="2699" t="str">
        <f>"Đơn vị thi công: "&amp;Solieu!C10</f>
        <v>Đơn vị thi công: 06</v>
      </c>
      <c r="P2" s="2700"/>
      <c r="Q2" s="2700"/>
      <c r="R2" s="2700"/>
      <c r="S2" s="2700"/>
      <c r="T2" s="2701"/>
    </row>
    <row r="3" spans="1:30" ht="31.5" customHeight="1">
      <c r="A3" s="2694" t="s">
        <v>4279</v>
      </c>
      <c r="B3" s="2695"/>
      <c r="C3" s="2695"/>
      <c r="D3" s="2695"/>
      <c r="E3" s="2695"/>
      <c r="F3" s="2695"/>
      <c r="G3" s="2695"/>
      <c r="H3" s="2695"/>
      <c r="I3" s="2695"/>
      <c r="J3" s="2695"/>
      <c r="K3" s="2695"/>
      <c r="L3" s="2695"/>
      <c r="M3" s="2695"/>
      <c r="N3" s="2696"/>
      <c r="O3" s="2687" t="s">
        <v>4280</v>
      </c>
      <c r="P3" s="2687"/>
      <c r="Q3" s="2687"/>
      <c r="R3" s="2687"/>
      <c r="S3" s="2687"/>
      <c r="T3" s="2687"/>
    </row>
    <row r="4" spans="1:30" ht="15.75">
      <c r="A4" s="2685" t="s">
        <v>4242</v>
      </c>
      <c r="B4" s="2685"/>
      <c r="C4" s="2685"/>
      <c r="D4" s="2685"/>
      <c r="E4" s="2685"/>
      <c r="F4" s="2685"/>
      <c r="G4" s="2685"/>
      <c r="H4" s="2685"/>
      <c r="I4" s="2685"/>
      <c r="J4" s="2685"/>
      <c r="K4" s="2685"/>
      <c r="L4" s="2685"/>
      <c r="M4" s="2685"/>
      <c r="N4" s="2685"/>
      <c r="O4" s="2685"/>
      <c r="P4" s="2685"/>
      <c r="Q4" s="2685"/>
      <c r="R4" s="2685"/>
      <c r="S4" s="2685"/>
      <c r="T4" s="2685"/>
    </row>
    <row r="5" spans="1:30" ht="32.25" customHeight="1">
      <c r="A5" s="2697" t="s">
        <v>4243</v>
      </c>
      <c r="B5" s="2697" t="s">
        <v>4281</v>
      </c>
      <c r="C5" s="2697"/>
      <c r="D5" s="2697" t="s">
        <v>3798</v>
      </c>
      <c r="E5" s="2697" t="s">
        <v>3308</v>
      </c>
      <c r="F5" s="2697"/>
      <c r="G5" s="2697" t="s">
        <v>4282</v>
      </c>
      <c r="H5" s="2697"/>
      <c r="I5" s="2697"/>
      <c r="J5" s="2697"/>
      <c r="K5" s="2697"/>
      <c r="L5" s="2697" t="s">
        <v>4283</v>
      </c>
      <c r="M5" s="2697"/>
      <c r="N5" s="2697"/>
      <c r="O5" s="2697" t="s">
        <v>4284</v>
      </c>
      <c r="P5" s="2697"/>
      <c r="Q5" s="2697"/>
      <c r="R5" s="2697" t="s">
        <v>4285</v>
      </c>
      <c r="S5" s="2697" t="s">
        <v>4248</v>
      </c>
      <c r="T5" s="2697"/>
    </row>
    <row r="6" spans="1:30" ht="35.25" customHeight="1">
      <c r="A6" s="2697"/>
      <c r="B6" s="2697" t="s">
        <v>4286</v>
      </c>
      <c r="C6" s="2697" t="s">
        <v>4271</v>
      </c>
      <c r="D6" s="2697"/>
      <c r="E6" s="2697" t="s">
        <v>4287</v>
      </c>
      <c r="F6" s="2697" t="s">
        <v>4288</v>
      </c>
      <c r="G6" s="2697" t="s">
        <v>4289</v>
      </c>
      <c r="H6" s="2697" t="s">
        <v>4290</v>
      </c>
      <c r="I6" s="2697" t="s">
        <v>4291</v>
      </c>
      <c r="J6" s="2697" t="s">
        <v>4292</v>
      </c>
      <c r="K6" s="2697" t="s">
        <v>4293</v>
      </c>
      <c r="L6" s="2697" t="s">
        <v>4294</v>
      </c>
      <c r="M6" s="2697" t="s">
        <v>4295</v>
      </c>
      <c r="N6" s="2697"/>
      <c r="O6" s="2697" t="s">
        <v>4296</v>
      </c>
      <c r="P6" s="2697" t="s">
        <v>4297</v>
      </c>
      <c r="Q6" s="2697" t="s">
        <v>4298</v>
      </c>
      <c r="R6" s="2697"/>
      <c r="S6" s="2697" t="s">
        <v>4299</v>
      </c>
      <c r="T6" s="2697" t="s">
        <v>4300</v>
      </c>
      <c r="U6" s="910">
        <v>17</v>
      </c>
      <c r="V6" s="910">
        <v>18</v>
      </c>
      <c r="W6" s="910">
        <v>19</v>
      </c>
      <c r="X6" s="910">
        <v>20</v>
      </c>
      <c r="Y6" s="910">
        <v>21</v>
      </c>
      <c r="Z6" s="910">
        <v>22</v>
      </c>
      <c r="AA6" s="910">
        <v>23</v>
      </c>
      <c r="AB6" s="910">
        <v>24</v>
      </c>
      <c r="AC6" s="910">
        <v>25</v>
      </c>
      <c r="AD6" s="910">
        <v>28</v>
      </c>
    </row>
    <row r="7" spans="1:30" ht="61.5" customHeight="1">
      <c r="A7" s="2697"/>
      <c r="B7" s="2697"/>
      <c r="C7" s="2697"/>
      <c r="D7" s="2697"/>
      <c r="E7" s="2697"/>
      <c r="F7" s="2697"/>
      <c r="G7" s="2697"/>
      <c r="H7" s="2697"/>
      <c r="I7" s="2697"/>
      <c r="J7" s="2697"/>
      <c r="K7" s="2697"/>
      <c r="L7" s="2697"/>
      <c r="M7" s="886" t="s">
        <v>4301</v>
      </c>
      <c r="N7" s="886" t="s">
        <v>4262</v>
      </c>
      <c r="O7" s="2697"/>
      <c r="P7" s="2697"/>
      <c r="Q7" s="2697"/>
      <c r="R7" s="2697"/>
      <c r="S7" s="2697"/>
      <c r="T7" s="2697"/>
      <c r="U7" s="911" t="s">
        <v>2302</v>
      </c>
      <c r="V7" s="911" t="s">
        <v>2303</v>
      </c>
      <c r="W7" s="912" t="s">
        <v>2301</v>
      </c>
      <c r="X7" s="912" t="s">
        <v>2127</v>
      </c>
      <c r="Y7" s="912" t="s">
        <v>896</v>
      </c>
      <c r="Z7" s="913" t="s">
        <v>3907</v>
      </c>
      <c r="AA7" s="913" t="s">
        <v>4099</v>
      </c>
      <c r="AB7" s="913" t="s">
        <v>3808</v>
      </c>
      <c r="AC7" s="913" t="s">
        <v>4104</v>
      </c>
      <c r="AD7" s="913" t="s">
        <v>4105</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5"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5"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5"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5"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5"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5"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5"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75">
      <c r="U18" s="911"/>
      <c r="V18" s="911"/>
      <c r="W18" s="912"/>
      <c r="X18" s="912"/>
      <c r="Y18" s="912"/>
      <c r="Z18" s="928"/>
      <c r="AA18" s="928" t="e">
        <v>#N/A</v>
      </c>
      <c r="AB18" s="928" t="e">
        <v>#N/A</v>
      </c>
      <c r="AC18" s="928" t="e">
        <v>#N/A</v>
      </c>
      <c r="AD18" s="928"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8" customWidth="1"/>
    <col min="2" max="2" width="20.88671875" style="848" customWidth="1"/>
    <col min="3" max="9" width="15.21875" style="848" customWidth="1"/>
    <col min="10" max="16384" width="8.88671875" style="848"/>
  </cols>
  <sheetData>
    <row r="1" spans="1:9" ht="27.75" customHeight="1">
      <c r="A1" s="2705" t="s">
        <v>4302</v>
      </c>
      <c r="B1" s="2705"/>
      <c r="C1" s="2705"/>
      <c r="D1" s="2705"/>
      <c r="E1" s="2705"/>
      <c r="F1" s="2705"/>
      <c r="G1" s="2705"/>
      <c r="H1" s="2705"/>
      <c r="I1" s="2705"/>
    </row>
    <row r="2" spans="1:9" ht="47.25" customHeight="1">
      <c r="A2" s="2685" t="e">
        <f>"Tên công trình: "&amp;Solieu!#REF!</f>
        <v>#REF!</v>
      </c>
      <c r="B2" s="2685"/>
      <c r="C2" s="2685"/>
      <c r="D2" s="2685"/>
      <c r="E2" s="2685"/>
      <c r="F2" s="2685"/>
      <c r="G2" s="2688" t="str">
        <f>"Đơn vị thi công: "&amp;Solieu!C10</f>
        <v>Đơn vị thi công: 06</v>
      </c>
      <c r="H2" s="2689"/>
      <c r="I2" s="2690"/>
    </row>
    <row r="3" spans="1:9" ht="31.5" customHeight="1">
      <c r="A3" s="2685" t="s">
        <v>4327</v>
      </c>
      <c r="B3" s="2685"/>
      <c r="C3" s="2685"/>
      <c r="D3" s="2685"/>
      <c r="E3" s="2685"/>
      <c r="F3" s="2685"/>
      <c r="G3" s="2706" t="s">
        <v>4241</v>
      </c>
      <c r="H3" s="2706"/>
      <c r="I3" s="2706"/>
    </row>
    <row r="4" spans="1:9" ht="15.75">
      <c r="A4" s="2685" t="s">
        <v>4242</v>
      </c>
      <c r="B4" s="2685"/>
      <c r="C4" s="2685"/>
      <c r="D4" s="2685"/>
      <c r="E4" s="2685"/>
      <c r="F4" s="2685"/>
      <c r="G4" s="2685"/>
      <c r="H4" s="2685"/>
      <c r="I4" s="2685"/>
    </row>
    <row r="5" spans="1:9" s="849" customFormat="1" ht="21" customHeight="1">
      <c r="A5" s="2687" t="s">
        <v>4243</v>
      </c>
      <c r="B5" s="2687" t="s">
        <v>4303</v>
      </c>
      <c r="C5" s="2687"/>
      <c r="D5" s="2687"/>
      <c r="E5" s="2687" t="s">
        <v>4304</v>
      </c>
      <c r="F5" s="2687"/>
      <c r="G5" s="2687" t="s">
        <v>4285</v>
      </c>
      <c r="H5" s="2687" t="s">
        <v>4248</v>
      </c>
      <c r="I5" s="2687"/>
    </row>
    <row r="6" spans="1:9" s="849" customFormat="1" ht="21" customHeight="1">
      <c r="A6" s="2687"/>
      <c r="B6" s="908" t="s">
        <v>4305</v>
      </c>
      <c r="C6" s="2687" t="s">
        <v>4306</v>
      </c>
      <c r="D6" s="2687" t="s">
        <v>4235</v>
      </c>
      <c r="E6" s="2687" t="s">
        <v>4307</v>
      </c>
      <c r="F6" s="2687" t="s">
        <v>4308</v>
      </c>
      <c r="G6" s="2687"/>
      <c r="H6" s="2687" t="s">
        <v>4299</v>
      </c>
      <c r="I6" s="2687" t="s">
        <v>4300</v>
      </c>
    </row>
    <row r="7" spans="1:9" s="849" customFormat="1" ht="21" customHeight="1">
      <c r="A7" s="2687"/>
      <c r="B7" s="908" t="s">
        <v>4309</v>
      </c>
      <c r="C7" s="2687"/>
      <c r="D7" s="2687"/>
      <c r="E7" s="2687"/>
      <c r="F7" s="2687"/>
      <c r="G7" s="2687"/>
      <c r="H7" s="2687"/>
      <c r="I7" s="2687"/>
    </row>
    <row r="8" spans="1:9" s="849" customFormat="1" ht="15.75">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702" t="s">
        <v>4310</v>
      </c>
      <c r="B10" s="2702"/>
      <c r="C10" s="2703" t="e">
        <f>C9</f>
        <v>#REF!</v>
      </c>
      <c r="D10" s="2704"/>
      <c r="E10" s="2704"/>
      <c r="F10" s="2704"/>
      <c r="G10" s="2704"/>
      <c r="H10" s="2704"/>
      <c r="I10" s="2704"/>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56" customWidth="1"/>
    <col min="2" max="10" width="8.88671875" style="1756"/>
    <col min="11" max="16384" width="8.88671875" style="1753"/>
  </cols>
  <sheetData>
    <row r="1" spans="1:11">
      <c r="A1" s="2708" t="s">
        <v>4189</v>
      </c>
      <c r="B1" s="2708"/>
      <c r="C1" s="2708"/>
      <c r="D1" s="2708"/>
      <c r="E1" s="2708"/>
      <c r="F1" s="2708"/>
      <c r="G1" s="2708"/>
      <c r="H1" s="2708"/>
      <c r="I1" s="2708"/>
      <c r="J1" s="2708"/>
      <c r="K1" s="850" t="s">
        <v>4170</v>
      </c>
    </row>
    <row r="2" spans="1:11" ht="18.75">
      <c r="A2" s="2709" t="s">
        <v>4190</v>
      </c>
      <c r="B2" s="2709"/>
      <c r="C2" s="2709"/>
      <c r="D2" s="2709"/>
      <c r="E2" s="2709"/>
      <c r="F2" s="2709"/>
      <c r="G2" s="2709"/>
      <c r="H2" s="2709"/>
      <c r="I2" s="2709"/>
      <c r="J2" s="2709"/>
    </row>
    <row r="3" spans="1:11" ht="15" customHeight="1">
      <c r="A3" s="2710" t="s">
        <v>4191</v>
      </c>
      <c r="B3" s="2710"/>
      <c r="C3" s="2710"/>
      <c r="D3" s="2710"/>
      <c r="E3" s="2710"/>
      <c r="F3" s="2710"/>
      <c r="G3" s="2710"/>
      <c r="H3" s="2710"/>
      <c r="I3" s="2710"/>
      <c r="J3" s="2710"/>
    </row>
    <row r="4" spans="1:11" ht="15" customHeight="1">
      <c r="A4" s="2711" t="s">
        <v>4627</v>
      </c>
      <c r="B4" s="2711"/>
      <c r="C4" s="2711"/>
      <c r="D4" s="2711"/>
      <c r="E4" s="2711"/>
      <c r="F4" s="2711"/>
      <c r="G4" s="2711"/>
      <c r="H4" s="2711"/>
      <c r="I4" s="2711"/>
      <c r="J4" s="2711"/>
    </row>
    <row r="5" spans="1:11" ht="31.5" customHeight="1">
      <c r="A5" s="2712" t="s">
        <v>4600</v>
      </c>
      <c r="B5" s="2712"/>
      <c r="C5" s="2712"/>
      <c r="D5" s="2712"/>
      <c r="E5" s="2712"/>
      <c r="F5" s="2712"/>
      <c r="G5" s="2712"/>
      <c r="H5" s="2712"/>
      <c r="I5" s="2712"/>
      <c r="J5" s="2712"/>
    </row>
    <row r="6" spans="1:11" s="1754" customFormat="1" ht="18.75" customHeight="1">
      <c r="A6" s="2712" t="s">
        <v>4601</v>
      </c>
      <c r="B6" s="2712"/>
      <c r="C6" s="2712"/>
      <c r="D6" s="2712"/>
      <c r="E6" s="2712"/>
      <c r="F6" s="2712"/>
      <c r="G6" s="2712"/>
      <c r="H6" s="2712"/>
      <c r="I6" s="2712"/>
      <c r="J6" s="2712"/>
    </row>
    <row r="7" spans="1:11" s="1754" customFormat="1" ht="18.75" customHeight="1">
      <c r="A7" s="2712" t="s">
        <v>4602</v>
      </c>
      <c r="B7" s="2712"/>
      <c r="C7" s="2712"/>
      <c r="D7" s="2712"/>
      <c r="E7" s="2712"/>
      <c r="F7" s="2712"/>
      <c r="G7" s="2712"/>
      <c r="H7" s="2712"/>
      <c r="I7" s="2712"/>
      <c r="J7" s="2712"/>
    </row>
    <row r="8" spans="1:11" ht="41.25" customHeight="1">
      <c r="A8" s="2713" t="s">
        <v>4628</v>
      </c>
      <c r="B8" s="2713"/>
      <c r="C8" s="2713"/>
      <c r="D8" s="2713"/>
      <c r="E8" s="2713"/>
      <c r="F8" s="2713"/>
      <c r="G8" s="2713"/>
      <c r="H8" s="2713"/>
      <c r="I8" s="2713"/>
      <c r="J8" s="2713"/>
    </row>
    <row r="9" spans="1:11" ht="28.5" customHeight="1">
      <c r="A9" s="1755" t="s">
        <v>4603</v>
      </c>
    </row>
    <row r="10" spans="1:11" ht="19.7" customHeight="1">
      <c r="B10" s="1757" t="s">
        <v>4192</v>
      </c>
    </row>
    <row r="11" spans="1:11" ht="19.7" customHeight="1">
      <c r="B11" s="1755" t="s">
        <v>4604</v>
      </c>
    </row>
    <row r="12" spans="1:11" ht="19.7" customHeight="1">
      <c r="B12" s="1755" t="s">
        <v>4193</v>
      </c>
    </row>
    <row r="13" spans="1:11" ht="19.7" customHeight="1">
      <c r="B13" s="1758" t="s">
        <v>4194</v>
      </c>
    </row>
    <row r="14" spans="1:11" ht="19.7" customHeight="1">
      <c r="C14" s="1756" t="s">
        <v>4629</v>
      </c>
    </row>
    <row r="15" spans="1:11" ht="19.7" customHeight="1">
      <c r="B15" s="1758" t="s">
        <v>4195</v>
      </c>
    </row>
    <row r="16" spans="1:11" ht="19.7" customHeight="1">
      <c r="B16" s="1759" t="s">
        <v>4605</v>
      </c>
      <c r="E16" s="1758" t="s">
        <v>4196</v>
      </c>
    </row>
    <row r="17" spans="1:10" ht="19.7" customHeight="1">
      <c r="B17" s="1756" t="s">
        <v>4630</v>
      </c>
      <c r="F17" s="1756" t="s">
        <v>4197</v>
      </c>
    </row>
    <row r="18" spans="1:10" ht="19.7" customHeight="1">
      <c r="B18" s="1756" t="s">
        <v>4606</v>
      </c>
      <c r="E18" s="1758" t="s">
        <v>4532</v>
      </c>
    </row>
    <row r="19" spans="1:10" ht="19.7" customHeight="1">
      <c r="B19" s="1756" t="s">
        <v>4607</v>
      </c>
      <c r="F19" s="1756" t="s">
        <v>4198</v>
      </c>
    </row>
    <row r="20" spans="1:10" ht="19.7" customHeight="1">
      <c r="B20" s="1758" t="s">
        <v>4608</v>
      </c>
    </row>
    <row r="21" spans="1:10" ht="19.7" customHeight="1">
      <c r="B21" s="1760" t="s">
        <v>4609</v>
      </c>
      <c r="C21" s="1761"/>
      <c r="D21" s="1761"/>
      <c r="E21" s="1761"/>
      <c r="F21" s="1761"/>
      <c r="G21" s="1761"/>
      <c r="H21" s="1761"/>
      <c r="I21" s="1761"/>
      <c r="J21" s="1761"/>
    </row>
    <row r="22" spans="1:10" s="1765" customFormat="1" ht="19.7" customHeight="1">
      <c r="A22" s="1762"/>
      <c r="B22" s="1763" t="s">
        <v>4610</v>
      </c>
      <c r="C22" s="1764"/>
      <c r="D22" s="1764"/>
      <c r="E22" s="1764"/>
      <c r="F22" s="1764"/>
      <c r="G22" s="1764"/>
      <c r="H22" s="1764"/>
      <c r="I22" s="1764"/>
      <c r="J22" s="1764"/>
    </row>
    <row r="23" spans="1:10" s="1765" customFormat="1" ht="19.7" customHeight="1">
      <c r="A23" s="1762"/>
      <c r="B23" s="1763" t="s">
        <v>4611</v>
      </c>
      <c r="C23" s="1764"/>
      <c r="D23" s="1764"/>
      <c r="E23" s="1764"/>
      <c r="F23" s="1764"/>
      <c r="G23" s="1764"/>
      <c r="H23" s="1764"/>
      <c r="I23" s="1764"/>
      <c r="J23" s="1764"/>
    </row>
    <row r="24" spans="1:10" s="1765" customFormat="1" ht="19.7" customHeight="1">
      <c r="A24" s="1762"/>
      <c r="B24" s="1763" t="s">
        <v>4612</v>
      </c>
      <c r="C24" s="1764"/>
      <c r="D24" s="1764"/>
      <c r="E24" s="1764"/>
      <c r="F24" s="1764"/>
      <c r="G24" s="1764"/>
      <c r="H24" s="1764"/>
      <c r="I24" s="1764"/>
      <c r="J24" s="1764"/>
    </row>
    <row r="25" spans="1:10" s="1765" customFormat="1" ht="19.7" customHeight="1">
      <c r="A25" s="1762"/>
      <c r="B25" s="1763" t="s">
        <v>4613</v>
      </c>
      <c r="C25" s="1764"/>
      <c r="D25" s="1764"/>
      <c r="E25" s="1764"/>
      <c r="F25" s="1764"/>
      <c r="G25" s="1764"/>
      <c r="H25" s="1764"/>
      <c r="I25" s="1764"/>
      <c r="J25" s="1764"/>
    </row>
    <row r="26" spans="1:10" s="1765" customFormat="1" ht="19.7" customHeight="1">
      <c r="A26" s="1762"/>
      <c r="B26" s="1763" t="s">
        <v>4614</v>
      </c>
      <c r="C26" s="1764"/>
      <c r="D26" s="1764"/>
      <c r="E26" s="1764"/>
      <c r="F26" s="1764"/>
      <c r="G26" s="1764"/>
      <c r="H26" s="1764"/>
      <c r="I26" s="1764"/>
      <c r="J26" s="1764"/>
    </row>
    <row r="27" spans="1:10" s="1765" customFormat="1" ht="19.7" customHeight="1">
      <c r="A27" s="1762"/>
      <c r="B27" s="1763" t="s">
        <v>4615</v>
      </c>
      <c r="C27" s="1764"/>
      <c r="D27" s="1764"/>
      <c r="E27" s="1764"/>
      <c r="F27" s="1764"/>
      <c r="G27" s="1764"/>
      <c r="H27" s="1764"/>
      <c r="I27" s="1764"/>
      <c r="J27" s="1764"/>
    </row>
    <row r="28" spans="1:10" s="1765" customFormat="1" ht="19.7" customHeight="1">
      <c r="A28" s="1762"/>
      <c r="B28" s="1763" t="s">
        <v>4616</v>
      </c>
      <c r="C28" s="1764"/>
      <c r="D28" s="1764"/>
      <c r="E28" s="1764"/>
      <c r="F28" s="1764"/>
      <c r="G28" s="1764"/>
      <c r="H28" s="1764"/>
      <c r="I28" s="1764"/>
      <c r="J28" s="1764"/>
    </row>
    <row r="29" spans="1:10" s="1765" customFormat="1" ht="19.7" customHeight="1">
      <c r="A29" s="1762"/>
      <c r="B29" s="1766" t="s">
        <v>4617</v>
      </c>
      <c r="C29" s="1764"/>
      <c r="D29" s="1764"/>
      <c r="E29" s="1764"/>
      <c r="F29" s="1764"/>
      <c r="G29" s="1764"/>
      <c r="H29" s="1764"/>
      <c r="I29" s="1764"/>
      <c r="J29" s="1764"/>
    </row>
    <row r="30" spans="1:10" ht="24" customHeight="1">
      <c r="B30" s="1758" t="s">
        <v>4618</v>
      </c>
    </row>
    <row r="31" spans="1:10" ht="72" customHeight="1">
      <c r="B31" s="2714" t="s">
        <v>4619</v>
      </c>
      <c r="C31" s="2714"/>
      <c r="D31" s="2714"/>
      <c r="E31" s="2714"/>
      <c r="F31" s="2714"/>
      <c r="G31" s="2714"/>
      <c r="H31" s="2714"/>
      <c r="I31" s="2714"/>
      <c r="J31" s="2714"/>
    </row>
    <row r="32" spans="1:10" ht="32.25" customHeight="1">
      <c r="A32" s="2715" t="s">
        <v>4620</v>
      </c>
      <c r="B32" s="2715"/>
      <c r="C32" s="2715"/>
      <c r="D32" s="2715"/>
      <c r="E32" s="2715"/>
      <c r="F32" s="2715"/>
      <c r="G32" s="2715"/>
      <c r="H32" s="2715"/>
      <c r="I32" s="2715"/>
      <c r="J32" s="2715"/>
    </row>
    <row r="33" spans="1:10" ht="42.75" customHeight="1">
      <c r="B33" s="2716" t="s">
        <v>4621</v>
      </c>
      <c r="C33" s="2716"/>
      <c r="D33" s="2716"/>
      <c r="E33" s="2716"/>
      <c r="F33" s="2716"/>
      <c r="G33" s="2716"/>
      <c r="H33" s="2716"/>
      <c r="I33" s="2716"/>
      <c r="J33" s="2716"/>
    </row>
    <row r="34" spans="1:10" ht="24.75" customHeight="1">
      <c r="B34" s="1759" t="s">
        <v>4622</v>
      </c>
    </row>
    <row r="35" spans="1:10" ht="19.7" customHeight="1">
      <c r="B35" s="1767" t="s">
        <v>4623</v>
      </c>
    </row>
    <row r="36" spans="1:10" ht="46.5" customHeight="1">
      <c r="A36" s="2707" t="s">
        <v>4624</v>
      </c>
      <c r="B36" s="2707"/>
      <c r="C36" s="2707"/>
      <c r="D36" s="2707"/>
      <c r="E36" s="2707"/>
      <c r="F36" s="2707"/>
      <c r="G36" s="2707"/>
      <c r="H36" s="2707"/>
      <c r="I36" s="2707"/>
      <c r="J36" s="2707"/>
    </row>
    <row r="37" spans="1:10" s="1771" customFormat="1">
      <c r="A37" s="1768"/>
      <c r="B37" s="1768"/>
      <c r="C37" s="1769" t="s">
        <v>4625</v>
      </c>
      <c r="D37" s="1768"/>
      <c r="E37" s="1768"/>
      <c r="F37" s="1768"/>
      <c r="G37" s="1768"/>
      <c r="H37" s="1770" t="s">
        <v>4626</v>
      </c>
      <c r="I37" s="1768"/>
      <c r="J37" s="1768"/>
    </row>
    <row r="44" spans="1:10" s="1754" customFormat="1" ht="18.75">
      <c r="A44" s="1772"/>
      <c r="B44" s="1772"/>
      <c r="C44" s="1773" t="s">
        <v>4631</v>
      </c>
      <c r="D44" s="1773"/>
      <c r="E44" s="1773"/>
      <c r="F44" s="1773"/>
      <c r="G44" s="1773"/>
      <c r="H44" s="1773" t="s">
        <v>4531</v>
      </c>
      <c r="I44" s="1772"/>
      <c r="J44" s="1772"/>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0"/>
  <sheetViews>
    <sheetView topLeftCell="B1" workbookViewId="0">
      <pane ySplit="2" topLeftCell="A12" activePane="bottomLeft" state="frozen"/>
      <selection activeCell="B1" sqref="B1"/>
      <selection pane="bottomLeft" activeCell="B20" sqref="B20"/>
    </sheetView>
  </sheetViews>
  <sheetFormatPr defaultRowHeight="25.15" customHeight="1"/>
  <cols>
    <col min="1" max="1" width="8.77734375" style="1285"/>
    <col min="2" max="2" width="11.77734375" style="1976" customWidth="1"/>
    <col min="3" max="3" width="3.88671875" style="1289" customWidth="1"/>
    <col min="4" max="4" width="3.88671875" style="1978" customWidth="1"/>
    <col min="5" max="5" width="3.88671875" style="1983" customWidth="1"/>
    <col min="6" max="6" width="56.5546875" style="1976" bestFit="1" customWidth="1"/>
    <col min="7" max="9" width="8.77734375" style="1426" customWidth="1"/>
    <col min="10" max="10" width="8.88671875" style="1974"/>
    <col min="11" max="11" width="16.109375" style="1971" bestFit="1" customWidth="1"/>
    <col min="12" max="12" width="8.88671875" style="1426" customWidth="1"/>
    <col min="13" max="13" width="9.6640625" style="1509" customWidth="1"/>
    <col min="15" max="15" width="8.88671875" style="1509"/>
  </cols>
  <sheetData>
    <row r="1" spans="1:15" s="1287" customFormat="1" ht="28.5" customHeight="1">
      <c r="A1" s="1287" t="s">
        <v>4827</v>
      </c>
      <c r="B1" s="2464" t="s">
        <v>2614</v>
      </c>
      <c r="E1" s="2082"/>
      <c r="F1" s="2083" t="s">
        <v>4258</v>
      </c>
      <c r="G1" s="2084" t="s">
        <v>2617</v>
      </c>
      <c r="H1" s="2084" t="s">
        <v>4408</v>
      </c>
      <c r="I1" s="2084" t="s">
        <v>4764</v>
      </c>
      <c r="J1" s="2083" t="s">
        <v>1714</v>
      </c>
      <c r="K1" s="2083" t="str">
        <f>COUNTIF(K2:K1048576,1)&amp;" loại VTTB"</f>
        <v>90 loại VTTB</v>
      </c>
      <c r="L1" s="1287" t="s">
        <v>356</v>
      </c>
      <c r="M1" s="2085"/>
      <c r="O1" s="2085"/>
    </row>
    <row r="2" spans="1:15" s="1427" customFormat="1" ht="25.15" customHeight="1">
      <c r="A2" s="2173">
        <f>COUNTIF($K$1:K2,1)</f>
        <v>1</v>
      </c>
      <c r="B2" s="2283" t="str">
        <f>CT_tram!B822</f>
        <v>tr501</v>
      </c>
      <c r="C2" s="1934">
        <f>CT_tram!C822</f>
        <v>0</v>
      </c>
      <c r="D2" s="1977">
        <f>CT_tram!D822</f>
        <v>1</v>
      </c>
      <c r="E2" s="2473" t="str">
        <f>CT_tram!E822</f>
        <v>01.1162</v>
      </c>
      <c r="F2" s="2283" t="str">
        <f>CT_tram!F822</f>
        <v>Máy biến áp 12,7/0,23-0,46kV 50kVA</v>
      </c>
      <c r="G2" s="2474" t="str">
        <f>CT_tram!G822</f>
        <v>máy</v>
      </c>
      <c r="H2" s="2475">
        <f>CT_tram!H822</f>
        <v>3</v>
      </c>
      <c r="I2" s="2474">
        <f>CT_tram!I822</f>
        <v>3</v>
      </c>
      <c r="J2" s="1972">
        <f>IFERROR(VLOOKUP(B2,DG!A:F,6,0),3000)</f>
        <v>1</v>
      </c>
      <c r="K2" s="1973">
        <f>IF(J2&lt;2000,COUNTIF($B$2:B2,B2),0)</f>
        <v>1</v>
      </c>
      <c r="L2" s="2475"/>
      <c r="M2" s="1935"/>
      <c r="N2" s="812"/>
      <c r="O2" s="1935"/>
    </row>
    <row r="3" spans="1:15" ht="25.15" customHeight="1">
      <c r="A3" s="2173">
        <f>COUNTIF($K$1:K3,1)</f>
        <v>2</v>
      </c>
      <c r="B3" s="1976" t="str">
        <f>chitiet!B753</f>
        <v>T12</v>
      </c>
      <c r="C3" s="1289" t="str">
        <f>chitiet!C753</f>
        <v>x</v>
      </c>
      <c r="D3" s="1978">
        <f>chitiet!D753</f>
        <v>1</v>
      </c>
      <c r="E3" s="2225">
        <f>chitiet!E753</f>
        <v>0</v>
      </c>
      <c r="F3" s="2230" t="str">
        <f>chitiet!F753</f>
        <v>Trụ BTLT 12m F350 dự ứng lực</v>
      </c>
      <c r="G3" s="2235" t="str">
        <f>chitiet!G753</f>
        <v>trụ</v>
      </c>
      <c r="H3" s="2235">
        <f>chitiet!H753</f>
        <v>25</v>
      </c>
      <c r="I3" s="2235">
        <f>chitiet!P753</f>
        <v>25</v>
      </c>
      <c r="J3" s="1972">
        <f>IFERROR(VLOOKUP(B3,DG!A:F,6,0),3000)</f>
        <v>2</v>
      </c>
      <c r="K3" s="1973">
        <f>IF(J3&lt;2000,COUNTIF($B$2:B3,B3),0)</f>
        <v>1</v>
      </c>
    </row>
    <row r="4" spans="1:15" s="1285" customFormat="1" ht="25.15" customHeight="1">
      <c r="A4" s="2173">
        <f>COUNTIF($K$1:K4,1)</f>
        <v>3</v>
      </c>
      <c r="B4" s="1976" t="str">
        <f>chitiet!B2270</f>
        <v>FCO100-22</v>
      </c>
      <c r="C4" s="1289" t="str">
        <f>chitiet!C2270</f>
        <v>x</v>
      </c>
      <c r="D4" s="1978">
        <f>chitiet!D2270</f>
        <v>3</v>
      </c>
      <c r="E4" s="2225" t="str">
        <f>chitiet!E2270</f>
        <v>02.3155</v>
      </c>
      <c r="F4" s="2230" t="str">
        <f>chitiet!F2270</f>
        <v>FCO 27kV - 100A</v>
      </c>
      <c r="G4" s="2235" t="str">
        <f>chitiet!G2270</f>
        <v>cái</v>
      </c>
      <c r="H4" s="2235">
        <f>chitiet!H2270</f>
        <v>3</v>
      </c>
      <c r="I4" s="2235">
        <f>chitiet!P2270</f>
        <v>3</v>
      </c>
      <c r="J4" s="1972">
        <f>IFERROR(VLOOKUP(B4,DG!A:F,6,0),3000)</f>
        <v>3</v>
      </c>
      <c r="K4" s="1973">
        <f>IF(J4&lt;2000,COUNTIF($B$2:B4,B4),0)</f>
        <v>1</v>
      </c>
      <c r="L4" s="1426"/>
      <c r="M4" s="1509"/>
      <c r="O4" s="1509"/>
    </row>
    <row r="5" spans="1:15" s="1285" customFormat="1" ht="25.15" customHeight="1">
      <c r="A5" s="2173">
        <f>COUNTIF($K$1:K5,1)</f>
        <v>3</v>
      </c>
      <c r="B5" s="1976" t="str">
        <f>CT_tram!B823</f>
        <v>FCO100-22</v>
      </c>
      <c r="C5" s="1289">
        <f>CT_tram!C823</f>
        <v>0</v>
      </c>
      <c r="D5" s="1978">
        <f>CT_tram!D823</f>
        <v>2</v>
      </c>
      <c r="E5" s="2225" t="str">
        <f>CT_tram!E823</f>
        <v>02.3155</v>
      </c>
      <c r="F5" s="2230" t="str">
        <f>CT_tram!F823</f>
        <v>FCO 27kV - 100A</v>
      </c>
      <c r="G5" s="2235" t="str">
        <f>CT_tram!G823</f>
        <v>cái</v>
      </c>
      <c r="H5" s="2235">
        <f>CT_tram!H823</f>
        <v>3</v>
      </c>
      <c r="I5" s="2235">
        <f>CT_tram!I823</f>
        <v>3</v>
      </c>
      <c r="J5" s="1972">
        <f>IFERROR(VLOOKUP(B5,DG!A:F,6,0),3000)</f>
        <v>3</v>
      </c>
      <c r="K5" s="1973">
        <f>IF(J5&lt;2000,COUNTIF($B$2:B5,B5),0)</f>
        <v>2</v>
      </c>
      <c r="L5" s="1426"/>
      <c r="M5" s="1509"/>
      <c r="O5" s="1509"/>
    </row>
    <row r="6" spans="1:15" s="1285" customFormat="1" ht="25.15" customHeight="1">
      <c r="A6" s="2173">
        <f>COUNTIF($K$1:K6,1)</f>
        <v>4</v>
      </c>
      <c r="B6" s="1976" t="str">
        <f>CT_tram!B825</f>
        <v>LA18</v>
      </c>
      <c r="C6" s="1289">
        <f>CT_tram!C825</f>
        <v>0</v>
      </c>
      <c r="D6" s="1978">
        <f>CT_tram!D825</f>
        <v>4</v>
      </c>
      <c r="E6" s="2225" t="str">
        <f>CT_tram!E825</f>
        <v>02.5114</v>
      </c>
      <c r="F6" s="2230" t="str">
        <f>CT_tram!F825</f>
        <v>Chống sét van LA-18KV-10KA</v>
      </c>
      <c r="G6" s="2235" t="str">
        <f>CT_tram!G825</f>
        <v>cái</v>
      </c>
      <c r="H6" s="2235">
        <f>CT_tram!H825</f>
        <v>3</v>
      </c>
      <c r="I6" s="2235">
        <f>CT_tram!I825</f>
        <v>3</v>
      </c>
      <c r="J6" s="1972">
        <f>IFERROR(VLOOKUP(B6,DG!A:F,6,0),3000)</f>
        <v>4</v>
      </c>
      <c r="K6" s="1973">
        <f>IF(J6&lt;2000,COUNTIF($B$2:B6,B6),0)</f>
        <v>1</v>
      </c>
      <c r="L6" s="1426"/>
      <c r="M6" s="1509"/>
      <c r="O6" s="1509"/>
    </row>
    <row r="7" spans="1:15" s="1285" customFormat="1" ht="25.15" customHeight="1">
      <c r="A7" s="2173">
        <f>COUNTIF($K$1:K7,1)</f>
        <v>5</v>
      </c>
      <c r="B7" s="1976" t="str">
        <f>CT_tram!B826</f>
        <v>atm200</v>
      </c>
      <c r="C7" s="1289">
        <f>CT_tram!C826</f>
        <v>0</v>
      </c>
      <c r="D7" s="1978">
        <f>CT_tram!D826</f>
        <v>5</v>
      </c>
      <c r="E7" s="2225" t="str">
        <f>CT_tram!E826</f>
        <v>02.8401</v>
      </c>
      <c r="F7" s="2230" t="str">
        <f>CT_tram!F826</f>
        <v>MCCB 3 cực 400V -200A - 35KA</v>
      </c>
      <c r="G7" s="2235" t="str">
        <f>CT_tram!G826</f>
        <v>cái</v>
      </c>
      <c r="H7" s="2235">
        <f>CT_tram!H826</f>
        <v>1</v>
      </c>
      <c r="I7" s="2235">
        <f>CT_tram!I826</f>
        <v>1</v>
      </c>
      <c r="J7" s="1972">
        <f>IFERROR(VLOOKUP(B7,DG!A:F,6,0),3000)</f>
        <v>5</v>
      </c>
      <c r="K7" s="1973">
        <f>IF(J7&lt;2000,COUNTIF($B$2:B7,B7),0)</f>
        <v>1</v>
      </c>
      <c r="L7" s="1426"/>
      <c r="M7" s="1509"/>
      <c r="O7" s="1509"/>
    </row>
    <row r="8" spans="1:15" s="1285" customFormat="1" ht="25.15" customHeight="1">
      <c r="A8" s="2173">
        <f>COUNTIF($K$1:K8,1)</f>
        <v>6</v>
      </c>
      <c r="B8" s="1976" t="str">
        <f>chitiet!B1795</f>
        <v>SD</v>
      </c>
      <c r="C8" s="1289" t="str">
        <f>chitiet!C1795</f>
        <v>x</v>
      </c>
      <c r="D8" s="1978">
        <f>chitiet!D1795</f>
        <v>1</v>
      </c>
      <c r="E8" s="1505">
        <f>chitiet!E1795</f>
        <v>0</v>
      </c>
      <c r="F8" s="1979" t="str">
        <f>chitiet!F1795</f>
        <v xml:space="preserve">Sứ đứng 24KV </v>
      </c>
      <c r="G8" s="1988" t="str">
        <f>chitiet!G1795</f>
        <v>cái</v>
      </c>
      <c r="H8" s="1989">
        <f>chitiet!H1795</f>
        <v>69</v>
      </c>
      <c r="I8" s="1989">
        <f>chitiet!P1795</f>
        <v>69</v>
      </c>
      <c r="J8" s="1972">
        <f>IFERROR(VLOOKUP(B8,DG!A:F,6,0),3000)</f>
        <v>6</v>
      </c>
      <c r="K8" s="1973">
        <f>IF(J8&lt;2000,COUNTIF($B$2:B8,B8),0)</f>
        <v>1</v>
      </c>
      <c r="L8" s="1430"/>
      <c r="M8" s="1509"/>
      <c r="O8" s="1509"/>
    </row>
    <row r="9" spans="1:15" s="1285" customFormat="1" ht="25.15" customHeight="1">
      <c r="A9" s="2173">
        <f>COUNTIF($K$1:K9,1)</f>
        <v>7</v>
      </c>
      <c r="B9" s="2466" t="str">
        <f>chitiet!B1815</f>
        <v>Stply</v>
      </c>
      <c r="C9" s="2162" t="str">
        <f>chitiet!C1815</f>
        <v>x</v>
      </c>
      <c r="D9" s="2163">
        <f>chitiet!D1815</f>
        <v>1</v>
      </c>
      <c r="E9" s="1981">
        <f>chitiet!E1815</f>
        <v>0</v>
      </c>
      <c r="F9" s="1982" t="str">
        <f>chitiet!F1815</f>
        <v>Sứ treo polymer</v>
      </c>
      <c r="G9" s="2077" t="str">
        <f>chitiet!G1815</f>
        <v>chuỗi</v>
      </c>
      <c r="H9" s="2078">
        <f>chitiet!H1815</f>
        <v>24</v>
      </c>
      <c r="I9" s="2076">
        <f>chitiet!P1815</f>
        <v>24</v>
      </c>
      <c r="J9" s="1972">
        <f>IFERROR(VLOOKUP(B9,DG!A:F,6,0),3000)</f>
        <v>7</v>
      </c>
      <c r="K9" s="1973">
        <f>IF(J9&lt;2000,COUNTIF($B$2:B9,B9),0)</f>
        <v>1</v>
      </c>
      <c r="L9" s="1430"/>
      <c r="M9" s="1509"/>
      <c r="O9" s="1509"/>
    </row>
    <row r="10" spans="1:15" s="1285" customFormat="1" ht="25.15" customHeight="1">
      <c r="A10" s="2173">
        <f>COUNTIF($K$1:K10,1)</f>
        <v>8</v>
      </c>
      <c r="B10" s="2264" t="str">
        <f>CT_tram!B894</f>
        <v>cv95</v>
      </c>
      <c r="C10" s="1984">
        <f>CT_tram!C894</f>
        <v>0</v>
      </c>
      <c r="D10" s="1985">
        <f>CT_tram!D894</f>
        <v>0</v>
      </c>
      <c r="E10" s="1986">
        <f>CT_tram!E894</f>
        <v>0</v>
      </c>
      <c r="F10" s="1987" t="str">
        <f>CT_tram!F894</f>
        <v>Cáp đồng bọc CV95</v>
      </c>
      <c r="G10" s="2075" t="str">
        <f>CT_tram!G894</f>
        <v>mét</v>
      </c>
      <c r="H10" s="2076">
        <f>CT_tram!H894</f>
        <v>30</v>
      </c>
      <c r="I10" s="2076">
        <f>CT_tram!I894</f>
        <v>30</v>
      </c>
      <c r="J10" s="1972">
        <f>IFERROR(VLOOKUP(B10,DG!A:F,6,0),3000)</f>
        <v>8</v>
      </c>
      <c r="K10" s="1973">
        <f>IF(J10&lt;2000,COUNTIF($B$2:B10,B10),0)</f>
        <v>1</v>
      </c>
      <c r="L10" s="1430"/>
      <c r="M10" s="1509"/>
      <c r="O10" s="1509"/>
    </row>
    <row r="11" spans="1:15" s="1285" customFormat="1" ht="25.15" customHeight="1">
      <c r="A11" s="2173">
        <f>COUNTIF($K$1:K11,1)</f>
        <v>8</v>
      </c>
      <c r="B11" s="2264" t="str">
        <f>CT_tram!B921</f>
        <v>cv95</v>
      </c>
      <c r="C11" s="1984">
        <f>CT_tram!C921</f>
        <v>0</v>
      </c>
      <c r="D11" s="1985">
        <f>CT_tram!D921</f>
        <v>0</v>
      </c>
      <c r="E11" s="1986">
        <f>CT_tram!E921</f>
        <v>0</v>
      </c>
      <c r="F11" s="1987" t="str">
        <f>CT_tram!F921</f>
        <v>Cáp đồng bọc CV95</v>
      </c>
      <c r="G11" s="2075" t="str">
        <f>CT_tram!G921</f>
        <v>mét</v>
      </c>
      <c r="H11" s="2076">
        <f>CT_tram!H921</f>
        <v>0</v>
      </c>
      <c r="I11" s="2076">
        <f>CT_tram!I921</f>
        <v>0</v>
      </c>
      <c r="J11" s="1972">
        <f>IFERROR(VLOOKUP(B11,DG!A:F,6,0),3000)</f>
        <v>8</v>
      </c>
      <c r="K11" s="1973">
        <f>IF(J11&lt;2000,COUNTIF($B$2:B11,B11),0)</f>
        <v>2</v>
      </c>
      <c r="L11" s="1430"/>
      <c r="M11" s="1509"/>
      <c r="O11" s="1509"/>
    </row>
    <row r="12" spans="1:15" s="1285" customFormat="1" ht="25.15" customHeight="1">
      <c r="A12" s="2173">
        <f>COUNTIF($K$1:K12,1)</f>
        <v>9</v>
      </c>
      <c r="B12" s="2264" t="str">
        <f>CT_tram!B862</f>
        <v>cv11</v>
      </c>
      <c r="C12" s="1984">
        <f>CT_tram!C862</f>
        <v>0</v>
      </c>
      <c r="D12" s="1985">
        <f>CT_tram!D862</f>
        <v>0</v>
      </c>
      <c r="E12" s="1986" t="str">
        <f>CT_tram!E862</f>
        <v>04.4201</v>
      </c>
      <c r="F12" s="1987" t="str">
        <f>CT_tram!F862</f>
        <v>Cáp đồng bọc CV11</v>
      </c>
      <c r="G12" s="2075" t="str">
        <f>CT_tram!G862</f>
        <v>mét</v>
      </c>
      <c r="H12" s="2076">
        <f>CT_tram!H862</f>
        <v>2</v>
      </c>
      <c r="I12" s="2076">
        <f>CT_tram!I862</f>
        <v>2</v>
      </c>
      <c r="J12" s="1972">
        <f>IFERROR(VLOOKUP(B12,DG!A:F,6,0),3000)</f>
        <v>9</v>
      </c>
      <c r="K12" s="1973">
        <f>IF(J12&lt;2000,COUNTIF($B$2:B12,B12),0)</f>
        <v>1</v>
      </c>
      <c r="L12" s="1992"/>
      <c r="M12" s="1509"/>
      <c r="O12" s="1509"/>
    </row>
    <row r="13" spans="1:15" s="1285" customFormat="1" ht="25.15" customHeight="1">
      <c r="A13" s="2173">
        <f>COUNTIF($K$1:K13,1)</f>
        <v>9</v>
      </c>
      <c r="B13" s="2264" t="str">
        <f>CT_tram!B895</f>
        <v>cv11</v>
      </c>
      <c r="C13" s="1984">
        <f>CT_tram!C895</f>
        <v>0</v>
      </c>
      <c r="D13" s="1985">
        <f>CT_tram!D895</f>
        <v>0</v>
      </c>
      <c r="E13" s="1986" t="str">
        <f>CT_tram!E895</f>
        <v>04.4201</v>
      </c>
      <c r="F13" s="1987" t="str">
        <f>CT_tram!F895</f>
        <v>Cáp đồng bọc CV11</v>
      </c>
      <c r="G13" s="2075" t="str">
        <f>CT_tram!G895</f>
        <v>mét</v>
      </c>
      <c r="H13" s="2076">
        <f>CT_tram!H895</f>
        <v>3</v>
      </c>
      <c r="I13" s="2076">
        <f>CT_tram!I895</f>
        <v>3</v>
      </c>
      <c r="J13" s="1972">
        <f>IFERROR(VLOOKUP(B13,DG!A:F,6,0),3000)</f>
        <v>9</v>
      </c>
      <c r="K13" s="1973">
        <f>IF(J13&lt;2000,COUNTIF($B$2:B13,B13),0)</f>
        <v>2</v>
      </c>
      <c r="L13" s="1426"/>
      <c r="M13" s="1509"/>
      <c r="O13" s="1509"/>
    </row>
    <row r="14" spans="1:15" s="1285" customFormat="1" ht="25.15" customHeight="1">
      <c r="A14" s="2173">
        <f>COUNTIF($K$1:K14,1)</f>
        <v>10</v>
      </c>
      <c r="B14" s="2264" t="str">
        <f>CT_tram!B896</f>
        <v>CVV4X4</v>
      </c>
      <c r="C14" s="1984">
        <f>CT_tram!C896</f>
        <v>0</v>
      </c>
      <c r="D14" s="1985">
        <f>CT_tram!D896</f>
        <v>0</v>
      </c>
      <c r="E14" s="1986" t="str">
        <f>CT_tram!E896</f>
        <v>03.1401</v>
      </c>
      <c r="F14" s="1987" t="str">
        <f>CT_tram!F896</f>
        <v xml:space="preserve">Cáp CVV 4x4mm2  </v>
      </c>
      <c r="G14" s="2075" t="str">
        <f>CT_tram!G896</f>
        <v>mét</v>
      </c>
      <c r="H14" s="2076">
        <f>CT_tram!H896</f>
        <v>2.5</v>
      </c>
      <c r="I14" s="2076">
        <f>CT_tram!I896</f>
        <v>2.5</v>
      </c>
      <c r="J14" s="1972">
        <f>IFERROR(VLOOKUP(B14,DG!A:F,6,0),3000)</f>
        <v>9</v>
      </c>
      <c r="K14" s="1973">
        <f>IF(J14&lt;2000,COUNTIF($B$2:B14,B14),0)</f>
        <v>1</v>
      </c>
      <c r="L14" s="1430"/>
      <c r="M14" s="1509"/>
      <c r="O14" s="1509"/>
    </row>
    <row r="15" spans="1:15" s="1285" customFormat="1" ht="25.15" customHeight="1">
      <c r="A15" s="2173">
        <f>COUNTIF($K$1:K15,1)</f>
        <v>11</v>
      </c>
      <c r="B15" s="2264" t="str">
        <f>chitiet!B1876</f>
        <v>XLPE25</v>
      </c>
      <c r="C15" s="1984" t="str">
        <f>chitiet!C1876</f>
        <v>x</v>
      </c>
      <c r="D15" s="1985">
        <f>chitiet!D1876</f>
        <v>9</v>
      </c>
      <c r="E15" s="1986">
        <f>chitiet!E1876</f>
        <v>0</v>
      </c>
      <c r="F15" s="1987" t="str">
        <f>chitiet!F1876</f>
        <v>Cáp 24KV CX-25mm2</v>
      </c>
      <c r="G15" s="2075" t="str">
        <f>chitiet!G1876</f>
        <v>mét</v>
      </c>
      <c r="H15" s="2076">
        <f>chitiet!H1876</f>
        <v>9</v>
      </c>
      <c r="I15" s="2076">
        <f>chitiet!$P$1876</f>
        <v>9</v>
      </c>
      <c r="J15" s="1972">
        <f>IFERROR(VLOOKUP(B15,DG!A:F,6,0),3000)</f>
        <v>10</v>
      </c>
      <c r="K15" s="1973">
        <f>IF(J15&lt;2000,COUNTIF($B$2:B15,B15),0)</f>
        <v>1</v>
      </c>
      <c r="L15" s="1430"/>
      <c r="M15" s="1509"/>
      <c r="O15" s="1509"/>
    </row>
    <row r="16" spans="1:15" s="1285" customFormat="1" ht="25.15" customHeight="1">
      <c r="A16" s="2173">
        <f>COUNTIF($K$1:K16,1)</f>
        <v>11</v>
      </c>
      <c r="B16" s="2264" t="str">
        <f>CT_tram!B883</f>
        <v>XLPE25</v>
      </c>
      <c r="C16" s="1984">
        <f>CT_tram!C883</f>
        <v>0</v>
      </c>
      <c r="D16" s="1985">
        <f>CT_tram!D883</f>
        <v>0</v>
      </c>
      <c r="E16" s="1986">
        <f>CT_tram!E883</f>
        <v>0</v>
      </c>
      <c r="F16" s="1987" t="str">
        <f>CT_tram!F883</f>
        <v>Cáp 24KV CX-25mm2</v>
      </c>
      <c r="G16" s="2075" t="str">
        <f>CT_tram!G883</f>
        <v>mét</v>
      </c>
      <c r="H16" s="2076">
        <f>CT_tram!H883</f>
        <v>12</v>
      </c>
      <c r="I16" s="2076">
        <f>CT_tram!I883</f>
        <v>12</v>
      </c>
      <c r="J16" s="1972">
        <f>IFERROR(VLOOKUP(B16,DG!A:F,6,0),3000)</f>
        <v>10</v>
      </c>
      <c r="K16" s="1973">
        <f>IF(J16&lt;2000,COUNTIF($B$2:B16,B16),0)</f>
        <v>2</v>
      </c>
      <c r="L16" s="1430"/>
      <c r="M16" s="1993"/>
      <c r="N16" s="1994"/>
      <c r="O16" s="1993"/>
    </row>
    <row r="17" spans="1:15" s="1285" customFormat="1" ht="25.15" customHeight="1">
      <c r="A17" s="2173">
        <f>COUNTIF($K$1:K17,1)</f>
        <v>12</v>
      </c>
      <c r="B17" s="2264" t="str">
        <f>chitiet!B1757</f>
        <v>ACXV50</v>
      </c>
      <c r="C17" s="1984" t="str">
        <f>chitiet!C1757</f>
        <v>x</v>
      </c>
      <c r="D17" s="1985">
        <f>chitiet!D1757</f>
        <v>0</v>
      </c>
      <c r="E17" s="2261">
        <f>chitiet!E1757</f>
        <v>2268</v>
      </c>
      <c r="F17" s="2262" t="str">
        <f>chitiet!F1757</f>
        <v>Cáp 24KV ACX 50mm2</v>
      </c>
      <c r="G17" s="2263" t="str">
        <f>chitiet!G1757</f>
        <v>mét</v>
      </c>
      <c r="H17" s="2263">
        <f>chitiet!H1757</f>
        <v>2313.36</v>
      </c>
      <c r="I17" s="2263">
        <f>chitiet!$P$1757</f>
        <v>2313.36</v>
      </c>
      <c r="J17" s="1972">
        <f>IFERROR(VLOOKUP(B17,DG!A:F,6,0),3000)</f>
        <v>11</v>
      </c>
      <c r="K17" s="1973">
        <f>IF(J17&lt;2000,COUNTIF($B$2:B17,B17),0)</f>
        <v>1</v>
      </c>
      <c r="L17" s="1426"/>
      <c r="M17" s="1509"/>
      <c r="O17" s="1509"/>
    </row>
    <row r="18" spans="1:15" s="1285" customFormat="1" ht="25.15" customHeight="1">
      <c r="A18" s="2173">
        <f>COUNTIF($K$1:K18,1)</f>
        <v>13</v>
      </c>
      <c r="B18" s="2467" t="str">
        <f>CT_tram!B861</f>
        <v>m25</v>
      </c>
      <c r="C18" s="2080">
        <f>CT_tram!C861</f>
        <v>0</v>
      </c>
      <c r="D18" s="2081">
        <f>CT_tram!D861</f>
        <v>0</v>
      </c>
      <c r="E18" s="1986">
        <f>CT_tram!E861</f>
        <v>0</v>
      </c>
      <c r="F18" s="1987" t="str">
        <f>CT_tram!F861</f>
        <v>Cáp đồng trần M25mm2</v>
      </c>
      <c r="G18" s="2075" t="str">
        <f>CT_tram!G861</f>
        <v>kg</v>
      </c>
      <c r="H18" s="2076">
        <f>CT_tram!H861</f>
        <v>11.9</v>
      </c>
      <c r="I18" s="2076">
        <f>CT_tram!I861</f>
        <v>11.9</v>
      </c>
      <c r="J18" s="1972">
        <f>IFERROR(VLOOKUP(B18,DG!A:F,6,0),3000)</f>
        <v>12</v>
      </c>
      <c r="K18" s="1973">
        <f>IF(J18&lt;2000,COUNTIF($B$2:B18,B18),0)</f>
        <v>1</v>
      </c>
      <c r="L18" s="1992"/>
      <c r="M18" s="1509"/>
      <c r="O18" s="1509"/>
    </row>
    <row r="19" spans="1:15" s="1285" customFormat="1" ht="25.15" customHeight="1">
      <c r="A19" s="2173">
        <f>COUNTIF($K$1:K19,1)</f>
        <v>13</v>
      </c>
      <c r="B19" s="2264" t="str">
        <f>chitiet!B623</f>
        <v>m25</v>
      </c>
      <c r="C19" s="1984" t="str">
        <f>chitiet!C623</f>
        <v>x</v>
      </c>
      <c r="D19" s="1985">
        <f>chitiet!D623</f>
        <v>2.46</v>
      </c>
      <c r="E19" s="1986">
        <f>chitiet!E623</f>
        <v>0</v>
      </c>
      <c r="F19" s="1987" t="str">
        <f>chitiet!F623</f>
        <v>Cáp đồng trần M25mm2</v>
      </c>
      <c r="G19" s="2075" t="str">
        <f>chitiet!G623</f>
        <v>kg</v>
      </c>
      <c r="H19" s="2076">
        <f>chitiet!H623</f>
        <v>9.84</v>
      </c>
      <c r="I19" s="2076">
        <f>chitiet!P623</f>
        <v>9.84</v>
      </c>
      <c r="J19" s="1972">
        <f>IFERROR(VLOOKUP(B19,DG!A:F,6,0),3000)</f>
        <v>12</v>
      </c>
      <c r="K19" s="1973">
        <f>IF(J19&lt;2000,COUNTIF($B$2:B19,B19),0)</f>
        <v>2</v>
      </c>
      <c r="L19" s="1430"/>
      <c r="M19" s="1509"/>
      <c r="O19" s="1509"/>
    </row>
    <row r="20" spans="1:15" s="1285" customFormat="1" ht="25.15" customHeight="1">
      <c r="A20" s="2173">
        <f>COUNTIF($K$1:K20,1)</f>
        <v>14</v>
      </c>
      <c r="B20" s="2264" t="str">
        <f>chitiet!B1756</f>
        <v>AC50</v>
      </c>
      <c r="C20" s="1984" t="str">
        <f>chitiet!C1756</f>
        <v>x</v>
      </c>
      <c r="D20" s="1985">
        <f>chitiet!D1756</f>
        <v>150.31</v>
      </c>
      <c r="E20" s="1986">
        <f>chitiet!E1756</f>
        <v>755.7</v>
      </c>
      <c r="F20" s="1987" t="str">
        <f>chitiet!F1756</f>
        <v>Cáp nhôm lõi thép AC-50/8</v>
      </c>
      <c r="G20" s="2075" t="str">
        <f>chitiet!G1756</f>
        <v>kg</v>
      </c>
      <c r="H20" s="2076">
        <f>chitiet!H1756</f>
        <v>150.31</v>
      </c>
      <c r="I20" s="2076">
        <f>chitiet!$P$1756</f>
        <v>150.31</v>
      </c>
      <c r="J20" s="1972">
        <f>IFERROR(VLOOKUP(B20,DG!A:F,6,0),3000)</f>
        <v>15</v>
      </c>
      <c r="K20" s="1973">
        <f>IF(J20&lt;2000,COUNTIF($B$2:B20,B20),0)</f>
        <v>1</v>
      </c>
      <c r="L20" s="1430"/>
      <c r="M20" s="1509"/>
      <c r="O20" s="1509"/>
    </row>
    <row r="21" spans="1:15" s="1285" customFormat="1" ht="25.15" customHeight="1">
      <c r="A21" s="2173">
        <f>COUNTIF($K$1:K21,1)</f>
        <v>15</v>
      </c>
      <c r="B21" s="2264" t="str">
        <f>chitiet!B1177</f>
        <v>C5/8m</v>
      </c>
      <c r="C21" s="1984" t="str">
        <f>chitiet!C1177</f>
        <v>x</v>
      </c>
      <c r="D21" s="1985">
        <f>chitiet!D1177</f>
        <v>14</v>
      </c>
      <c r="E21" s="1986">
        <f>chitiet!E1177</f>
        <v>0</v>
      </c>
      <c r="F21" s="1987" t="str">
        <f>chitiet!F1177</f>
        <v>Cáp thép 5/8"</v>
      </c>
      <c r="G21" s="2075" t="str">
        <f>chitiet!G1177</f>
        <v>mét</v>
      </c>
      <c r="H21" s="2076">
        <f>chitiet!H1177</f>
        <v>14</v>
      </c>
      <c r="I21" s="2076">
        <f>chitiet!P1177</f>
        <v>14</v>
      </c>
      <c r="J21" s="1972">
        <f>IFERROR(VLOOKUP(B21,DG!A:F,6,0),3000)</f>
        <v>16</v>
      </c>
      <c r="K21" s="1973">
        <f>IF(J21&lt;2000,COUNTIF($B$2:B21,B21),0)</f>
        <v>1</v>
      </c>
      <c r="L21" s="1430"/>
      <c r="M21" s="1509"/>
      <c r="O21" s="1509"/>
    </row>
    <row r="22" spans="1:15" s="1285" customFormat="1" ht="25.15" customHeight="1">
      <c r="A22" s="2173">
        <f>COUNTIF($K$1:K22,1)</f>
        <v>16</v>
      </c>
      <c r="B22" s="2264" t="str">
        <f>chitiet!B1098</f>
        <v>B16150</v>
      </c>
      <c r="C22" s="1984" t="str">
        <f>chitiet!C1098</f>
        <v>x</v>
      </c>
      <c r="D22" s="1985">
        <f>chitiet!D1098</f>
        <v>2</v>
      </c>
      <c r="E22" s="1986">
        <f>chitiet!E1098</f>
        <v>0</v>
      </c>
      <c r="F22" s="1987" t="str">
        <f>chitiet!F1098</f>
        <v>Boulon 16x150+ 2 long đền vuông D18-50x50x3/Zn</v>
      </c>
      <c r="G22" s="2075" t="str">
        <f>chitiet!G1098</f>
        <v>bộ</v>
      </c>
      <c r="H22" s="2076">
        <f>chitiet!H1098</f>
        <v>2</v>
      </c>
      <c r="I22" s="2076">
        <f>chitiet!P1098</f>
        <v>2</v>
      </c>
      <c r="J22" s="1972">
        <f>IFERROR(VLOOKUP(B22,DG!A:F,6,0),3000)</f>
        <v>50</v>
      </c>
      <c r="K22" s="1973">
        <f>IF(J22&lt;2000,COUNTIF($B$2:B22,B22),0)</f>
        <v>1</v>
      </c>
      <c r="L22" s="1430"/>
      <c r="M22" s="1509"/>
      <c r="O22" s="1509"/>
    </row>
    <row r="23" spans="1:15" s="1285" customFormat="1" ht="25.15" customHeight="1">
      <c r="A23" s="2173">
        <f>COUNTIF($K$1:K23,1)</f>
        <v>16</v>
      </c>
      <c r="B23" s="2264" t="str">
        <f>CT_tram!B855</f>
        <v>B16150</v>
      </c>
      <c r="C23" s="1984">
        <f>CT_tram!C855</f>
        <v>0</v>
      </c>
      <c r="D23" s="1985">
        <f>CT_tram!D855</f>
        <v>0</v>
      </c>
      <c r="E23" s="1986">
        <f>CT_tram!E855</f>
        <v>0</v>
      </c>
      <c r="F23" s="1987" t="str">
        <f>CT_tram!F855</f>
        <v>Boulon 16x150+ 2 long đền vuông D18-50x50x3/Zn</v>
      </c>
      <c r="G23" s="2075" t="str">
        <f>CT_tram!G855</f>
        <v>bộ</v>
      </c>
      <c r="H23" s="2076">
        <f>CT_tram!H855</f>
        <v>2</v>
      </c>
      <c r="I23" s="2076">
        <f>CT_tram!I855</f>
        <v>2</v>
      </c>
      <c r="J23" s="1972">
        <f>IFERROR(VLOOKUP(B23,DG!A:F,6,0),3000)</f>
        <v>50</v>
      </c>
      <c r="K23" s="1973">
        <f>IF(J23&lt;2000,COUNTIF($B$2:B23,B23),0)</f>
        <v>2</v>
      </c>
      <c r="L23" s="1430"/>
      <c r="M23" s="1509"/>
      <c r="O23" s="1509"/>
    </row>
    <row r="24" spans="1:15" s="1285" customFormat="1" ht="25.15" customHeight="1">
      <c r="A24" s="2173">
        <f>COUNTIF($K$1:K24,1)</f>
        <v>17</v>
      </c>
      <c r="B24" s="2264" t="str">
        <f>chitiet!B1099</f>
        <v>B16250</v>
      </c>
      <c r="C24" s="1984" t="str">
        <f>chitiet!C1099</f>
        <v>x</v>
      </c>
      <c r="D24" s="1985">
        <f>chitiet!D1099</f>
        <v>2</v>
      </c>
      <c r="E24" s="1986">
        <f>chitiet!E1099</f>
        <v>0</v>
      </c>
      <c r="F24" s="1987" t="str">
        <f>chitiet!F1099</f>
        <v>Boulon 16x250+ 2 long đền vuông D18-50x50x3/Zn</v>
      </c>
      <c r="G24" s="2075" t="str">
        <f>chitiet!G1099</f>
        <v>bộ</v>
      </c>
      <c r="H24" s="2076">
        <f>chitiet!H1099</f>
        <v>2</v>
      </c>
      <c r="I24" s="2076">
        <f>chitiet!P1099</f>
        <v>2</v>
      </c>
      <c r="J24" s="1972">
        <f>IFERROR(VLOOKUP(B24,DG!A:F,6,0),3000)</f>
        <v>50</v>
      </c>
      <c r="K24" s="1973">
        <f>IF(J24&lt;2000,COUNTIF($B$2:B24,B24),0)</f>
        <v>1</v>
      </c>
      <c r="L24" s="1430"/>
      <c r="M24" s="1509"/>
      <c r="O24" s="1509"/>
    </row>
    <row r="25" spans="1:15" s="1285" customFormat="1" ht="25.15" customHeight="1">
      <c r="A25" s="2173">
        <f>COUNTIF($K$1:K25,1)</f>
        <v>18</v>
      </c>
      <c r="B25" s="2264" t="str">
        <f>chitiet!B802</f>
        <v>B16300</v>
      </c>
      <c r="C25" s="1984" t="str">
        <f>chitiet!C802</f>
        <v>x</v>
      </c>
      <c r="D25" s="1985">
        <f>chitiet!D802</f>
        <v>1</v>
      </c>
      <c r="E25" s="1986">
        <f>chitiet!E802</f>
        <v>0</v>
      </c>
      <c r="F25" s="1987" t="str">
        <f>chitiet!F802</f>
        <v>Boulon 16x300+ 2 long đền vuông D18-50x50x3/Zn</v>
      </c>
      <c r="G25" s="2075" t="str">
        <f>chitiet!G802</f>
        <v>bộ</v>
      </c>
      <c r="H25" s="2076">
        <f>chitiet!H802</f>
        <v>4</v>
      </c>
      <c r="I25" s="2076">
        <f>chitiet!P802</f>
        <v>4</v>
      </c>
      <c r="J25" s="1972">
        <f>IFERROR(VLOOKUP(B25,DG!A:F,6,0),3000)</f>
        <v>50</v>
      </c>
      <c r="K25" s="1973">
        <f>IF(J25&lt;2000,COUNTIF($B$2:B25,B25),0)</f>
        <v>1</v>
      </c>
      <c r="L25" s="1430"/>
      <c r="M25" s="1509"/>
      <c r="O25" s="1509"/>
    </row>
    <row r="26" spans="1:15" s="1285" customFormat="1" ht="25.15" customHeight="1">
      <c r="A26" s="2173">
        <f>COUNTIF($K$1:K26,1)</f>
        <v>18</v>
      </c>
      <c r="B26" s="2264" t="str">
        <f>chitiet!B936</f>
        <v>B16300</v>
      </c>
      <c r="C26" s="1984" t="str">
        <f>chitiet!C936</f>
        <v>x</v>
      </c>
      <c r="D26" s="1985">
        <f>chitiet!D936</f>
        <v>2</v>
      </c>
      <c r="E26" s="1986">
        <f>chitiet!E936</f>
        <v>0</v>
      </c>
      <c r="F26" s="1987" t="str">
        <f>chitiet!F936</f>
        <v>Boulon 16x300+ 2 long đền vuông D18-50x50x3/Zn</v>
      </c>
      <c r="G26" s="2075" t="str">
        <f>chitiet!G936</f>
        <v>bộ</v>
      </c>
      <c r="H26" s="2076">
        <f>chitiet!H936</f>
        <v>30</v>
      </c>
      <c r="I26" s="2076">
        <f>chitiet!P936</f>
        <v>30</v>
      </c>
      <c r="J26" s="1972">
        <f>IFERROR(VLOOKUP(B26,DG!A:F,6,0),3000)</f>
        <v>50</v>
      </c>
      <c r="K26" s="1973">
        <f>IF(J26&lt;2000,COUNTIF($B$2:B26,B26),0)</f>
        <v>2</v>
      </c>
      <c r="L26" s="1430"/>
      <c r="M26" s="1509"/>
      <c r="O26" s="1509"/>
    </row>
    <row r="27" spans="1:15" s="1285" customFormat="1" ht="25.15" customHeight="1">
      <c r="A27" s="2173">
        <f>COUNTIF($K$1:K27,1)</f>
        <v>18</v>
      </c>
      <c r="B27" s="2264" t="str">
        <f>chitiet!B947</f>
        <v>B16300</v>
      </c>
      <c r="C27" s="1984" t="str">
        <f>chitiet!C947</f>
        <v>x</v>
      </c>
      <c r="D27" s="1985">
        <f>chitiet!D947</f>
        <v>2</v>
      </c>
      <c r="E27" s="1986">
        <f>chitiet!E947</f>
        <v>0</v>
      </c>
      <c r="F27" s="1987" t="str">
        <f>chitiet!F947</f>
        <v>Boulon 16x300+ 2 long đền vuông D18-50x50x3/Zn</v>
      </c>
      <c r="G27" s="2075" t="str">
        <f>chitiet!G947</f>
        <v>bộ</v>
      </c>
      <c r="H27" s="2076">
        <f>chitiet!H947</f>
        <v>2</v>
      </c>
      <c r="I27" s="2076">
        <f>chitiet!P947</f>
        <v>2</v>
      </c>
      <c r="J27" s="1972">
        <f>IFERROR(VLOOKUP(B27,DG!A:F,6,0),3000)</f>
        <v>50</v>
      </c>
      <c r="K27" s="1973">
        <f>IF(J27&lt;2000,COUNTIF($B$2:B27,B27),0)</f>
        <v>3</v>
      </c>
      <c r="L27" s="1430"/>
      <c r="M27" s="1509"/>
      <c r="O27" s="1509"/>
    </row>
    <row r="28" spans="1:15" s="1285" customFormat="1" ht="25.15" customHeight="1">
      <c r="A28" s="2173">
        <f>COUNTIF($K$1:K28,1)</f>
        <v>18</v>
      </c>
      <c r="B28" s="2264" t="str">
        <f>chitiet!B1771</f>
        <v>B16300</v>
      </c>
      <c r="C28" s="1984" t="str">
        <f>chitiet!C1771</f>
        <v>x</v>
      </c>
      <c r="D28" s="1985">
        <f>chitiet!D1771</f>
        <v>1</v>
      </c>
      <c r="E28" s="1986">
        <f>chitiet!E1771</f>
        <v>0</v>
      </c>
      <c r="F28" s="1987" t="str">
        <f>chitiet!F1771</f>
        <v>Boulon 16x300+ 2 long đền vuông D18-50x50x3/Zn</v>
      </c>
      <c r="G28" s="2075" t="str">
        <f>chitiet!G1771</f>
        <v>bộ</v>
      </c>
      <c r="H28" s="2076">
        <f>chitiet!H1771</f>
        <v>17</v>
      </c>
      <c r="I28" s="2076">
        <f>chitiet!P1771</f>
        <v>17</v>
      </c>
      <c r="J28" s="1972">
        <f>IFERROR(VLOOKUP(B28,DG!A:F,6,0),3000)</f>
        <v>50</v>
      </c>
      <c r="K28" s="1973">
        <f>IF(J28&lt;2000,COUNTIF($B$2:B28,B28),0)</f>
        <v>4</v>
      </c>
      <c r="L28" s="1430"/>
      <c r="M28" s="1509"/>
      <c r="O28" s="1509"/>
    </row>
    <row r="29" spans="1:15" s="1285" customFormat="1" ht="25.15" customHeight="1">
      <c r="A29" s="2173">
        <f>COUNTIF($K$1:K29,1)</f>
        <v>18</v>
      </c>
      <c r="B29" s="2264" t="str">
        <f>CT_tram!B837</f>
        <v>B16300</v>
      </c>
      <c r="C29" s="1984">
        <f>CT_tram!C837</f>
        <v>0</v>
      </c>
      <c r="D29" s="1985">
        <f>CT_tram!D837</f>
        <v>0</v>
      </c>
      <c r="E29" s="2261">
        <f>CT_tram!E837</f>
        <v>0</v>
      </c>
      <c r="F29" s="2262" t="str">
        <f>CT_tram!F837</f>
        <v>Boulon 16x300+ 2 long đền vuông D18-50x50x3/Zn</v>
      </c>
      <c r="G29" s="2263" t="str">
        <f>CT_tram!G837</f>
        <v>bộ</v>
      </c>
      <c r="H29" s="2263">
        <f>CT_tram!H837</f>
        <v>2</v>
      </c>
      <c r="I29" s="2263">
        <f>CT_tram!I837</f>
        <v>2</v>
      </c>
      <c r="J29" s="1972">
        <f>IFERROR(VLOOKUP(B29,DG!A:F,6,0),3000)</f>
        <v>50</v>
      </c>
      <c r="K29" s="1973">
        <f>IF(J29&lt;2000,COUNTIF($B$2:B29,B29),0)</f>
        <v>5</v>
      </c>
      <c r="L29" s="1426"/>
      <c r="M29" s="1509"/>
      <c r="O29" s="1509"/>
    </row>
    <row r="30" spans="1:15" s="1285" customFormat="1" ht="25.15" customHeight="1">
      <c r="A30" s="2173">
        <f>COUNTIF($K$1:K30,1)</f>
        <v>18</v>
      </c>
      <c r="B30" s="2264" t="str">
        <f>CT_tram!B856</f>
        <v>B16300</v>
      </c>
      <c r="C30" s="1984">
        <f>CT_tram!C856</f>
        <v>0</v>
      </c>
      <c r="D30" s="1985">
        <f>CT_tram!D856</f>
        <v>0</v>
      </c>
      <c r="E30" s="1986">
        <f>CT_tram!E856</f>
        <v>0</v>
      </c>
      <c r="F30" s="1987" t="str">
        <f>CT_tram!F856</f>
        <v>Boulon 16x300+ 2 long đền vuông D18-50x50x3/Zn</v>
      </c>
      <c r="G30" s="2075" t="str">
        <f>CT_tram!G856</f>
        <v>bộ</v>
      </c>
      <c r="H30" s="2076">
        <f>CT_tram!H856</f>
        <v>1</v>
      </c>
      <c r="I30" s="2076">
        <f>CT_tram!I856</f>
        <v>1</v>
      </c>
      <c r="J30" s="1972">
        <f>IFERROR(VLOOKUP(B30,DG!A:F,6,0),3000)</f>
        <v>50</v>
      </c>
      <c r="K30" s="1973">
        <f>IF(J30&lt;2000,COUNTIF($B$2:B30,B30),0)</f>
        <v>6</v>
      </c>
      <c r="L30" s="1430"/>
      <c r="M30" s="1509"/>
      <c r="O30" s="1509"/>
    </row>
    <row r="31" spans="1:15" s="1285" customFormat="1" ht="25.15" customHeight="1">
      <c r="A31" s="2173">
        <f>COUNTIF($K$1:K31,1)</f>
        <v>19</v>
      </c>
      <c r="B31" s="2264" t="str">
        <f>chitiet!B803</f>
        <v>B16300v</v>
      </c>
      <c r="C31" s="1984" t="str">
        <f>chitiet!C803</f>
        <v>x</v>
      </c>
      <c r="D31" s="1985">
        <f>chitiet!D803</f>
        <v>4</v>
      </c>
      <c r="E31" s="1986">
        <f>chitiet!E803</f>
        <v>0</v>
      </c>
      <c r="F31" s="1987" t="str">
        <f>chitiet!F803</f>
        <v>Boulon 16x300VRS+ 4 long đền vuông D18-50x50x3/Zn</v>
      </c>
      <c r="G31" s="2075" t="str">
        <f>chitiet!G803</f>
        <v>bộ</v>
      </c>
      <c r="H31" s="2076">
        <f>chitiet!H803</f>
        <v>16</v>
      </c>
      <c r="I31" s="2076">
        <f>chitiet!P803</f>
        <v>16</v>
      </c>
      <c r="J31" s="1972">
        <f>IFERROR(VLOOKUP(B31,DG!A:F,6,0),3000)</f>
        <v>50</v>
      </c>
      <c r="K31" s="1973">
        <f>IF(J31&lt;2000,COUNTIF($B$2:B31,B31),0)</f>
        <v>1</v>
      </c>
      <c r="L31" s="1430"/>
      <c r="M31" s="1509"/>
      <c r="O31" s="1509"/>
    </row>
    <row r="32" spans="1:15" s="1285" customFormat="1" ht="25.15" customHeight="1">
      <c r="A32" s="2173">
        <f>COUNTIF($K$1:K32,1)</f>
        <v>19</v>
      </c>
      <c r="B32" s="2264" t="str">
        <f>chitiet!B946</f>
        <v>B16300v</v>
      </c>
      <c r="C32" s="1984" t="str">
        <f>chitiet!C946</f>
        <v>x</v>
      </c>
      <c r="D32" s="1985">
        <f>chitiet!D946</f>
        <v>3</v>
      </c>
      <c r="E32" s="1986">
        <f>chitiet!E946</f>
        <v>0</v>
      </c>
      <c r="F32" s="1987" t="str">
        <f>chitiet!F946</f>
        <v>Boulon 16x300VRS+ 4 long đền vuông D18-50x50x3/Zn</v>
      </c>
      <c r="G32" s="2075" t="str">
        <f>chitiet!G946</f>
        <v>bộ</v>
      </c>
      <c r="H32" s="2076">
        <f>chitiet!H946</f>
        <v>3</v>
      </c>
      <c r="I32" s="2282">
        <f>chitiet!P946</f>
        <v>3</v>
      </c>
      <c r="J32" s="1972">
        <f>IFERROR(VLOOKUP(B32,DG!A:F,6,0),3000)</f>
        <v>50</v>
      </c>
      <c r="K32" s="1973">
        <f>IF(J32&lt;2000,COUNTIF($B$2:B32,B32),0)</f>
        <v>2</v>
      </c>
      <c r="L32" s="1430"/>
      <c r="M32" s="1509"/>
      <c r="O32" s="1509"/>
    </row>
    <row r="33" spans="1:15" s="1285" customFormat="1" ht="25.15" customHeight="1">
      <c r="A33" s="2173">
        <f>COUNTIF($K$1:K33,1)</f>
        <v>20</v>
      </c>
      <c r="B33" s="2264" t="str">
        <f>chitiet!B860</f>
        <v>B1635</v>
      </c>
      <c r="C33" s="1984" t="str">
        <f>chitiet!C860</f>
        <v>x</v>
      </c>
      <c r="D33" s="1985">
        <f>chitiet!D860</f>
        <v>4</v>
      </c>
      <c r="E33" s="1986">
        <f>chitiet!E860</f>
        <v>0</v>
      </c>
      <c r="F33" s="1987" t="str">
        <f>chitiet!F860</f>
        <v>Boulon 16x35+ 2 long đền vuông D18-50x50x3/Zn</v>
      </c>
      <c r="G33" s="2075" t="str">
        <f>chitiet!G860</f>
        <v>bộ</v>
      </c>
      <c r="H33" s="2076">
        <f>chitiet!H860</f>
        <v>12</v>
      </c>
      <c r="I33" s="2076">
        <f>chitiet!P860</f>
        <v>12</v>
      </c>
      <c r="J33" s="1972">
        <f>IFERROR(VLOOKUP(B33,DG!A:F,6,0),3000)</f>
        <v>50</v>
      </c>
      <c r="K33" s="1973">
        <f>IF(J33&lt;2000,COUNTIF($B$2:B33,B33),0)</f>
        <v>1</v>
      </c>
      <c r="L33" s="1430"/>
      <c r="M33" s="1509"/>
      <c r="O33" s="1509"/>
    </row>
    <row r="34" spans="1:15" s="1285" customFormat="1" ht="25.15" customHeight="1">
      <c r="A34" s="2173">
        <f>COUNTIF($K$1:K34,1)</f>
        <v>20</v>
      </c>
      <c r="B34" s="2264" t="str">
        <f>chitiet!B937</f>
        <v>B1635</v>
      </c>
      <c r="C34" s="1984" t="str">
        <f>chitiet!C937</f>
        <v>x</v>
      </c>
      <c r="D34" s="1985">
        <f>chitiet!D937</f>
        <v>1</v>
      </c>
      <c r="E34" s="1986">
        <f>chitiet!E937</f>
        <v>0</v>
      </c>
      <c r="F34" s="1987" t="str">
        <f>chitiet!F937</f>
        <v>Boulon 16x35+ 2 long đền vuông D18-50x50x3/Zn</v>
      </c>
      <c r="G34" s="2075" t="str">
        <f>chitiet!G937</f>
        <v>bộ</v>
      </c>
      <c r="H34" s="2076">
        <f>chitiet!H937</f>
        <v>15</v>
      </c>
      <c r="I34" s="2076">
        <f>chitiet!P937</f>
        <v>15</v>
      </c>
      <c r="J34" s="1972">
        <f>IFERROR(VLOOKUP(B34,DG!A:F,6,0),3000)</f>
        <v>50</v>
      </c>
      <c r="K34" s="1973">
        <f>IF(J34&lt;2000,COUNTIF($B$2:B34,B34),0)</f>
        <v>2</v>
      </c>
      <c r="L34" s="1430"/>
      <c r="M34" s="1509"/>
      <c r="O34" s="1509"/>
    </row>
    <row r="35" spans="1:15" s="1285" customFormat="1" ht="25.15" customHeight="1">
      <c r="A35" s="2173">
        <f>COUNTIF($K$1:K35,1)</f>
        <v>20</v>
      </c>
      <c r="B35" s="1976" t="str">
        <f>chitiet!B948</f>
        <v>B1635</v>
      </c>
      <c r="C35" s="1289" t="str">
        <f>chitiet!C948</f>
        <v>x</v>
      </c>
      <c r="D35" s="1978">
        <f>chitiet!D948</f>
        <v>2</v>
      </c>
      <c r="E35" s="1505">
        <f>chitiet!E948</f>
        <v>0</v>
      </c>
      <c r="F35" s="1979" t="str">
        <f>chitiet!F948</f>
        <v>Boulon 16x35+ 2 long đền vuông D18-50x50x3/Zn</v>
      </c>
      <c r="G35" s="1988" t="str">
        <f>chitiet!G948</f>
        <v>bộ</v>
      </c>
      <c r="H35" s="1989">
        <f>chitiet!H948</f>
        <v>2</v>
      </c>
      <c r="I35" s="1989">
        <f>chitiet!P948</f>
        <v>2</v>
      </c>
      <c r="J35" s="1972">
        <f>IFERROR(VLOOKUP(B35,DG!A:F,6,0),3000)</f>
        <v>50</v>
      </c>
      <c r="K35" s="1973">
        <f>IF(J35&lt;2000,COUNTIF($B$2:B35,B35),0)</f>
        <v>3</v>
      </c>
      <c r="L35" s="1430"/>
      <c r="M35" s="1509"/>
      <c r="O35" s="1509"/>
    </row>
    <row r="36" spans="1:15" s="1285" customFormat="1" ht="25.15" customHeight="1">
      <c r="A36" s="2173">
        <f>COUNTIF($K$1:K36,1)</f>
        <v>21</v>
      </c>
      <c r="B36" s="1976" t="str">
        <f>chitiet!B1100</f>
        <v>B16400</v>
      </c>
      <c r="C36" s="1289" t="str">
        <f>chitiet!C1100</f>
        <v>x</v>
      </c>
      <c r="D36" s="1978">
        <f>chitiet!D1100</f>
        <v>2</v>
      </c>
      <c r="E36" s="1505">
        <f>chitiet!E1100</f>
        <v>0</v>
      </c>
      <c r="F36" s="1979" t="str">
        <f>chitiet!F1100</f>
        <v>Boulon 16x400+ 2 long đền vuông D18-50x50x3/Zn</v>
      </c>
      <c r="G36" s="1988" t="str">
        <f>chitiet!G1100</f>
        <v>bộ</v>
      </c>
      <c r="H36" s="1989">
        <f>chitiet!H1100</f>
        <v>2</v>
      </c>
      <c r="I36" s="1989">
        <f>chitiet!P1100</f>
        <v>2</v>
      </c>
      <c r="J36" s="1972">
        <f>IFERROR(VLOOKUP(B36,DG!A:F,6,0),3000)</f>
        <v>50</v>
      </c>
      <c r="K36" s="1973">
        <f>IF(J36&lt;2000,COUNTIF($B$2:B36,B36),0)</f>
        <v>1</v>
      </c>
      <c r="L36" s="1430"/>
      <c r="M36" s="1509"/>
      <c r="O36" s="1509"/>
    </row>
    <row r="37" spans="1:15" s="1285" customFormat="1" ht="25.15" customHeight="1">
      <c r="A37" s="2173">
        <f>COUNTIF($K$1:K37,1)</f>
        <v>21</v>
      </c>
      <c r="B37" s="2264" t="str">
        <f>CT_tram!B857</f>
        <v>B16400</v>
      </c>
      <c r="C37" s="1984">
        <f>CT_tram!C857</f>
        <v>0</v>
      </c>
      <c r="D37" s="1985">
        <f>CT_tram!D857</f>
        <v>0</v>
      </c>
      <c r="E37" s="1986">
        <f>CT_tram!E857</f>
        <v>0</v>
      </c>
      <c r="F37" s="1987" t="str">
        <f>CT_tram!F857</f>
        <v>Boulon 16x400+ 2 long đền vuông D18-50x50x3/Zn</v>
      </c>
      <c r="G37" s="2075" t="str">
        <f>CT_tram!G857</f>
        <v>bộ</v>
      </c>
      <c r="H37" s="2076">
        <f>CT_tram!H857</f>
        <v>1</v>
      </c>
      <c r="I37" s="2076">
        <f>CT_tram!I857</f>
        <v>1</v>
      </c>
      <c r="J37" s="1972">
        <f>IFERROR(VLOOKUP(B37,DG!A:F,6,0),3000)</f>
        <v>50</v>
      </c>
      <c r="K37" s="1973">
        <f>IF(J37&lt;2000,COUNTIF($B$2:B37,B37),0)</f>
        <v>2</v>
      </c>
      <c r="L37" s="1430"/>
      <c r="M37" s="1509"/>
      <c r="O37" s="1509"/>
    </row>
    <row r="38" spans="1:15" s="1285" customFormat="1" ht="25.15" customHeight="1">
      <c r="A38" s="2173">
        <f>COUNTIF($K$1:K38,1)</f>
        <v>22</v>
      </c>
      <c r="B38" s="2264" t="str">
        <f>chitiet!B367</f>
        <v>B16450V</v>
      </c>
      <c r="C38" s="1984" t="str">
        <f>chitiet!C367</f>
        <v>x</v>
      </c>
      <c r="D38" s="1985">
        <f>chitiet!D367</f>
        <v>1</v>
      </c>
      <c r="E38" s="1986">
        <f>chitiet!E367</f>
        <v>0</v>
      </c>
      <c r="F38" s="1987" t="str">
        <f>chitiet!F367</f>
        <v>Boulon 16x450VRS+ 4 long đền vuông D18-50x50x3/Zn</v>
      </c>
      <c r="G38" s="2075" t="str">
        <f>chitiet!G367</f>
        <v>bộ</v>
      </c>
      <c r="H38" s="2076">
        <f>chitiet!H367</f>
        <v>5</v>
      </c>
      <c r="I38" s="2076">
        <f>chitiet!P367</f>
        <v>5</v>
      </c>
      <c r="J38" s="1972">
        <f>IFERROR(VLOOKUP(B38,DG!A:F,6,0),3000)</f>
        <v>50</v>
      </c>
      <c r="K38" s="1973">
        <f>IF(J38&lt;2000,COUNTIF($B$2:B38,B38),0)</f>
        <v>1</v>
      </c>
      <c r="L38" s="1430"/>
      <c r="M38" s="1509"/>
      <c r="O38" s="1509"/>
    </row>
    <row r="39" spans="1:15" s="1285" customFormat="1" ht="25.15" customHeight="1">
      <c r="A39" s="2173">
        <f>COUNTIF($K$1:K39,1)</f>
        <v>23</v>
      </c>
      <c r="B39" s="2467" t="str">
        <f>chitiet!B804</f>
        <v>B1650</v>
      </c>
      <c r="C39" s="2080" t="str">
        <f>chitiet!C804</f>
        <v>x</v>
      </c>
      <c r="D39" s="2081">
        <f>chitiet!D804</f>
        <v>4</v>
      </c>
      <c r="E39" s="1986">
        <f>chitiet!E804</f>
        <v>0</v>
      </c>
      <c r="F39" s="1987" t="str">
        <f>chitiet!F804</f>
        <v>Boulon 16x50+ 2 long đền vuông D18-50x50x3/Zn</v>
      </c>
      <c r="G39" s="2075" t="str">
        <f>chitiet!G804</f>
        <v>bộ</v>
      </c>
      <c r="H39" s="2076">
        <f>chitiet!H804</f>
        <v>16</v>
      </c>
      <c r="I39" s="2076">
        <f>chitiet!P804</f>
        <v>16</v>
      </c>
      <c r="J39" s="1972">
        <f>IFERROR(VLOOKUP(B39,DG!A:F,6,0),3000)</f>
        <v>50</v>
      </c>
      <c r="K39" s="1973">
        <f>IF(J39&lt;2000,COUNTIF($B$2:B39,B39),0)</f>
        <v>1</v>
      </c>
      <c r="L39" s="1430"/>
      <c r="M39" s="1509"/>
      <c r="O39" s="1509"/>
    </row>
    <row r="40" spans="1:15" s="1285" customFormat="1" ht="25.15" customHeight="1">
      <c r="A40" s="2173">
        <f>COUNTIF($K$1:K40,1)</f>
        <v>23</v>
      </c>
      <c r="B40" s="2264" t="str">
        <f>CT_tram!B836</f>
        <v>B1650</v>
      </c>
      <c r="C40" s="1984">
        <f>CT_tram!C836</f>
        <v>0</v>
      </c>
      <c r="D40" s="1985">
        <f>CT_tram!D836</f>
        <v>0</v>
      </c>
      <c r="E40" s="2261">
        <f>CT_tram!E836</f>
        <v>0</v>
      </c>
      <c r="F40" s="2262" t="str">
        <f>CT_tram!F836</f>
        <v>Boulon 16x50+ 2 long đền vuông D18-50x50x3/Zn</v>
      </c>
      <c r="G40" s="2263" t="str">
        <f>CT_tram!G836</f>
        <v>bộ</v>
      </c>
      <c r="H40" s="2263">
        <f>CT_tram!H836</f>
        <v>6</v>
      </c>
      <c r="I40" s="2263">
        <f>CT_tram!I836</f>
        <v>6</v>
      </c>
      <c r="J40" s="1972">
        <f>IFERROR(VLOOKUP(B40,DG!A:F,6,0),3000)</f>
        <v>50</v>
      </c>
      <c r="K40" s="1973">
        <f>IF(J40&lt;2000,COUNTIF($B$2:B40,B40),0)</f>
        <v>2</v>
      </c>
      <c r="L40" s="1426"/>
      <c r="M40" s="1509"/>
      <c r="O40" s="1509"/>
    </row>
    <row r="41" spans="1:15" s="1285" customFormat="1" ht="25.15" customHeight="1">
      <c r="A41" s="2173">
        <f>COUNTIF($K$1:K41,1)</f>
        <v>24</v>
      </c>
      <c r="B41" s="2264" t="str">
        <f>chitiet!B857</f>
        <v>B16500</v>
      </c>
      <c r="C41" s="1984" t="str">
        <f>chitiet!C857</f>
        <v>x</v>
      </c>
      <c r="D41" s="1985">
        <f>chitiet!D857</f>
        <v>1</v>
      </c>
      <c r="E41" s="1986">
        <f>chitiet!E857</f>
        <v>0</v>
      </c>
      <c r="F41" s="1987" t="str">
        <f>chitiet!F857</f>
        <v>Boulon 16x500+ 2 long đền vuông D18-50x50x3/Zn</v>
      </c>
      <c r="G41" s="2075" t="str">
        <f>chitiet!G857</f>
        <v>bộ</v>
      </c>
      <c r="H41" s="2076">
        <f>chitiet!H857</f>
        <v>3</v>
      </c>
      <c r="I41" s="2076">
        <f>chitiet!P857</f>
        <v>3</v>
      </c>
      <c r="J41" s="1972">
        <f>IFERROR(VLOOKUP(B41,DG!A:F,6,0),3000)</f>
        <v>50</v>
      </c>
      <c r="K41" s="1973">
        <f>IF(J41&lt;2000,COUNTIF($B$2:B41,B41),0)</f>
        <v>1</v>
      </c>
      <c r="L41" s="1430"/>
      <c r="M41" s="1509"/>
      <c r="O41" s="1509"/>
    </row>
    <row r="42" spans="1:15" s="1285" customFormat="1" ht="25.15" customHeight="1">
      <c r="A42" s="2173">
        <f>COUNTIF($K$1:K42,1)</f>
        <v>25</v>
      </c>
      <c r="B42" s="2465" t="str">
        <f>chitiet!B368</f>
        <v>B16550v</v>
      </c>
      <c r="C42" s="1975" t="str">
        <f>chitiet!C368</f>
        <v>x</v>
      </c>
      <c r="D42" s="1980">
        <f>chitiet!D368</f>
        <v>1</v>
      </c>
      <c r="E42" s="1981">
        <f>chitiet!E368</f>
        <v>0</v>
      </c>
      <c r="F42" s="1982" t="str">
        <f>chitiet!F368</f>
        <v>Boulon 16x550VRS+ 4 long đền vuông D18-50x50x3/Zn</v>
      </c>
      <c r="G42" s="2077" t="str">
        <f>chitiet!G368</f>
        <v>bộ</v>
      </c>
      <c r="H42" s="2078">
        <f>chitiet!H368</f>
        <v>5</v>
      </c>
      <c r="I42" s="2079">
        <f>chitiet!P368</f>
        <v>5</v>
      </c>
      <c r="J42" s="1972">
        <f>IFERROR(VLOOKUP(B42,DG!A:F,6,0),3000)</f>
        <v>50</v>
      </c>
      <c r="K42" s="1973">
        <f>IF(J42&lt;2000,COUNTIF($B$2:B42,B42),0)</f>
        <v>1</v>
      </c>
      <c r="L42" s="1430"/>
      <c r="M42" s="1509"/>
      <c r="O42" s="1509"/>
    </row>
    <row r="43" spans="1:15" s="1285" customFormat="1" ht="25.15" customHeight="1">
      <c r="A43" s="2173">
        <f>COUNTIF($K$1:K43,1)</f>
        <v>25</v>
      </c>
      <c r="B43" s="2465" t="str">
        <f>chitiet!B859</f>
        <v>B16550v</v>
      </c>
      <c r="C43" s="1975" t="str">
        <f>chitiet!C859</f>
        <v>x</v>
      </c>
      <c r="D43" s="1980">
        <f>chitiet!D859</f>
        <v>2</v>
      </c>
      <c r="E43" s="1981">
        <f>chitiet!E859</f>
        <v>0</v>
      </c>
      <c r="F43" s="1982" t="str">
        <f>chitiet!F859</f>
        <v>Boulon 16x550VRS+ 4 long đền vuông D18-50x50x3/Zn</v>
      </c>
      <c r="G43" s="2077" t="str">
        <f>chitiet!G859</f>
        <v>bộ</v>
      </c>
      <c r="H43" s="2078">
        <f>chitiet!H859</f>
        <v>6</v>
      </c>
      <c r="I43" s="2079">
        <f>chitiet!P859</f>
        <v>6</v>
      </c>
      <c r="J43" s="1972">
        <f>IFERROR(VLOOKUP(B43,DG!A:F,6,0),3000)</f>
        <v>50</v>
      </c>
      <c r="K43" s="1973">
        <f>IF(J43&lt;2000,COUNTIF($B$2:B43,B43),0)</f>
        <v>2</v>
      </c>
      <c r="L43" s="1430"/>
      <c r="M43" s="1509"/>
      <c r="O43" s="1509"/>
    </row>
    <row r="44" spans="1:15" s="1285" customFormat="1" ht="25.15" customHeight="1">
      <c r="A44" s="2173">
        <f>COUNTIF($K$1:K44,1)</f>
        <v>26</v>
      </c>
      <c r="B44" s="2465" t="str">
        <f>chitiet!B858</f>
        <v>B16600</v>
      </c>
      <c r="C44" s="1975" t="str">
        <f>chitiet!C858</f>
        <v>x</v>
      </c>
      <c r="D44" s="1980">
        <f>chitiet!D858</f>
        <v>1</v>
      </c>
      <c r="E44" s="1981">
        <f>chitiet!E858</f>
        <v>0</v>
      </c>
      <c r="F44" s="1982" t="str">
        <f>chitiet!F858</f>
        <v>Boulon 16x600+ 2 long đền vuông D18-50x50x3/Zn</v>
      </c>
      <c r="G44" s="2077" t="str">
        <f>chitiet!G858</f>
        <v>bộ</v>
      </c>
      <c r="H44" s="2076">
        <f>chitiet!H858</f>
        <v>3</v>
      </c>
      <c r="I44" s="2076">
        <f>chitiet!P858</f>
        <v>3</v>
      </c>
      <c r="J44" s="1972">
        <f>IFERROR(VLOOKUP(B44,DG!A:F,6,0),3000)</f>
        <v>50</v>
      </c>
      <c r="K44" s="1973">
        <f>IF(J44&lt;2000,COUNTIF($B$2:B44,B44),0)</f>
        <v>1</v>
      </c>
      <c r="L44" s="1430"/>
      <c r="M44" s="1509"/>
      <c r="O44" s="1509"/>
    </row>
    <row r="45" spans="1:15" s="1285" customFormat="1" ht="25.15" customHeight="1">
      <c r="A45" s="2173">
        <f>COUNTIF($K$1:K45,1)</f>
        <v>27</v>
      </c>
      <c r="B45" s="2466" t="str">
        <f>chitiet!B369</f>
        <v>B16600v</v>
      </c>
      <c r="C45" s="2162" t="str">
        <f>chitiet!C369</f>
        <v>x</v>
      </c>
      <c r="D45" s="2163">
        <f>chitiet!D369</f>
        <v>1</v>
      </c>
      <c r="E45" s="1981">
        <f>chitiet!E369</f>
        <v>0</v>
      </c>
      <c r="F45" s="1982" t="str">
        <f>chitiet!F369</f>
        <v>Boulon 16x600VRS+ 4 long đền vuông D18-50x50x3/Zn</v>
      </c>
      <c r="G45" s="2077" t="str">
        <f>chitiet!G369</f>
        <v>bộ</v>
      </c>
      <c r="H45" s="2078">
        <f>chitiet!H369</f>
        <v>5</v>
      </c>
      <c r="I45" s="2076">
        <f>chitiet!P369</f>
        <v>5</v>
      </c>
      <c r="J45" s="1972">
        <f>IFERROR(VLOOKUP(B45,DG!A:F,6,0),3000)</f>
        <v>50</v>
      </c>
      <c r="K45" s="1973">
        <f>IF(J45&lt;2000,COUNTIF($B$2:B45,B45),0)</f>
        <v>1</v>
      </c>
      <c r="L45" s="1992"/>
      <c r="M45" s="1509"/>
      <c r="O45" s="1509"/>
    </row>
    <row r="46" spans="1:15" s="1285" customFormat="1" ht="25.15" customHeight="1">
      <c r="A46" s="2173">
        <f>COUNTIF($K$1:K46,1)</f>
        <v>28</v>
      </c>
      <c r="B46" s="2467" t="str">
        <f>CT_tram!B880</f>
        <v>BAKE</v>
      </c>
      <c r="C46" s="2080">
        <f>CT_tram!C880</f>
        <v>0</v>
      </c>
      <c r="D46" s="2081">
        <f>CT_tram!D880</f>
        <v>0</v>
      </c>
      <c r="E46" s="1986">
        <f>CT_tram!E880</f>
        <v>0</v>
      </c>
      <c r="F46" s="1987" t="str">
        <f>CT_tram!F880</f>
        <v xml:space="preserve">Bakelit 550x450 dầy 10mm </v>
      </c>
      <c r="G46" s="2075" t="str">
        <f>CT_tram!G880</f>
        <v>cái</v>
      </c>
      <c r="H46" s="2076">
        <f>CT_tram!H880</f>
        <v>1</v>
      </c>
      <c r="I46" s="2076">
        <f>CT_tram!I880</f>
        <v>1</v>
      </c>
      <c r="J46" s="1972">
        <f>IFERROR(VLOOKUP(B46,DG!A:F,6,0),3000)</f>
        <v>50</v>
      </c>
      <c r="K46" s="1973">
        <f>IF(J46&lt;2000,COUNTIF($B$2:B46,B46),0)</f>
        <v>1</v>
      </c>
      <c r="L46" s="1430"/>
      <c r="M46" s="1993"/>
      <c r="N46" s="1994"/>
      <c r="O46" s="1993"/>
    </row>
    <row r="47" spans="1:15" s="1285" customFormat="1" ht="25.15" customHeight="1">
      <c r="A47" s="2173">
        <f>COUNTIF($K$1:K47,1)</f>
        <v>29</v>
      </c>
      <c r="B47" s="2264" t="str">
        <f>CT_tram!B918</f>
        <v>BANG</v>
      </c>
      <c r="C47" s="1984">
        <f>CT_tram!C918</f>
        <v>0</v>
      </c>
      <c r="D47" s="1985">
        <f>CT_tram!D918</f>
        <v>7</v>
      </c>
      <c r="E47" s="1986">
        <f>CT_tram!E918</f>
        <v>0</v>
      </c>
      <c r="F47" s="1987" t="str">
        <f>CT_tram!F918</f>
        <v>Bảng tên trạm, bảng báo nguy hiểm + đinh vít</v>
      </c>
      <c r="G47" s="2075" t="str">
        <f>CT_tram!G918</f>
        <v>bộ</v>
      </c>
      <c r="H47" s="2076">
        <f>CT_tram!H918</f>
        <v>1</v>
      </c>
      <c r="I47" s="2076">
        <f>CT_tram!I918</f>
        <v>1</v>
      </c>
      <c r="J47" s="1972">
        <f>IFERROR(VLOOKUP(B47,DG!A:F,6,0),3000)</f>
        <v>50</v>
      </c>
      <c r="K47" s="1973">
        <f>IF(J47&lt;2000,COUNTIF($B$2:B47,B47),0)</f>
        <v>1</v>
      </c>
      <c r="L47" s="1430"/>
      <c r="M47" s="1509"/>
      <c r="O47" s="1509"/>
    </row>
    <row r="48" spans="1:15" s="1285" customFormat="1" ht="25.15" customHeight="1">
      <c r="A48" s="2173">
        <f>COUNTIF($K$1:K48,1)</f>
        <v>29</v>
      </c>
      <c r="B48" s="2264" t="str">
        <f>CT_tram!B919</f>
        <v>BANG</v>
      </c>
      <c r="C48" s="1984">
        <f>CT_tram!C919</f>
        <v>0</v>
      </c>
      <c r="D48" s="1985">
        <f>CT_tram!D919</f>
        <v>8</v>
      </c>
      <c r="E48" s="1986">
        <f>CT_tram!E919</f>
        <v>0</v>
      </c>
      <c r="F48" s="1987" t="str">
        <f>CT_tram!F919</f>
        <v>Phần cáp xuất từ MCCB lên lưới</v>
      </c>
      <c r="G48" s="2075" t="str">
        <f>CT_tram!G919</f>
        <v>bộ</v>
      </c>
      <c r="H48" s="2076">
        <f>CT_tram!H919</f>
        <v>0</v>
      </c>
      <c r="I48" s="2076">
        <f>CT_tram!I919</f>
        <v>0</v>
      </c>
      <c r="J48" s="1972">
        <f>IFERROR(VLOOKUP(B48,DG!A:F,6,0),3000)</f>
        <v>50</v>
      </c>
      <c r="K48" s="1973">
        <f>IF(J48&lt;2000,COUNTIF($B$2:B48,B48),0)</f>
        <v>2</v>
      </c>
      <c r="L48" s="1430"/>
      <c r="M48" s="1509"/>
      <c r="O48" s="1509"/>
    </row>
    <row r="49" spans="1:15" s="1285" customFormat="1" ht="25.15" customHeight="1">
      <c r="A49" s="2173">
        <f>COUNTIF($K$1:K49,1)</f>
        <v>30</v>
      </c>
      <c r="B49" s="2264" t="str">
        <f>CT_tram!B915</f>
        <v>BANGKEO</v>
      </c>
      <c r="C49" s="1984">
        <f>CT_tram!C915</f>
        <v>0</v>
      </c>
      <c r="D49" s="1985">
        <f>CT_tram!D915</f>
        <v>0</v>
      </c>
      <c r="E49" s="1986">
        <f>CT_tram!E915</f>
        <v>0</v>
      </c>
      <c r="F49" s="1987" t="str">
        <f>CT_tram!F915</f>
        <v>Băng keo cách điện</v>
      </c>
      <c r="G49" s="2075" t="str">
        <f>CT_tram!G915</f>
        <v>cuộn</v>
      </c>
      <c r="H49" s="2076">
        <f>CT_tram!H915</f>
        <v>3</v>
      </c>
      <c r="I49" s="2076">
        <f>CT_tram!I915</f>
        <v>3</v>
      </c>
      <c r="J49" s="1972">
        <f>IFERROR(VLOOKUP(B49,DG!A:F,6,0),3000)</f>
        <v>50</v>
      </c>
      <c r="K49" s="1973">
        <f>IF(J49&lt;2000,COUNTIF($B$2:B49,B49),0)</f>
        <v>1</v>
      </c>
      <c r="L49" s="1430"/>
      <c r="M49" s="1509"/>
      <c r="O49" s="1509"/>
    </row>
    <row r="50" spans="1:15" s="1285" customFormat="1" ht="25.15" customHeight="1">
      <c r="A50" s="2173">
        <f>COUNTIF($K$1:K50,1)</f>
        <v>30</v>
      </c>
      <c r="B50" s="2264" t="str">
        <f>CT_tram!B935</f>
        <v>BANGKEO</v>
      </c>
      <c r="C50" s="1984">
        <f>CT_tram!C935</f>
        <v>0</v>
      </c>
      <c r="D50" s="1985">
        <f>CT_tram!D935</f>
        <v>0</v>
      </c>
      <c r="E50" s="1986">
        <f>CT_tram!E935</f>
        <v>0</v>
      </c>
      <c r="F50" s="1987" t="str">
        <f>CT_tram!F935</f>
        <v>Băng keo cách điện</v>
      </c>
      <c r="G50" s="2075" t="str">
        <f>CT_tram!G935</f>
        <v>cuộn</v>
      </c>
      <c r="H50" s="2076">
        <f>CT_tram!H935</f>
        <v>0</v>
      </c>
      <c r="I50" s="2076">
        <f>CT_tram!I935</f>
        <v>0</v>
      </c>
      <c r="J50" s="1972">
        <f>IFERROR(VLOOKUP(B50,DG!A:F,6,0),3000)</f>
        <v>50</v>
      </c>
      <c r="K50" s="1973">
        <f>IF(J50&lt;2000,COUNTIF($B$2:B50,B50),0)</f>
        <v>2</v>
      </c>
      <c r="L50" s="1426"/>
      <c r="M50" s="1509"/>
      <c r="O50" s="1509"/>
    </row>
    <row r="51" spans="1:15" s="1285" customFormat="1" ht="25.15" customHeight="1">
      <c r="A51" s="2173">
        <f>COUNTIF($K$1:K51,1)</f>
        <v>31</v>
      </c>
      <c r="B51" s="2264" t="str">
        <f>CT_tram!B854</f>
        <v>batLL</v>
      </c>
      <c r="C51" s="1984">
        <f>CT_tram!C854</f>
        <v>0</v>
      </c>
      <c r="D51" s="1985">
        <f>CT_tram!D854</f>
        <v>0</v>
      </c>
      <c r="E51" s="2261">
        <f>CT_tram!E854</f>
        <v>0</v>
      </c>
      <c r="F51" s="2262" t="str">
        <f>CT_tram!F854</f>
        <v>Bass LL bắt FCO, LA</v>
      </c>
      <c r="G51" s="2263" t="str">
        <f>CT_tram!G854</f>
        <v>bộ</v>
      </c>
      <c r="H51" s="2263">
        <f>CT_tram!H854</f>
        <v>3</v>
      </c>
      <c r="I51" s="2263">
        <f>CT_tram!I854</f>
        <v>3</v>
      </c>
      <c r="J51" s="1972">
        <f>IFERROR(VLOOKUP(B51,DG!A:F,6,0),3000)</f>
        <v>50</v>
      </c>
      <c r="K51" s="1973">
        <f>IF(J51&lt;2000,COUNTIF($B$2:B51,B51),0)</f>
        <v>1</v>
      </c>
      <c r="L51" s="1426"/>
      <c r="M51" s="1509"/>
      <c r="O51" s="1509"/>
    </row>
    <row r="52" spans="1:15" s="1285" customFormat="1" ht="25.15" customHeight="1">
      <c r="A52" s="2173">
        <f>COUNTIF($K$1:K52,1)</f>
        <v>31</v>
      </c>
      <c r="B52" s="2467" t="str">
        <f>CT_tram!B886</f>
        <v>batLL</v>
      </c>
      <c r="C52" s="2080">
        <f>CT_tram!C886</f>
        <v>0</v>
      </c>
      <c r="D52" s="2081">
        <f>CT_tram!D886</f>
        <v>0</v>
      </c>
      <c r="E52" s="2261">
        <f>CT_tram!E886</f>
        <v>0</v>
      </c>
      <c r="F52" s="2262" t="str">
        <f>CT_tram!F886</f>
        <v>Bass LL bắt FCO, LA</v>
      </c>
      <c r="G52" s="2263" t="str">
        <f>CT_tram!G886</f>
        <v>bộ</v>
      </c>
      <c r="H52" s="2263">
        <f>CT_tram!H886</f>
        <v>3</v>
      </c>
      <c r="I52" s="2263">
        <f>CT_tram!I886</f>
        <v>3</v>
      </c>
      <c r="J52" s="1972">
        <f>IFERROR(VLOOKUP(B52,DG!A:F,6,0),3000)</f>
        <v>50</v>
      </c>
      <c r="K52" s="1973">
        <f>IF(J52&lt;2000,COUNTIF($B$2:B52,B52),0)</f>
        <v>2</v>
      </c>
      <c r="L52" s="2245"/>
      <c r="M52" s="1509"/>
      <c r="O52" s="1509"/>
    </row>
    <row r="53" spans="1:15" s="1285" customFormat="1" ht="25.15" customHeight="1">
      <c r="A53" s="2173">
        <f>COUNTIF($K$1:K53,1)</f>
        <v>32</v>
      </c>
      <c r="B53" s="2465" t="str">
        <f>chitiet!B1173</f>
        <v>BM16300</v>
      </c>
      <c r="C53" s="1975" t="str">
        <f>chitiet!C1173</f>
        <v>x</v>
      </c>
      <c r="D53" s="1980">
        <f>chitiet!D1173</f>
        <v>1</v>
      </c>
      <c r="E53" s="1981">
        <f>chitiet!E1173</f>
        <v>0</v>
      </c>
      <c r="F53" s="1982" t="str">
        <f>chitiet!F1173</f>
        <v>Boulon mắt 16x300+ 2 long đền vuông D18-50x50x3/Zn</v>
      </c>
      <c r="G53" s="2077" t="str">
        <f>chitiet!G1173</f>
        <v>bộ</v>
      </c>
      <c r="H53" s="2076">
        <f>chitiet!H1173</f>
        <v>1</v>
      </c>
      <c r="I53" s="2076">
        <f>chitiet!P1173</f>
        <v>1</v>
      </c>
      <c r="J53" s="1972">
        <f>IFERROR(VLOOKUP(B53,DG!A:F,6,0),3000)</f>
        <v>50</v>
      </c>
      <c r="K53" s="1973">
        <f>IF(J53&lt;2000,COUNTIF($B$2:B53,B53),0)</f>
        <v>1</v>
      </c>
      <c r="L53" s="1430"/>
      <c r="M53" s="1993"/>
      <c r="N53" s="1994"/>
      <c r="O53" s="1993"/>
    </row>
    <row r="54" spans="1:15" s="1285" customFormat="1" ht="25.15" customHeight="1">
      <c r="A54" s="2173">
        <f>COUNTIF($K$1:K54,1)</f>
        <v>32</v>
      </c>
      <c r="B54" s="2264" t="str">
        <f>chitiet!B1784</f>
        <v>BM16300</v>
      </c>
      <c r="C54" s="1984" t="str">
        <f>chitiet!C1784</f>
        <v>x</v>
      </c>
      <c r="D54" s="1985">
        <f>chitiet!D1784</f>
        <v>1</v>
      </c>
      <c r="E54" s="1986">
        <f>chitiet!E1784</f>
        <v>0</v>
      </c>
      <c r="F54" s="1987" t="str">
        <f>chitiet!F1784</f>
        <v>Boulon mắt 16x300+ 2 long đền vuông D18-50x50x3/Zn</v>
      </c>
      <c r="G54" s="2075" t="str">
        <f>chitiet!G1784</f>
        <v>bộ</v>
      </c>
      <c r="H54" s="2076">
        <f>chitiet!H1784</f>
        <v>8</v>
      </c>
      <c r="I54" s="2076">
        <f>chitiet!P1784</f>
        <v>8</v>
      </c>
      <c r="J54" s="1972">
        <f>IFERROR(VLOOKUP(B54,DG!A:F,6,0),3000)</f>
        <v>50</v>
      </c>
      <c r="K54" s="1973">
        <f>IF(J54&lt;2000,COUNTIF($B$2:B54,B54),0)</f>
        <v>2</v>
      </c>
      <c r="L54" s="1430"/>
      <c r="M54" s="1509"/>
      <c r="O54" s="1509"/>
    </row>
    <row r="55" spans="1:15" s="1285" customFormat="1" ht="25.15" customHeight="1">
      <c r="A55" s="2173">
        <f>COUNTIF($K$1:K55,1)</f>
        <v>33</v>
      </c>
      <c r="B55" s="2264" t="str">
        <f>chitiet!B1902</f>
        <v>bnh</v>
      </c>
      <c r="C55" s="1984" t="str">
        <f>chitiet!C1902</f>
        <v xml:space="preserve"> </v>
      </c>
      <c r="D55" s="1985">
        <f>chitiet!D1902</f>
        <v>0</v>
      </c>
      <c r="E55" s="1986">
        <f>chitiet!E1902</f>
        <v>0</v>
      </c>
      <c r="F55" s="1987" t="str">
        <f>chitiet!F1902</f>
        <v>Biển số - Bảng nguy hiểm</v>
      </c>
      <c r="G55" s="2075" t="str">
        <f>chitiet!G1902</f>
        <v>cái</v>
      </c>
      <c r="H55" s="2076">
        <f>chitiet!H1902</f>
        <v>0</v>
      </c>
      <c r="I55" s="2076">
        <f>chitiet!P1902</f>
        <v>0</v>
      </c>
      <c r="J55" s="1972">
        <f>IFERROR(VLOOKUP(B55,DG!A:F,6,0),3000)</f>
        <v>50</v>
      </c>
      <c r="K55" s="1973">
        <f>IF(J55&lt;2000,COUNTIF($B$2:B55,B55),0)</f>
        <v>1</v>
      </c>
      <c r="L55" s="1430"/>
      <c r="M55" s="1509"/>
      <c r="O55" s="1509"/>
    </row>
    <row r="56" spans="1:15" s="1285" customFormat="1" ht="25.15" customHeight="1">
      <c r="A56" s="2173">
        <f>COUNTIF($K$1:K56,1)</f>
        <v>34</v>
      </c>
      <c r="B56" s="2264" t="str">
        <f>CT_tram!B904</f>
        <v>cd114</v>
      </c>
      <c r="C56" s="1984">
        <f>CT_tram!C904</f>
        <v>0</v>
      </c>
      <c r="D56" s="1985">
        <f>CT_tram!D904</f>
        <v>0</v>
      </c>
      <c r="E56" s="1986" t="str">
        <f>CT_tram!E904</f>
        <v>06.3231</v>
      </c>
      <c r="F56" s="1987" t="str">
        <f>CT_tram!F904</f>
        <v>Cổ dê kẹp ống PVC Ø 114 trụ đôi D280</v>
      </c>
      <c r="G56" s="2075" t="str">
        <f>CT_tram!G904</f>
        <v>bộ</v>
      </c>
      <c r="H56" s="2076">
        <f>CT_tram!H904</f>
        <v>2</v>
      </c>
      <c r="I56" s="2076">
        <f>CT_tram!I904</f>
        <v>2</v>
      </c>
      <c r="J56" s="1972">
        <f>IFERROR(VLOOKUP(B56,DG!A:F,6,0),3000)</f>
        <v>50</v>
      </c>
      <c r="K56" s="1973">
        <f>IF(J56&lt;2000,COUNTIF($B$2:B56,B56),0)</f>
        <v>1</v>
      </c>
      <c r="L56" s="1430"/>
      <c r="M56" s="1509"/>
      <c r="O56" s="1509"/>
    </row>
    <row r="57" spans="1:15" s="1285" customFormat="1" ht="25.15" customHeight="1">
      <c r="A57" s="2173">
        <f>COUNTIF($K$1:K57,1)</f>
        <v>34</v>
      </c>
      <c r="B57" s="2264" t="str">
        <f>CT_tram!B905</f>
        <v>cd114</v>
      </c>
      <c r="C57" s="1984">
        <f>CT_tram!C905</f>
        <v>0</v>
      </c>
      <c r="D57" s="1985">
        <f>CT_tram!D905</f>
        <v>0</v>
      </c>
      <c r="E57" s="1986" t="str">
        <f>CT_tram!E905</f>
        <v>06.3231</v>
      </c>
      <c r="F57" s="1987" t="str">
        <f>CT_tram!F905</f>
        <v>Cổ dê kẹp ống PVC Ø 114 trụ đôi D230</v>
      </c>
      <c r="G57" s="2075" t="str">
        <f>CT_tram!G905</f>
        <v>bộ</v>
      </c>
      <c r="H57" s="2076">
        <f>CT_tram!H905</f>
        <v>4</v>
      </c>
      <c r="I57" s="2076">
        <f>CT_tram!I905</f>
        <v>4</v>
      </c>
      <c r="J57" s="1972">
        <f>IFERROR(VLOOKUP(B57,DG!A:F,6,0),3000)</f>
        <v>50</v>
      </c>
      <c r="K57" s="1973">
        <f>IF(J57&lt;2000,COUNTIF($B$2:B57,B57),0)</f>
        <v>2</v>
      </c>
      <c r="L57" s="1430"/>
      <c r="M57" s="1509"/>
      <c r="O57" s="1509"/>
    </row>
    <row r="58" spans="1:15" s="1285" customFormat="1" ht="25.15" customHeight="1">
      <c r="A58" s="2173">
        <f>COUNTIF($K$1:K58,1)</f>
        <v>34</v>
      </c>
      <c r="B58" s="2264" t="str">
        <f>CT_tram!B927</f>
        <v>cd114</v>
      </c>
      <c r="C58" s="1984">
        <f>CT_tram!C927</f>
        <v>0</v>
      </c>
      <c r="D58" s="1985">
        <f>CT_tram!D927</f>
        <v>0</v>
      </c>
      <c r="E58" s="1986">
        <f>CT_tram!E927</f>
        <v>0</v>
      </c>
      <c r="F58" s="1987" t="str">
        <f>CT_tram!F927</f>
        <v>Cổ dê kẹp ống PVC Ø 114</v>
      </c>
      <c r="G58" s="2075" t="str">
        <f>CT_tram!G927</f>
        <v>bộ</v>
      </c>
      <c r="H58" s="2076">
        <f>CT_tram!H927</f>
        <v>0</v>
      </c>
      <c r="I58" s="2076">
        <f>CT_tram!I927</f>
        <v>0</v>
      </c>
      <c r="J58" s="1972">
        <f>IFERROR(VLOOKUP(B58,DG!A:F,6,0),3000)</f>
        <v>50</v>
      </c>
      <c r="K58" s="1973">
        <f>IF(J58&lt;2000,COUNTIF($B$2:B58,B58),0)</f>
        <v>3</v>
      </c>
      <c r="L58" s="1430"/>
      <c r="M58" s="1509"/>
      <c r="O58" s="1509"/>
    </row>
    <row r="59" spans="1:15" s="1285" customFormat="1" ht="25.15" customHeight="1">
      <c r="A59" s="2173">
        <f>COUNTIF($K$1:K59,1)</f>
        <v>35</v>
      </c>
      <c r="B59" s="2264" t="str">
        <f>CT_tram!B879</f>
        <v>CD320</v>
      </c>
      <c r="C59" s="1984">
        <f>CT_tram!C879</f>
        <v>0</v>
      </c>
      <c r="D59" s="1985">
        <f>CT_tram!D879</f>
        <v>0</v>
      </c>
      <c r="E59" s="1986" t="str">
        <f>CT_tram!E879</f>
        <v>06.3231</v>
      </c>
      <c r="F59" s="1987" t="str">
        <f>CT_tram!F879</f>
        <v>Cổ dê CDĐKĐT( bắt thùng điện kế)</v>
      </c>
      <c r="G59" s="2075" t="str">
        <f>CT_tram!G879</f>
        <v>bộ</v>
      </c>
      <c r="H59" s="2076">
        <f>CT_tram!H879</f>
        <v>2</v>
      </c>
      <c r="I59" s="2076">
        <f>CT_tram!I879</f>
        <v>2</v>
      </c>
      <c r="J59" s="1972">
        <f>IFERROR(VLOOKUP(B59,DG!A:F,6,0),3000)</f>
        <v>50</v>
      </c>
      <c r="K59" s="1973">
        <f>IF(J59&lt;2000,COUNTIF($B$2:B59,B59),0)</f>
        <v>1</v>
      </c>
      <c r="L59" s="1430"/>
      <c r="M59" s="1509"/>
      <c r="O59" s="1509"/>
    </row>
    <row r="60" spans="1:15" s="1285" customFormat="1" ht="25.15" customHeight="1">
      <c r="A60" s="2173">
        <f>COUNTIF($K$1:K60,1)</f>
        <v>36</v>
      </c>
      <c r="B60" s="2264" t="str">
        <f>CT_tram!B924</f>
        <v>chcos150</v>
      </c>
      <c r="C60" s="1984">
        <f>CT_tram!C924</f>
        <v>0</v>
      </c>
      <c r="D60" s="1985">
        <f>CT_tram!D924</f>
        <v>0</v>
      </c>
      <c r="E60" s="1986">
        <f>CT_tram!E924</f>
        <v>0</v>
      </c>
      <c r="F60" s="1987" t="str">
        <f>CT_tram!F924</f>
        <v>Chụp đầu cosse  150mm2</v>
      </c>
      <c r="G60" s="2075" t="str">
        <f>CT_tram!G924</f>
        <v>cái</v>
      </c>
      <c r="H60" s="2076">
        <f>CT_tram!H924</f>
        <v>0</v>
      </c>
      <c r="I60" s="2076">
        <f>CT_tram!I924</f>
        <v>0</v>
      </c>
      <c r="J60" s="1972">
        <f>IFERROR(VLOOKUP(B60,DG!A:F,6,0),3000)</f>
        <v>50</v>
      </c>
      <c r="K60" s="1973">
        <f>IF(J60&lt;2000,COUNTIF($B$2:B60,B60),0)</f>
        <v>1</v>
      </c>
      <c r="L60" s="1430"/>
      <c r="M60" s="1509"/>
      <c r="O60" s="1509"/>
    </row>
    <row r="61" spans="1:15" s="1285" customFormat="1" ht="25.15" customHeight="1">
      <c r="A61" s="2173">
        <f>COUNTIF($K$1:K61,1)</f>
        <v>37</v>
      </c>
      <c r="B61" s="2465" t="str">
        <f>CT_tram!B901</f>
        <v>chcos95</v>
      </c>
      <c r="C61" s="1975">
        <f>CT_tram!C901</f>
        <v>0</v>
      </c>
      <c r="D61" s="1980">
        <f>CT_tram!D901</f>
        <v>0</v>
      </c>
      <c r="E61" s="1981">
        <f>CT_tram!E901</f>
        <v>0</v>
      </c>
      <c r="F61" s="1982" t="str">
        <f>CT_tram!F901</f>
        <v>Chụp đầu cosse  95mm2</v>
      </c>
      <c r="G61" s="2075" t="str">
        <f>CT_tram!G901</f>
        <v>cái</v>
      </c>
      <c r="H61" s="2076">
        <f>CT_tram!H901</f>
        <v>1</v>
      </c>
      <c r="I61" s="2076">
        <f>CT_tram!I901</f>
        <v>1</v>
      </c>
      <c r="J61" s="1972">
        <f>IFERROR(VLOOKUP(B61,DG!A:F,6,0),3000)</f>
        <v>50</v>
      </c>
      <c r="K61" s="1973">
        <f>IF(J61&lt;2000,COUNTIF($B$2:B61,B61),0)</f>
        <v>1</v>
      </c>
      <c r="L61" s="1430"/>
      <c r="M61" s="1509"/>
      <c r="O61" s="1509"/>
    </row>
    <row r="62" spans="1:15" s="1285" customFormat="1" ht="25.15" customHeight="1">
      <c r="A62" s="2173">
        <f>COUNTIF($K$1:K62,1)</f>
        <v>37</v>
      </c>
      <c r="B62" s="2264" t="str">
        <f>CT_tram!B925</f>
        <v>chcos95</v>
      </c>
      <c r="C62" s="1984">
        <f>CT_tram!C925</f>
        <v>0</v>
      </c>
      <c r="D62" s="1985">
        <f>CT_tram!D925</f>
        <v>0</v>
      </c>
      <c r="E62" s="1986">
        <f>CT_tram!E925</f>
        <v>0</v>
      </c>
      <c r="F62" s="1987" t="str">
        <f>CT_tram!F925</f>
        <v>Chụp đầu cosse  95mm2</v>
      </c>
      <c r="G62" s="2075" t="str">
        <f>CT_tram!G925</f>
        <v>cái</v>
      </c>
      <c r="H62" s="2076">
        <f>CT_tram!H925</f>
        <v>0</v>
      </c>
      <c r="I62" s="2076">
        <f>CT_tram!I925</f>
        <v>0</v>
      </c>
      <c r="J62" s="1972">
        <f>IFERROR(VLOOKUP(B62,DG!A:F,6,0),3000)</f>
        <v>50</v>
      </c>
      <c r="K62" s="1973">
        <f>IF(J62&lt;2000,COUNTIF($B$2:B62,B62),0)</f>
        <v>2</v>
      </c>
      <c r="L62" s="1430"/>
      <c r="M62" s="1509"/>
      <c r="O62" s="1509"/>
    </row>
    <row r="63" spans="1:15" s="1285" customFormat="1" ht="25.15" customHeight="1">
      <c r="A63" s="2173">
        <f>COUNTIF($K$1:K63,1)</f>
        <v>38</v>
      </c>
      <c r="B63" s="2465" t="str">
        <f>chitiet!B1879</f>
        <v>CHFCO</v>
      </c>
      <c r="C63" s="1975" t="str">
        <f>chitiet!C1879</f>
        <v>x</v>
      </c>
      <c r="D63" s="1980">
        <f>chitiet!D1879</f>
        <v>3</v>
      </c>
      <c r="E63" s="1981">
        <f>chitiet!E1879</f>
        <v>0</v>
      </c>
      <c r="F63" s="1982" t="str">
        <f>chitiet!F1879</f>
        <v>Chụp đầu cực FCO (bộ 2 cái)</v>
      </c>
      <c r="G63" s="2077" t="str">
        <f>chitiet!G1879</f>
        <v>bộ</v>
      </c>
      <c r="H63" s="2078">
        <f>chitiet!H1879</f>
        <v>3</v>
      </c>
      <c r="I63" s="2076">
        <f>chitiet!P1879</f>
        <v>3</v>
      </c>
      <c r="J63" s="1972">
        <f>IFERROR(VLOOKUP(B63,DG!A:F,6,0),3000)</f>
        <v>50</v>
      </c>
      <c r="K63" s="1973">
        <f>IF(J63&lt;2000,COUNTIF($B$2:B63,B63),0)</f>
        <v>1</v>
      </c>
      <c r="L63" s="1430"/>
      <c r="M63" s="1509"/>
      <c r="O63" s="1509"/>
    </row>
    <row r="64" spans="1:15" s="1285" customFormat="1" ht="25.15" customHeight="1">
      <c r="A64" s="2173">
        <f>COUNTIF($K$1:K64,1)</f>
        <v>38</v>
      </c>
      <c r="B64" s="2264" t="str">
        <f>CT_tram!B887</f>
        <v>chfco</v>
      </c>
      <c r="C64" s="1984">
        <f>CT_tram!C887</f>
        <v>0</v>
      </c>
      <c r="D64" s="1985">
        <f>CT_tram!D887</f>
        <v>0</v>
      </c>
      <c r="E64" s="1986">
        <f>CT_tram!E887</f>
        <v>0</v>
      </c>
      <c r="F64" s="1987" t="str">
        <f>CT_tram!F887</f>
        <v>Chụp đầu cực FCO (bộ 2 cái)</v>
      </c>
      <c r="G64" s="2075" t="str">
        <f>CT_tram!G887</f>
        <v>bộ</v>
      </c>
      <c r="H64" s="2076">
        <f>CT_tram!H887</f>
        <v>3</v>
      </c>
      <c r="I64" s="2076">
        <f>CT_tram!I887</f>
        <v>3</v>
      </c>
      <c r="J64" s="1972">
        <f>IFERROR(VLOOKUP(B64,DG!A:F,6,0),3000)</f>
        <v>50</v>
      </c>
      <c r="K64" s="1973">
        <f>IF(J64&lt;2000,COUNTIF($B$2:B64,B64),0)</f>
        <v>2</v>
      </c>
      <c r="L64" s="1430"/>
      <c r="M64" s="1509"/>
      <c r="O64" s="1509"/>
    </row>
    <row r="65" spans="1:15" s="1285" customFormat="1" ht="25.15" customHeight="1">
      <c r="A65" s="2173">
        <f>COUNTIF($K$1:K65,1)</f>
        <v>39</v>
      </c>
      <c r="B65" s="1976" t="str">
        <f>CT_tram!B824</f>
        <v>chi6k</v>
      </c>
      <c r="C65" s="1289">
        <f>CT_tram!C824</f>
        <v>0</v>
      </c>
      <c r="D65" s="1978">
        <f>CT_tram!D824</f>
        <v>3</v>
      </c>
      <c r="E65" s="2225">
        <f>CT_tram!E824</f>
        <v>0</v>
      </c>
      <c r="F65" s="2230" t="str">
        <f>CT_tram!F824</f>
        <v>Dây chảy 6K</v>
      </c>
      <c r="G65" s="2235" t="str">
        <f>CT_tram!G824</f>
        <v>Sợi</v>
      </c>
      <c r="H65" s="2235">
        <f>CT_tram!H824</f>
        <v>3</v>
      </c>
      <c r="I65" s="2235">
        <f>CT_tram!I824</f>
        <v>3</v>
      </c>
      <c r="J65" s="1972">
        <f>IFERROR(VLOOKUP(B65,DG!A:F,6,0),3000)</f>
        <v>50</v>
      </c>
      <c r="K65" s="1973">
        <f>IF(J65&lt;2000,COUNTIF($B$2:B65,B65),0)</f>
        <v>1</v>
      </c>
      <c r="L65" s="1426"/>
      <c r="M65" s="1509"/>
      <c r="O65" s="1509"/>
    </row>
    <row r="66" spans="1:15" s="1285" customFormat="1" ht="25.15" customHeight="1">
      <c r="A66" s="2173">
        <f>COUNTIF($K$1:K66,1)</f>
        <v>40</v>
      </c>
      <c r="B66" s="1976" t="str">
        <f>chitiet!B2271</f>
        <v>chi8k</v>
      </c>
      <c r="C66" s="1289" t="str">
        <f>chitiet!C2271</f>
        <v>x</v>
      </c>
      <c r="D66" s="1978">
        <f>chitiet!D2271</f>
        <v>0</v>
      </c>
      <c r="E66" s="2225">
        <f>chitiet!E2271</f>
        <v>0</v>
      </c>
      <c r="F66" s="2230" t="str">
        <f>chitiet!F2271</f>
        <v>Dây chảy 8K</v>
      </c>
      <c r="G66" s="2235" t="str">
        <f>chitiet!G2271</f>
        <v>Sợi</v>
      </c>
      <c r="H66" s="2235">
        <f>chitiet!H2271</f>
        <v>3</v>
      </c>
      <c r="I66" s="2235">
        <f>chitiet!P2271</f>
        <v>3</v>
      </c>
      <c r="J66" s="1972">
        <f>IFERROR(VLOOKUP(B66,DG!A:F,6,0),3000)</f>
        <v>50</v>
      </c>
      <c r="K66" s="1973">
        <f>IF(J66&lt;2000,COUNTIF($B$2:B66,B66),0)</f>
        <v>1</v>
      </c>
      <c r="L66" s="1426"/>
      <c r="M66" s="1509"/>
      <c r="O66" s="1509"/>
    </row>
    <row r="67" spans="1:15" s="1285" customFormat="1" ht="25.15" customHeight="1">
      <c r="A67" s="2173">
        <f>COUNTIF($K$1:K67,1)</f>
        <v>41</v>
      </c>
      <c r="B67" s="2264" t="str">
        <f>CT_tram!B888</f>
        <v>chla</v>
      </c>
      <c r="C67" s="1984">
        <f>CT_tram!C888</f>
        <v>0</v>
      </c>
      <c r="D67" s="1985">
        <f>CT_tram!D888</f>
        <v>0</v>
      </c>
      <c r="E67" s="1986">
        <f>CT_tram!E888</f>
        <v>0</v>
      </c>
      <c r="F67" s="1987" t="str">
        <f>CT_tram!F888</f>
        <v>Chụp đầu cực LA</v>
      </c>
      <c r="G67" s="2075" t="str">
        <f>CT_tram!G888</f>
        <v>cái</v>
      </c>
      <c r="H67" s="2076">
        <f>CT_tram!H888</f>
        <v>3</v>
      </c>
      <c r="I67" s="2076">
        <f>CT_tram!I888</f>
        <v>3</v>
      </c>
      <c r="J67" s="1972">
        <f>IFERROR(VLOOKUP(B67,DG!A:F,6,0),3000)</f>
        <v>50</v>
      </c>
      <c r="K67" s="1973">
        <f>IF(J67&lt;2000,COUNTIF($B$2:B67,B67),0)</f>
        <v>1</v>
      </c>
      <c r="L67" s="1430"/>
      <c r="M67" s="1509"/>
      <c r="O67" s="1509"/>
    </row>
    <row r="68" spans="1:15" s="1285" customFormat="1" ht="25.15" customHeight="1">
      <c r="A68" s="2173">
        <f>COUNTIF($K$1:K68,1)</f>
        <v>42</v>
      </c>
      <c r="B68" s="2264" t="str">
        <f>CT_tram!B889</f>
        <v>chmba</v>
      </c>
      <c r="C68" s="1984">
        <f>CT_tram!C889</f>
        <v>0</v>
      </c>
      <c r="D68" s="1985">
        <f>CT_tram!D889</f>
        <v>0</v>
      </c>
      <c r="E68" s="1986">
        <f>CT_tram!E889</f>
        <v>0</v>
      </c>
      <c r="F68" s="1987" t="str">
        <f>CT_tram!F889</f>
        <v>Chụp đầu MBA</v>
      </c>
      <c r="G68" s="2075" t="str">
        <f>CT_tram!G889</f>
        <v>cái</v>
      </c>
      <c r="H68" s="2076">
        <f>CT_tram!H889</f>
        <v>3</v>
      </c>
      <c r="I68" s="2076">
        <f>CT_tram!I889</f>
        <v>3</v>
      </c>
      <c r="J68" s="1972">
        <f>IFERROR(VLOOKUP(B68,DG!A:F,6,0),3000)</f>
        <v>50</v>
      </c>
      <c r="K68" s="1973">
        <f>IF(J68&lt;2000,COUNTIF($B$2:B68,B68),0)</f>
        <v>1</v>
      </c>
      <c r="L68" s="1430"/>
      <c r="M68" s="1509"/>
      <c r="O68" s="1509"/>
    </row>
    <row r="69" spans="1:15" s="1285" customFormat="1" ht="25.15" customHeight="1">
      <c r="A69" s="2173">
        <f>COUNTIF($K$1:K69,1)</f>
        <v>43</v>
      </c>
      <c r="B69" s="2264" t="str">
        <f>chitiet!B1178</f>
        <v>CL</v>
      </c>
      <c r="C69" s="1984" t="str">
        <f>chitiet!C1178</f>
        <v>x</v>
      </c>
      <c r="D69" s="1985">
        <f>chitiet!D1178</f>
        <v>1</v>
      </c>
      <c r="E69" s="1986">
        <f>chitiet!E1178</f>
        <v>0</v>
      </c>
      <c r="F69" s="1987" t="str">
        <f>chitiet!F1178</f>
        <v>Bộ chống chằng hẹp Ø60/50x1500+2BL12x40+BL16x250/80</v>
      </c>
      <c r="G69" s="2075" t="str">
        <f>chitiet!G1178</f>
        <v>bộ</v>
      </c>
      <c r="H69" s="2076">
        <f>chitiet!H1178</f>
        <v>1</v>
      </c>
      <c r="I69" s="2076">
        <f>chitiet!P1178</f>
        <v>1</v>
      </c>
      <c r="J69" s="1972">
        <f>IFERROR(VLOOKUP(B69,DG!A:F,6,0),3000)</f>
        <v>50</v>
      </c>
      <c r="K69" s="1973">
        <f>IF(J69&lt;2000,COUNTIF($B$2:B69,B69),0)</f>
        <v>1</v>
      </c>
      <c r="L69" s="1430"/>
      <c r="M69" s="1509"/>
      <c r="O69" s="1509"/>
    </row>
    <row r="70" spans="1:15" s="1285" customFormat="1" ht="25.15" customHeight="1">
      <c r="A70" s="2173">
        <f>COUNTIF($K$1:K70,1)</f>
        <v>44</v>
      </c>
      <c r="B70" s="2264" t="str">
        <f>chitiet!B1095</f>
        <v>COM110x800x5-2,4</v>
      </c>
      <c r="C70" s="1984" t="str">
        <f>chitiet!C1095</f>
        <v>x</v>
      </c>
      <c r="D70" s="1985">
        <f>chitiet!D1095</f>
        <v>1</v>
      </c>
      <c r="E70" s="1986">
        <f>chitiet!E1095</f>
        <v>0</v>
      </c>
      <c r="F70" s="1987" t="str">
        <f>chitiet!F1095</f>
        <v>Xà composite 110x800x5 dài 2,4m</v>
      </c>
      <c r="G70" s="2077" t="str">
        <f>chitiet!G1095</f>
        <v>cái</v>
      </c>
      <c r="H70" s="2078">
        <f>chitiet!H1095</f>
        <v>1</v>
      </c>
      <c r="I70" s="2079">
        <f>chitiet!P1095</f>
        <v>1</v>
      </c>
      <c r="J70" s="1972">
        <f>IFERROR(VLOOKUP(B70,DG!A:F,6,0),3000)</f>
        <v>50</v>
      </c>
      <c r="K70" s="1973">
        <f>IF(J70&lt;2000,COUNTIF($B$2:B70,B70),0)</f>
        <v>1</v>
      </c>
      <c r="L70" s="1430"/>
      <c r="M70" s="1509"/>
      <c r="O70" s="1509"/>
    </row>
    <row r="71" spans="1:15" s="1285" customFormat="1" ht="25.15" customHeight="1">
      <c r="A71" s="2173">
        <f>COUNTIF($K$1:K71,1)</f>
        <v>44</v>
      </c>
      <c r="B71" s="2264" t="str">
        <f>CT_tram!B852</f>
        <v>COM110x800x5-2,4</v>
      </c>
      <c r="C71" s="1984">
        <f>CT_tram!C852</f>
        <v>0</v>
      </c>
      <c r="D71" s="1985">
        <f>CT_tram!D852</f>
        <v>0</v>
      </c>
      <c r="E71" s="2261">
        <f>CT_tram!E852</f>
        <v>0</v>
      </c>
      <c r="F71" s="2262" t="str">
        <f>CT_tram!F852</f>
        <v>Xà composite 110x800x5 dài 2,4m</v>
      </c>
      <c r="G71" s="2263" t="str">
        <f>CT_tram!G852</f>
        <v>cái</v>
      </c>
      <c r="H71" s="2263">
        <f>CT_tram!H852</f>
        <v>1</v>
      </c>
      <c r="I71" s="2263">
        <f>CT_tram!I852</f>
        <v>1</v>
      </c>
      <c r="J71" s="1972">
        <f>IFERROR(VLOOKUP(B71,DG!A:F,6,0),3000)</f>
        <v>50</v>
      </c>
      <c r="K71" s="1973">
        <f>IF(J71&lt;2000,COUNTIF($B$2:B71,B71),0)</f>
        <v>2</v>
      </c>
      <c r="L71" s="1426"/>
      <c r="M71" s="1509"/>
      <c r="O71" s="1509"/>
    </row>
    <row r="72" spans="1:15" s="1285" customFormat="1" ht="25.15" customHeight="1">
      <c r="A72" s="2173">
        <f>COUNTIF($K$1:K72,1)</f>
        <v>45</v>
      </c>
      <c r="B72" s="2264" t="str">
        <f>chitiet!B1097</f>
        <v>com40x10x920</v>
      </c>
      <c r="C72" s="1984" t="str">
        <f>chitiet!C1097</f>
        <v>x</v>
      </c>
      <c r="D72" s="1985">
        <f>chitiet!D1097</f>
        <v>2</v>
      </c>
      <c r="E72" s="1986">
        <f>chitiet!E1097</f>
        <v>0</v>
      </c>
      <c r="F72" s="1987" t="str">
        <f>chitiet!F1097</f>
        <v>Chống composite 40x10x920</v>
      </c>
      <c r="G72" s="2075" t="str">
        <f>chitiet!G1097</f>
        <v>cái</v>
      </c>
      <c r="H72" s="2076">
        <f>chitiet!H1097</f>
        <v>2</v>
      </c>
      <c r="I72" s="2076">
        <f>chitiet!P1097</f>
        <v>2</v>
      </c>
      <c r="J72" s="1972">
        <f>IFERROR(VLOOKUP(B72,DG!A:F,6,0),3000)</f>
        <v>50</v>
      </c>
      <c r="K72" s="1973">
        <f>IF(J72&lt;2000,COUNTIF($B$2:B72,B72),0)</f>
        <v>1</v>
      </c>
      <c r="L72" s="1430"/>
      <c r="M72" s="1509"/>
      <c r="O72" s="1509"/>
    </row>
    <row r="73" spans="1:15" s="1285" customFormat="1" ht="25.15" customHeight="1">
      <c r="A73" s="2173">
        <f>COUNTIF($K$1:K73,1)</f>
        <v>45</v>
      </c>
      <c r="B73" s="2264" t="str">
        <f>CT_tram!B853</f>
        <v>com40x10x920</v>
      </c>
      <c r="C73" s="1984">
        <f>CT_tram!C853</f>
        <v>0</v>
      </c>
      <c r="D73" s="1985">
        <f>CT_tram!D853</f>
        <v>0</v>
      </c>
      <c r="E73" s="2261">
        <f>CT_tram!E853</f>
        <v>0</v>
      </c>
      <c r="F73" s="2262" t="str">
        <f>CT_tram!F853</f>
        <v>Chống composite 40x10x920</v>
      </c>
      <c r="G73" s="2263" t="str">
        <f>CT_tram!G853</f>
        <v>cái</v>
      </c>
      <c r="H73" s="2263">
        <f>CT_tram!H853</f>
        <v>2</v>
      </c>
      <c r="I73" s="2263">
        <f>CT_tram!I853</f>
        <v>2</v>
      </c>
      <c r="J73" s="1972">
        <f>IFERROR(VLOOKUP(B73,DG!A:F,6,0),3000)</f>
        <v>50</v>
      </c>
      <c r="K73" s="1973">
        <f>IF(J73&lt;2000,COUNTIF($B$2:B73,B73),0)</f>
        <v>2</v>
      </c>
      <c r="L73" s="1426"/>
      <c r="M73" s="1509"/>
      <c r="O73" s="1509"/>
    </row>
    <row r="74" spans="1:15" s="1285" customFormat="1" ht="25.15" customHeight="1">
      <c r="A74" s="2173">
        <f>COUNTIF($K$1:K74,1)</f>
        <v>46</v>
      </c>
      <c r="B74" s="2465" t="str">
        <f>CT_tram!B922</f>
        <v>cos150</v>
      </c>
      <c r="C74" s="1975">
        <f>CT_tram!C922</f>
        <v>0</v>
      </c>
      <c r="D74" s="1980">
        <f>CT_tram!D922</f>
        <v>0</v>
      </c>
      <c r="E74" s="1981">
        <f>CT_tram!E922</f>
        <v>0</v>
      </c>
      <c r="F74" s="1982" t="str">
        <f>CT_tram!F922</f>
        <v>Đầu cosse ép Cu 150mm2</v>
      </c>
      <c r="G74" s="2075" t="str">
        <f>CT_tram!G922</f>
        <v>cái</v>
      </c>
      <c r="H74" s="2076">
        <f>CT_tram!H922</f>
        <v>0</v>
      </c>
      <c r="I74" s="2076">
        <f>CT_tram!I922</f>
        <v>0</v>
      </c>
      <c r="J74" s="1972">
        <f>IFERROR(VLOOKUP(B74,DG!A:F,6,0),3000)</f>
        <v>50</v>
      </c>
      <c r="K74" s="1973">
        <f>IF(J74&lt;2000,COUNTIF($B$2:B74,B74),0)</f>
        <v>1</v>
      </c>
      <c r="L74" s="1430"/>
      <c r="M74" s="1509"/>
      <c r="O74" s="1509"/>
    </row>
    <row r="75" spans="1:15" s="1285" customFormat="1" ht="25.15" customHeight="1">
      <c r="A75" s="2173">
        <f>COUNTIF($K$1:K75,1)</f>
        <v>47</v>
      </c>
      <c r="B75" s="2264" t="str">
        <f>CT_tram!B897</f>
        <v>cos5</v>
      </c>
      <c r="C75" s="1984">
        <f>CT_tram!C897</f>
        <v>0</v>
      </c>
      <c r="D75" s="1985">
        <f>CT_tram!D897</f>
        <v>0</v>
      </c>
      <c r="E75" s="1986" t="str">
        <f>CT_tram!E897</f>
        <v>03.4001</v>
      </c>
      <c r="F75" s="1987" t="str">
        <f>CT_tram!F897</f>
        <v>Đầu cosse ép Cu 5mm2</v>
      </c>
      <c r="G75" s="2075" t="str">
        <f>CT_tram!G897</f>
        <v>cái</v>
      </c>
      <c r="H75" s="2076">
        <f>CT_tram!H897</f>
        <v>6</v>
      </c>
      <c r="I75" s="2076">
        <f>CT_tram!I897</f>
        <v>6</v>
      </c>
      <c r="J75" s="1972">
        <f>IFERROR(VLOOKUP(B75,DG!A:F,6,0),3000)</f>
        <v>50</v>
      </c>
      <c r="K75" s="1973">
        <f>IF(J75&lt;2000,COUNTIF($B$2:B75,B75),0)</f>
        <v>1</v>
      </c>
      <c r="L75" s="1430"/>
      <c r="M75" s="1509"/>
      <c r="O75" s="1509"/>
    </row>
    <row r="76" spans="1:15" s="1285" customFormat="1" ht="25.15" customHeight="1">
      <c r="A76" s="2173">
        <f>COUNTIF($K$1:K76,1)</f>
        <v>48</v>
      </c>
      <c r="B76" s="2264" t="str">
        <f>CT_tram!B899</f>
        <v>cos95</v>
      </c>
      <c r="C76" s="1984">
        <f>CT_tram!C899</f>
        <v>0</v>
      </c>
      <c r="D76" s="1985">
        <f>CT_tram!D899</f>
        <v>0</v>
      </c>
      <c r="E76" s="1986" t="str">
        <f>CT_tram!E899</f>
        <v>03.4004</v>
      </c>
      <c r="F76" s="1987" t="str">
        <f>CT_tram!F899</f>
        <v>Đầu cosse ép Cu 95mm2</v>
      </c>
      <c r="G76" s="2075" t="str">
        <f>CT_tram!G899</f>
        <v>cái</v>
      </c>
      <c r="H76" s="2076">
        <f>CT_tram!H899</f>
        <v>1</v>
      </c>
      <c r="I76" s="2076">
        <f>CT_tram!I899</f>
        <v>1</v>
      </c>
      <c r="J76" s="1972">
        <f>IFERROR(VLOOKUP(B76,DG!A:F,6,0),3000)</f>
        <v>50</v>
      </c>
      <c r="K76" s="1973">
        <f>IF(J76&lt;2000,COUNTIF($B$2:B76,B76),0)</f>
        <v>1</v>
      </c>
      <c r="L76" s="1430"/>
      <c r="M76" s="1509"/>
      <c r="O76" s="1509"/>
    </row>
    <row r="77" spans="1:15" s="1285" customFormat="1" ht="25.15" customHeight="1">
      <c r="A77" s="2173">
        <f>COUNTIF($K$1:K77,1)</f>
        <v>48</v>
      </c>
      <c r="B77" s="2264" t="str">
        <f>CT_tram!B923</f>
        <v>cos95</v>
      </c>
      <c r="C77" s="1984">
        <f>CT_tram!C923</f>
        <v>0</v>
      </c>
      <c r="D77" s="1985">
        <f>CT_tram!D923</f>
        <v>0</v>
      </c>
      <c r="E77" s="1986">
        <f>CT_tram!E923</f>
        <v>0</v>
      </c>
      <c r="F77" s="1987" t="str">
        <f>CT_tram!F923</f>
        <v>Đầu cosse ép Cu 95mm2</v>
      </c>
      <c r="G77" s="2075" t="str">
        <f>CT_tram!G923</f>
        <v>cái</v>
      </c>
      <c r="H77" s="2076">
        <f>CT_tram!H923</f>
        <v>0</v>
      </c>
      <c r="I77" s="2076">
        <f>CT_tram!I923</f>
        <v>0</v>
      </c>
      <c r="J77" s="1972">
        <f>IFERROR(VLOOKUP(B77,DG!A:F,6,0),3000)</f>
        <v>50</v>
      </c>
      <c r="K77" s="1973">
        <f>IF(J77&lt;2000,COUNTIF($B$2:B77,B77),0)</f>
        <v>2</v>
      </c>
      <c r="L77" s="1430"/>
      <c r="M77" s="1509"/>
      <c r="O77" s="1509"/>
    </row>
    <row r="78" spans="1:15" s="1285" customFormat="1" ht="25.15" customHeight="1">
      <c r="A78" s="2173">
        <f>COUNTIF($K$1:K78,1)</f>
        <v>49</v>
      </c>
      <c r="B78" s="2264" t="str">
        <f>chitiet!B1878</f>
        <v>cose50</v>
      </c>
      <c r="C78" s="1984" t="str">
        <f>chitiet!C1878</f>
        <v>x</v>
      </c>
      <c r="D78" s="1985">
        <f>chitiet!D1878</f>
        <v>3</v>
      </c>
      <c r="E78" s="1986">
        <f>chitiet!E1878</f>
        <v>0</v>
      </c>
      <c r="F78" s="1987" t="str">
        <f>chitiet!F1878</f>
        <v>Đầu cosse ép Cu-Al 50mm2</v>
      </c>
      <c r="G78" s="2075" t="str">
        <f>chitiet!G1878</f>
        <v>cái</v>
      </c>
      <c r="H78" s="2076">
        <f>chitiet!H1878</f>
        <v>3</v>
      </c>
      <c r="I78" s="2076">
        <f>chitiet!P1878</f>
        <v>3</v>
      </c>
      <c r="J78" s="1972">
        <f>IFERROR(VLOOKUP(B78,DG!A:F,6,0),3000)</f>
        <v>50</v>
      </c>
      <c r="K78" s="1973">
        <f>IF(J78&lt;2000,COUNTIF($B$2:B78,B78),0)</f>
        <v>1</v>
      </c>
      <c r="L78" s="1430"/>
      <c r="M78" s="1509"/>
      <c r="O78" s="1509"/>
    </row>
    <row r="79" spans="1:15" s="1285" customFormat="1" ht="25.15" customHeight="1">
      <c r="A79" s="2173">
        <f>COUNTIF($K$1:K79,1)</f>
        <v>50</v>
      </c>
      <c r="B79" s="1976" t="str">
        <f>chitiet!B1796</f>
        <v>CSD</v>
      </c>
      <c r="C79" s="1289" t="str">
        <f>chitiet!C1796</f>
        <v>x</v>
      </c>
      <c r="D79" s="1978">
        <f>chitiet!D1796</f>
        <v>1</v>
      </c>
      <c r="E79" s="1505">
        <f>chitiet!E1796</f>
        <v>0</v>
      </c>
      <c r="F79" s="1979" t="str">
        <f>chitiet!F1796</f>
        <v>Chân sứ đứng D20</v>
      </c>
      <c r="G79" s="1988" t="str">
        <f>chitiet!G1796</f>
        <v>cái</v>
      </c>
      <c r="H79" s="1989">
        <f>chitiet!H1796</f>
        <v>69</v>
      </c>
      <c r="I79" s="1989">
        <f>chitiet!P1796</f>
        <v>69</v>
      </c>
      <c r="J79" s="1972">
        <f>IFERROR(VLOOKUP(B79,DG!A:F,6,0),3000)</f>
        <v>50</v>
      </c>
      <c r="K79" s="1973">
        <f>IF(J79&lt;2000,COUNTIF($B$2:B79,B79),0)</f>
        <v>1</v>
      </c>
      <c r="L79" s="1430"/>
      <c r="M79" s="1509"/>
      <c r="O79" s="1509"/>
    </row>
    <row r="80" spans="1:15" s="1285" customFormat="1" ht="25.15" customHeight="1">
      <c r="A80" s="2173">
        <f>COUNTIF($K$1:K80,1)</f>
        <v>51</v>
      </c>
      <c r="B80" s="2264" t="str">
        <f>chitiet!B624</f>
        <v>CTD+K</v>
      </c>
      <c r="C80" s="1984" t="str">
        <f>chitiet!C624</f>
        <v>x</v>
      </c>
      <c r="D80" s="1985">
        <f>chitiet!D624</f>
        <v>1</v>
      </c>
      <c r="E80" s="1986">
        <f>chitiet!E624</f>
        <v>0</v>
      </c>
      <c r="F80" s="1987" t="str">
        <f>chitiet!F624</f>
        <v>Cọc tiếp đất Þ 16- 2,4m + kẹp cọc mạ đồng</v>
      </c>
      <c r="G80" s="2075" t="str">
        <f>chitiet!G624</f>
        <v>bộ</v>
      </c>
      <c r="H80" s="2076">
        <f>chitiet!H624</f>
        <v>4</v>
      </c>
      <c r="I80" s="2076">
        <f>chitiet!P624</f>
        <v>4</v>
      </c>
      <c r="J80" s="1972">
        <f>IFERROR(VLOOKUP(B80,DG!A:F,6,0),3000)</f>
        <v>50</v>
      </c>
      <c r="K80" s="1973">
        <f>IF(J80&lt;2000,COUNTIF($B$2:B80,B80),0)</f>
        <v>1</v>
      </c>
      <c r="L80" s="1430"/>
      <c r="M80" s="1509"/>
      <c r="O80" s="1509"/>
    </row>
    <row r="81" spans="1:15" s="1285" customFormat="1" ht="25.15" customHeight="1">
      <c r="A81" s="2173">
        <f>COUNTIF($K$1:K81,1)</f>
        <v>51</v>
      </c>
      <c r="B81" s="2264" t="str">
        <f>CT_tram!B863</f>
        <v>CTD+K</v>
      </c>
      <c r="C81" s="1984">
        <f>CT_tram!C863</f>
        <v>0</v>
      </c>
      <c r="D81" s="1985">
        <f>CT_tram!D863</f>
        <v>0</v>
      </c>
      <c r="E81" s="1986">
        <f>CT_tram!E863</f>
        <v>0</v>
      </c>
      <c r="F81" s="1987" t="str">
        <f>CT_tram!F863</f>
        <v>Cọc tiếp đất Þ 16- 2,4m + kẹp cọc mạ đồng</v>
      </c>
      <c r="G81" s="2075" t="str">
        <f>CT_tram!G863</f>
        <v>bộ</v>
      </c>
      <c r="H81" s="2076">
        <f>CT_tram!H863</f>
        <v>10</v>
      </c>
      <c r="I81" s="2076">
        <f>CT_tram!I863</f>
        <v>10</v>
      </c>
      <c r="J81" s="1972">
        <f>IFERROR(VLOOKUP(B81,DG!A:F,6,0),3000)</f>
        <v>50</v>
      </c>
      <c r="K81" s="1973">
        <f>IF(J81&lt;2000,COUNTIF($B$2:B81,B81),0)</f>
        <v>2</v>
      </c>
      <c r="L81" s="1430"/>
      <c r="M81" s="1509"/>
      <c r="O81" s="1509"/>
    </row>
    <row r="82" spans="1:15" s="1285" customFormat="1" ht="25.15" customHeight="1">
      <c r="A82" s="2173">
        <f>COUNTIF($K$1:K82,1)</f>
        <v>52</v>
      </c>
      <c r="B82" s="2264" t="str">
        <f>CT_tram!B907</f>
        <v>cut114l</v>
      </c>
      <c r="C82" s="1984">
        <f>CT_tram!C907</f>
        <v>0</v>
      </c>
      <c r="D82" s="1985">
        <f>CT_tram!D907</f>
        <v>0</v>
      </c>
      <c r="E82" s="1986">
        <f>CT_tram!E907</f>
        <v>0</v>
      </c>
      <c r="F82" s="1987" t="str">
        <f>CT_tram!F907</f>
        <v>Co 135 độ PVC 114</v>
      </c>
      <c r="G82" s="2075" t="str">
        <f>CT_tram!G907</f>
        <v>cái</v>
      </c>
      <c r="H82" s="2076">
        <f>CT_tram!H907</f>
        <v>2</v>
      </c>
      <c r="I82" s="2076">
        <f>CT_tram!I907</f>
        <v>2</v>
      </c>
      <c r="J82" s="1972">
        <f>IFERROR(VLOOKUP(B82,DG!A:F,6,0),3000)</f>
        <v>50</v>
      </c>
      <c r="K82" s="1973">
        <f>IF(J82&lt;2000,COUNTIF($B$2:B82,B82),0)</f>
        <v>1</v>
      </c>
      <c r="L82" s="1430"/>
      <c r="M82" s="1509"/>
      <c r="O82" s="1509"/>
    </row>
    <row r="83" spans="1:15" s="1285" customFormat="1" ht="25.15" customHeight="1">
      <c r="A83" s="2173">
        <f>COUNTIF($K$1:K83,1)</f>
        <v>52</v>
      </c>
      <c r="B83" s="2465" t="str">
        <f>CT_tram!B929</f>
        <v>cut114l</v>
      </c>
      <c r="C83" s="1975">
        <f>CT_tram!C929</f>
        <v>0</v>
      </c>
      <c r="D83" s="1980">
        <f>CT_tram!D929</f>
        <v>0</v>
      </c>
      <c r="E83" s="2227">
        <f>CT_tram!E929</f>
        <v>0</v>
      </c>
      <c r="F83" s="2232" t="str">
        <f>CT_tram!F929</f>
        <v>Co 135 độ PVC 114</v>
      </c>
      <c r="G83" s="2238" t="str">
        <f>CT_tram!G929</f>
        <v>cái</v>
      </c>
      <c r="H83" s="2238">
        <f>CT_tram!H929</f>
        <v>0</v>
      </c>
      <c r="I83" s="2263">
        <f>CT_tram!I929</f>
        <v>0</v>
      </c>
      <c r="J83" s="1972">
        <f>IFERROR(VLOOKUP(B83,DG!A:F,6,0),3000)</f>
        <v>50</v>
      </c>
      <c r="K83" s="1973">
        <f>IF(J83&lt;2000,COUNTIF($B$2:B83,B83),0)</f>
        <v>2</v>
      </c>
      <c r="L83" s="1426"/>
      <c r="M83" s="1509"/>
      <c r="O83" s="1509"/>
    </row>
    <row r="84" spans="1:15" s="1285" customFormat="1" ht="25.15" customHeight="1">
      <c r="A84" s="2173">
        <f>COUNTIF($K$1:K84,1)</f>
        <v>53</v>
      </c>
      <c r="B84" s="2465" t="str">
        <f>CT_tram!B906</f>
        <v>cut114t</v>
      </c>
      <c r="C84" s="1975">
        <f>CT_tram!C906</f>
        <v>0</v>
      </c>
      <c r="D84" s="1980">
        <f>CT_tram!D906</f>
        <v>0</v>
      </c>
      <c r="E84" s="1981">
        <f>CT_tram!E906</f>
        <v>0</v>
      </c>
      <c r="F84" s="1982" t="str">
        <f>CT_tram!F906</f>
        <v>Co  90 độ PVC 114</v>
      </c>
      <c r="G84" s="2077" t="str">
        <f>CT_tram!G906</f>
        <v>cái</v>
      </c>
      <c r="H84" s="2076">
        <f>CT_tram!H906</f>
        <v>2</v>
      </c>
      <c r="I84" s="2076">
        <f>CT_tram!I906</f>
        <v>2</v>
      </c>
      <c r="J84" s="1972">
        <f>IFERROR(VLOOKUP(B84,DG!A:F,6,0),3000)</f>
        <v>50</v>
      </c>
      <c r="K84" s="1973">
        <f>IF(J84&lt;2000,COUNTIF($B$2:B84,B84),0)</f>
        <v>1</v>
      </c>
      <c r="L84" s="1430"/>
      <c r="M84" s="1509"/>
      <c r="O84" s="1509"/>
    </row>
    <row r="85" spans="1:15" s="1285" customFormat="1" ht="25.15" customHeight="1">
      <c r="A85" s="2173">
        <f>COUNTIF($K$1:K85,1)</f>
        <v>53</v>
      </c>
      <c r="B85" s="2264" t="str">
        <f>CT_tram!B928</f>
        <v>cut114t</v>
      </c>
      <c r="C85" s="1984">
        <f>CT_tram!C928</f>
        <v>0</v>
      </c>
      <c r="D85" s="1985">
        <f>CT_tram!D928</f>
        <v>0</v>
      </c>
      <c r="E85" s="1986">
        <f>CT_tram!E928</f>
        <v>0</v>
      </c>
      <c r="F85" s="1987" t="str">
        <f>CT_tram!F928</f>
        <v>Co  90 độ PVC 114</v>
      </c>
      <c r="G85" s="2075" t="str">
        <f>CT_tram!G928</f>
        <v>cái</v>
      </c>
      <c r="H85" s="2076">
        <f>CT_tram!H928</f>
        <v>0</v>
      </c>
      <c r="I85" s="2076">
        <f>CT_tram!I928</f>
        <v>0</v>
      </c>
      <c r="J85" s="1972">
        <f>IFERROR(VLOOKUP(B85,DG!A:F,6,0),3000)</f>
        <v>50</v>
      </c>
      <c r="K85" s="1973">
        <f>IF(J85&lt;2000,COUNTIF($B$2:B85,B85),0)</f>
        <v>2</v>
      </c>
      <c r="L85" s="1430"/>
      <c r="M85" s="1509"/>
      <c r="O85" s="1509"/>
    </row>
    <row r="86" spans="1:15" s="1285" customFormat="1" ht="25.15" customHeight="1">
      <c r="A86" s="2173">
        <f>COUNTIF($K$1:K86,1)</f>
        <v>54</v>
      </c>
      <c r="B86" s="1976" t="str">
        <f>chitiet!B360</f>
        <v>dinh</v>
      </c>
      <c r="C86" s="1289" t="str">
        <f>chitiet!C360</f>
        <v>x</v>
      </c>
      <c r="D86" s="1978">
        <f>chitiet!D360</f>
        <v>0.75</v>
      </c>
      <c r="E86" s="2225">
        <f>chitiet!E360</f>
        <v>0</v>
      </c>
      <c r="F86" s="2230" t="str">
        <f>chitiet!F360</f>
        <v>Đinh các loại</v>
      </c>
      <c r="G86" s="2235" t="str">
        <f>chitiet!G360</f>
        <v>kg</v>
      </c>
      <c r="H86" s="2235">
        <f>chitiet!H360</f>
        <v>3.75</v>
      </c>
      <c r="I86" s="2235">
        <f>chitiet!P360</f>
        <v>3.75</v>
      </c>
      <c r="J86" s="1972">
        <f>IFERROR(VLOOKUP(B86,DG!A:F,6,0),3000)</f>
        <v>50</v>
      </c>
      <c r="K86" s="1973">
        <f>IF(J86&lt;2000,COUNTIF($B$2:B86,B86),0)</f>
        <v>1</v>
      </c>
      <c r="L86" s="1430"/>
      <c r="M86" s="1509"/>
      <c r="O86" s="1509"/>
    </row>
    <row r="87" spans="1:15" s="1285" customFormat="1" ht="25.15" customHeight="1">
      <c r="A87" s="2173">
        <f>COUNTIF($K$1:K87,1)</f>
        <v>55</v>
      </c>
      <c r="B87" s="2264" t="str">
        <f>chitiet!B1819</f>
        <v>gniu</v>
      </c>
      <c r="C87" s="1984" t="str">
        <f>chitiet!C1819</f>
        <v>x</v>
      </c>
      <c r="D87" s="1985">
        <f>chitiet!D1819</f>
        <v>1</v>
      </c>
      <c r="E87" s="1986">
        <f>chitiet!E1819</f>
        <v>0</v>
      </c>
      <c r="F87" s="1987" t="str">
        <f>chitiet!F1819</f>
        <v>Giáp níu dừng dây bọc ACX50</v>
      </c>
      <c r="G87" s="1988" t="str">
        <f>chitiet!G1819</f>
        <v>cái</v>
      </c>
      <c r="H87" s="1989">
        <f>chitiet!H1819</f>
        <v>24</v>
      </c>
      <c r="I87" s="1989">
        <f>chitiet!$P$1819</f>
        <v>24</v>
      </c>
      <c r="J87" s="1972">
        <f>IFERROR(VLOOKUP(B87,DG!A:F,6,0),3000)</f>
        <v>50</v>
      </c>
      <c r="K87" s="1973">
        <f>IF(J87&lt;2000,COUNTIF($B$2:B87,B87),0)</f>
        <v>1</v>
      </c>
      <c r="L87" s="1430"/>
      <c r="M87" s="1509"/>
      <c r="O87" s="1509"/>
    </row>
    <row r="88" spans="1:15" s="1285" customFormat="1" ht="25.15" customHeight="1">
      <c r="A88" s="2173">
        <f>COUNTIF($K$1:K88,1)</f>
        <v>56</v>
      </c>
      <c r="B88" s="2264" t="str">
        <f>CT_tram!B835</f>
        <v>GTMBA</v>
      </c>
      <c r="C88" s="1984">
        <f>CT_tram!C835</f>
        <v>0</v>
      </c>
      <c r="D88" s="1985">
        <f>CT_tram!D835</f>
        <v>0</v>
      </c>
      <c r="E88" s="2261" t="str">
        <f>CT_tram!E835</f>
        <v>05.6100</v>
      </c>
      <c r="F88" s="2262" t="str">
        <f>CT_tram!F835</f>
        <v>Giá chùm treo máy biến áp 3x50</v>
      </c>
      <c r="G88" s="2263" t="str">
        <f>CT_tram!G835</f>
        <v>cái</v>
      </c>
      <c r="H88" s="2263">
        <f>CT_tram!H835</f>
        <v>1</v>
      </c>
      <c r="I88" s="2263">
        <f>CT_tram!I835</f>
        <v>1</v>
      </c>
      <c r="J88" s="1972">
        <f>IFERROR(VLOOKUP(B88,DG!A:F,6,0),3000)</f>
        <v>50</v>
      </c>
      <c r="K88" s="1973">
        <f>IF(J88&lt;2000,COUNTIF($B$2:B88,B88),0)</f>
        <v>1</v>
      </c>
      <c r="L88" s="1426"/>
      <c r="M88" s="1509"/>
      <c r="O88" s="1509"/>
    </row>
    <row r="89" spans="1:15" s="1285" customFormat="1" ht="25.15" customHeight="1">
      <c r="A89" s="2173">
        <f>COUNTIF($K$1:K89,1)</f>
        <v>57</v>
      </c>
      <c r="B89" s="2264" t="str">
        <f>chitiet!B1175</f>
        <v>K3B</v>
      </c>
      <c r="C89" s="1984" t="str">
        <f>chitiet!C1175</f>
        <v>x</v>
      </c>
      <c r="D89" s="1985">
        <f>chitiet!D1175</f>
        <v>8</v>
      </c>
      <c r="E89" s="1986">
        <f>chitiet!E1175</f>
        <v>0</v>
      </c>
      <c r="F89" s="1987" t="str">
        <f>chitiet!F1175</f>
        <v>Kẹp cáp 3 boulon</v>
      </c>
      <c r="G89" s="2075" t="str">
        <f>chitiet!G1175</f>
        <v>cái</v>
      </c>
      <c r="H89" s="2076">
        <f>chitiet!H1175</f>
        <v>8</v>
      </c>
      <c r="I89" s="2076">
        <f>chitiet!P1175</f>
        <v>8</v>
      </c>
      <c r="J89" s="1972">
        <f>IFERROR(VLOOKUP(B89,DG!A:F,6,0),3000)</f>
        <v>50</v>
      </c>
      <c r="K89" s="1973">
        <f>IF(J89&lt;2000,COUNTIF($B$2:B89,B89),0)</f>
        <v>1</v>
      </c>
      <c r="L89" s="1430"/>
      <c r="M89" s="1509"/>
      <c r="O89" s="1509"/>
    </row>
    <row r="90" spans="1:15" s="1285" customFormat="1" ht="25.15" customHeight="1">
      <c r="A90" s="2173">
        <f>COUNTIF($K$1:K90,1)</f>
        <v>58</v>
      </c>
      <c r="B90" s="2264" t="str">
        <f>CT_tram!B911</f>
        <v>ke150</v>
      </c>
      <c r="C90" s="1984">
        <f>CT_tram!C911</f>
        <v>0</v>
      </c>
      <c r="D90" s="1985">
        <f>CT_tram!D911</f>
        <v>0</v>
      </c>
      <c r="E90" s="1986">
        <f>CT_tram!E911</f>
        <v>0</v>
      </c>
      <c r="F90" s="1987" t="str">
        <f>CT_tram!F911</f>
        <v>Kẹp ép WR cỡ dây 150mm2</v>
      </c>
      <c r="G90" s="2075" t="str">
        <f>CT_tram!G911</f>
        <v>cái</v>
      </c>
      <c r="H90" s="2076">
        <f>CT_tram!H911</f>
        <v>6</v>
      </c>
      <c r="I90" s="2076">
        <f>CT_tram!I911</f>
        <v>6</v>
      </c>
      <c r="J90" s="1972">
        <f>IFERROR(VLOOKUP(B90,DG!A:F,6,0),3000)</f>
        <v>50</v>
      </c>
      <c r="K90" s="1973">
        <f>IF(J90&lt;2000,COUNTIF($B$2:B90,B90),0)</f>
        <v>1</v>
      </c>
      <c r="L90" s="1430"/>
      <c r="M90" s="1509"/>
      <c r="O90" s="1509"/>
    </row>
    <row r="91" spans="1:15" s="1285" customFormat="1" ht="25.15" customHeight="1">
      <c r="A91" s="2173">
        <f>COUNTIF($K$1:K91,1)</f>
        <v>58</v>
      </c>
      <c r="B91" s="2264" t="str">
        <f>CT_tram!B934</f>
        <v>ke150</v>
      </c>
      <c r="C91" s="1984">
        <f>CT_tram!C934</f>
        <v>0</v>
      </c>
      <c r="D91" s="1985">
        <f>CT_tram!D934</f>
        <v>0</v>
      </c>
      <c r="E91" s="2261">
        <f>CT_tram!E934</f>
        <v>0</v>
      </c>
      <c r="F91" s="2262" t="str">
        <f>CT_tram!F934</f>
        <v>Kẹp ép WR cỡ dây 150mm2</v>
      </c>
      <c r="G91" s="2263" t="str">
        <f>CT_tram!G934</f>
        <v>cái</v>
      </c>
      <c r="H91" s="2263">
        <f>CT_tram!H934</f>
        <v>0</v>
      </c>
      <c r="I91" s="2263">
        <f>CT_tram!I934</f>
        <v>0</v>
      </c>
      <c r="J91" s="1972">
        <f>IFERROR(VLOOKUP(B91,DG!A:F,6,0),3000)</f>
        <v>50</v>
      </c>
      <c r="K91" s="1973">
        <f>IF(J91&lt;2000,COUNTIF($B$2:B91,B91),0)</f>
        <v>2</v>
      </c>
      <c r="L91" s="1426"/>
      <c r="M91" s="1509"/>
      <c r="O91" s="1509"/>
    </row>
    <row r="92" spans="1:15" s="1285" customFormat="1" ht="25.15" customHeight="1">
      <c r="A92" s="2173">
        <f>COUNTIF($K$1:K92,1)</f>
        <v>59</v>
      </c>
      <c r="B92" s="2264" t="str">
        <f>CT_tram!B867</f>
        <v>KE25</v>
      </c>
      <c r="C92" s="1984">
        <f>CT_tram!C867</f>
        <v>0</v>
      </c>
      <c r="D92" s="1985">
        <f>CT_tram!D867</f>
        <v>0</v>
      </c>
      <c r="E92" s="1986">
        <f>CT_tram!E867</f>
        <v>0</v>
      </c>
      <c r="F92" s="1987" t="str">
        <f>CT_tram!F867</f>
        <v>Kẹp ép cỡ dây 25mm2</v>
      </c>
      <c r="G92" s="2077" t="str">
        <f>CT_tram!G867</f>
        <v>cái</v>
      </c>
      <c r="H92" s="2078">
        <f>CT_tram!H867</f>
        <v>2</v>
      </c>
      <c r="I92" s="2076">
        <f>CT_tram!I867</f>
        <v>2</v>
      </c>
      <c r="J92" s="1972">
        <f>IFERROR(VLOOKUP(B92,DG!A:F,6,0),3000)</f>
        <v>50</v>
      </c>
      <c r="K92" s="1973">
        <f>IF(J92&lt;2000,COUNTIF($B$2:B92,B92),0)</f>
        <v>1</v>
      </c>
      <c r="L92" s="1430"/>
      <c r="M92" s="1509"/>
      <c r="O92" s="1509"/>
    </row>
    <row r="93" spans="1:15" s="1285" customFormat="1" ht="25.15" customHeight="1">
      <c r="A93" s="2173">
        <f>COUNTIF($K$1:K93,1)</f>
        <v>60</v>
      </c>
      <c r="B93" s="1976" t="str">
        <f>chitiet!B625</f>
        <v>Ke50</v>
      </c>
      <c r="C93" s="1289" t="str">
        <f>chitiet!C625</f>
        <v>x</v>
      </c>
      <c r="D93" s="1978">
        <f>chitiet!D625</f>
        <v>2</v>
      </c>
      <c r="E93" s="1505">
        <f>chitiet!E625</f>
        <v>0</v>
      </c>
      <c r="F93" s="1979" t="str">
        <f>chitiet!F625</f>
        <v>Kẹp ép WR cỡ dây 50mm2</v>
      </c>
      <c r="G93" s="1988" t="str">
        <f>chitiet!G625</f>
        <v>cái</v>
      </c>
      <c r="H93" s="1989">
        <f>chitiet!H625</f>
        <v>8</v>
      </c>
      <c r="I93" s="1989">
        <f>chitiet!P625</f>
        <v>8</v>
      </c>
      <c r="J93" s="1972">
        <f>IFERROR(VLOOKUP(B93,DG!A:F,6,0),3000)</f>
        <v>50</v>
      </c>
      <c r="K93" s="1973">
        <f>IF(J93&lt;2000,COUNTIF($B$2:B93,B93),0)</f>
        <v>1</v>
      </c>
      <c r="L93" s="1430"/>
      <c r="M93" s="1509"/>
      <c r="O93" s="1509"/>
    </row>
    <row r="94" spans="1:15" s="1285" customFormat="1" ht="25.15" customHeight="1">
      <c r="A94" s="2173">
        <f>COUNTIF($K$1:K94,1)</f>
        <v>60</v>
      </c>
      <c r="B94" s="2264" t="str">
        <f>chitiet!B1849</f>
        <v>ke50</v>
      </c>
      <c r="C94" s="1984" t="str">
        <f>chitiet!C1849</f>
        <v>x</v>
      </c>
      <c r="D94" s="1985">
        <f>chitiet!D1849</f>
        <v>18</v>
      </c>
      <c r="E94" s="1986">
        <f>chitiet!E1849</f>
        <v>0</v>
      </c>
      <c r="F94" s="1987" t="str">
        <f>chitiet!F1849</f>
        <v>Kẹp ép WR cỡ dây 50mm2</v>
      </c>
      <c r="G94" s="2075" t="str">
        <f>chitiet!G1849</f>
        <v>cái</v>
      </c>
      <c r="H94" s="2076">
        <f>chitiet!H1849</f>
        <v>18</v>
      </c>
      <c r="I94" s="2076">
        <f>chitiet!$P$1849</f>
        <v>18</v>
      </c>
      <c r="J94" s="1972">
        <f>IFERROR(VLOOKUP(B94,DG!A:F,6,0),3000)</f>
        <v>50</v>
      </c>
      <c r="K94" s="1973">
        <f>IF(J94&lt;2000,COUNTIF($B$2:B94,B94),0)</f>
        <v>2</v>
      </c>
      <c r="L94" s="1430"/>
      <c r="M94" s="1509"/>
      <c r="O94" s="1509"/>
    </row>
    <row r="95" spans="1:15" s="1285" customFormat="1" ht="25.15" customHeight="1">
      <c r="A95" s="2173">
        <f>COUNTIF($K$1:K95,1)</f>
        <v>60</v>
      </c>
      <c r="B95" s="2264" t="str">
        <f>CT_tram!B910</f>
        <v>ke50</v>
      </c>
      <c r="C95" s="1984">
        <f>CT_tram!C910</f>
        <v>0</v>
      </c>
      <c r="D95" s="1985">
        <f>CT_tram!D910</f>
        <v>0</v>
      </c>
      <c r="E95" s="1986">
        <f>CT_tram!E910</f>
        <v>0</v>
      </c>
      <c r="F95" s="1987" t="str">
        <f>CT_tram!F910</f>
        <v>Kẹp ép WR cỡ dây 50mm2</v>
      </c>
      <c r="G95" s="2075" t="str">
        <f>CT_tram!G910</f>
        <v>cái</v>
      </c>
      <c r="H95" s="2076">
        <f>CT_tram!H910</f>
        <v>2</v>
      </c>
      <c r="I95" s="2076">
        <f>CT_tram!I910</f>
        <v>2</v>
      </c>
      <c r="J95" s="1972">
        <f>IFERROR(VLOOKUP(B95,DG!A:F,6,0),3000)</f>
        <v>50</v>
      </c>
      <c r="K95" s="1973">
        <f>IF(J95&lt;2000,COUNTIF($B$2:B95,B95),0)</f>
        <v>3</v>
      </c>
      <c r="L95" s="1430"/>
      <c r="M95" s="1509"/>
      <c r="O95" s="1509"/>
    </row>
    <row r="96" spans="1:15" s="1285" customFormat="1" ht="25.15" customHeight="1">
      <c r="A96" s="2173">
        <f>COUNTIF($K$1:K96,1)</f>
        <v>61</v>
      </c>
      <c r="B96" s="2264" t="str">
        <f>CT_tram!B914</f>
        <v>KEObit</v>
      </c>
      <c r="C96" s="1984">
        <f>CT_tram!C914</f>
        <v>0</v>
      </c>
      <c r="D96" s="1985">
        <f>CT_tram!D914</f>
        <v>0</v>
      </c>
      <c r="E96" s="1986">
        <f>CT_tram!E914</f>
        <v>0</v>
      </c>
      <c r="F96" s="1987" t="str">
        <f>CT_tram!F914</f>
        <v>Keo silicon bít miệng ống</v>
      </c>
      <c r="G96" s="2077" t="str">
        <f>CT_tram!G914</f>
        <v>ống</v>
      </c>
      <c r="H96" s="2078">
        <f>CT_tram!H914</f>
        <v>5</v>
      </c>
      <c r="I96" s="2079">
        <f>CT_tram!I914</f>
        <v>5</v>
      </c>
      <c r="J96" s="1972">
        <f>IFERROR(VLOOKUP(B96,DG!A:F,6,0),3000)</f>
        <v>50</v>
      </c>
      <c r="K96" s="1973">
        <f>IF(J96&lt;2000,COUNTIF($B$2:B96,B96),0)</f>
        <v>1</v>
      </c>
      <c r="L96" s="1430"/>
      <c r="M96" s="1509"/>
      <c r="O96" s="1509"/>
    </row>
    <row r="97" spans="1:15" s="1285" customFormat="1" ht="25.15" customHeight="1">
      <c r="A97" s="2173">
        <f>COUNTIF($K$1:K97,1)</f>
        <v>61</v>
      </c>
      <c r="B97" s="2467" t="str">
        <f>CT_tram!B933</f>
        <v>KEObit</v>
      </c>
      <c r="C97" s="2080">
        <f>CT_tram!C933</f>
        <v>0</v>
      </c>
      <c r="D97" s="2081">
        <f>CT_tram!D933</f>
        <v>0</v>
      </c>
      <c r="E97" s="1986">
        <f>CT_tram!E933</f>
        <v>0</v>
      </c>
      <c r="F97" s="1987" t="str">
        <f>CT_tram!F933</f>
        <v>Keo silicon bít miệng ống</v>
      </c>
      <c r="G97" s="2075" t="str">
        <f>CT_tram!G933</f>
        <v>ống</v>
      </c>
      <c r="H97" s="2076">
        <f>CT_tram!H933</f>
        <v>0</v>
      </c>
      <c r="I97" s="2076">
        <f>CT_tram!I933</f>
        <v>0</v>
      </c>
      <c r="J97" s="1972">
        <f>IFERROR(VLOOKUP(B97,DG!A:F,6,0),3000)</f>
        <v>50</v>
      </c>
      <c r="K97" s="1973">
        <f>IF(J97&lt;2000,COUNTIF($B$2:B97,B97),0)</f>
        <v>2</v>
      </c>
      <c r="L97" s="1430"/>
      <c r="M97" s="1509"/>
      <c r="O97" s="1509"/>
    </row>
    <row r="98" spans="1:15" s="1285" customFormat="1" ht="25.15" customHeight="1">
      <c r="A98" s="2173">
        <f>COUNTIF($K$1:K98,1)</f>
        <v>62</v>
      </c>
      <c r="B98" s="2264" t="str">
        <f>CT_tram!B913</f>
        <v>KEODAN</v>
      </c>
      <c r="C98" s="1984">
        <f>CT_tram!C913</f>
        <v>0</v>
      </c>
      <c r="D98" s="1985">
        <f>CT_tram!D913</f>
        <v>0</v>
      </c>
      <c r="E98" s="1986">
        <f>CT_tram!E913</f>
        <v>0</v>
      </c>
      <c r="F98" s="1987" t="str">
        <f>CT_tram!F913</f>
        <v>Keo dán ống PVC (100gr)</v>
      </c>
      <c r="G98" s="2075" t="str">
        <f>CT_tram!G913</f>
        <v>tuýp</v>
      </c>
      <c r="H98" s="2076">
        <f>CT_tram!H913</f>
        <v>1</v>
      </c>
      <c r="I98" s="2076">
        <f>CT_tram!I913</f>
        <v>1</v>
      </c>
      <c r="J98" s="1972">
        <f>IFERROR(VLOOKUP(B98,DG!A:F,6,0),3000)</f>
        <v>50</v>
      </c>
      <c r="K98" s="1973">
        <f>IF(J98&lt;2000,COUNTIF($B$2:B98,B98),0)</f>
        <v>1</v>
      </c>
      <c r="L98" s="1430"/>
      <c r="M98" s="1509"/>
      <c r="O98" s="1509"/>
    </row>
    <row r="99" spans="1:15" s="1285" customFormat="1" ht="25.15" customHeight="1">
      <c r="A99" s="2173">
        <f>COUNTIF($K$1:K99,1)</f>
        <v>62</v>
      </c>
      <c r="B99" s="2264" t="str">
        <f>CT_tram!B932</f>
        <v>KEODAN</v>
      </c>
      <c r="C99" s="1984">
        <f>CT_tram!C932</f>
        <v>0</v>
      </c>
      <c r="D99" s="1985">
        <f>CT_tram!D932</f>
        <v>0</v>
      </c>
      <c r="E99" s="1986">
        <f>CT_tram!E932</f>
        <v>0</v>
      </c>
      <c r="F99" s="1987" t="str">
        <f>CT_tram!F932</f>
        <v>Keo dán ống PVC (100gr)</v>
      </c>
      <c r="G99" s="2075" t="str">
        <f>CT_tram!G932</f>
        <v>tuýp</v>
      </c>
      <c r="H99" s="2076">
        <f>CT_tram!H932</f>
        <v>0</v>
      </c>
      <c r="I99" s="2076">
        <f>CT_tram!I932</f>
        <v>0</v>
      </c>
      <c r="J99" s="1972">
        <f>IFERROR(VLOOKUP(B99,DG!A:F,6,0),3000)</f>
        <v>50</v>
      </c>
      <c r="K99" s="1973">
        <f>IF(J99&lt;2000,COUNTIF($B$2:B99,B99),0)</f>
        <v>2</v>
      </c>
      <c r="L99" s="1430"/>
      <c r="M99" s="1509"/>
      <c r="O99" s="1509"/>
    </row>
    <row r="100" spans="1:15" s="1285" customFormat="1" ht="25.15" customHeight="1">
      <c r="A100" s="2173">
        <f>COUNTIF($K$1:K100,1)</f>
        <v>63</v>
      </c>
      <c r="B100" s="2264" t="str">
        <f>chitiet!B1873</f>
        <v>KH2/0</v>
      </c>
      <c r="C100" s="1984" t="str">
        <f>chitiet!C1873</f>
        <v>x</v>
      </c>
      <c r="D100" s="1985">
        <f>chitiet!D1873</f>
        <v>6</v>
      </c>
      <c r="E100" s="1986" t="str">
        <f>chitiet!E1873</f>
        <v>04.3007</v>
      </c>
      <c r="F100" s="1987" t="str">
        <f>chitiet!F1873</f>
        <v>Kẹp hotline 2/0</v>
      </c>
      <c r="G100" s="2075" t="str">
        <f>chitiet!G1873</f>
        <v>cái</v>
      </c>
      <c r="H100" s="2076">
        <f>chitiet!H1873</f>
        <v>6</v>
      </c>
      <c r="I100" s="2076">
        <f>chitiet!$P$1873</f>
        <v>6</v>
      </c>
      <c r="J100" s="1972">
        <f>IFERROR(VLOOKUP(B100,DG!A:F,6,0),3000)</f>
        <v>50</v>
      </c>
      <c r="K100" s="1973">
        <f>IF(J100&lt;2000,COUNTIF($B$2:B100,B100),0)</f>
        <v>1</v>
      </c>
      <c r="L100" s="1430"/>
      <c r="M100" s="1509"/>
      <c r="O100" s="1509"/>
    </row>
    <row r="101" spans="1:15" s="1285" customFormat="1" ht="25.15" customHeight="1">
      <c r="A101" s="2173">
        <f>COUNTIF($K$1:K101,1)</f>
        <v>63</v>
      </c>
      <c r="B101" s="2264" t="str">
        <f>CT_tram!B885</f>
        <v>KH2/0</v>
      </c>
      <c r="C101" s="1984">
        <f>CT_tram!C885</f>
        <v>0</v>
      </c>
      <c r="D101" s="1985">
        <f>CT_tram!D885</f>
        <v>0</v>
      </c>
      <c r="E101" s="1986" t="str">
        <f>CT_tram!E885</f>
        <v>04.3007</v>
      </c>
      <c r="F101" s="1987" t="str">
        <f>CT_tram!F885</f>
        <v>Kẹp hotline 2/0</v>
      </c>
      <c r="G101" s="2075" t="str">
        <f>CT_tram!G885</f>
        <v>cái</v>
      </c>
      <c r="H101" s="2076">
        <f>CT_tram!H885</f>
        <v>3</v>
      </c>
      <c r="I101" s="2076">
        <f>CT_tram!I885</f>
        <v>3</v>
      </c>
      <c r="J101" s="1972">
        <f>IFERROR(VLOOKUP(B101,DG!A:F,6,0),3000)</f>
        <v>50</v>
      </c>
      <c r="K101" s="1973">
        <f>IF(J101&lt;2000,COUNTIF($B$2:B101,B101),0)</f>
        <v>2</v>
      </c>
      <c r="L101" s="1430"/>
      <c r="M101" s="1509"/>
      <c r="O101" s="1509"/>
    </row>
    <row r="102" spans="1:15" s="1285" customFormat="1" ht="25.15" customHeight="1">
      <c r="A102" s="2173">
        <f>COUNTIF($K$1:K102,1)</f>
        <v>64</v>
      </c>
      <c r="B102" s="2264" t="str">
        <f>chitiet!B1783</f>
        <v>kn50</v>
      </c>
      <c r="C102" s="1984" t="str">
        <f>chitiet!C1783</f>
        <v>x</v>
      </c>
      <c r="D102" s="1985">
        <f>chitiet!D1783</f>
        <v>1</v>
      </c>
      <c r="E102" s="1986">
        <f>chitiet!E1783</f>
        <v>0</v>
      </c>
      <c r="F102" s="1987" t="str">
        <f>chitiet!F1783</f>
        <v>Khóa néo dây cỡ dây 50</v>
      </c>
      <c r="G102" s="2075" t="str">
        <f>chitiet!G1783</f>
        <v>cái</v>
      </c>
      <c r="H102" s="2076">
        <f>chitiet!H1783</f>
        <v>8</v>
      </c>
      <c r="I102" s="2076">
        <f>chitiet!P1783</f>
        <v>8</v>
      </c>
      <c r="J102" s="1972">
        <f>IFERROR(VLOOKUP(B102,DG!A:F,6,0),3000)</f>
        <v>50</v>
      </c>
      <c r="K102" s="1973">
        <f>IF(J102&lt;2000,COUNTIF($B$2:B102,B102),0)</f>
        <v>1</v>
      </c>
      <c r="L102" s="1430"/>
      <c r="M102" s="1509"/>
      <c r="O102" s="1509"/>
    </row>
    <row r="103" spans="1:15" s="1285" customFormat="1" ht="25.15" customHeight="1">
      <c r="A103" s="2173">
        <f>COUNTIF($K$1:K103,1)</f>
        <v>65</v>
      </c>
      <c r="B103" s="2264" t="str">
        <f>CT_tram!B884</f>
        <v>KQ2/0</v>
      </c>
      <c r="C103" s="1984">
        <f>CT_tram!C884</f>
        <v>0</v>
      </c>
      <c r="D103" s="1985">
        <f>CT_tram!D884</f>
        <v>0</v>
      </c>
      <c r="E103" s="1986" t="str">
        <f>CT_tram!E884</f>
        <v>04.3007</v>
      </c>
      <c r="F103" s="1987" t="str">
        <f>CT_tram!F884</f>
        <v>Kẹp quai 2/0</v>
      </c>
      <c r="G103" s="2075" t="str">
        <f>CT_tram!G884</f>
        <v>cái</v>
      </c>
      <c r="H103" s="2076">
        <f>CT_tram!H884</f>
        <v>3</v>
      </c>
      <c r="I103" s="2076">
        <f>CT_tram!I884</f>
        <v>3</v>
      </c>
      <c r="J103" s="1972">
        <f>IFERROR(VLOOKUP(B103,DG!A:F,6,0),3000)</f>
        <v>50</v>
      </c>
      <c r="K103" s="1973">
        <f>IF(J103&lt;2000,COUNTIF($B$2:B103,B103),0)</f>
        <v>1</v>
      </c>
      <c r="L103" s="1430"/>
      <c r="M103" s="1509"/>
      <c r="O103" s="1509"/>
    </row>
    <row r="104" spans="1:15" s="1285" customFormat="1" ht="25.15" customHeight="1">
      <c r="A104" s="2173">
        <f>COUNTIF($K$1:K104,1)</f>
        <v>66</v>
      </c>
      <c r="B104" s="2264" t="str">
        <f>chitiet!B1871</f>
        <v xml:space="preserve">KQ2/0 </v>
      </c>
      <c r="C104" s="1984" t="str">
        <f>chitiet!C1871</f>
        <v>x</v>
      </c>
      <c r="D104" s="1985">
        <f>chitiet!D1871</f>
        <v>6</v>
      </c>
      <c r="E104" s="1986" t="str">
        <f>chitiet!E1871</f>
        <v>04.3007</v>
      </c>
      <c r="F104" s="1987" t="str">
        <f>chitiet!F1871</f>
        <v>Kẹp quai 2/0 + chụp cách điện</v>
      </c>
      <c r="G104" s="2075" t="str">
        <f>chitiet!G1871</f>
        <v>bộ</v>
      </c>
      <c r="H104" s="2076">
        <f>chitiet!H1871</f>
        <v>6</v>
      </c>
      <c r="I104" s="2076">
        <f>chitiet!$P$1871</f>
        <v>6</v>
      </c>
      <c r="J104" s="1972">
        <f>IFERROR(VLOOKUP(B104,DG!A:F,6,0),3000)</f>
        <v>50</v>
      </c>
      <c r="K104" s="1973">
        <f>IF(J104&lt;2000,COUNTIF($B$2:B104,B104),0)</f>
        <v>1</v>
      </c>
      <c r="L104" s="1430"/>
      <c r="M104" s="1509"/>
      <c r="O104" s="1509"/>
    </row>
    <row r="105" spans="1:15" s="1285" customFormat="1" ht="25.15" customHeight="1">
      <c r="A105" s="2173">
        <f>COUNTIF($K$1:K105,1)</f>
        <v>67</v>
      </c>
      <c r="B105" s="2465" t="str">
        <f>CT_tram!B909</f>
        <v>KVRN114</v>
      </c>
      <c r="C105" s="1975">
        <f>CT_tram!C909</f>
        <v>0</v>
      </c>
      <c r="D105" s="1980">
        <f>CT_tram!D909</f>
        <v>0</v>
      </c>
      <c r="E105" s="1981">
        <f>CT_tram!E909</f>
        <v>0</v>
      </c>
      <c r="F105" s="1982" t="str">
        <f>CT_tram!F909</f>
        <v>Khâu ven răng ngoài D114</v>
      </c>
      <c r="G105" s="2075" t="str">
        <f>CT_tram!G909</f>
        <v>cái</v>
      </c>
      <c r="H105" s="2076">
        <f>CT_tram!H909</f>
        <v>1</v>
      </c>
      <c r="I105" s="2076">
        <f>CT_tram!I909</f>
        <v>1</v>
      </c>
      <c r="J105" s="1972">
        <f>IFERROR(VLOOKUP(B105,DG!A:F,6,0),3000)</f>
        <v>50</v>
      </c>
      <c r="K105" s="1973">
        <f>IF(J105&lt;2000,COUNTIF($B$2:B105,B105),0)</f>
        <v>1</v>
      </c>
      <c r="L105" s="1430"/>
      <c r="M105" s="1993"/>
      <c r="N105" s="1994"/>
      <c r="O105" s="1993"/>
    </row>
    <row r="106" spans="1:15" s="1285" customFormat="1" ht="25.15" customHeight="1">
      <c r="A106" s="2173">
        <f>COUNTIF($K$1:K106,1)</f>
        <v>67</v>
      </c>
      <c r="B106" s="2264" t="str">
        <f>CT_tram!B931</f>
        <v>KVRN114</v>
      </c>
      <c r="C106" s="1984">
        <f>CT_tram!C931</f>
        <v>0</v>
      </c>
      <c r="D106" s="1985">
        <f>CT_tram!D931</f>
        <v>0</v>
      </c>
      <c r="E106" s="1986">
        <f>CT_tram!E931</f>
        <v>0</v>
      </c>
      <c r="F106" s="1987" t="str">
        <f>CT_tram!F931</f>
        <v>Khâu ven răng ngoài D114</v>
      </c>
      <c r="G106" s="2075" t="str">
        <f>CT_tram!G931</f>
        <v>cái</v>
      </c>
      <c r="H106" s="2076">
        <f>CT_tram!H931</f>
        <v>0</v>
      </c>
      <c r="I106" s="2076">
        <f>CT_tram!I931</f>
        <v>0</v>
      </c>
      <c r="J106" s="1972">
        <f>IFERROR(VLOOKUP(B106,DG!A:F,6,0),3000)</f>
        <v>50</v>
      </c>
      <c r="K106" s="1973">
        <f>IF(J106&lt;2000,COUNTIF($B$2:B106,B106),0)</f>
        <v>2</v>
      </c>
      <c r="L106" s="1992"/>
      <c r="M106" s="1509"/>
      <c r="O106" s="1509"/>
    </row>
    <row r="107" spans="1:15" s="1285" customFormat="1" ht="25.15" customHeight="1">
      <c r="A107" s="2173">
        <f>COUNTIF($K$1:K107,1)</f>
        <v>68</v>
      </c>
      <c r="B107" s="2264" t="str">
        <f>CT_tram!B908</f>
        <v>KVRT114</v>
      </c>
      <c r="C107" s="1984">
        <f>CT_tram!C908</f>
        <v>0</v>
      </c>
      <c r="D107" s="1985">
        <f>CT_tram!D908</f>
        <v>0</v>
      </c>
      <c r="E107" s="1986">
        <f>CT_tram!E908</f>
        <v>0</v>
      </c>
      <c r="F107" s="1987" t="str">
        <f>CT_tram!F908</f>
        <v>Khâu ven răng trong D114</v>
      </c>
      <c r="G107" s="2075" t="str">
        <f>CT_tram!G908</f>
        <v>cái</v>
      </c>
      <c r="H107" s="2076">
        <f>CT_tram!H908</f>
        <v>1</v>
      </c>
      <c r="I107" s="2076">
        <f>CT_tram!I908</f>
        <v>1</v>
      </c>
      <c r="J107" s="1972">
        <f>IFERROR(VLOOKUP(B107,DG!A:F,6,0),3000)</f>
        <v>50</v>
      </c>
      <c r="K107" s="1973">
        <f>IF(J107&lt;2000,COUNTIF($B$2:B107,B107),0)</f>
        <v>1</v>
      </c>
      <c r="L107" s="1430"/>
      <c r="M107" s="1509"/>
      <c r="O107" s="1509"/>
    </row>
    <row r="108" spans="1:15" s="1285" customFormat="1" ht="25.15" customHeight="1">
      <c r="A108" s="2173">
        <f>COUNTIF($K$1:K108,1)</f>
        <v>68</v>
      </c>
      <c r="B108" s="2467" t="str">
        <f>CT_tram!B930</f>
        <v>KVRT114</v>
      </c>
      <c r="C108" s="2080">
        <f>CT_tram!C930</f>
        <v>0</v>
      </c>
      <c r="D108" s="2081">
        <f>CT_tram!D930</f>
        <v>0</v>
      </c>
      <c r="E108" s="1986">
        <f>CT_tram!E930</f>
        <v>0</v>
      </c>
      <c r="F108" s="1987" t="str">
        <f>CT_tram!F930</f>
        <v>Khâu ven răng trong D114</v>
      </c>
      <c r="G108" s="2075" t="str">
        <f>CT_tram!G930</f>
        <v>cái</v>
      </c>
      <c r="H108" s="2076">
        <f>CT_tram!H930</f>
        <v>0</v>
      </c>
      <c r="I108" s="2076">
        <f>CT_tram!I930</f>
        <v>0</v>
      </c>
      <c r="J108" s="1972">
        <f>IFERROR(VLOOKUP(B108,DG!A:F,6,0),3000)</f>
        <v>50</v>
      </c>
      <c r="K108" s="1973">
        <f>IF(J108&lt;2000,COUNTIF($B$2:B108,B108),0)</f>
        <v>2</v>
      </c>
      <c r="L108" s="1430"/>
      <c r="M108" s="1509"/>
      <c r="O108" s="1509"/>
    </row>
    <row r="109" spans="1:15" s="1285" customFormat="1" ht="25.15" customHeight="1">
      <c r="A109" s="2173">
        <f>COUNTIF($K$1:K109,1)</f>
        <v>69</v>
      </c>
      <c r="B109" s="2264" t="str">
        <f>chitiet!B1180</f>
        <v>MANG</v>
      </c>
      <c r="C109" s="1984" t="str">
        <f>chitiet!C1180</f>
        <v>x</v>
      </c>
      <c r="D109" s="1985">
        <f>chitiet!D1180</f>
        <v>1</v>
      </c>
      <c r="E109" s="1986">
        <f>chitiet!E1180</f>
        <v>0</v>
      </c>
      <c r="F109" s="1987" t="str">
        <f>chitiet!F1180</f>
        <v>Máng che dây chằng dày 1,6mm</v>
      </c>
      <c r="G109" s="1988" t="str">
        <f>chitiet!G1180</f>
        <v>cái</v>
      </c>
      <c r="H109" s="1989">
        <f>chitiet!H1180</f>
        <v>1</v>
      </c>
      <c r="I109" s="1989">
        <f>chitiet!P1180</f>
        <v>1</v>
      </c>
      <c r="J109" s="1972">
        <f>IFERROR(VLOOKUP(B109,DG!A:F,6,0),3000)</f>
        <v>50</v>
      </c>
      <c r="K109" s="1973">
        <f>IF(J109&lt;2000,COUNTIF($B$2:B109,B109),0)</f>
        <v>1</v>
      </c>
      <c r="L109" s="1430"/>
      <c r="M109" s="1509"/>
      <c r="O109" s="1509"/>
    </row>
    <row r="110" spans="1:15" s="1285" customFormat="1" ht="25.15" customHeight="1">
      <c r="A110" s="2173">
        <f>COUNTIF($K$1:K110,1)</f>
        <v>70</v>
      </c>
      <c r="B110" s="2264" t="str">
        <f>chitiet!B1816</f>
        <v>MT</v>
      </c>
      <c r="C110" s="1984" t="str">
        <f>chitiet!C1816</f>
        <v>x</v>
      </c>
      <c r="D110" s="1985">
        <f>chitiet!D1816</f>
        <v>2</v>
      </c>
      <c r="E110" s="1986">
        <f>chitiet!E1816</f>
        <v>0</v>
      </c>
      <c r="F110" s="1987" t="str">
        <f>chitiet!F1816</f>
        <v xml:space="preserve">Móc treo chữ U </v>
      </c>
      <c r="G110" s="2075" t="str">
        <f>chitiet!G1816</f>
        <v>cái</v>
      </c>
      <c r="H110" s="2076">
        <f>chitiet!H1816</f>
        <v>48</v>
      </c>
      <c r="I110" s="2076">
        <f>chitiet!P1816</f>
        <v>48</v>
      </c>
      <c r="J110" s="1972">
        <f>IFERROR(VLOOKUP(B110,DG!A:F,6,0),3000)</f>
        <v>50</v>
      </c>
      <c r="K110" s="1973">
        <f>IF(J110&lt;2000,COUNTIF($B$2:B110,B110),0)</f>
        <v>1</v>
      </c>
      <c r="L110" s="1430"/>
      <c r="M110" s="1509"/>
      <c r="O110" s="1509"/>
    </row>
    <row r="111" spans="1:15" s="1285" customFormat="1" ht="25.15" customHeight="1">
      <c r="A111" s="2173">
        <f>COUNTIF($K$1:K111,1)</f>
        <v>71</v>
      </c>
      <c r="B111" s="1976" t="str">
        <f>chitiet!B1412</f>
        <v>NX</v>
      </c>
      <c r="C111" s="1289" t="str">
        <f>chitiet!C1412</f>
        <v>x</v>
      </c>
      <c r="D111" s="1978">
        <f>chitiet!D1412</f>
        <v>1</v>
      </c>
      <c r="E111" s="2225" t="str">
        <f>chitiet!E1412</f>
        <v>04.4001</v>
      </c>
      <c r="F111" s="2230" t="str">
        <f>chitiet!F1412</f>
        <v>Neo xòe 8 hướng (dày 3,2mm)</v>
      </c>
      <c r="G111" s="2235" t="str">
        <f>chitiet!G1412</f>
        <v>cái</v>
      </c>
      <c r="H111" s="2235">
        <f>chitiet!H1412</f>
        <v>1</v>
      </c>
      <c r="I111" s="2235">
        <f>chitiet!P1412</f>
        <v>1</v>
      </c>
      <c r="J111" s="1972">
        <f>IFERROR(VLOOKUP(B111,DG!A:F,6,0),3000)</f>
        <v>50</v>
      </c>
      <c r="K111" s="1973">
        <f>IF(J111&lt;2000,COUNTIF($B$2:B111,B111),0)</f>
        <v>1</v>
      </c>
      <c r="L111" s="1426"/>
      <c r="M111" s="1509"/>
      <c r="O111" s="1509"/>
    </row>
    <row r="112" spans="1:15" s="1285" customFormat="1" ht="25.15" customHeight="1">
      <c r="A112" s="2173">
        <f>COUNTIF($K$1:K112,1)</f>
        <v>72</v>
      </c>
      <c r="B112" s="1976" t="str">
        <f>chitiet!B628</f>
        <v>OXC25</v>
      </c>
      <c r="C112" s="1289" t="str">
        <f>chitiet!C628</f>
        <v>x</v>
      </c>
      <c r="D112" s="1978">
        <f>chitiet!D628</f>
        <v>2</v>
      </c>
      <c r="E112" s="2225">
        <f>chitiet!E628</f>
        <v>0</v>
      </c>
      <c r="F112" s="2230" t="str">
        <f>chitiet!F628</f>
        <v>Ốc siết cáp cỡ 25mm2</v>
      </c>
      <c r="G112" s="2235" t="str">
        <f>chitiet!G628</f>
        <v>cái</v>
      </c>
      <c r="H112" s="2235">
        <f>chitiet!H628</f>
        <v>8</v>
      </c>
      <c r="I112" s="2235">
        <f>chitiet!P628</f>
        <v>8</v>
      </c>
      <c r="J112" s="1972">
        <f>IFERROR(VLOOKUP(B112,DG!A:F,6,0),3000)</f>
        <v>50</v>
      </c>
      <c r="K112" s="1973">
        <f>IF(J112&lt;2000,COUNTIF($B$2:B112,B112),0)</f>
        <v>1</v>
      </c>
      <c r="L112" s="1426"/>
      <c r="M112" s="1509"/>
      <c r="O112" s="1509"/>
    </row>
    <row r="113" spans="1:15" s="1285" customFormat="1" ht="25.15" customHeight="1">
      <c r="A113" s="2173">
        <f>COUNTIF($K$1:K113,1)</f>
        <v>72</v>
      </c>
      <c r="B113" s="2264" t="str">
        <f>CT_tram!B866</f>
        <v>OXC25</v>
      </c>
      <c r="C113" s="1984">
        <f>CT_tram!C866</f>
        <v>0</v>
      </c>
      <c r="D113" s="1985">
        <f>CT_tram!D866</f>
        <v>0</v>
      </c>
      <c r="E113" s="1986" t="str">
        <f>CT_tram!E866</f>
        <v>04.3107</v>
      </c>
      <c r="F113" s="1987" t="str">
        <f>CT_tram!F866</f>
        <v>Ốc siết cáp cỡ 25mm2</v>
      </c>
      <c r="G113" s="2075" t="str">
        <f>CT_tram!G866</f>
        <v>cái</v>
      </c>
      <c r="H113" s="2076">
        <f>CT_tram!H866</f>
        <v>6</v>
      </c>
      <c r="I113" s="2076">
        <f>CT_tram!I866</f>
        <v>6</v>
      </c>
      <c r="J113" s="1972">
        <f>IFERROR(VLOOKUP(B113,DG!A:F,6,0),3000)</f>
        <v>50</v>
      </c>
      <c r="K113" s="1973">
        <f>IF(J113&lt;2000,COUNTIF($B$2:B113,B113),0)</f>
        <v>2</v>
      </c>
      <c r="L113" s="1430"/>
      <c r="M113" s="1509"/>
      <c r="O113" s="1509"/>
    </row>
    <row r="114" spans="1:15" s="1285" customFormat="1" ht="25.15" customHeight="1">
      <c r="A114" s="2173">
        <f>COUNTIF($K$1:K114,1)</f>
        <v>73</v>
      </c>
      <c r="B114" s="2264" t="str">
        <f>CT_tram!B903</f>
        <v>PVC114</v>
      </c>
      <c r="C114" s="1984">
        <f>CT_tram!C903</f>
        <v>0</v>
      </c>
      <c r="D114" s="1985">
        <f>CT_tram!D903</f>
        <v>0</v>
      </c>
      <c r="E114" s="1986">
        <f>CT_tram!E903</f>
        <v>0</v>
      </c>
      <c r="F114" s="1987" t="str">
        <f>CT_tram!F903</f>
        <v xml:space="preserve">Ống PVC D114x4,9mm </v>
      </c>
      <c r="G114" s="2075" t="str">
        <f>CT_tram!G903</f>
        <v>m</v>
      </c>
      <c r="H114" s="2076">
        <f>CT_tram!H903</f>
        <v>11</v>
      </c>
      <c r="I114" s="2076">
        <f>CT_tram!I903</f>
        <v>11</v>
      </c>
      <c r="J114" s="1972">
        <f>IFERROR(VLOOKUP(B114,DG!A:F,6,0),3000)</f>
        <v>50</v>
      </c>
      <c r="K114" s="1973">
        <f>IF(J114&lt;2000,COUNTIF($B$2:B114,B114),0)</f>
        <v>1</v>
      </c>
      <c r="L114" s="1430"/>
      <c r="M114" s="1509"/>
      <c r="O114" s="1509"/>
    </row>
    <row r="115" spans="1:15" s="1285" customFormat="1" ht="25.15" customHeight="1">
      <c r="A115" s="2173">
        <f>COUNTIF($K$1:K115,1)</f>
        <v>73</v>
      </c>
      <c r="B115" s="2465" t="str">
        <f>CT_tram!B926</f>
        <v>PVC114</v>
      </c>
      <c r="C115" s="1975">
        <f>CT_tram!C926</f>
        <v>0</v>
      </c>
      <c r="D115" s="1980">
        <f>CT_tram!D926</f>
        <v>0</v>
      </c>
      <c r="E115" s="1981">
        <f>CT_tram!E926</f>
        <v>0</v>
      </c>
      <c r="F115" s="1982" t="str">
        <f>CT_tram!F926</f>
        <v xml:space="preserve">Ống PVC D114x4,9mm </v>
      </c>
      <c r="G115" s="2077" t="str">
        <f>CT_tram!G926</f>
        <v>m</v>
      </c>
      <c r="H115" s="2078">
        <f>CT_tram!H926</f>
        <v>0</v>
      </c>
      <c r="I115" s="2076">
        <f>CT_tram!I926</f>
        <v>0</v>
      </c>
      <c r="J115" s="1972">
        <f>IFERROR(VLOOKUP(B115,DG!A:F,6,0),3000)</f>
        <v>50</v>
      </c>
      <c r="K115" s="1973">
        <f>IF(J115&lt;2000,COUNTIF($B$2:B115,B115),0)</f>
        <v>2</v>
      </c>
      <c r="L115" s="1430"/>
      <c r="M115" s="1993"/>
      <c r="N115" s="1994"/>
      <c r="O115" s="1993"/>
    </row>
    <row r="116" spans="1:15" s="1285" customFormat="1" ht="25.15" customHeight="1">
      <c r="A116" s="2173">
        <f>COUNTIF($K$1:K116,1)</f>
        <v>74</v>
      </c>
      <c r="B116" s="2264" t="str">
        <f>chitiet!B1770</f>
        <v>R1</v>
      </c>
      <c r="C116" s="1984" t="str">
        <f>chitiet!C1770</f>
        <v>x</v>
      </c>
      <c r="D116" s="1985">
        <f>chitiet!D1770</f>
        <v>1</v>
      </c>
      <c r="E116" s="1986">
        <f>chitiet!E1770</f>
        <v>0</v>
      </c>
      <c r="F116" s="1987" t="str">
        <f>chitiet!F1770</f>
        <v>Uclevis + sứ ống chỉ</v>
      </c>
      <c r="G116" s="2075" t="str">
        <f>chitiet!G1770</f>
        <v>bộ</v>
      </c>
      <c r="H116" s="2076">
        <f>chitiet!H1770</f>
        <v>17</v>
      </c>
      <c r="I116" s="2076">
        <f>chitiet!P1770</f>
        <v>17</v>
      </c>
      <c r="J116" s="1972">
        <f>IFERROR(VLOOKUP(B116,DG!A:F,6,0),3000)</f>
        <v>50</v>
      </c>
      <c r="K116" s="1973">
        <f>IF(J116&lt;2000,COUNTIF($B$2:B116,B116),0)</f>
        <v>1</v>
      </c>
      <c r="L116" s="1992"/>
      <c r="M116" s="1509"/>
      <c r="O116" s="1509"/>
    </row>
    <row r="117" spans="1:15" s="1285" customFormat="1" ht="25.15" customHeight="1">
      <c r="A117" s="2173">
        <f>COUNTIF($K$1:K117,1)</f>
        <v>75</v>
      </c>
      <c r="B117" s="2264" t="str">
        <f>chitiet!B934</f>
        <v>SL50-1190</v>
      </c>
      <c r="C117" s="1984" t="str">
        <f>chitiet!C934</f>
        <v>x</v>
      </c>
      <c r="D117" s="1985">
        <f>chitiet!D934</f>
        <v>1</v>
      </c>
      <c r="E117" s="1986">
        <f>chitiet!E934</f>
        <v>0</v>
      </c>
      <c r="F117" s="1987" t="str">
        <f>chitiet!F934</f>
        <v>Sắt góc L50 x50 x5 x1190</v>
      </c>
      <c r="G117" s="2075" t="str">
        <f>chitiet!G934</f>
        <v>cái</v>
      </c>
      <c r="H117" s="2076">
        <f>chitiet!H934</f>
        <v>15</v>
      </c>
      <c r="I117" s="2076">
        <f>chitiet!P934</f>
        <v>15</v>
      </c>
      <c r="J117" s="1972">
        <f>IFERROR(VLOOKUP(B117,DG!A:F,6,0),3000)</f>
        <v>50</v>
      </c>
      <c r="K117" s="1973">
        <f>IF(J117&lt;2000,COUNTIF($B$2:B117,B117),0)</f>
        <v>1</v>
      </c>
      <c r="L117" s="1992"/>
      <c r="M117" s="1993"/>
      <c r="N117" s="1994"/>
      <c r="O117" s="1993"/>
    </row>
    <row r="118" spans="1:15" s="1285" customFormat="1" ht="25.15" customHeight="1">
      <c r="A118" s="2173">
        <f>COUNTIF($K$1:K118,1)</f>
        <v>75</v>
      </c>
      <c r="B118" s="2264" t="str">
        <f>chitiet!B944</f>
        <v>SL50-1190</v>
      </c>
      <c r="C118" s="1984" t="str">
        <f>chitiet!C944</f>
        <v>x</v>
      </c>
      <c r="D118" s="1985">
        <f>chitiet!D944</f>
        <v>2</v>
      </c>
      <c r="E118" s="1986">
        <f>chitiet!E944</f>
        <v>0</v>
      </c>
      <c r="F118" s="1987" t="str">
        <f>chitiet!F944</f>
        <v>Sắt góc L50 x50 x5 x1190</v>
      </c>
      <c r="G118" s="2075" t="str">
        <f>chitiet!G944</f>
        <v>cái</v>
      </c>
      <c r="H118" s="2076">
        <f>chitiet!H944</f>
        <v>2</v>
      </c>
      <c r="I118" s="2076">
        <f>chitiet!P944</f>
        <v>2</v>
      </c>
      <c r="J118" s="1972">
        <f>IFERROR(VLOOKUP(B118,DG!A:F,6,0),3000)</f>
        <v>50</v>
      </c>
      <c r="K118" s="1973">
        <f>IF(J118&lt;2000,COUNTIF($B$2:B118,B118),0)</f>
        <v>2</v>
      </c>
      <c r="L118" s="1430"/>
      <c r="M118" s="1509"/>
      <c r="O118" s="1509"/>
    </row>
    <row r="119" spans="1:15" s="1285" customFormat="1" ht="25.15" customHeight="1">
      <c r="A119" s="2173">
        <f>COUNTIF($K$1:K119,1)</f>
        <v>76</v>
      </c>
      <c r="B119" s="2264" t="str">
        <f>chitiet!B800</f>
        <v>SL50-810</v>
      </c>
      <c r="C119" s="1984" t="str">
        <f>chitiet!C800</f>
        <v>x</v>
      </c>
      <c r="D119" s="1985">
        <f>chitiet!D800</f>
        <v>4</v>
      </c>
      <c r="E119" s="1986">
        <f>chitiet!E800</f>
        <v>0</v>
      </c>
      <c r="F119" s="1987" t="str">
        <f>chitiet!F800</f>
        <v>Sắt góc L50 x50 x5 - 810</v>
      </c>
      <c r="G119" s="2075" t="str">
        <f>chitiet!G800</f>
        <v>cái</v>
      </c>
      <c r="H119" s="2076">
        <f>chitiet!H800</f>
        <v>16</v>
      </c>
      <c r="I119" s="2076">
        <f>chitiet!P800</f>
        <v>16</v>
      </c>
      <c r="J119" s="1972">
        <f>IFERROR(VLOOKUP(B119,DG!A:F,6,0),3000)</f>
        <v>50</v>
      </c>
      <c r="K119" s="1973">
        <f>IF(J119&lt;2000,COUNTIF($B$2:B119,B119),0)</f>
        <v>1</v>
      </c>
      <c r="L119" s="1430"/>
      <c r="M119" s="1509"/>
      <c r="O119" s="1509"/>
    </row>
    <row r="120" spans="1:15" s="1285" customFormat="1" ht="25.15" customHeight="1">
      <c r="A120" s="2173">
        <f>COUNTIF($K$1:K120,1)</f>
        <v>76</v>
      </c>
      <c r="B120" s="1976" t="str">
        <f>chitiet!B856</f>
        <v>SL50-810</v>
      </c>
      <c r="C120" s="1289" t="str">
        <f>chitiet!C856</f>
        <v>x</v>
      </c>
      <c r="D120" s="1978">
        <f>chitiet!D856</f>
        <v>4</v>
      </c>
      <c r="E120" s="1505">
        <f>chitiet!E856</f>
        <v>0</v>
      </c>
      <c r="F120" s="1979" t="str">
        <f>chitiet!F856</f>
        <v>Sắt góc L50 x50 x5 - 810</v>
      </c>
      <c r="G120" s="1988" t="str">
        <f>chitiet!G856</f>
        <v>cái</v>
      </c>
      <c r="H120" s="1989">
        <f>chitiet!H856</f>
        <v>12</v>
      </c>
      <c r="I120" s="1989">
        <f>chitiet!P856</f>
        <v>12</v>
      </c>
      <c r="J120" s="1972">
        <f>IFERROR(VLOOKUP(B120,DG!A:F,6,0),3000)</f>
        <v>50</v>
      </c>
      <c r="K120" s="1973">
        <f>IF(J120&lt;2000,COUNTIF($B$2:B120,B120),0)</f>
        <v>2</v>
      </c>
      <c r="L120" s="1430"/>
      <c r="M120" s="1509"/>
      <c r="O120" s="1509"/>
    </row>
    <row r="121" spans="1:15" s="1285" customFormat="1" ht="25.15" customHeight="1">
      <c r="A121" s="2173">
        <f>COUNTIF($K$1:K121,1)</f>
        <v>77</v>
      </c>
      <c r="B121" s="1976" t="str">
        <f>chitiet!B933</f>
        <v>SL75-2100</v>
      </c>
      <c r="C121" s="1289" t="str">
        <f>chitiet!C933</f>
        <v>x</v>
      </c>
      <c r="D121" s="1978">
        <f>chitiet!D933</f>
        <v>1</v>
      </c>
      <c r="E121" s="1505">
        <f>chitiet!E933</f>
        <v>0</v>
      </c>
      <c r="F121" s="1979" t="str">
        <f>chitiet!F933</f>
        <v>Sắt góc L75 x75 x8-2100</v>
      </c>
      <c r="G121" s="1988" t="str">
        <f>chitiet!G933</f>
        <v>cái</v>
      </c>
      <c r="H121" s="1989">
        <f>chitiet!H933</f>
        <v>15</v>
      </c>
      <c r="I121" s="1989">
        <f>chitiet!P933</f>
        <v>15</v>
      </c>
      <c r="J121" s="1972">
        <f>IFERROR(VLOOKUP(B121,DG!A:F,6,0),3000)</f>
        <v>50</v>
      </c>
      <c r="K121" s="1973">
        <f>IF(J121&lt;2000,COUNTIF($B$2:B121,B121),0)</f>
        <v>1</v>
      </c>
      <c r="L121" s="1430"/>
      <c r="M121" s="1509"/>
      <c r="O121" s="1509"/>
    </row>
    <row r="122" spans="1:15" s="1285" customFormat="1" ht="25.15" customHeight="1">
      <c r="A122" s="2173">
        <f>COUNTIF($K$1:K122,1)</f>
        <v>77</v>
      </c>
      <c r="B122" s="2264" t="str">
        <f>chitiet!B943</f>
        <v>SL75-2100</v>
      </c>
      <c r="C122" s="1984" t="str">
        <f>chitiet!C943</f>
        <v>x</v>
      </c>
      <c r="D122" s="1985">
        <f>chitiet!D943</f>
        <v>2</v>
      </c>
      <c r="E122" s="1986">
        <f>chitiet!E943</f>
        <v>0</v>
      </c>
      <c r="F122" s="1987" t="str">
        <f>chitiet!F943</f>
        <v>Sắt góc L75 x75 x8-2100</v>
      </c>
      <c r="G122" s="2075" t="str">
        <f>chitiet!G943</f>
        <v>cái</v>
      </c>
      <c r="H122" s="2076">
        <f>chitiet!H943</f>
        <v>2</v>
      </c>
      <c r="I122" s="2076">
        <f>chitiet!P943</f>
        <v>2</v>
      </c>
      <c r="J122" s="1972">
        <f>IFERROR(VLOOKUP(B122,DG!A:F,6,0),3000)</f>
        <v>50</v>
      </c>
      <c r="K122" s="1973">
        <f>IF(J122&lt;2000,COUNTIF($B$2:B122,B122),0)</f>
        <v>2</v>
      </c>
      <c r="L122" s="1430"/>
      <c r="M122" s="1509"/>
      <c r="O122" s="1509"/>
    </row>
    <row r="123" spans="1:15" s="1285" customFormat="1" ht="25.15" customHeight="1">
      <c r="A123" s="2173">
        <f>COUNTIF($K$1:K123,1)</f>
        <v>78</v>
      </c>
      <c r="B123" s="2264" t="str">
        <f>chitiet!B799</f>
        <v>SL75-2200</v>
      </c>
      <c r="C123" s="1984" t="str">
        <f>chitiet!C799</f>
        <v>x</v>
      </c>
      <c r="D123" s="1985">
        <f>chitiet!D799</f>
        <v>2</v>
      </c>
      <c r="E123" s="1986">
        <f>chitiet!E799</f>
        <v>0</v>
      </c>
      <c r="F123" s="1987" t="str">
        <f>chitiet!F799</f>
        <v>Sắt góc L75 x75 x8 x2200</v>
      </c>
      <c r="G123" s="2075" t="str">
        <f>chitiet!G799</f>
        <v>cái</v>
      </c>
      <c r="H123" s="2076">
        <f>chitiet!H799</f>
        <v>8</v>
      </c>
      <c r="I123" s="2076">
        <f>chitiet!P799</f>
        <v>8</v>
      </c>
      <c r="J123" s="1972">
        <f>IFERROR(VLOOKUP(B123,DG!A:F,6,0),3000)</f>
        <v>50</v>
      </c>
      <c r="K123" s="1973">
        <f>IF(J123&lt;2000,COUNTIF($B$2:B123,B123),0)</f>
        <v>1</v>
      </c>
      <c r="L123" s="1426"/>
      <c r="M123" s="1509"/>
      <c r="O123" s="1509"/>
    </row>
    <row r="124" spans="1:15" s="1285" customFormat="1" ht="25.15" customHeight="1">
      <c r="A124" s="2173">
        <f>COUNTIF($K$1:K124,1)</f>
        <v>78</v>
      </c>
      <c r="B124" s="2264" t="str">
        <f>chitiet!B855</f>
        <v>SL75-2200</v>
      </c>
      <c r="C124" s="1984" t="str">
        <f>chitiet!C855</f>
        <v>x</v>
      </c>
      <c r="D124" s="1985">
        <f>chitiet!D855</f>
        <v>2</v>
      </c>
      <c r="E124" s="1986">
        <f>chitiet!E855</f>
        <v>0</v>
      </c>
      <c r="F124" s="1987" t="str">
        <f>chitiet!F855</f>
        <v>Sắt góc L75 x75 x8 x2200</v>
      </c>
      <c r="G124" s="2075" t="str">
        <f>chitiet!G855</f>
        <v>cái</v>
      </c>
      <c r="H124" s="2076">
        <f>chitiet!H855</f>
        <v>6</v>
      </c>
      <c r="I124" s="2076">
        <f>chitiet!P855</f>
        <v>6</v>
      </c>
      <c r="J124" s="1972">
        <f>IFERROR(VLOOKUP(B124,DG!A:F,6,0),3000)</f>
        <v>50</v>
      </c>
      <c r="K124" s="1973">
        <f>IF(J124&lt;2000,COUNTIF($B$2:B124,B124),0)</f>
        <v>2</v>
      </c>
      <c r="L124" s="1430"/>
      <c r="M124" s="1509"/>
      <c r="O124" s="1509"/>
    </row>
    <row r="125" spans="1:15" s="1285" customFormat="1" ht="25.15" customHeight="1">
      <c r="A125" s="2173">
        <f>COUNTIF($K$1:K125,1)</f>
        <v>79</v>
      </c>
      <c r="B125" s="2465" t="str">
        <f>chitiet!B1174</f>
        <v>SN</v>
      </c>
      <c r="C125" s="1975" t="str">
        <f>chitiet!C1174</f>
        <v>x</v>
      </c>
      <c r="D125" s="1980">
        <f>chitiet!D1174</f>
        <v>1</v>
      </c>
      <c r="E125" s="1981">
        <f>chitiet!E1174</f>
        <v>0</v>
      </c>
      <c r="F125" s="1982" t="str">
        <f>chitiet!F1174</f>
        <v>Sứ chằng</v>
      </c>
      <c r="G125" s="2077" t="str">
        <f>chitiet!G1174</f>
        <v>cái</v>
      </c>
      <c r="H125" s="2076">
        <f>chitiet!H1174</f>
        <v>1</v>
      </c>
      <c r="I125" s="2076">
        <f>chitiet!P1174</f>
        <v>1</v>
      </c>
      <c r="J125" s="1972">
        <f>IFERROR(VLOOKUP(B125,DG!A:F,6,0),3000)</f>
        <v>50</v>
      </c>
      <c r="K125" s="1973">
        <f>IF(J125&lt;2000,COUNTIF($B$2:B125,B125),0)</f>
        <v>1</v>
      </c>
      <c r="L125" s="1430"/>
      <c r="M125" s="1509"/>
      <c r="O125" s="1509"/>
    </row>
    <row r="126" spans="1:15" s="1285" customFormat="1" ht="25.15" customHeight="1">
      <c r="A126" s="2173">
        <f>COUNTIF($K$1:K126,1)</f>
        <v>80</v>
      </c>
      <c r="B126" s="2465" t="str">
        <f>chitiet!B1869</f>
        <v>ssf50</v>
      </c>
      <c r="C126" s="1975" t="str">
        <f>chitiet!C1869</f>
        <v>x</v>
      </c>
      <c r="D126" s="1980">
        <f>chitiet!D1869</f>
        <v>6</v>
      </c>
      <c r="E126" s="1981">
        <f>chitiet!E1869</f>
        <v>0</v>
      </c>
      <c r="F126" s="1982" t="str">
        <f>chitiet!F1869</f>
        <v>Dây buộc cổ sứ từ tính dây 50</v>
      </c>
      <c r="G126" s="2077" t="str">
        <f>chitiet!G1869</f>
        <v>cái</v>
      </c>
      <c r="H126" s="2078">
        <f>chitiet!H1869</f>
        <v>6</v>
      </c>
      <c r="I126" s="1989">
        <f>chitiet!P1869</f>
        <v>6</v>
      </c>
      <c r="J126" s="1972">
        <f>IFERROR(VLOOKUP(B126,DG!A:F,6,0),3000)</f>
        <v>50</v>
      </c>
      <c r="K126" s="1973">
        <f>IF(J126&lt;2000,COUNTIF($B$2:B126,B126),0)</f>
        <v>1</v>
      </c>
      <c r="L126" s="1430"/>
      <c r="M126" s="1509"/>
      <c r="O126" s="1509"/>
    </row>
    <row r="127" spans="1:15" s="1285" customFormat="1" ht="25.15" customHeight="1">
      <c r="A127" s="2173">
        <f>COUNTIF($K$1:K127,1)</f>
        <v>81</v>
      </c>
      <c r="B127" s="2465" t="str">
        <f>chitiet!B1411</f>
        <v>TN2224</v>
      </c>
      <c r="C127" s="1975" t="str">
        <f>chitiet!C1411</f>
        <v>x</v>
      </c>
      <c r="D127" s="1980">
        <f>chitiet!D1411</f>
        <v>1</v>
      </c>
      <c r="E127" s="1981">
        <f>chitiet!E1411</f>
        <v>0</v>
      </c>
      <c r="F127" s="1982" t="str">
        <f>chitiet!F1411</f>
        <v>Ty neo Ø22x2400</v>
      </c>
      <c r="G127" s="2077" t="str">
        <f>chitiet!G1411</f>
        <v>cái</v>
      </c>
      <c r="H127" s="2078">
        <f>chitiet!H1411</f>
        <v>1</v>
      </c>
      <c r="I127" s="2079">
        <f>chitiet!P1411</f>
        <v>1</v>
      </c>
      <c r="J127" s="1972">
        <f>IFERROR(VLOOKUP(B127,DG!A:F,6,0),3000)</f>
        <v>50</v>
      </c>
      <c r="K127" s="1973">
        <f>IF(J127&lt;2000,COUNTIF($B$2:B127,B127),0)</f>
        <v>1</v>
      </c>
      <c r="L127" s="1430"/>
      <c r="M127" s="1509"/>
      <c r="O127" s="1509"/>
    </row>
    <row r="128" spans="1:15" s="1285" customFormat="1" ht="25.15" customHeight="1">
      <c r="A128" s="2173">
        <f>COUNTIF($K$1:K128,1)</f>
        <v>82</v>
      </c>
      <c r="B128" s="2264" t="str">
        <f>chitiet!B1868</f>
        <v>ttf50</v>
      </c>
      <c r="C128" s="1984" t="str">
        <f>chitiet!C1868</f>
        <v>x</v>
      </c>
      <c r="D128" s="1985">
        <f>chitiet!D1868</f>
        <v>63</v>
      </c>
      <c r="E128" s="1986">
        <f>chitiet!E1868</f>
        <v>0</v>
      </c>
      <c r="F128" s="1987" t="str">
        <f>chitiet!F1868</f>
        <v>Dây buộc đầu sứ TTF cỡ dây 50mm2</v>
      </c>
      <c r="G128" s="2077" t="str">
        <f>chitiet!G1868</f>
        <v>cái</v>
      </c>
      <c r="H128" s="2078">
        <f>chitiet!H1868</f>
        <v>63</v>
      </c>
      <c r="I128" s="1989">
        <f>chitiet!P1868</f>
        <v>63</v>
      </c>
      <c r="J128" s="1972">
        <f>IFERROR(VLOOKUP(B128,DG!A:F,6,0),3000)</f>
        <v>50</v>
      </c>
      <c r="K128" s="1973">
        <f>IF(J128&lt;2000,COUNTIF($B$2:B128,B128),0)</f>
        <v>1</v>
      </c>
      <c r="L128" s="1430"/>
      <c r="M128" s="1509"/>
      <c r="O128" s="1509"/>
    </row>
    <row r="129" spans="1:15" s="1285" customFormat="1" ht="25.15" customHeight="1">
      <c r="A129" s="2173">
        <f>COUNTIF($K$1:K129,1)</f>
        <v>83</v>
      </c>
      <c r="B129" s="2264" t="str">
        <f>CT_tram!B878</f>
        <v>tuap3</v>
      </c>
      <c r="C129" s="1984">
        <f>CT_tram!C878</f>
        <v>0</v>
      </c>
      <c r="D129" s="1985">
        <f>CT_tram!D878</f>
        <v>0</v>
      </c>
      <c r="E129" s="1986" t="str">
        <f>CT_tram!E878</f>
        <v>05.1102</v>
      </c>
      <c r="F129" s="1987" t="str">
        <f>CT_tram!F878</f>
        <v>Vỏ tủ + khóa tủ</v>
      </c>
      <c r="G129" s="2075" t="str">
        <f>CT_tram!G878</f>
        <v>cái</v>
      </c>
      <c r="H129" s="2076">
        <f>CT_tram!H878</f>
        <v>1</v>
      </c>
      <c r="I129" s="2076">
        <f>CT_tram!I878</f>
        <v>1</v>
      </c>
      <c r="J129" s="1972">
        <f>IFERROR(VLOOKUP(B129,DG!A:F,6,0),3000)</f>
        <v>50</v>
      </c>
      <c r="K129" s="1973">
        <f>IF(J129&lt;2000,COUNTIF($B$2:B129,B129),0)</f>
        <v>1</v>
      </c>
      <c r="L129" s="1430"/>
      <c r="M129" s="1509"/>
      <c r="O129" s="1509"/>
    </row>
    <row r="130" spans="1:15" s="1285" customFormat="1" ht="25.15" customHeight="1">
      <c r="A130" s="2173">
        <f>COUNTIF($K$1:K130,1)</f>
        <v>84</v>
      </c>
      <c r="B130" s="2465" t="str">
        <f>chitiet!B1179</f>
        <v>YC</v>
      </c>
      <c r="C130" s="1975" t="str">
        <f>chitiet!C1179</f>
        <v>x</v>
      </c>
      <c r="D130" s="1980">
        <f>chitiet!D1179</f>
        <v>2</v>
      </c>
      <c r="E130" s="1981">
        <f>chitiet!E1179</f>
        <v>0</v>
      </c>
      <c r="F130" s="1982" t="str">
        <f>chitiet!F1179</f>
        <v>Yếm cáp dày 2mm</v>
      </c>
      <c r="G130" s="2077" t="str">
        <f>chitiet!G1179</f>
        <v>cái</v>
      </c>
      <c r="H130" s="2076">
        <f>chitiet!H1179</f>
        <v>2</v>
      </c>
      <c r="I130" s="2076">
        <f>chitiet!P1179</f>
        <v>2</v>
      </c>
      <c r="J130" s="1972">
        <f>IFERROR(VLOOKUP(B130,DG!A:F,6,0),3000)</f>
        <v>50</v>
      </c>
      <c r="K130" s="1973">
        <f>IF(J130&lt;2000,COUNTIF($B$2:B130,B130),0)</f>
        <v>1</v>
      </c>
      <c r="L130" s="1430"/>
      <c r="M130" s="1509"/>
      <c r="O130" s="1509"/>
    </row>
    <row r="131" spans="1:15" s="1285" customFormat="1" ht="25.15" customHeight="1">
      <c r="A131" s="2173">
        <f>COUNTIF($K$1:K131,1)</f>
        <v>85</v>
      </c>
      <c r="B131" s="2264" t="str">
        <f>chitiet!B362</f>
        <v>GO-CH</v>
      </c>
      <c r="C131" s="1984" t="str">
        <f>chitiet!C362</f>
        <v>x</v>
      </c>
      <c r="D131" s="1985">
        <f>chitiet!D362</f>
        <v>1.6800000000000001E-3</v>
      </c>
      <c r="E131" s="1986">
        <f>chitiet!E362</f>
        <v>0</v>
      </c>
      <c r="F131" s="1987" t="str">
        <f>chitiet!F362</f>
        <v>Gỗ chống</v>
      </c>
      <c r="G131" s="2077" t="str">
        <f>chitiet!G362</f>
        <v>m3</v>
      </c>
      <c r="H131" s="2078">
        <f>chitiet!H362</f>
        <v>8.4000000000000012E-3</v>
      </c>
      <c r="I131" s="1989">
        <f>chitiet!P362</f>
        <v>8.4000000000000012E-3</v>
      </c>
      <c r="J131" s="1972">
        <f>IFERROR(VLOOKUP(B131,DG!A:F,6,0),3000)</f>
        <v>995</v>
      </c>
      <c r="K131" s="1973">
        <f>IF(J131&lt;2000,COUNTIF($B$2:B131,B131),0)</f>
        <v>1</v>
      </c>
      <c r="L131" s="1430"/>
      <c r="M131" s="1509"/>
      <c r="O131" s="1509"/>
    </row>
    <row r="132" spans="1:15" s="1285" customFormat="1" ht="25.15" customHeight="1">
      <c r="A132" s="2173">
        <f>COUNTIF($K$1:K132,1)</f>
        <v>86</v>
      </c>
      <c r="B132" s="1976" t="str">
        <f>chitiet!B363</f>
        <v>GO-DN</v>
      </c>
      <c r="C132" s="1289" t="str">
        <f>chitiet!C363</f>
        <v>x</v>
      </c>
      <c r="D132" s="1978">
        <f>chitiet!D363</f>
        <v>1.0500000000000001E-2</v>
      </c>
      <c r="E132" s="2225">
        <f>chitiet!E363</f>
        <v>0</v>
      </c>
      <c r="F132" s="2230" t="str">
        <f>chitiet!F363</f>
        <v>Gỗ đà nẹp</v>
      </c>
      <c r="G132" s="2235" t="str">
        <f>chitiet!G363</f>
        <v>m3</v>
      </c>
      <c r="H132" s="2235">
        <f>chitiet!H363</f>
        <v>5.2500000000000005E-2</v>
      </c>
      <c r="I132" s="2235">
        <f>chitiet!P363</f>
        <v>5.2500000000000005E-2</v>
      </c>
      <c r="J132" s="1972">
        <f>IFERROR(VLOOKUP(B132,DG!A:F,6,0),3000)</f>
        <v>995</v>
      </c>
      <c r="K132" s="1973">
        <f>IF(J132&lt;2000,COUNTIF($B$2:B132,B132),0)</f>
        <v>1</v>
      </c>
      <c r="L132" s="1426"/>
      <c r="M132" s="1509"/>
      <c r="O132" s="1509"/>
    </row>
    <row r="133" spans="1:15" s="1285" customFormat="1" ht="25.15" customHeight="1">
      <c r="A133" s="2173">
        <f>COUNTIF($K$1:K133,1)</f>
        <v>87</v>
      </c>
      <c r="B133" s="2264" t="str">
        <f>chitiet!B364</f>
        <v>GO-V</v>
      </c>
      <c r="C133" s="1984" t="str">
        <f>chitiet!C364</f>
        <v>x</v>
      </c>
      <c r="D133" s="1985">
        <f>chitiet!D364</f>
        <v>3.9600000000000003E-2</v>
      </c>
      <c r="E133" s="1986">
        <f>chitiet!E364</f>
        <v>0</v>
      </c>
      <c r="F133" s="1987" t="str">
        <f>chitiet!F364</f>
        <v>Gỗ ván (cả nẹp)</v>
      </c>
      <c r="G133" s="2075" t="str">
        <f>chitiet!G364</f>
        <v>m3</v>
      </c>
      <c r="H133" s="2076">
        <f>chitiet!H364</f>
        <v>0.19800000000000001</v>
      </c>
      <c r="I133" s="2076">
        <f>chitiet!P364</f>
        <v>0.19800000000000001</v>
      </c>
      <c r="J133" s="1972">
        <f>IFERROR(VLOOKUP(B133,DG!A:F,6,0),3000)</f>
        <v>995</v>
      </c>
      <c r="K133" s="1973">
        <f>IF(J133&lt;2000,COUNTIF($B$2:B133,B133),0)</f>
        <v>1</v>
      </c>
      <c r="L133" s="1430"/>
      <c r="M133" s="1509"/>
      <c r="O133" s="1509"/>
    </row>
    <row r="134" spans="1:15" s="1285" customFormat="1" ht="25.15" customHeight="1">
      <c r="A134" s="2173">
        <f>COUNTIF($K$1:K134,1)</f>
        <v>88</v>
      </c>
      <c r="B134" s="2264" t="str">
        <f>chitiet!B357</f>
        <v>XM</v>
      </c>
      <c r="C134" s="1984" t="str">
        <f>chitiet!C357</f>
        <v>x</v>
      </c>
      <c r="D134" s="1985">
        <f>chitiet!D357</f>
        <v>352</v>
      </c>
      <c r="E134" s="1986">
        <f>chitiet!E357</f>
        <v>0</v>
      </c>
      <c r="F134" s="2141" t="str">
        <f>chitiet!F357</f>
        <v>Ximăng (PC40)</v>
      </c>
      <c r="G134" s="2142" t="str">
        <f>chitiet!G357</f>
        <v>kg</v>
      </c>
      <c r="H134" s="2142">
        <f>chitiet!H357</f>
        <v>1760</v>
      </c>
      <c r="I134" s="2142">
        <f>chitiet!P357</f>
        <v>1760</v>
      </c>
      <c r="J134" s="1972">
        <f>IFERROR(VLOOKUP(B134,DG!A:F,6,0),3000)</f>
        <v>996</v>
      </c>
      <c r="K134" s="1973">
        <f>IF(J134&lt;2000,COUNTIF($B$2:B134,B134),0)</f>
        <v>1</v>
      </c>
      <c r="L134" s="1430"/>
      <c r="M134" s="1509"/>
      <c r="O134" s="1509"/>
    </row>
    <row r="135" spans="1:15" s="1285" customFormat="1" ht="25.15" customHeight="1">
      <c r="A135" s="2173">
        <f>COUNTIF($K$1:K135,1)</f>
        <v>89</v>
      </c>
      <c r="B135" s="1976" t="str">
        <f>chitiet!B358</f>
        <v>Cat</v>
      </c>
      <c r="C135" s="1289" t="str">
        <f>chitiet!C358</f>
        <v>x</v>
      </c>
      <c r="D135" s="1978">
        <f>chitiet!D358</f>
        <v>0.70899999999999996</v>
      </c>
      <c r="E135" s="2225">
        <f>chitiet!E358</f>
        <v>0</v>
      </c>
      <c r="F135" s="2230" t="str">
        <f>chitiet!F358</f>
        <v>Cát vàng</v>
      </c>
      <c r="G135" s="2235" t="str">
        <f>chitiet!G358</f>
        <v>m3</v>
      </c>
      <c r="H135" s="2235">
        <f>chitiet!H358</f>
        <v>3.5449999999999999</v>
      </c>
      <c r="I135" s="2235">
        <f>chitiet!P358</f>
        <v>3.5449999999999999</v>
      </c>
      <c r="J135" s="1972">
        <f>IFERROR(VLOOKUP(B135,DG!A:F,6,0),3000)</f>
        <v>997</v>
      </c>
      <c r="K135" s="1973">
        <f>IF(J135&lt;2000,COUNTIF($B$2:B135,B135),0)</f>
        <v>1</v>
      </c>
      <c r="L135" s="1426"/>
      <c r="M135" s="1509"/>
      <c r="O135" s="1509"/>
    </row>
    <row r="136" spans="1:15" s="1285" customFormat="1" ht="25.15" customHeight="1">
      <c r="A136" s="2173">
        <f>COUNTIF($K$1:K136,1)</f>
        <v>90</v>
      </c>
      <c r="B136" s="2264" t="str">
        <f>chitiet!B359</f>
        <v>D1X2</v>
      </c>
      <c r="C136" s="1984" t="str">
        <f>chitiet!C359</f>
        <v>x</v>
      </c>
      <c r="D136" s="1985">
        <f>chitiet!D359</f>
        <v>1.276</v>
      </c>
      <c r="E136" s="1986">
        <f>chitiet!E359</f>
        <v>0</v>
      </c>
      <c r="F136" s="1987" t="str">
        <f>chitiet!F359</f>
        <v>Đá 1x2</v>
      </c>
      <c r="G136" s="2075" t="str">
        <f>chitiet!G359</f>
        <v>m3</v>
      </c>
      <c r="H136" s="2076">
        <f>chitiet!H359</f>
        <v>6.38</v>
      </c>
      <c r="I136" s="2076">
        <f>chitiet!P359</f>
        <v>6.38</v>
      </c>
      <c r="J136" s="1972">
        <f>IFERROR(VLOOKUP(B136,DG!A:F,6,0),3000)</f>
        <v>999</v>
      </c>
      <c r="K136" s="1973">
        <f>IF(J136&lt;2000,COUNTIF($B$2:B136,B136),0)</f>
        <v>1</v>
      </c>
      <c r="L136" s="1430"/>
      <c r="M136" s="1509"/>
      <c r="O136" s="1509"/>
    </row>
    <row r="137" spans="1:15" s="1285" customFormat="1" ht="25.15" customHeight="1">
      <c r="A137" s="2173">
        <f>COUNTIF($K$1:K137,1)</f>
        <v>90</v>
      </c>
      <c r="B137" s="2264" t="str">
        <f>chitiet!B752</f>
        <v>BTLT 12</v>
      </c>
      <c r="C137" s="1984" t="str">
        <f>chitiet!C752</f>
        <v>x</v>
      </c>
      <c r="D137" s="1985">
        <f>chitiet!D752</f>
        <v>0</v>
      </c>
      <c r="E137" s="1986">
        <f>chitiet!E752</f>
        <v>0</v>
      </c>
      <c r="F137" s="1987" t="str">
        <f>chitiet!F752</f>
        <v>Trụ bê tông ly tâm 12m trồng thủ công+cơ giới</v>
      </c>
      <c r="G137" s="2075" t="str">
        <f>chitiet!G752</f>
        <v>Trụ</v>
      </c>
      <c r="H137" s="2076">
        <f>chitiet!H752</f>
        <v>25</v>
      </c>
      <c r="I137" s="2076">
        <f>chitiet!P752</f>
        <v>25</v>
      </c>
      <c r="J137" s="1972">
        <f>IFERROR(VLOOKUP(B137,DG!A:F,6,0),3000)</f>
        <v>2000</v>
      </c>
      <c r="K137" s="1973">
        <f>IF(J137&lt;2000,COUNTIF($B$2:B137,B137),0)</f>
        <v>0</v>
      </c>
      <c r="L137" s="1430"/>
      <c r="M137" s="1509"/>
      <c r="O137" s="1509"/>
    </row>
    <row r="138" spans="1:15" s="1285" customFormat="1" ht="25.15" customHeight="1">
      <c r="A138" s="2173">
        <f>COUNTIF($K$1:K138,1)</f>
        <v>90</v>
      </c>
      <c r="B138" s="1976" t="str">
        <f>chitiet!B755</f>
        <v>C12m</v>
      </c>
      <c r="C138" s="1289" t="str">
        <f>chitiet!C755</f>
        <v>x</v>
      </c>
      <c r="D138" s="1978">
        <f>chitiet!D755</f>
        <v>1</v>
      </c>
      <c r="E138" s="1505" t="str">
        <f>chitiet!E755</f>
        <v>05.5402</v>
      </c>
      <c r="F138" s="1979" t="str">
        <f>chitiet!F755</f>
        <v>Dựng trụ BTLT 12m thủ công + cơ giới</v>
      </c>
      <c r="G138" s="1988" t="str">
        <f>chitiet!G755</f>
        <v>trụ</v>
      </c>
      <c r="H138" s="1989">
        <f>chitiet!H755</f>
        <v>25</v>
      </c>
      <c r="I138" s="1989">
        <f>chitiet!$P$755</f>
        <v>25</v>
      </c>
      <c r="J138" s="1972">
        <f>IFERROR(VLOOKUP(B138,DG!A:F,6,0),3000)</f>
        <v>2000</v>
      </c>
      <c r="K138" s="1973">
        <f>IF(J138&lt;2000,COUNTIF($B$2:B138,B138),0)</f>
        <v>0</v>
      </c>
      <c r="L138" s="1430"/>
      <c r="M138" s="1509"/>
      <c r="O138" s="1509"/>
    </row>
    <row r="139" spans="1:15" s="1285" customFormat="1" ht="25.15" customHeight="1">
      <c r="A139" s="2173">
        <f>COUNTIF($K$1:K139,1)</f>
        <v>90</v>
      </c>
      <c r="B139" s="2264" t="str">
        <f>chitiet!B1814</f>
        <v>CĐTply-X</v>
      </c>
      <c r="C139" s="1984" t="str">
        <f>chitiet!C1814</f>
        <v>x</v>
      </c>
      <c r="D139" s="1985">
        <f>chitiet!D1814</f>
        <v>24</v>
      </c>
      <c r="E139" s="1986">
        <f>chitiet!E1814</f>
        <v>0</v>
      </c>
      <c r="F139" s="1987" t="str">
        <f>chitiet!F1814</f>
        <v>Chuỗi sứ treo Polymer 25kV lắp vào xà : CĐT ply-X</v>
      </c>
      <c r="G139" s="2075" t="str">
        <f>chitiet!G1814</f>
        <v>chuỗi</v>
      </c>
      <c r="H139" s="2076">
        <f>chitiet!H1814</f>
        <v>24</v>
      </c>
      <c r="I139" s="2076">
        <f>chitiet!P1814</f>
        <v>24</v>
      </c>
      <c r="J139" s="1972">
        <f>IFERROR(VLOOKUP(B139,DG!A:F,6,0),3000)</f>
        <v>2000</v>
      </c>
      <c r="K139" s="1973">
        <f>IF(J139&lt;2000,COUNTIF($B$2:B139,B139),0)</f>
        <v>0</v>
      </c>
      <c r="L139" s="1430"/>
      <c r="M139" s="1509"/>
      <c r="O139" s="1509"/>
    </row>
    <row r="140" spans="1:15" s="1285" customFormat="1" ht="25.15" customHeight="1">
      <c r="A140" s="2173">
        <f>COUNTIF($K$1:K140,1)</f>
        <v>90</v>
      </c>
      <c r="B140" s="2264" t="str">
        <f>chitiet!B1172</f>
        <v>CL12-B</v>
      </c>
      <c r="C140" s="1984" t="str">
        <f>chitiet!C1172</f>
        <v>x</v>
      </c>
      <c r="D140" s="1985">
        <f>chitiet!D1172</f>
        <v>0</v>
      </c>
      <c r="E140" s="1986">
        <f>chitiet!E1172</f>
        <v>0</v>
      </c>
      <c r="F140" s="1987" t="str">
        <f>chitiet!F1172</f>
        <v>Bộ chằng lệch đơn cho trụ 12m: CL12-B</v>
      </c>
      <c r="G140" s="2075" t="str">
        <f>chitiet!G1172</f>
        <v>Bộ</v>
      </c>
      <c r="H140" s="2076">
        <f>chitiet!H1172</f>
        <v>1</v>
      </c>
      <c r="I140" s="2076">
        <f>chitiet!P1172</f>
        <v>1</v>
      </c>
      <c r="J140" s="1972">
        <f>IFERROR(VLOOKUP(B140,DG!A:F,6,0),3000)</f>
        <v>2000</v>
      </c>
      <c r="K140" s="1973">
        <f>IF(J140&lt;2000,COUNTIF($B$2:B140,B140),0)</f>
        <v>0</v>
      </c>
      <c r="L140" s="1430"/>
      <c r="M140" s="1509"/>
      <c r="O140" s="1509"/>
    </row>
    <row r="141" spans="1:15" s="1285" customFormat="1" ht="25.15" customHeight="1">
      <c r="A141" s="2173">
        <f>COUNTIF($K$1:K141,1)</f>
        <v>90</v>
      </c>
      <c r="B141" s="2264" t="str">
        <f>chitiet!B632</f>
        <v>DATD3</v>
      </c>
      <c r="C141" s="1984" t="str">
        <f>chitiet!C632</f>
        <v>x</v>
      </c>
      <c r="D141" s="1985">
        <f>chitiet!D632</f>
        <v>0.08</v>
      </c>
      <c r="E141" s="1986" t="str">
        <f>chitiet!E632</f>
        <v>03.4123</v>
      </c>
      <c r="F141" s="1987" t="str">
        <f>chitiet!F632</f>
        <v>Đắp đất rãnh tiếp độ chặt k=0,85</v>
      </c>
      <c r="G141" s="2075" t="str">
        <f>chitiet!G632</f>
        <v>m3</v>
      </c>
      <c r="H141" s="2076">
        <f>chitiet!H632</f>
        <v>0.32</v>
      </c>
      <c r="I141" s="2076">
        <f>chitiet!P632</f>
        <v>0.32</v>
      </c>
      <c r="J141" s="1972">
        <f>IFERROR(VLOOKUP(B141,DG!A:F,6,0),3000)</f>
        <v>2000</v>
      </c>
      <c r="K141" s="1973">
        <f>IF(J141&lt;2000,COUNTIF($B$2:B141,B141),0)</f>
        <v>0</v>
      </c>
      <c r="L141" s="1430"/>
      <c r="M141" s="1509"/>
      <c r="O141" s="1509"/>
    </row>
    <row r="142" spans="1:15" s="1285" customFormat="1" ht="25.15" customHeight="1">
      <c r="A142" s="2173">
        <f>COUNTIF($K$1:K142,1)</f>
        <v>90</v>
      </c>
      <c r="B142" s="2264" t="str">
        <f>CT_tram!B875</f>
        <v>datd3</v>
      </c>
      <c r="C142" s="1984">
        <f>CT_tram!C875</f>
        <v>0</v>
      </c>
      <c r="D142" s="1985">
        <f>CT_tram!D875</f>
        <v>0</v>
      </c>
      <c r="E142" s="1986" t="str">
        <f>CT_tram!E875</f>
        <v>03.4123</v>
      </c>
      <c r="F142" s="1987" t="str">
        <f>CT_tram!F875</f>
        <v>Đắp đất rãnh tiếp độ chặt k=0,85</v>
      </c>
      <c r="G142" s="2075" t="str">
        <f>CT_tram!G875</f>
        <v>m3</v>
      </c>
      <c r="H142" s="2076">
        <f>CT_tram!H875</f>
        <v>4.0999999999999996</v>
      </c>
      <c r="I142" s="2076">
        <f>CT_tram!I875</f>
        <v>4.0999999999999996</v>
      </c>
      <c r="J142" s="1972">
        <f>IFERROR(VLOOKUP(B142,DG!A:F,6,0),3000)</f>
        <v>2000</v>
      </c>
      <c r="K142" s="1973">
        <f>IF(J142&lt;2000,COUNTIF($B$2:B142,B142),0)</f>
        <v>0</v>
      </c>
      <c r="L142" s="1430"/>
      <c r="M142" s="1509"/>
      <c r="O142" s="1509"/>
    </row>
    <row r="143" spans="1:15" s="1285" customFormat="1" ht="25.15" customHeight="1">
      <c r="A143" s="2173">
        <f>COUNTIF($K$1:K143,1)</f>
        <v>90</v>
      </c>
      <c r="B143" s="2264" t="str">
        <f>chitiet!B375</f>
        <v>DBT15012</v>
      </c>
      <c r="C143" s="1984" t="str">
        <f>chitiet!C375</f>
        <v>x</v>
      </c>
      <c r="D143" s="1985">
        <f>chitiet!D375</f>
        <v>1.4319999999999999</v>
      </c>
      <c r="E143" s="2261" t="str">
        <f>chitiet!E375</f>
        <v>04.1203b</v>
      </c>
      <c r="F143" s="2262" t="str">
        <f>chitiet!F375</f>
        <v>Đổ bê tông mác M150 đá 1x2</v>
      </c>
      <c r="G143" s="2263" t="str">
        <f>chitiet!G375</f>
        <v>m3</v>
      </c>
      <c r="H143" s="2263">
        <f>chitiet!H375</f>
        <v>7.16</v>
      </c>
      <c r="I143" s="2263">
        <f>chitiet!$P$375</f>
        <v>7.16</v>
      </c>
      <c r="J143" s="1972">
        <f>IFERROR(VLOOKUP(B143,DG!A:F,6,0),3000)</f>
        <v>2000</v>
      </c>
      <c r="K143" s="1973">
        <f>IF(J143&lt;2000,COUNTIF($B$2:B143,B143),0)</f>
        <v>0</v>
      </c>
      <c r="L143" s="1430"/>
      <c r="M143" s="1509"/>
      <c r="O143" s="1509"/>
    </row>
    <row r="144" spans="1:15" s="1285" customFormat="1" ht="25.15" customHeight="1">
      <c r="A144" s="2173">
        <f>COUNTIF($K$1:K144,1)</f>
        <v>90</v>
      </c>
      <c r="B144" s="2264" t="str">
        <f>chitiet!B630</f>
        <v>DCTD3</v>
      </c>
      <c r="C144" s="1984" t="str">
        <f>chitiet!C630</f>
        <v>x</v>
      </c>
      <c r="D144" s="1985">
        <f>chitiet!D630</f>
        <v>1</v>
      </c>
      <c r="E144" s="1986" t="str">
        <f>chitiet!E630</f>
        <v>05.8103</v>
      </c>
      <c r="F144" s="1987" t="str">
        <f>chitiet!F630</f>
        <v>Đóng cọc tiếp địa đất cấp 3</v>
      </c>
      <c r="G144" s="2077" t="str">
        <f>chitiet!G630</f>
        <v>cọc</v>
      </c>
      <c r="H144" s="2076">
        <f>chitiet!H630</f>
        <v>4</v>
      </c>
      <c r="I144" s="2076">
        <f>chitiet!P630</f>
        <v>4</v>
      </c>
      <c r="J144" s="1972">
        <f>IFERROR(VLOOKUP(B144,DG!A:F,6,0),3000)</f>
        <v>2000</v>
      </c>
      <c r="K144" s="1973">
        <f>IF(J144&lt;2000,COUNTIF($B$2:B144,B144),0)</f>
        <v>0</v>
      </c>
      <c r="L144" s="1430"/>
      <c r="M144" s="1509"/>
      <c r="O144" s="1509"/>
    </row>
    <row r="145" spans="1:15" s="1285" customFormat="1" ht="25.15" customHeight="1">
      <c r="A145" s="2173">
        <f>COUNTIF($K$1:K145,1)</f>
        <v>90</v>
      </c>
      <c r="B145" s="2264" t="str">
        <f>CT_tram!B873</f>
        <v>dctdtba</v>
      </c>
      <c r="C145" s="1984">
        <f>CT_tram!C873</f>
        <v>0</v>
      </c>
      <c r="D145" s="1985">
        <f>CT_tram!D873</f>
        <v>0</v>
      </c>
      <c r="E145" s="1986" t="str">
        <f>CT_tram!E873</f>
        <v>04.7001</v>
      </c>
      <c r="F145" s="1987" t="str">
        <f>CT_tram!F873</f>
        <v>Đóng cọc tiếp địa trong TBA</v>
      </c>
      <c r="G145" s="2075" t="str">
        <f>CT_tram!G873</f>
        <v>cọc</v>
      </c>
      <c r="H145" s="2076">
        <f>CT_tram!H873</f>
        <v>10</v>
      </c>
      <c r="I145" s="2076">
        <f>CT_tram!I873</f>
        <v>10</v>
      </c>
      <c r="J145" s="1972">
        <f>IFERROR(VLOOKUP(B145,DG!A:F,6,0),3000)</f>
        <v>2000</v>
      </c>
      <c r="K145" s="1973">
        <f>IF(J145&lt;2000,COUNTIF($B$2:B145,B145),0)</f>
        <v>0</v>
      </c>
      <c r="L145" s="1430"/>
      <c r="M145" s="1509"/>
      <c r="O145" s="1509"/>
    </row>
    <row r="146" spans="1:15" s="1285" customFormat="1" ht="25.15" customHeight="1">
      <c r="A146" s="2173">
        <f>COUNTIF($K$1:K146,1)</f>
        <v>90</v>
      </c>
      <c r="B146" s="2264" t="str">
        <f>chitiet!B1749</f>
        <v>DDTT3P1m-m</v>
      </c>
      <c r="C146" s="1984" t="str">
        <f>chitiet!C1749</f>
        <v>x</v>
      </c>
      <c r="D146" s="1985">
        <f>chitiet!D1749</f>
        <v>1</v>
      </c>
      <c r="E146" s="1986">
        <f>chitiet!E1749</f>
        <v>1</v>
      </c>
      <c r="F146" s="1987" t="str">
        <f>chitiet!F1749</f>
        <v>Phần trung thế 3 pha xây dựng mới</v>
      </c>
      <c r="G146" s="1988" t="str">
        <f>chitiet!G1749</f>
        <v>Tbộ</v>
      </c>
      <c r="H146" s="1989">
        <f>chitiet!H1749</f>
        <v>1</v>
      </c>
      <c r="I146" s="1989">
        <f>chitiet!$P$1749</f>
        <v>1</v>
      </c>
      <c r="J146" s="1972">
        <f>IFERROR(VLOOKUP(B146,DG!A:F,6,0),3000)</f>
        <v>2000</v>
      </c>
      <c r="K146" s="1973">
        <f>IF(J146&lt;2000,COUNTIF($B$2:B146,B146),0)</f>
        <v>0</v>
      </c>
      <c r="L146" s="1430"/>
      <c r="M146" s="1509"/>
      <c r="O146" s="1509"/>
    </row>
    <row r="147" spans="1:15" s="1285" customFormat="1" ht="25.15" customHeight="1">
      <c r="A147" s="2173">
        <f>COUNTIF($K$1:K147,1)</f>
        <v>90</v>
      </c>
      <c r="B147" s="2264" t="str">
        <f>CT_tram!B830</f>
        <v>DK3p5A</v>
      </c>
      <c r="C147" s="1984">
        <f>CT_tram!C830</f>
        <v>0</v>
      </c>
      <c r="D147" s="1985">
        <f>CT_tram!D830</f>
        <v>7</v>
      </c>
      <c r="E147" s="2261" t="str">
        <f>CT_tram!E830</f>
        <v>05.5104</v>
      </c>
      <c r="F147" s="2262" t="str">
        <f>CT_tram!F830</f>
        <v>Điện kế 3 pha 4 dây 220/380V-5A</v>
      </c>
      <c r="G147" s="2263" t="str">
        <f>CT_tram!G830</f>
        <v>cái</v>
      </c>
      <c r="H147" s="2263">
        <f>CT_tram!H830</f>
        <v>1</v>
      </c>
      <c r="I147" s="2263">
        <f>CT_tram!I830</f>
        <v>1</v>
      </c>
      <c r="J147" s="1972">
        <f>IFERROR(VLOOKUP(B147,DG!A:F,6,0),3000)</f>
        <v>2000</v>
      </c>
      <c r="K147" s="1973">
        <f>IF(J147&lt;2000,COUNTIF($B$2:B147,B147),0)</f>
        <v>0</v>
      </c>
      <c r="L147" s="1426"/>
      <c r="M147" s="1509"/>
      <c r="O147" s="1509"/>
    </row>
    <row r="148" spans="1:15" s="1285" customFormat="1" ht="25.15" customHeight="1">
      <c r="A148" s="2173">
        <f>COUNTIF($K$1:K148,1)</f>
        <v>90</v>
      </c>
      <c r="B148" s="1976" t="str">
        <f>chitiet!B631</f>
        <v>DTD3</v>
      </c>
      <c r="C148" s="1289" t="str">
        <f>chitiet!C631</f>
        <v>x</v>
      </c>
      <c r="D148" s="1978">
        <f>chitiet!D631</f>
        <v>0.08</v>
      </c>
      <c r="E148" s="1505" t="str">
        <f>chitiet!E631</f>
        <v>03.3123</v>
      </c>
      <c r="F148" s="1979" t="str">
        <f>chitiet!F631</f>
        <v>Đào rãnh tiếp địa đất cấp 3</v>
      </c>
      <c r="G148" s="1988" t="str">
        <f>chitiet!G631</f>
        <v>m3</v>
      </c>
      <c r="H148" s="1989">
        <f>chitiet!H631</f>
        <v>0.32</v>
      </c>
      <c r="I148" s="1989">
        <f>chitiet!P631</f>
        <v>0.32</v>
      </c>
      <c r="J148" s="1972">
        <f>IFERROR(VLOOKUP(B148,DG!A:F,6,0),3000)</f>
        <v>2000</v>
      </c>
      <c r="K148" s="1973">
        <f>IF(J148&lt;2000,COUNTIF($B$2:B148,B148),0)</f>
        <v>0</v>
      </c>
      <c r="L148" s="1430"/>
      <c r="M148" s="1509"/>
      <c r="O148" s="1509"/>
    </row>
    <row r="149" spans="1:15" s="1285" customFormat="1" ht="25.15" customHeight="1">
      <c r="A149" s="2173">
        <f>COUNTIF($K$1:K149,1)</f>
        <v>90</v>
      </c>
      <c r="B149" s="2264" t="str">
        <f>CT_tram!B874</f>
        <v>dtd3</v>
      </c>
      <c r="C149" s="1984">
        <f>CT_tram!C874</f>
        <v>0</v>
      </c>
      <c r="D149" s="1985">
        <f>CT_tram!D874</f>
        <v>0</v>
      </c>
      <c r="E149" s="1986" t="str">
        <f>CT_tram!E874</f>
        <v>03.3123</v>
      </c>
      <c r="F149" s="1987" t="str">
        <f>CT_tram!F874</f>
        <v>Đào rãnh tiếp địa đất cấp 3</v>
      </c>
      <c r="G149" s="2075" t="str">
        <f>CT_tram!G874</f>
        <v>m3</v>
      </c>
      <c r="H149" s="2076">
        <f>CT_tram!H874</f>
        <v>4.0999999999999996</v>
      </c>
      <c r="I149" s="2076">
        <f>CT_tram!I874</f>
        <v>4.0999999999999996</v>
      </c>
      <c r="J149" s="1972">
        <f>IFERROR(VLOOKUP(B149,DG!A:F,6,0),3000)</f>
        <v>2000</v>
      </c>
      <c r="K149" s="1973">
        <f>IF(J149&lt;2000,COUNTIF($B$2:B149,B149),0)</f>
        <v>0</v>
      </c>
      <c r="L149" s="1430"/>
      <c r="M149" s="1509"/>
      <c r="O149" s="1509"/>
    </row>
    <row r="150" spans="1:15" s="1285" customFormat="1" ht="25.15" customHeight="1">
      <c r="A150" s="2173">
        <f>COUNTIF($K$1:K150,1)</f>
        <v>90</v>
      </c>
      <c r="B150" s="2264" t="str">
        <f>chitiet!B1769</f>
        <v>Đth-U</v>
      </c>
      <c r="C150" s="1984" t="str">
        <f>chitiet!C1769</f>
        <v>x</v>
      </c>
      <c r="D150" s="1985">
        <f>chitiet!D1769</f>
        <v>17</v>
      </c>
      <c r="E150" s="2261">
        <f>chitiet!E1769</f>
        <v>0</v>
      </c>
      <c r="F150" s="2262" t="str">
        <f>chitiet!F1769</f>
        <v>Bộ Uclevis đỡ dây trung hòa: Đth-U (trụ đơn)</v>
      </c>
      <c r="G150" s="2263" t="str">
        <f>chitiet!G1769</f>
        <v>bộ</v>
      </c>
      <c r="H150" s="2263">
        <f>chitiet!H1769</f>
        <v>17</v>
      </c>
      <c r="I150" s="2263">
        <f>chitiet!P1769</f>
        <v>17</v>
      </c>
      <c r="J150" s="1972">
        <f>IFERROR(VLOOKUP(B150,DG!A:F,6,0),3000)</f>
        <v>2000</v>
      </c>
      <c r="K150" s="1973">
        <f>IF(J150&lt;2000,COUNTIF($B$2:B150,B150),0)</f>
        <v>0</v>
      </c>
      <c r="L150" s="1430"/>
      <c r="M150" s="1509"/>
      <c r="O150" s="1509"/>
    </row>
    <row r="151" spans="1:15" s="1285" customFormat="1" ht="25.15" customHeight="1">
      <c r="A151" s="2173">
        <f>COUNTIF($K$1:K151,1)</f>
        <v>90</v>
      </c>
      <c r="B151" s="2264" t="str">
        <f>chitiet!B1903</f>
        <v>KDAC50</v>
      </c>
      <c r="C151" s="1984" t="str">
        <f>chitiet!C1903</f>
        <v>x</v>
      </c>
      <c r="D151" s="1985">
        <f>chitiet!D1903</f>
        <v>0.75570000000000004</v>
      </c>
      <c r="E151" s="1986" t="str">
        <f>chitiet!E1903</f>
        <v>06.6114</v>
      </c>
      <c r="F151" s="1987" t="str">
        <f>chitiet!F1903</f>
        <v>Kéo dây nhôm lõi thép cỡ dây 50mm2</v>
      </c>
      <c r="G151" s="2075" t="str">
        <f>chitiet!G1903</f>
        <v>km</v>
      </c>
      <c r="H151" s="2076">
        <f>chitiet!H1903</f>
        <v>0.75570000000000004</v>
      </c>
      <c r="I151" s="2076">
        <f>chitiet!P1903</f>
        <v>0.75570000000000004</v>
      </c>
      <c r="J151" s="1972">
        <f>IFERROR(VLOOKUP(B151,DG!A:F,6,0),3000)</f>
        <v>2000</v>
      </c>
      <c r="K151" s="1973">
        <f>IF(J151&lt;2000,COUNTIF($B$2:B151,B151),0)</f>
        <v>0</v>
      </c>
      <c r="L151" s="1430"/>
      <c r="M151" s="1509"/>
      <c r="O151" s="1509"/>
    </row>
    <row r="152" spans="1:15" s="1285" customFormat="1" ht="25.15" customHeight="1">
      <c r="A152" s="2173">
        <f>COUNTIF($K$1:K152,1)</f>
        <v>90</v>
      </c>
      <c r="B152" s="2264" t="str">
        <f>chitiet!B1910</f>
        <v>KDACXV50</v>
      </c>
      <c r="C152" s="1984" t="str">
        <f>chitiet!C1910</f>
        <v>x</v>
      </c>
      <c r="D152" s="1985">
        <f>chitiet!D1910</f>
        <v>2.2679999999999998</v>
      </c>
      <c r="E152" s="1986" t="str">
        <f>chitiet!E1910</f>
        <v>06.6114</v>
      </c>
      <c r="F152" s="1987" t="str">
        <f>chitiet!F1910</f>
        <v>Kéo dây nhôm bọc cỡ dây 50mm2</v>
      </c>
      <c r="G152" s="1988" t="str">
        <f>chitiet!G1910</f>
        <v>km</v>
      </c>
      <c r="H152" s="1989">
        <f>chitiet!H1910</f>
        <v>2.2679999999999998</v>
      </c>
      <c r="I152" s="1989">
        <f>chitiet!$P$1910</f>
        <v>2.2679999999999998</v>
      </c>
      <c r="J152" s="1972">
        <f>IFERROR(VLOOKUP(B152,DG!A:F,6,0),3000)</f>
        <v>2000</v>
      </c>
      <c r="K152" s="1973">
        <f>IF(J152&lt;2000,COUNTIF($B$2:B152,B152),0)</f>
        <v>0</v>
      </c>
      <c r="L152" s="1430"/>
      <c r="M152" s="1509"/>
      <c r="O152" s="1509"/>
    </row>
    <row r="153" spans="1:15" s="1285" customFormat="1" ht="25.15" customHeight="1">
      <c r="A153" s="2173">
        <f>COUNTIF($K$1:K153,1)</f>
        <v>90</v>
      </c>
      <c r="B153" s="1976" t="str">
        <f>chitiet!B629</f>
        <v>KTD</v>
      </c>
      <c r="C153" s="1289" t="str">
        <f>chitiet!C629</f>
        <v>x</v>
      </c>
      <c r="D153" s="1978">
        <f>chitiet!D629</f>
        <v>2.46</v>
      </c>
      <c r="E153" s="2225" t="str">
        <f>chitiet!E629</f>
        <v>05.7001</v>
      </c>
      <c r="F153" s="2230" t="str">
        <f>chitiet!F629</f>
        <v xml:space="preserve">Kéo dây tiếp địa </v>
      </c>
      <c r="G153" s="2235" t="str">
        <f>chitiet!G629</f>
        <v>mét</v>
      </c>
      <c r="H153" s="2235">
        <f>chitiet!H629</f>
        <v>9.84</v>
      </c>
      <c r="I153" s="2235">
        <f>chitiet!P629</f>
        <v>9.84</v>
      </c>
      <c r="J153" s="1972">
        <f>IFERROR(VLOOKUP(B153,DG!A:F,6,0),3000)</f>
        <v>2000</v>
      </c>
      <c r="K153" s="1973">
        <f>IF(J153&lt;2000,COUNTIF($B$2:B153,B153),0)</f>
        <v>0</v>
      </c>
      <c r="L153" s="1426"/>
      <c r="M153" s="1509"/>
      <c r="O153" s="1509"/>
    </row>
    <row r="154" spans="1:15" s="1285" customFormat="1" ht="25.15" customHeight="1">
      <c r="A154" s="2173">
        <f>COUNTIF($K$1:K154,1)</f>
        <v>90</v>
      </c>
      <c r="B154" s="2264" t="str">
        <f>CT_tram!B872</f>
        <v>ktdtba</v>
      </c>
      <c r="C154" s="1984">
        <f>CT_tram!C872</f>
        <v>0</v>
      </c>
      <c r="D154" s="1985">
        <f>CT_tram!D872</f>
        <v>0</v>
      </c>
      <c r="E154" s="1986" t="str">
        <f>CT_tram!E872</f>
        <v>04.7002</v>
      </c>
      <c r="F154" s="1987" t="str">
        <f>CT_tram!F872</f>
        <v>Kéo dây tiếp địa trong TBA</v>
      </c>
      <c r="G154" s="2075" t="str">
        <f>CT_tram!G872</f>
        <v>mét</v>
      </c>
      <c r="H154" s="2076">
        <f>CT_tram!H872</f>
        <v>53</v>
      </c>
      <c r="I154" s="2076">
        <f>CT_tram!I872</f>
        <v>53</v>
      </c>
      <c r="J154" s="1972">
        <f>IFERROR(VLOOKUP(B154,DG!A:F,6,0),3000)</f>
        <v>2000</v>
      </c>
      <c r="K154" s="1973">
        <f>IF(J154&lt;2000,COUNTIF($B$2:B154,B154),0)</f>
        <v>0</v>
      </c>
      <c r="L154" s="1430"/>
      <c r="M154" s="1509"/>
      <c r="O154" s="1509"/>
    </row>
    <row r="155" spans="1:15" s="1285" customFormat="1" ht="25.15" customHeight="1">
      <c r="A155" s="2173">
        <f>COUNTIF($K$1:K155,1)</f>
        <v>90</v>
      </c>
      <c r="B155" s="2264" t="str">
        <f>CT_tram!B917</f>
        <v>lcapdongTB150</v>
      </c>
      <c r="C155" s="1984">
        <f>CT_tram!C917</f>
        <v>0</v>
      </c>
      <c r="D155" s="1985">
        <f>CT_tram!D917</f>
        <v>0</v>
      </c>
      <c r="E155" s="1986" t="str">
        <f>CT_tram!E917</f>
        <v>04.4202</v>
      </c>
      <c r="F155" s="1987" t="str">
        <f>CT_tram!F917</f>
        <v>Lắp cáp đồng xuống thiết bị D ≤ 150mm2</v>
      </c>
      <c r="G155" s="2075" t="str">
        <f>CT_tram!G917</f>
        <v>m</v>
      </c>
      <c r="H155" s="2076">
        <f>CT_tram!H917</f>
        <v>30</v>
      </c>
      <c r="I155" s="2076">
        <f>CT_tram!I917</f>
        <v>30</v>
      </c>
      <c r="J155" s="1972">
        <f>IFERROR(VLOOKUP(B155,DG!A:F,6,0),3000)</f>
        <v>2000</v>
      </c>
      <c r="K155" s="1973">
        <f>IF(J155&lt;2000,COUNTIF($B$2:B155,B155),0)</f>
        <v>0</v>
      </c>
      <c r="L155" s="1992"/>
      <c r="M155" s="1993"/>
      <c r="N155" s="1994"/>
      <c r="O155" s="1993"/>
    </row>
    <row r="156" spans="1:15" s="1285" customFormat="1" ht="25.15" customHeight="1">
      <c r="A156" s="2173">
        <f>COUNTIF($K$1:K156,1)</f>
        <v>90</v>
      </c>
      <c r="B156" s="2467" t="str">
        <f>CT_tram!B937</f>
        <v>lcapdongTB150</v>
      </c>
      <c r="C156" s="2080">
        <f>CT_tram!C937</f>
        <v>0</v>
      </c>
      <c r="D156" s="2081">
        <f>CT_tram!D937</f>
        <v>0</v>
      </c>
      <c r="E156" s="1986" t="str">
        <f>CT_tram!E937</f>
        <v>04.4202</v>
      </c>
      <c r="F156" s="1987" t="str">
        <f>CT_tram!F937</f>
        <v>Lắp cáp đồng xuống thiết bị D ≤ 150mm2</v>
      </c>
      <c r="G156" s="2075" t="str">
        <f>CT_tram!G937</f>
        <v>m</v>
      </c>
      <c r="H156" s="2076">
        <f>CT_tram!H937</f>
        <v>0</v>
      </c>
      <c r="I156" s="2076">
        <f>CT_tram!I937</f>
        <v>0</v>
      </c>
      <c r="J156" s="1972">
        <f>IFERROR(VLOOKUP(B156,DG!A:F,6,0),3000)</f>
        <v>2000</v>
      </c>
      <c r="K156" s="1973">
        <f>IF(J156&lt;2000,COUNTIF($B$2:B156,B156),0)</f>
        <v>0</v>
      </c>
      <c r="L156" s="1992"/>
      <c r="M156" s="1509"/>
      <c r="O156" s="1509"/>
    </row>
    <row r="157" spans="1:15" s="1285" customFormat="1" ht="25.15" customHeight="1">
      <c r="A157" s="2173">
        <f>COUNTIF($K$1:K157,1)</f>
        <v>90</v>
      </c>
      <c r="B157" s="2264" t="str">
        <f>CT_tram!B890</f>
        <v>lcapdongTB95</v>
      </c>
      <c r="C157" s="1984">
        <f>CT_tram!C890</f>
        <v>0</v>
      </c>
      <c r="D157" s="1985">
        <f>CT_tram!D890</f>
        <v>0</v>
      </c>
      <c r="E157" s="1986" t="str">
        <f>CT_tram!E890</f>
        <v>04.4201</v>
      </c>
      <c r="F157" s="1987" t="str">
        <f>CT_tram!F890</f>
        <v>Lắp cáp đồng xuống thiết bị D ≤ 95mm2</v>
      </c>
      <c r="G157" s="2075" t="str">
        <f>CT_tram!G890</f>
        <v>m</v>
      </c>
      <c r="H157" s="2076">
        <f>CT_tram!H890</f>
        <v>12</v>
      </c>
      <c r="I157" s="2076">
        <f>CT_tram!I890</f>
        <v>12</v>
      </c>
      <c r="J157" s="1972">
        <f>IFERROR(VLOOKUP(B157,DG!A:F,6,0),3000)</f>
        <v>2000</v>
      </c>
      <c r="K157" s="1973">
        <f>IF(J157&lt;2000,COUNTIF($B$2:B157,B157),0)</f>
        <v>0</v>
      </c>
      <c r="L157" s="1430"/>
      <c r="M157" s="1509"/>
      <c r="O157" s="1509"/>
    </row>
    <row r="158" spans="1:15" s="1285" customFormat="1" ht="25.15" customHeight="1">
      <c r="A158" s="2173">
        <f>COUNTIF($K$1:K158,1)</f>
        <v>90</v>
      </c>
      <c r="B158" s="1976" t="str">
        <f>chitiet!B1929</f>
        <v>LCHSNply</v>
      </c>
      <c r="C158" s="1289" t="str">
        <f>chitiet!C1929</f>
        <v>x</v>
      </c>
      <c r="D158" s="1978">
        <f>chitiet!D1929</f>
        <v>24</v>
      </c>
      <c r="E158" s="2225" t="str">
        <f>chitiet!E1929</f>
        <v>06.2201</v>
      </c>
      <c r="F158" s="2230" t="str">
        <f>chitiet!F1929</f>
        <v>Lắp chuỗi sứ néo Polymer</v>
      </c>
      <c r="G158" s="2235" t="str">
        <f>chitiet!G1929</f>
        <v>chuỗi</v>
      </c>
      <c r="H158" s="2235">
        <f>chitiet!H1929</f>
        <v>24</v>
      </c>
      <c r="I158" s="2235">
        <f>chitiet!$P$1929</f>
        <v>24</v>
      </c>
      <c r="J158" s="1972">
        <f>IFERROR(VLOOKUP(B158,DG!A:F,6,0),3000)</f>
        <v>2000</v>
      </c>
      <c r="K158" s="1973">
        <f>IF(J158&lt;2000,COUNTIF($B$2:B158,B158),0)</f>
        <v>0</v>
      </c>
      <c r="L158" s="1426"/>
      <c r="M158" s="1509"/>
      <c r="O158" s="1509"/>
    </row>
    <row r="159" spans="1:15" s="1285" customFormat="1" ht="25.15" customHeight="1">
      <c r="A159" s="2173">
        <f>COUNTIF($K$1:K159,1)</f>
        <v>90</v>
      </c>
      <c r="B159" s="2465" t="str">
        <f>chitiet!B1181</f>
        <v>LDN</v>
      </c>
      <c r="C159" s="1975" t="str">
        <f>chitiet!C1181</f>
        <v>x</v>
      </c>
      <c r="D159" s="1980">
        <f>chitiet!D1181</f>
        <v>1</v>
      </c>
      <c r="E159" s="2227" t="str">
        <f>chitiet!E1181</f>
        <v>06.3241</v>
      </c>
      <c r="F159" s="2232" t="str">
        <f>chitiet!F1181</f>
        <v>Lắp bộ dây néo</v>
      </c>
      <c r="G159" s="2238" t="str">
        <f>chitiet!G1181</f>
        <v>bộ</v>
      </c>
      <c r="H159" s="2238">
        <f>chitiet!H1181</f>
        <v>1</v>
      </c>
      <c r="I159" s="2263">
        <f>chitiet!P1181</f>
        <v>1</v>
      </c>
      <c r="J159" s="1972">
        <f>IFERROR(VLOOKUP(B159,DG!A:F,6,0),3000)</f>
        <v>2000</v>
      </c>
      <c r="K159" s="1973">
        <f>IF(J159&lt;2000,COUNTIF($B$2:B159,B159),0)</f>
        <v>0</v>
      </c>
      <c r="L159" s="1430"/>
      <c r="M159" s="1509"/>
      <c r="O159" s="1509"/>
    </row>
    <row r="160" spans="1:15" s="1285" customFormat="1" ht="25.15" customHeight="1">
      <c r="A160" s="2173">
        <f>COUNTIF($K$1:K160,1)</f>
        <v>90</v>
      </c>
      <c r="B160" s="2264" t="str">
        <f>CT_tram!B916</f>
        <v>lpvc114cl</v>
      </c>
      <c r="C160" s="1984">
        <f>CT_tram!C916</f>
        <v>0</v>
      </c>
      <c r="D160" s="1985">
        <f>CT_tram!D916</f>
        <v>0</v>
      </c>
      <c r="E160" s="1986" t="str">
        <f>CT_tram!E916</f>
        <v>07,2407</v>
      </c>
      <c r="F160" s="1987" t="str">
        <f>CT_tram!F916</f>
        <v>Lắp ống nhựa PVC D114</v>
      </c>
      <c r="G160" s="2075" t="str">
        <f>CT_tram!G916</f>
        <v>mét</v>
      </c>
      <c r="H160" s="2076">
        <f>CT_tram!H916</f>
        <v>11</v>
      </c>
      <c r="I160" s="2076">
        <f>CT_tram!I916</f>
        <v>11</v>
      </c>
      <c r="J160" s="1972">
        <f>IFERROR(VLOOKUP(B160,DG!A:F,6,0),3000)</f>
        <v>2000</v>
      </c>
      <c r="K160" s="1973">
        <f>IF(J160&lt;2000,COUNTIF($B$2:B160,B160),0)</f>
        <v>0</v>
      </c>
      <c r="L160" s="1430"/>
      <c r="M160" s="1509"/>
      <c r="O160" s="1509"/>
    </row>
    <row r="161" spans="1:15" s="1285" customFormat="1" ht="25.15" customHeight="1">
      <c r="A161" s="2173">
        <f>COUNTIF($K$1:K161,1)</f>
        <v>90</v>
      </c>
      <c r="B161" s="2264" t="str">
        <f>CT_tram!B936</f>
        <v>lpvc114cl</v>
      </c>
      <c r="C161" s="1984">
        <f>CT_tram!C936</f>
        <v>0</v>
      </c>
      <c r="D161" s="1985">
        <f>CT_tram!D936</f>
        <v>0</v>
      </c>
      <c r="E161" s="1986" t="str">
        <f>CT_tram!E936</f>
        <v>07,2407</v>
      </c>
      <c r="F161" s="1987" t="str">
        <f>CT_tram!F936</f>
        <v>Lắp ống nhựa PVC D114</v>
      </c>
      <c r="G161" s="2075" t="str">
        <f>CT_tram!G936</f>
        <v>mét</v>
      </c>
      <c r="H161" s="2076">
        <f>CT_tram!H936</f>
        <v>0</v>
      </c>
      <c r="I161" s="2076">
        <f>CT_tram!I936</f>
        <v>0</v>
      </c>
      <c r="J161" s="1972">
        <f>IFERROR(VLOOKUP(B161,DG!A:F,6,0),3000)</f>
        <v>2000</v>
      </c>
      <c r="K161" s="1973">
        <f>IF(J161&lt;2000,COUNTIF($B$2:B161,B161),0)</f>
        <v>0</v>
      </c>
      <c r="L161" s="1430"/>
      <c r="M161" s="1509"/>
      <c r="O161" s="1509"/>
    </row>
    <row r="162" spans="1:15" s="1285" customFormat="1" ht="25.15" customHeight="1">
      <c r="A162" s="2173">
        <f>COUNTIF($K$1:K162,1)</f>
        <v>90</v>
      </c>
      <c r="B162" s="1976" t="str">
        <f>chitiet!B1923</f>
        <v>LSD</v>
      </c>
      <c r="C162" s="1289" t="str">
        <f ca="1">chitiet!C1923</f>
        <v>x</v>
      </c>
      <c r="D162" s="1978">
        <f ca="1">chitiet!D1923</f>
        <v>69</v>
      </c>
      <c r="E162" s="2225" t="str">
        <f>chitiet!E1923</f>
        <v>06.1115</v>
      </c>
      <c r="F162" s="2230" t="str">
        <f>chitiet!F1923</f>
        <v>Lắp sứ đứng 24KV</v>
      </c>
      <c r="G162" s="2235" t="str">
        <f>chitiet!G1923</f>
        <v>bộ</v>
      </c>
      <c r="H162" s="2235">
        <f ca="1">chitiet!H1923</f>
        <v>69</v>
      </c>
      <c r="I162" s="2235">
        <f ca="1">chitiet!$P$1923</f>
        <v>69</v>
      </c>
      <c r="J162" s="1972">
        <f>IFERROR(VLOOKUP(B162,DG!A:F,6,0),3000)</f>
        <v>2000</v>
      </c>
      <c r="K162" s="1973">
        <f>IF(J162&lt;2000,COUNTIF($B$2:B162,B162),0)</f>
        <v>0</v>
      </c>
      <c r="L162" s="1426"/>
      <c r="M162" s="1509"/>
      <c r="O162" s="1509"/>
    </row>
    <row r="163" spans="1:15" s="1285" customFormat="1" ht="25.15" customHeight="1">
      <c r="A163" s="2173">
        <f>COUNTIF($K$1:K163,1)</f>
        <v>90</v>
      </c>
      <c r="B163" s="1976" t="str">
        <f>chitiet!B1941</f>
        <v>LSOC</v>
      </c>
      <c r="C163" s="1289" t="str">
        <f>chitiet!C1941</f>
        <v>x</v>
      </c>
      <c r="D163" s="1978">
        <f>chitiet!D1941</f>
        <v>17</v>
      </c>
      <c r="E163" s="2225" t="str">
        <f>chitiet!E1941</f>
        <v>06.1211</v>
      </c>
      <c r="F163" s="2230" t="str">
        <f>chitiet!F1941</f>
        <v>Lắp rack sứ + sứ ống chỉ</v>
      </c>
      <c r="G163" s="2235" t="str">
        <f>chitiet!G1941</f>
        <v>bộ</v>
      </c>
      <c r="H163" s="2235">
        <f>chitiet!H1941</f>
        <v>17</v>
      </c>
      <c r="I163" s="2235">
        <f>chitiet!$P$1941</f>
        <v>17</v>
      </c>
      <c r="J163" s="1972">
        <f>IFERROR(VLOOKUP(B163,DG!A:F,6,0),3000)</f>
        <v>2000</v>
      </c>
      <c r="K163" s="1973">
        <f>IF(J163&lt;2000,COUNTIF($B$2:B163,B163),0)</f>
        <v>0</v>
      </c>
      <c r="L163" s="1426"/>
      <c r="M163" s="1509"/>
      <c r="O163" s="1509"/>
    </row>
    <row r="164" spans="1:15" s="1285" customFormat="1" ht="25.15" customHeight="1">
      <c r="A164" s="2173">
        <f>COUNTIF($K$1:K164,1)</f>
        <v>90</v>
      </c>
      <c r="B164" s="2264" t="str">
        <f>chitiet!B805</f>
        <v>LXINL</v>
      </c>
      <c r="C164" s="1984" t="str">
        <f>chitiet!C805</f>
        <v>x</v>
      </c>
      <c r="D164" s="1985">
        <f>chitiet!D805</f>
        <v>1</v>
      </c>
      <c r="E164" s="1986" t="str">
        <f>chitiet!E805</f>
        <v>05.6203</v>
      </c>
      <c r="F164" s="1987" t="str">
        <f>chitiet!F805</f>
        <v>Lắp xà néo ≤ 100kg</v>
      </c>
      <c r="G164" s="2075" t="str">
        <f>chitiet!G805</f>
        <v>bộ</v>
      </c>
      <c r="H164" s="2076">
        <f>chitiet!H805</f>
        <v>4</v>
      </c>
      <c r="I164" s="2076">
        <f>chitiet!P805</f>
        <v>4</v>
      </c>
      <c r="J164" s="1972">
        <f>IFERROR(VLOOKUP(B164,DG!A:F,6,0),3000)</f>
        <v>2000</v>
      </c>
      <c r="K164" s="1973">
        <f>IF(J164&lt;2000,COUNTIF($B$2:B164,B164),0)</f>
        <v>0</v>
      </c>
      <c r="L164" s="1430"/>
      <c r="M164" s="1509"/>
      <c r="O164" s="1509"/>
    </row>
    <row r="165" spans="1:15" s="1285" customFormat="1" ht="25.15" customHeight="1">
      <c r="A165" s="2173">
        <f>COUNTIF($K$1:K165,1)</f>
        <v>90</v>
      </c>
      <c r="B165" s="2465" t="str">
        <f>chitiet!B861</f>
        <v>LXINL</v>
      </c>
      <c r="C165" s="1975" t="str">
        <f>chitiet!C861</f>
        <v>x</v>
      </c>
      <c r="D165" s="1980">
        <f>chitiet!D861</f>
        <v>1</v>
      </c>
      <c r="E165" s="2227" t="str">
        <f>chitiet!E861</f>
        <v>05.6203</v>
      </c>
      <c r="F165" s="2232" t="str">
        <f>chitiet!F861</f>
        <v>Lắp xà néo ≤ 100kg</v>
      </c>
      <c r="G165" s="2238" t="str">
        <f>chitiet!G861</f>
        <v>bộ</v>
      </c>
      <c r="H165" s="2238">
        <f>chitiet!H861</f>
        <v>3</v>
      </c>
      <c r="I165" s="2235">
        <f>chitiet!P861</f>
        <v>3</v>
      </c>
      <c r="J165" s="1972">
        <f>IFERROR(VLOOKUP(B165,DG!A:F,6,0),3000)</f>
        <v>2000</v>
      </c>
      <c r="K165" s="1973">
        <f>IF(J165&lt;2000,COUNTIF($B$2:B165,B165),0)</f>
        <v>0</v>
      </c>
      <c r="L165" s="1426"/>
      <c r="M165" s="1509"/>
      <c r="O165" s="1509"/>
    </row>
    <row r="166" spans="1:15" s="1285" customFormat="1" ht="25.15" customHeight="1">
      <c r="A166" s="2173">
        <f>COUNTIF($K$1:K166,1)</f>
        <v>90</v>
      </c>
      <c r="B166" s="2264" t="str">
        <f>chitiet!B1101</f>
        <v>LXIT</v>
      </c>
      <c r="C166" s="1984" t="str">
        <f>chitiet!C1101</f>
        <v>x</v>
      </c>
      <c r="D166" s="1985">
        <f>chitiet!D1101</f>
        <v>1</v>
      </c>
      <c r="E166" s="1986">
        <f>chitiet!E1101</f>
        <v>0</v>
      </c>
      <c r="F166" s="1987" t="str">
        <f>chitiet!F1101</f>
        <v>Lắp xà đỡ ≤ 25kg</v>
      </c>
      <c r="G166" s="1988" t="str">
        <f>chitiet!G1101</f>
        <v>bộ</v>
      </c>
      <c r="H166" s="1989">
        <f>chitiet!H1101</f>
        <v>1</v>
      </c>
      <c r="I166" s="1989">
        <f>chitiet!P1101</f>
        <v>1</v>
      </c>
      <c r="J166" s="1972">
        <f>IFERROR(VLOOKUP(B166,DG!A:F,6,0),3000)</f>
        <v>2000</v>
      </c>
      <c r="K166" s="1973">
        <f>IF(J166&lt;2000,COUNTIF($B$2:B166,B166),0)</f>
        <v>0</v>
      </c>
      <c r="L166" s="1430"/>
      <c r="M166" s="1509"/>
      <c r="O166" s="1509"/>
    </row>
    <row r="167" spans="1:15" s="1285" customFormat="1" ht="25.15" customHeight="1">
      <c r="A167" s="2173">
        <f>COUNTIF($K$1:K167,1)</f>
        <v>90</v>
      </c>
      <c r="B167" s="2264" t="str">
        <f>CT_tram!B858</f>
        <v>lxiTL</v>
      </c>
      <c r="C167" s="1984">
        <f>CT_tram!C858</f>
        <v>0</v>
      </c>
      <c r="D167" s="1985">
        <f>CT_tram!D858</f>
        <v>0</v>
      </c>
      <c r="E167" s="1986" t="str">
        <f>CT_tram!E858</f>
        <v>05.6102</v>
      </c>
      <c r="F167" s="1987" t="str">
        <f>CT_tram!F858</f>
        <v>Lắp xà đỡ ≤ 50kg</v>
      </c>
      <c r="G167" s="2075" t="str">
        <f>CT_tram!G858</f>
        <v>bộ</v>
      </c>
      <c r="H167" s="2076">
        <f>CT_tram!H858</f>
        <v>1</v>
      </c>
      <c r="I167" s="2076">
        <f>CT_tram!I858</f>
        <v>1</v>
      </c>
      <c r="J167" s="1972">
        <f>IFERROR(VLOOKUP(B167,DG!A:F,6,0),3000)</f>
        <v>2000</v>
      </c>
      <c r="K167" s="1973">
        <f>IF(J167&lt;2000,COUNTIF($B$2:B167,B167),0)</f>
        <v>0</v>
      </c>
      <c r="L167" s="1430"/>
      <c r="M167" s="1993"/>
      <c r="N167" s="1994"/>
      <c r="O167" s="1993"/>
    </row>
    <row r="168" spans="1:15" s="1285" customFormat="1" ht="25.15" customHeight="1">
      <c r="A168" s="2173">
        <f>COUNTIF($K$1:K168,1)</f>
        <v>90</v>
      </c>
      <c r="B168" s="2244" t="str">
        <f>chitiet!B244</f>
        <v>M12</v>
      </c>
      <c r="C168" s="1990" t="str">
        <f>chitiet!C244</f>
        <v>x</v>
      </c>
      <c r="D168" s="1991">
        <f>chitiet!D244</f>
        <v>0</v>
      </c>
      <c r="E168" s="1505">
        <f>chitiet!E244</f>
        <v>0</v>
      </c>
      <c r="F168" s="1979" t="str">
        <f>chitiet!F244</f>
        <v>Móng M12</v>
      </c>
      <c r="G168" s="1988" t="str">
        <f>chitiet!G244</f>
        <v>Móng</v>
      </c>
      <c r="H168" s="1989">
        <f>chitiet!H244</f>
        <v>15</v>
      </c>
      <c r="I168" s="1989">
        <f>chitiet!P244</f>
        <v>15</v>
      </c>
      <c r="J168" s="1972">
        <f>IFERROR(VLOOKUP(B168,DG!A:F,6,0),3000)</f>
        <v>2000</v>
      </c>
      <c r="K168" s="1973">
        <f>IF(J168&lt;2000,COUNTIF($B$2:B168,B168),0)</f>
        <v>0</v>
      </c>
      <c r="L168" s="1992"/>
      <c r="M168" s="1509"/>
      <c r="O168" s="1509"/>
    </row>
    <row r="169" spans="1:15" s="1285" customFormat="1" ht="25.15" customHeight="1">
      <c r="A169" s="2173">
        <f>COUNTIF($K$1:K169,1)</f>
        <v>90</v>
      </c>
      <c r="B169" s="1976" t="str">
        <f>chitiet!B356</f>
        <v>M12BT ĐÔI</v>
      </c>
      <c r="C169" s="1289" t="str">
        <f>chitiet!C356</f>
        <v>x</v>
      </c>
      <c r="D169" s="1978">
        <f>chitiet!D356</f>
        <v>0</v>
      </c>
      <c r="E169" s="2225">
        <f>chitiet!E356</f>
        <v>0</v>
      </c>
      <c r="F169" s="2230" t="str">
        <f>chitiet!F356</f>
        <v>Móng bê tông trụ đôi 12m</v>
      </c>
      <c r="G169" s="2235" t="str">
        <f>chitiet!G356</f>
        <v>Móng</v>
      </c>
      <c r="H169" s="2235">
        <f>chitiet!H356</f>
        <v>5</v>
      </c>
      <c r="I169" s="2235">
        <f>chitiet!P356</f>
        <v>5</v>
      </c>
      <c r="J169" s="1972">
        <f>IFERROR(VLOOKUP(B169,DG!A:F,6,0),3000)</f>
        <v>2000</v>
      </c>
      <c r="K169" s="1973">
        <f>IF(J169&lt;2000,COUNTIF($B$2:B169,B169),0)</f>
        <v>0</v>
      </c>
      <c r="L169" s="1426"/>
      <c r="M169" s="1509"/>
      <c r="O169" s="1509"/>
    </row>
    <row r="170" spans="1:15" s="1285" customFormat="1" ht="25.15" customHeight="1">
      <c r="A170" s="2173">
        <f>COUNTIF($K$1:K170,1)</f>
        <v>90</v>
      </c>
      <c r="B170" s="2264" t="str">
        <f>chitiet!B246</f>
        <v>MDAP3</v>
      </c>
      <c r="C170" s="1984" t="str">
        <f>chitiet!C246</f>
        <v>x</v>
      </c>
      <c r="D170" s="1985">
        <f>chitiet!D246</f>
        <v>0.18</v>
      </c>
      <c r="E170" s="1986" t="str">
        <f>chitiet!E246</f>
        <v>03.4113</v>
      </c>
      <c r="F170" s="1987" t="str">
        <f>chitiet!F246</f>
        <v>Đắp đất hố móng, độ chặt k=0,95</v>
      </c>
      <c r="G170" s="2075" t="str">
        <f>chitiet!G246</f>
        <v>m3</v>
      </c>
      <c r="H170" s="2076">
        <f>chitiet!H246</f>
        <v>2.6999999999999997</v>
      </c>
      <c r="I170" s="2076">
        <f>chitiet!P246</f>
        <v>2.6999999999999997</v>
      </c>
      <c r="J170" s="1972">
        <f>IFERROR(VLOOKUP(B170,DG!A:F,6,0),3000)</f>
        <v>2000</v>
      </c>
      <c r="K170" s="1973">
        <f>IF(J170&lt;2000,COUNTIF($B$2:B170,B170),0)</f>
        <v>0</v>
      </c>
      <c r="L170" s="1430"/>
      <c r="M170" s="1509"/>
      <c r="O170" s="1509"/>
    </row>
    <row r="171" spans="1:15" s="1285" customFormat="1" ht="25.15" customHeight="1">
      <c r="A171" s="2173">
        <f>COUNTIF($K$1:K171,1)</f>
        <v>90</v>
      </c>
      <c r="B171" s="2264" t="str">
        <f>chitiet!B366</f>
        <v>MDAP3</v>
      </c>
      <c r="C171" s="1984" t="str">
        <f>chitiet!C366</f>
        <v>x</v>
      </c>
      <c r="D171" s="1985">
        <f>chitiet!D366</f>
        <v>0.157</v>
      </c>
      <c r="E171" s="1986" t="str">
        <f>chitiet!E366</f>
        <v>03.4113</v>
      </c>
      <c r="F171" s="1987" t="str">
        <f>chitiet!F366</f>
        <v>Đắp đất hố móng, độ chặt k=0,95</v>
      </c>
      <c r="G171" s="2077" t="str">
        <f>chitiet!G366</f>
        <v>m3</v>
      </c>
      <c r="H171" s="2078">
        <f>chitiet!H366</f>
        <v>0.78500000000000003</v>
      </c>
      <c r="I171" s="1989">
        <f>chitiet!P366</f>
        <v>0.78500000000000003</v>
      </c>
      <c r="J171" s="1972">
        <f>IFERROR(VLOOKUP(B171,DG!A:F,6,0),3000)</f>
        <v>2000</v>
      </c>
      <c r="K171" s="1973">
        <f>IF(J171&lt;2000,COUNTIF($B$2:B171,B171),0)</f>
        <v>0</v>
      </c>
      <c r="L171" s="1430"/>
      <c r="M171" s="1509"/>
      <c r="O171" s="1509"/>
    </row>
    <row r="172" spans="1:15" s="1285" customFormat="1" ht="25.15" customHeight="1">
      <c r="A172" s="2173">
        <f>COUNTIF($K$1:K172,1)</f>
        <v>90</v>
      </c>
      <c r="B172" s="2467" t="str">
        <f>chitiet!B1414</f>
        <v>MDAP3</v>
      </c>
      <c r="C172" s="2080" t="str">
        <f>chitiet!C1414</f>
        <v>x</v>
      </c>
      <c r="D172" s="2081">
        <f>chitiet!D1414</f>
        <v>0.28999999999999998</v>
      </c>
      <c r="E172" s="1986" t="str">
        <f>chitiet!E1414</f>
        <v>03.4113</v>
      </c>
      <c r="F172" s="1987" t="str">
        <f>chitiet!F1414</f>
        <v>Đắp đất hố móng, độ chặt k=0,95</v>
      </c>
      <c r="G172" s="2075" t="str">
        <f>chitiet!G1414</f>
        <v>m3</v>
      </c>
      <c r="H172" s="2076">
        <f>chitiet!H1414</f>
        <v>0.28999999999999998</v>
      </c>
      <c r="I172" s="2076">
        <f>chitiet!P1414</f>
        <v>0.28999999999999998</v>
      </c>
      <c r="J172" s="1972">
        <f>IFERROR(VLOOKUP(B172,DG!A:F,6,0),3000)</f>
        <v>2000</v>
      </c>
      <c r="K172" s="1973">
        <f>IF(J172&lt;2000,COUNTIF($B$2:B172,B172),0)</f>
        <v>0</v>
      </c>
      <c r="L172" s="1430"/>
      <c r="M172" s="1509"/>
      <c r="O172" s="1509"/>
    </row>
    <row r="173" spans="1:15" s="1285" customFormat="1" ht="25.15" customHeight="1">
      <c r="A173" s="2173">
        <f>COUNTIF($K$1:K173,1)</f>
        <v>90</v>
      </c>
      <c r="B173" s="1976" t="str">
        <f>chitiet!B1782</f>
        <v>Nth-T</v>
      </c>
      <c r="C173" s="1289" t="str">
        <f>chitiet!C1782</f>
        <v>x</v>
      </c>
      <c r="D173" s="1978">
        <f>chitiet!D1782</f>
        <v>0</v>
      </c>
      <c r="E173" s="1505">
        <f>chitiet!E1782</f>
        <v>0</v>
      </c>
      <c r="F173" s="1979" t="str">
        <f>chitiet!F1782</f>
        <v>Bộ khóa néo dây trung hòa vào trụ: Nth-T</v>
      </c>
      <c r="G173" s="1988" t="str">
        <f>chitiet!G1782</f>
        <v>bộ</v>
      </c>
      <c r="H173" s="1989">
        <f>chitiet!H1782</f>
        <v>8</v>
      </c>
      <c r="I173" s="1989">
        <f>chitiet!P1782</f>
        <v>8</v>
      </c>
      <c r="J173" s="1972">
        <f>IFERROR(VLOOKUP(B173,DG!A:F,6,0),3000)</f>
        <v>2000</v>
      </c>
      <c r="K173" s="1973">
        <f>IF(J173&lt;2000,COUNTIF($B$2:B173,B173),0)</f>
        <v>0</v>
      </c>
      <c r="L173" s="1430"/>
      <c r="M173" s="1509"/>
      <c r="O173" s="1509"/>
    </row>
    <row r="174" spans="1:15" s="1285" customFormat="1" ht="25.15" customHeight="1">
      <c r="A174" s="2173">
        <f>COUNTIF($K$1:K174,1)</f>
        <v>90</v>
      </c>
      <c r="B174" s="2264" t="str">
        <f>chitiet!B1410</f>
        <v>NXL</v>
      </c>
      <c r="C174" s="1984" t="str">
        <f>chitiet!C1410</f>
        <v>x</v>
      </c>
      <c r="D174" s="1985">
        <f>chitiet!D1410</f>
        <v>0</v>
      </c>
      <c r="E174" s="1986">
        <f>chitiet!E1410</f>
        <v>0</v>
      </c>
      <c r="F174" s="1987" t="str">
        <f>chitiet!F1410</f>
        <v>Bộ móng neo xòe cho chằng lệch: NXL</v>
      </c>
      <c r="G174" s="2075" t="str">
        <f>chitiet!G1410</f>
        <v>Bộ</v>
      </c>
      <c r="H174" s="2076">
        <f>chitiet!H1410</f>
        <v>1</v>
      </c>
      <c r="I174" s="2076">
        <f>chitiet!P1410</f>
        <v>1</v>
      </c>
      <c r="J174" s="1972">
        <f>IFERROR(VLOOKUP(B174,DG!A:F,6,0),3000)</f>
        <v>2000</v>
      </c>
      <c r="K174" s="1973">
        <f>IF(J174&lt;2000,COUNTIF($B$2:B174,B174),0)</f>
        <v>0</v>
      </c>
      <c r="L174" s="1430"/>
      <c r="M174" s="1509"/>
      <c r="O174" s="1509"/>
    </row>
    <row r="175" spans="1:15" s="1285" customFormat="1" ht="25.15" customHeight="1">
      <c r="A175" s="2173">
        <f>COUNTIF($K$1:K175,1)</f>
        <v>90</v>
      </c>
      <c r="B175" s="2465" t="str">
        <f>chitiet!B1794</f>
        <v>SĐU</v>
      </c>
      <c r="C175" s="1975" t="str">
        <f>chitiet!C1794</f>
        <v>x</v>
      </c>
      <c r="D175" s="1980">
        <f>chitiet!D1794</f>
        <v>69</v>
      </c>
      <c r="E175" s="2227">
        <f>chitiet!E1794</f>
        <v>0</v>
      </c>
      <c r="F175" s="2232" t="str">
        <f>chitiet!F1794</f>
        <v>Bộ cách điện đứng+ty sứ : SĐU</v>
      </c>
      <c r="G175" s="2238" t="str">
        <f>chitiet!G1794</f>
        <v>bộ</v>
      </c>
      <c r="H175" s="2238">
        <f>chitiet!H1794</f>
        <v>69</v>
      </c>
      <c r="I175" s="2235">
        <f>chitiet!P1794</f>
        <v>69</v>
      </c>
      <c r="J175" s="1972">
        <f>IFERROR(VLOOKUP(B175,DG!A:F,6,0),3000)</f>
        <v>2000</v>
      </c>
      <c r="K175" s="1973">
        <f>IF(J175&lt;2000,COUNTIF($B$2:B175,B175),0)</f>
        <v>0</v>
      </c>
      <c r="L175" s="1426"/>
      <c r="M175" s="1509"/>
      <c r="O175" s="1509"/>
    </row>
    <row r="176" spans="1:15" s="1285" customFormat="1" ht="25.15" customHeight="1">
      <c r="A176" s="2173">
        <f>COUNTIF($K$1:K176,1)</f>
        <v>90</v>
      </c>
      <c r="B176" s="1976" t="str">
        <f>chitiet!B2263</f>
        <v>TBDD3p1m</v>
      </c>
      <c r="C176" s="1289" t="str">
        <f>chitiet!C2263</f>
        <v>x</v>
      </c>
      <c r="D176" s="1978">
        <f>chitiet!D2263</f>
        <v>1</v>
      </c>
      <c r="E176" s="2225" t="str">
        <f>chitiet!E2263</f>
        <v>V</v>
      </c>
      <c r="F176" s="2230" t="str">
        <f>chitiet!F2263</f>
        <v>Phần thiết bị đường dây 3 pha 1 mạch</v>
      </c>
      <c r="G176" s="2235">
        <f>chitiet!G2263</f>
        <v>0</v>
      </c>
      <c r="H176" s="2235">
        <f>chitiet!H2263</f>
        <v>0</v>
      </c>
      <c r="I176" s="2235">
        <f>chitiet!$P$2263</f>
        <v>0</v>
      </c>
      <c r="J176" s="1972">
        <f>IFERROR(VLOOKUP(B176,DG!A:F,6,0),3000)</f>
        <v>2000</v>
      </c>
      <c r="K176" s="1973">
        <f>IF(J176&lt;2000,COUNTIF($B$2:B176,B176),0)</f>
        <v>0</v>
      </c>
      <c r="L176" s="1426"/>
      <c r="M176" s="1509"/>
      <c r="O176" s="1509"/>
    </row>
    <row r="177" spans="1:15" s="1285" customFormat="1" ht="25.15" customHeight="1">
      <c r="A177" s="2173">
        <f>COUNTIF($K$1:K177,1)</f>
        <v>90</v>
      </c>
      <c r="B177" s="2264" t="str">
        <f>chitiet!B622</f>
        <v>TDLL12</v>
      </c>
      <c r="C177" s="1984" t="str">
        <f>chitiet!C622</f>
        <v>x</v>
      </c>
      <c r="D177" s="1985">
        <f>chitiet!D622</f>
        <v>0</v>
      </c>
      <c r="E177" s="1986">
        <f>chitiet!E622</f>
        <v>0</v>
      </c>
      <c r="F177" s="1987" t="str">
        <f>chitiet!F622</f>
        <v>Tiếp địa lặp lại trụ 12m</v>
      </c>
      <c r="G177" s="1988" t="str">
        <f>chitiet!G622</f>
        <v>Bộ</v>
      </c>
      <c r="H177" s="1989">
        <f>chitiet!H622</f>
        <v>4</v>
      </c>
      <c r="I177" s="1989">
        <f>chitiet!P622</f>
        <v>4</v>
      </c>
      <c r="J177" s="1972">
        <f>IFERROR(VLOOKUP(B177,DG!A:F,6,0),3000)</f>
        <v>2000</v>
      </c>
      <c r="K177" s="1973">
        <f>IF(J177&lt;2000,COUNTIF($B$2:B177,B177),0)</f>
        <v>0</v>
      </c>
      <c r="L177" s="1430"/>
      <c r="M177" s="1509"/>
      <c r="O177" s="1509"/>
    </row>
    <row r="178" spans="1:15" s="1285" customFormat="1" ht="25.15" customHeight="1">
      <c r="A178" s="2173">
        <f>COUNTIF($K$1:K178,1)</f>
        <v>90</v>
      </c>
      <c r="B178" s="2264" t="str">
        <f>CT_tram!B829</f>
        <v>TI200</v>
      </c>
      <c r="C178" s="1984">
        <f>CT_tram!C829</f>
        <v>0</v>
      </c>
      <c r="D178" s="1985">
        <f>CT_tram!D829</f>
        <v>6</v>
      </c>
      <c r="E178" s="2261">
        <f>CT_tram!E829</f>
        <v>0</v>
      </c>
      <c r="F178" s="2262" t="str">
        <f>CT_tram!F829</f>
        <v xml:space="preserve">Biến dòng 600V - 200/5A </v>
      </c>
      <c r="G178" s="2263" t="str">
        <f>CT_tram!G829</f>
        <v>cái</v>
      </c>
      <c r="H178" s="2263">
        <f>CT_tram!H829</f>
        <v>3</v>
      </c>
      <c r="I178" s="2263">
        <f>CT_tram!I829</f>
        <v>3</v>
      </c>
      <c r="J178" s="1972">
        <f>IFERROR(VLOOKUP(B178,DG!A:F,6,0),3000)</f>
        <v>2000</v>
      </c>
      <c r="K178" s="1973">
        <f>IF(J178&lt;2000,COUNTIF($B$2:B178,B178),0)</f>
        <v>0</v>
      </c>
      <c r="L178" s="1426"/>
      <c r="M178" s="1509"/>
      <c r="O178" s="1509"/>
    </row>
    <row r="179" spans="1:15" s="1285" customFormat="1" ht="25.15" customHeight="1">
      <c r="A179" s="2173">
        <f>COUNTIF($K$1:K179,1)</f>
        <v>90</v>
      </c>
      <c r="B179" s="2264" t="str">
        <f>chitiet!B932</f>
        <v>X-21ĐL</v>
      </c>
      <c r="C179" s="1984" t="str">
        <f>chitiet!C932</f>
        <v>x</v>
      </c>
      <c r="D179" s="1985">
        <f>chitiet!D932</f>
        <v>0</v>
      </c>
      <c r="E179" s="1986">
        <f>chitiet!E932</f>
        <v>0</v>
      </c>
      <c r="F179" s="1987" t="str">
        <f>chitiet!F932</f>
        <v>Bộ xà lệch đơn L75x75x8 dài 2,1m: X-21ĐL</v>
      </c>
      <c r="G179" s="2075" t="str">
        <f>chitiet!G932</f>
        <v>Bộ</v>
      </c>
      <c r="H179" s="2076">
        <f>chitiet!H932</f>
        <v>15</v>
      </c>
      <c r="I179" s="2076">
        <f>chitiet!P932</f>
        <v>15</v>
      </c>
      <c r="J179" s="1972">
        <f>IFERROR(VLOOKUP(B179,DG!A:F,6,0),3000)</f>
        <v>2000</v>
      </c>
      <c r="K179" s="1973">
        <f>IF(J179&lt;2000,COUNTIF($B$2:B179,B179),0)</f>
        <v>0</v>
      </c>
      <c r="L179" s="1430"/>
      <c r="M179" s="1509"/>
      <c r="O179" s="1509"/>
    </row>
    <row r="180" spans="1:15" s="1285" customFormat="1" ht="25.15" customHeight="1">
      <c r="A180" s="2173">
        <f>COUNTIF($K$1:K180,1)</f>
        <v>90</v>
      </c>
      <c r="B180" s="2264" t="str">
        <f>chitiet!B942</f>
        <v>X-21KL</v>
      </c>
      <c r="C180" s="1984" t="str">
        <f>chitiet!C942</f>
        <v>x</v>
      </c>
      <c r="D180" s="1985">
        <f>chitiet!D942</f>
        <v>0</v>
      </c>
      <c r="E180" s="1986">
        <f>chitiet!E942</f>
        <v>0</v>
      </c>
      <c r="F180" s="1987" t="str">
        <f>chitiet!F942</f>
        <v>Bộ xà lệch kép L75x75x8 dài 2,1m: X-21KL</v>
      </c>
      <c r="G180" s="2075" t="str">
        <f>chitiet!G942</f>
        <v>Bộ</v>
      </c>
      <c r="H180" s="2076">
        <f>chitiet!H942</f>
        <v>1</v>
      </c>
      <c r="I180" s="2076">
        <f>chitiet!P942</f>
        <v>1</v>
      </c>
      <c r="J180" s="1972">
        <f>IFERROR(VLOOKUP(B180,DG!A:F,6,0),3000)</f>
        <v>2000</v>
      </c>
      <c r="K180" s="1973">
        <f>IF(J180&lt;2000,COUNTIF($B$2:B180,B180),0)</f>
        <v>0</v>
      </c>
      <c r="L180" s="1430"/>
      <c r="M180" s="1509"/>
      <c r="O180" s="1509"/>
    </row>
    <row r="181" spans="1:15" s="1285" customFormat="1" ht="25.15" customHeight="1">
      <c r="A181" s="2173">
        <f>COUNTIF($K$1:K181,1)</f>
        <v>90</v>
      </c>
      <c r="B181" s="2264" t="str">
        <f>chitiet!B798</f>
        <v>X-22K-Đ</v>
      </c>
      <c r="C181" s="1984" t="str">
        <f>chitiet!C798</f>
        <v>x</v>
      </c>
      <c r="D181" s="1985">
        <f>chitiet!D798</f>
        <v>0</v>
      </c>
      <c r="E181" s="1986">
        <f>chitiet!E798</f>
        <v>0</v>
      </c>
      <c r="F181" s="1987" t="str">
        <f>chitiet!F798</f>
        <v>Bộ xà kép L75x75x8 dài 2.2m: X-22K-Đ - C810 (lắp trụ đơn)</v>
      </c>
      <c r="G181" s="2075" t="str">
        <f>chitiet!G798</f>
        <v>Bộ</v>
      </c>
      <c r="H181" s="2076">
        <f>chitiet!H798</f>
        <v>4</v>
      </c>
      <c r="I181" s="2076">
        <f>chitiet!P798</f>
        <v>4</v>
      </c>
      <c r="J181" s="1972">
        <f>IFERROR(VLOOKUP(B181,DG!A:F,6,0),3000)</f>
        <v>2000</v>
      </c>
      <c r="K181" s="1973">
        <f>IF(J181&lt;2000,COUNTIF($B$2:B181,B181),0)</f>
        <v>0</v>
      </c>
      <c r="L181" s="1430"/>
      <c r="M181" s="1509"/>
      <c r="O181" s="1509"/>
    </row>
    <row r="182" spans="1:15" s="1285" customFormat="1" ht="25.15" customHeight="1">
      <c r="A182" s="2173">
        <f>COUNTIF($K$1:K182,1)</f>
        <v>90</v>
      </c>
      <c r="B182" s="2264" t="str">
        <f>chitiet!B854</f>
        <v>X-22K-K</v>
      </c>
      <c r="C182" s="1984" t="str">
        <f>chitiet!C854</f>
        <v>x</v>
      </c>
      <c r="D182" s="1985">
        <f>chitiet!D854</f>
        <v>0</v>
      </c>
      <c r="E182" s="1986">
        <f>chitiet!E854</f>
        <v>0</v>
      </c>
      <c r="F182" s="1987" t="str">
        <f>chitiet!F854</f>
        <v>Bộ xà kép L75x75x8 dài 2.2m: X-22K-K - C810 (lắp theo hướng trụ ghép)</v>
      </c>
      <c r="G182" s="1988" t="str">
        <f>chitiet!G854</f>
        <v>Bộ</v>
      </c>
      <c r="H182" s="1989">
        <f>chitiet!H854</f>
        <v>3</v>
      </c>
      <c r="I182" s="1989">
        <f>chitiet!P854</f>
        <v>3</v>
      </c>
      <c r="J182" s="1972">
        <f>IFERROR(VLOOKUP(B182,DG!A:F,6,0),3000)</f>
        <v>2000</v>
      </c>
      <c r="K182" s="1973">
        <f>IF(J182&lt;2000,COUNTIF($B$2:B182,B182),0)</f>
        <v>0</v>
      </c>
      <c r="L182" s="1430"/>
      <c r="M182" s="1509"/>
      <c r="O182" s="1509"/>
    </row>
    <row r="183" spans="1:15" s="1285" customFormat="1" ht="25.15" customHeight="1">
      <c r="A183" s="2173">
        <f>COUNTIF($K$1:K183,1)</f>
        <v>90</v>
      </c>
      <c r="B183" s="1976" t="str">
        <f>chitiet!B1094</f>
        <v>X-24COMPOSITE</v>
      </c>
      <c r="C183" s="1289" t="str">
        <f>chitiet!C1094</f>
        <v>x</v>
      </c>
      <c r="D183" s="1978">
        <f>chitiet!D1094</f>
        <v>0</v>
      </c>
      <c r="E183" s="1505">
        <f>chitiet!E1094</f>
        <v>0</v>
      </c>
      <c r="F183" s="1979" t="str">
        <f>chitiet!F1094</f>
        <v>Bộ xà composite 2,4m bắt FCO</v>
      </c>
      <c r="G183" s="1988" t="str">
        <f>chitiet!G1094</f>
        <v>Bộ</v>
      </c>
      <c r="H183" s="1989">
        <f>chitiet!H1094</f>
        <v>1</v>
      </c>
      <c r="I183" s="2282">
        <f>chitiet!P1094</f>
        <v>1</v>
      </c>
      <c r="J183" s="1972">
        <f>IFERROR(VLOOKUP(B183,DG!A:F,6,0),3000)</f>
        <v>2000</v>
      </c>
      <c r="K183" s="1973">
        <f>IF(J183&lt;2000,COUNTIF($B$2:B183,B183),0)</f>
        <v>0</v>
      </c>
      <c r="L183" s="1430"/>
      <c r="M183" s="1509"/>
      <c r="O183" s="1509"/>
    </row>
    <row r="184" spans="1:15" s="1285" customFormat="1" ht="25.15" customHeight="1">
      <c r="A184" s="2173">
        <f>COUNTIF($K$1:K184,1)</f>
        <v>90</v>
      </c>
      <c r="B184" s="2467">
        <f>chitiet!B1490</f>
        <v>0</v>
      </c>
      <c r="C184" s="2080" t="str">
        <f>chitiet!C1490</f>
        <v>X</v>
      </c>
      <c r="D184" s="2081">
        <f>chitiet!D1490</f>
        <v>0</v>
      </c>
      <c r="E184" s="1986" t="str">
        <f>chitiet!E1490</f>
        <v>IV</v>
      </c>
      <c r="F184" s="1987" t="str">
        <f>chitiet!F1490</f>
        <v>Phần dây, sứ và phụ kiện</v>
      </c>
      <c r="G184" s="2075">
        <f>chitiet!G1490</f>
        <v>0</v>
      </c>
      <c r="H184" s="2076">
        <f>chitiet!H1490</f>
        <v>0</v>
      </c>
      <c r="I184" s="2076">
        <f>chitiet!$P$1490</f>
        <v>0</v>
      </c>
      <c r="J184" s="1972">
        <f>IFERROR(VLOOKUP(B184,DG!A:F,6,0),3000)</f>
        <v>3000</v>
      </c>
      <c r="K184" s="1973">
        <f>IF(J184&lt;2000,COUNTIF($B$2:B184,B184),0)</f>
        <v>0</v>
      </c>
      <c r="L184" s="1992"/>
      <c r="M184" s="1509"/>
      <c r="O184" s="1509"/>
    </row>
    <row r="185" spans="1:15" s="1285" customFormat="1" ht="25.15" customHeight="1">
      <c r="A185" s="2173">
        <f>COUNTIF($K$1:K185,1)</f>
        <v>90</v>
      </c>
      <c r="B185" s="1976">
        <f>chitiet!B1831</f>
        <v>0</v>
      </c>
      <c r="C185" s="1289" t="str">
        <f>chitiet!C1831</f>
        <v>x</v>
      </c>
      <c r="D185" s="1978">
        <f>chitiet!D1831</f>
        <v>117</v>
      </c>
      <c r="E185" s="2225">
        <f>chitiet!E1831</f>
        <v>0</v>
      </c>
      <c r="F185" s="2230" t="str">
        <f>chitiet!F1831</f>
        <v>Phụ kiện đấu nối đầu đường dây</v>
      </c>
      <c r="G185" s="2235">
        <f>chitiet!G1831</f>
        <v>0</v>
      </c>
      <c r="H185" s="2235">
        <f>chitiet!H1831</f>
        <v>1</v>
      </c>
      <c r="I185" s="2235">
        <f>chitiet!$P$1831</f>
        <v>1</v>
      </c>
      <c r="J185" s="1972">
        <f>IFERROR(VLOOKUP(B185,DG!A:F,6,0),3000)</f>
        <v>3000</v>
      </c>
      <c r="K185" s="1973">
        <f>IF(J185&lt;2000,COUNTIF($B$2:B185,B185),0)</f>
        <v>0</v>
      </c>
      <c r="L185" s="1426"/>
      <c r="M185" s="1993"/>
      <c r="N185" s="1994"/>
      <c r="O185" s="1993"/>
    </row>
    <row r="186" spans="1:15" s="1285" customFormat="1" ht="25.15" customHeight="1">
      <c r="A186" s="2173">
        <f>COUNTIF($K$1:K186,1)</f>
        <v>90</v>
      </c>
      <c r="B186" s="2264">
        <f>CT_tram!B833</f>
        <v>0</v>
      </c>
      <c r="C186" s="1984">
        <f>CT_tram!C833</f>
        <v>0</v>
      </c>
      <c r="D186" s="1985">
        <f>CT_tram!D833</f>
        <v>1</v>
      </c>
      <c r="E186" s="2261">
        <f>CT_tram!E833</f>
        <v>0</v>
      </c>
      <c r="F186" s="2262" t="str">
        <f>CT_tram!F833</f>
        <v>Giá chùm treo 3 MBT</v>
      </c>
      <c r="G186" s="2263" t="str">
        <f>CT_tram!G833</f>
        <v>Bộ</v>
      </c>
      <c r="H186" s="2263">
        <f>CT_tram!H833</f>
        <v>1</v>
      </c>
      <c r="I186" s="2263">
        <f>CT_tram!I833</f>
        <v>1</v>
      </c>
      <c r="J186" s="1972">
        <f>IFERROR(VLOOKUP(B186,DG!A:F,6,0),3000)</f>
        <v>3000</v>
      </c>
      <c r="K186" s="1973">
        <f>IF(J186&lt;2000,COUNTIF($B$2:B186,B186),0)</f>
        <v>0</v>
      </c>
      <c r="L186" s="1426"/>
      <c r="M186" s="1509"/>
      <c r="O186" s="1509"/>
    </row>
    <row r="187" spans="1:15" s="1285" customFormat="1" ht="25.15" customHeight="1">
      <c r="A187" s="2173">
        <f>COUNTIF($K$1:K187,1)</f>
        <v>90</v>
      </c>
      <c r="B187" s="2264">
        <f>CT_tram!B834</f>
        <v>0</v>
      </c>
      <c r="C187" s="1984">
        <f>CT_tram!C834</f>
        <v>0</v>
      </c>
      <c r="D187" s="1985">
        <f>CT_tram!D834</f>
        <v>0</v>
      </c>
      <c r="E187" s="2261">
        <f>CT_tram!E834</f>
        <v>0</v>
      </c>
      <c r="F187" s="2262" t="str">
        <f>CT_tram!F834</f>
        <v>Gồm có:</v>
      </c>
      <c r="G187" s="2263">
        <f>CT_tram!G834</f>
        <v>0</v>
      </c>
      <c r="H187" s="2263">
        <f>CT_tram!H834</f>
        <v>0</v>
      </c>
      <c r="I187" s="2263">
        <f>CT_tram!I834</f>
        <v>0</v>
      </c>
      <c r="J187" s="1972">
        <f>IFERROR(VLOOKUP(B187,DG!A:F,6,0),3000)</f>
        <v>3000</v>
      </c>
      <c r="K187" s="1973">
        <f>IF(J187&lt;2000,COUNTIF($B$2:B187,B187),0)</f>
        <v>0</v>
      </c>
      <c r="L187" s="1426"/>
      <c r="M187" s="1509"/>
      <c r="O187" s="1509"/>
    </row>
    <row r="188" spans="1:15" s="1285" customFormat="1" ht="25.15" customHeight="1">
      <c r="A188" s="2173">
        <f>COUNTIF($K$1:K188,1)</f>
        <v>90</v>
      </c>
      <c r="B188" s="2264">
        <f>CT_tram!B850</f>
        <v>0</v>
      </c>
      <c r="C188" s="1984">
        <f>CT_tram!C850</f>
        <v>0</v>
      </c>
      <c r="D188" s="1985">
        <f>CT_tram!D850</f>
        <v>2</v>
      </c>
      <c r="E188" s="2261">
        <f>CT_tram!E850</f>
        <v>0</v>
      </c>
      <c r="F188" s="2262" t="str">
        <f>CT_tram!F850</f>
        <v xml:space="preserve">Xà composite 2,4m bắt FCO, LA </v>
      </c>
      <c r="G188" s="2263" t="str">
        <f>CT_tram!G850</f>
        <v>Bộ</v>
      </c>
      <c r="H188" s="2263">
        <f>CT_tram!H850</f>
        <v>1</v>
      </c>
      <c r="I188" s="2263">
        <f>CT_tram!I850</f>
        <v>1</v>
      </c>
      <c r="J188" s="1972">
        <f>IFERROR(VLOOKUP(B188,DG!A:F,6,0),3000)</f>
        <v>3000</v>
      </c>
      <c r="K188" s="1973">
        <f>IF(J188&lt;2000,COUNTIF($B$2:B188,B188),0)</f>
        <v>0</v>
      </c>
      <c r="L188" s="1426"/>
      <c r="M188" s="1509"/>
      <c r="O188" s="1509"/>
    </row>
    <row r="189" spans="1:15" s="1285" customFormat="1" ht="25.15" customHeight="1">
      <c r="A189" s="2173">
        <f>COUNTIF($K$1:K189,1)</f>
        <v>90</v>
      </c>
      <c r="B189" s="2264">
        <f>CT_tram!B851</f>
        <v>0</v>
      </c>
      <c r="C189" s="1984">
        <f>CT_tram!C851</f>
        <v>0</v>
      </c>
      <c r="D189" s="1985">
        <f>CT_tram!D851</f>
        <v>0</v>
      </c>
      <c r="E189" s="2261">
        <f>CT_tram!E851</f>
        <v>0</v>
      </c>
      <c r="F189" s="2262" t="str">
        <f>CT_tram!F851</f>
        <v>Gồm có:</v>
      </c>
      <c r="G189" s="2263">
        <f>CT_tram!G851</f>
        <v>0</v>
      </c>
      <c r="H189" s="2263">
        <f>CT_tram!H851</f>
        <v>0</v>
      </c>
      <c r="I189" s="2263">
        <f>CT_tram!I851</f>
        <v>0</v>
      </c>
      <c r="J189" s="1972">
        <f>IFERROR(VLOOKUP(B189,DG!A:F,6,0),3000)</f>
        <v>3000</v>
      </c>
      <c r="K189" s="1973">
        <f>IF(J189&lt;2000,COUNTIF($B$2:B189,B189),0)</f>
        <v>0</v>
      </c>
      <c r="L189" s="1426"/>
      <c r="M189" s="1509"/>
      <c r="O189" s="1509"/>
    </row>
    <row r="190" spans="1:15" s="1285" customFormat="1" ht="25.15" customHeight="1">
      <c r="A190" s="2173">
        <f>COUNTIF($K$1:K190,1)</f>
        <v>90</v>
      </c>
      <c r="B190" s="2467">
        <f>CT_tram!B859</f>
        <v>0</v>
      </c>
      <c r="C190" s="2080">
        <f>CT_tram!C859</f>
        <v>0</v>
      </c>
      <c r="D190" s="2081">
        <f>CT_tram!D859</f>
        <v>3</v>
      </c>
      <c r="E190" s="1986">
        <f>CT_tram!E859</f>
        <v>0</v>
      </c>
      <c r="F190" s="1987" t="str">
        <f>CT_tram!F859</f>
        <v xml:space="preserve">Bộ tiếp địa Trạm 3 pha : </v>
      </c>
      <c r="G190" s="2075" t="str">
        <f>CT_tram!G859</f>
        <v>Bộ</v>
      </c>
      <c r="H190" s="2076">
        <f>CT_tram!H859</f>
        <v>1</v>
      </c>
      <c r="I190" s="2076">
        <f>CT_tram!I859</f>
        <v>1</v>
      </c>
      <c r="J190" s="1972">
        <f>IFERROR(VLOOKUP(B190,DG!A:F,6,0),3000)</f>
        <v>3000</v>
      </c>
      <c r="K190" s="1973">
        <f>IF(J190&lt;2000,COUNTIF($B$2:B190,B190),0)</f>
        <v>0</v>
      </c>
      <c r="L190" s="1430"/>
      <c r="M190" s="1509"/>
      <c r="O190" s="1509"/>
    </row>
    <row r="191" spans="1:15" s="1285" customFormat="1" ht="25.15" customHeight="1">
      <c r="A191" s="2173">
        <f>COUNTIF($K$1:K191,1)</f>
        <v>90</v>
      </c>
      <c r="B191" s="2264">
        <f>CT_tram!B860</f>
        <v>0</v>
      </c>
      <c r="C191" s="1984">
        <f>CT_tram!C860</f>
        <v>0</v>
      </c>
      <c r="D191" s="1985">
        <f>CT_tram!D860</f>
        <v>0</v>
      </c>
      <c r="E191" s="1986">
        <f>CT_tram!E860</f>
        <v>0</v>
      </c>
      <c r="F191" s="1987" t="str">
        <f>CT_tram!F860</f>
        <v>Gồm có:</v>
      </c>
      <c r="G191" s="2075">
        <f>CT_tram!G860</f>
        <v>0</v>
      </c>
      <c r="H191" s="2076">
        <f>CT_tram!H860</f>
        <v>0</v>
      </c>
      <c r="I191" s="2076">
        <f>CT_tram!I860</f>
        <v>0</v>
      </c>
      <c r="J191" s="1972">
        <f>IFERROR(VLOOKUP(B191,DG!A:F,6,0),3000)</f>
        <v>3000</v>
      </c>
      <c r="K191" s="1973">
        <f>IF(J191&lt;2000,COUNTIF($B$2:B191,B191),0)</f>
        <v>0</v>
      </c>
      <c r="L191" s="1430"/>
      <c r="M191" s="1509"/>
      <c r="O191" s="1509"/>
    </row>
    <row r="192" spans="1:15" s="1285" customFormat="1" ht="25.15" customHeight="1">
      <c r="A192" s="2173">
        <f>COUNTIF($K$1:K192,1)</f>
        <v>90</v>
      </c>
      <c r="B192" s="2264">
        <f>CT_tram!B876</f>
        <v>0</v>
      </c>
      <c r="C192" s="1984">
        <f>CT_tram!C876</f>
        <v>0</v>
      </c>
      <c r="D192" s="1985">
        <f>CT_tram!D876</f>
        <v>4</v>
      </c>
      <c r="E192" s="2261">
        <f>CT_tram!E876</f>
        <v>0</v>
      </c>
      <c r="F192" s="2262" t="str">
        <f>CT_tram!F876</f>
        <v>Tủ điện năng kế và CB 3 pha</v>
      </c>
      <c r="G192" s="2263" t="str">
        <f>CT_tram!G876</f>
        <v>Bộ</v>
      </c>
      <c r="H192" s="2263">
        <f>CT_tram!H876</f>
        <v>1</v>
      </c>
      <c r="I192" s="2263">
        <f>CT_tram!I876</f>
        <v>1</v>
      </c>
      <c r="J192" s="1972">
        <f>IFERROR(VLOOKUP(B192,DG!A:F,6,0),3000)</f>
        <v>3000</v>
      </c>
      <c r="K192" s="1973">
        <f>IF(J192&lt;2000,COUNTIF($B$2:B192,B192),0)</f>
        <v>0</v>
      </c>
      <c r="L192" s="1426"/>
      <c r="M192" s="1509"/>
      <c r="O192" s="1509"/>
    </row>
    <row r="193" spans="1:15" s="1285" customFormat="1" ht="25.15" customHeight="1">
      <c r="A193" s="2173">
        <f>COUNTIF($K$1:K193,1)</f>
        <v>90</v>
      </c>
      <c r="B193" s="2264">
        <f>CT_tram!B877</f>
        <v>0</v>
      </c>
      <c r="C193" s="1984">
        <f>CT_tram!C877</f>
        <v>0</v>
      </c>
      <c r="D193" s="1985">
        <f>CT_tram!D877</f>
        <v>0</v>
      </c>
      <c r="E193" s="2261">
        <f>CT_tram!E877</f>
        <v>0</v>
      </c>
      <c r="F193" s="2262" t="str">
        <f>CT_tram!F877</f>
        <v>Gồm có:</v>
      </c>
      <c r="G193" s="2263">
        <f>CT_tram!G877</f>
        <v>0</v>
      </c>
      <c r="H193" s="2263">
        <f>CT_tram!H877</f>
        <v>0</v>
      </c>
      <c r="I193" s="2263">
        <f>CT_tram!I877</f>
        <v>0</v>
      </c>
      <c r="J193" s="1972">
        <f>IFERROR(VLOOKUP(B193,DG!A:F,6,0),3000)</f>
        <v>3000</v>
      </c>
      <c r="K193" s="1973">
        <f>IF(J193&lt;2000,COUNTIF($B$2:B193,B193),0)</f>
        <v>0</v>
      </c>
      <c r="L193" s="1426"/>
      <c r="M193" s="1509"/>
      <c r="O193" s="1509"/>
    </row>
    <row r="194" spans="1:15" s="1285" customFormat="1" ht="25.15" customHeight="1">
      <c r="A194" s="2173">
        <f>COUNTIF($K$1:K194,1)</f>
        <v>90</v>
      </c>
      <c r="B194" s="2264">
        <f>CT_tram!B881</f>
        <v>0</v>
      </c>
      <c r="C194" s="1984">
        <f>CT_tram!C881</f>
        <v>0</v>
      </c>
      <c r="D194" s="1985">
        <f>CT_tram!D881</f>
        <v>5</v>
      </c>
      <c r="E194" s="1986">
        <f>CT_tram!E881</f>
        <v>0</v>
      </c>
      <c r="F194" s="1987" t="str">
        <f>CT_tram!F881</f>
        <v>Bộ dây dẫn xuống 22KV 3 pha</v>
      </c>
      <c r="G194" s="2075" t="str">
        <f>CT_tram!G881</f>
        <v>Bộ</v>
      </c>
      <c r="H194" s="2076">
        <f>CT_tram!H881</f>
        <v>1</v>
      </c>
      <c r="I194" s="2076">
        <f>CT_tram!I881</f>
        <v>1</v>
      </c>
      <c r="J194" s="1972">
        <f>IFERROR(VLOOKUP(B194,DG!A:F,6,0),3000)</f>
        <v>3000</v>
      </c>
      <c r="K194" s="1973">
        <f>IF(J194&lt;2000,COUNTIF($B$2:B194,B194),0)</f>
        <v>0</v>
      </c>
      <c r="L194" s="1430"/>
      <c r="M194" s="1509"/>
      <c r="O194" s="1509"/>
    </row>
    <row r="195" spans="1:15" s="1285" customFormat="1" ht="25.15" customHeight="1">
      <c r="A195" s="2173">
        <f>COUNTIF($K$1:K195,1)</f>
        <v>90</v>
      </c>
      <c r="B195" s="2264">
        <f>CT_tram!B882</f>
        <v>0</v>
      </c>
      <c r="C195" s="1984">
        <f>CT_tram!C882</f>
        <v>0</v>
      </c>
      <c r="D195" s="1985">
        <f>CT_tram!D882</f>
        <v>0</v>
      </c>
      <c r="E195" s="1986">
        <f>CT_tram!E882</f>
        <v>0</v>
      </c>
      <c r="F195" s="1987" t="str">
        <f>CT_tram!F882</f>
        <v>Gồm có:</v>
      </c>
      <c r="G195" s="2075">
        <f>CT_tram!G882</f>
        <v>0</v>
      </c>
      <c r="H195" s="2076">
        <f>CT_tram!H882</f>
        <v>0</v>
      </c>
      <c r="I195" s="2076">
        <f>CT_tram!I882</f>
        <v>0</v>
      </c>
      <c r="J195" s="1972">
        <f>IFERROR(VLOOKUP(B195,DG!A:F,6,0),3000)</f>
        <v>3000</v>
      </c>
      <c r="K195" s="1973">
        <f>IF(J195&lt;2000,COUNTIF($B$2:B195,B195),0)</f>
        <v>0</v>
      </c>
      <c r="L195" s="1430"/>
      <c r="M195" s="1509"/>
      <c r="O195" s="1509"/>
    </row>
    <row r="196" spans="1:15" s="1285" customFormat="1" ht="25.15" customHeight="1">
      <c r="A196" s="2173">
        <f>COUNTIF($K$1:K196,1)</f>
        <v>90</v>
      </c>
      <c r="B196" s="2264">
        <f>CT_tram!B891</f>
        <v>0</v>
      </c>
      <c r="C196" s="1984">
        <f>CT_tram!C891</f>
        <v>0</v>
      </c>
      <c r="D196" s="1985">
        <f>CT_tram!D891</f>
        <v>6</v>
      </c>
      <c r="E196" s="1986">
        <f>CT_tram!E891</f>
        <v>0</v>
      </c>
      <c r="F196" s="1987" t="str">
        <f>CT_tram!F891</f>
        <v xml:space="preserve">Bộ dây dẫn hạ thế Trạm 3x50KVA </v>
      </c>
      <c r="G196" s="2075" t="str">
        <f>CT_tram!G891</f>
        <v>Bộ</v>
      </c>
      <c r="H196" s="2076">
        <f>CT_tram!H891</f>
        <v>1</v>
      </c>
      <c r="I196" s="2076">
        <f>CT_tram!I891</f>
        <v>1</v>
      </c>
      <c r="J196" s="1972">
        <f>IFERROR(VLOOKUP(B196,DG!A:F,6,0),3000)</f>
        <v>3000</v>
      </c>
      <c r="K196" s="1973">
        <f>IF(J196&lt;2000,COUNTIF($B$2:B196,B196),0)</f>
        <v>0</v>
      </c>
      <c r="L196" s="1430"/>
      <c r="M196" s="1509"/>
      <c r="O196" s="1509"/>
    </row>
    <row r="197" spans="1:15" s="1285" customFormat="1" ht="25.15" customHeight="1">
      <c r="A197" s="2173">
        <f>COUNTIF($K$1:K197,1)</f>
        <v>90</v>
      </c>
      <c r="B197" s="2264">
        <f>CT_tram!B892</f>
        <v>0</v>
      </c>
      <c r="C197" s="1984">
        <f>CT_tram!C892</f>
        <v>0</v>
      </c>
      <c r="D197" s="1985">
        <f>CT_tram!D892</f>
        <v>0</v>
      </c>
      <c r="E197" s="1986">
        <f>CT_tram!E892</f>
        <v>0</v>
      </c>
      <c r="F197" s="1987" t="str">
        <f>CT_tram!F892</f>
        <v>Gồm có:</v>
      </c>
      <c r="G197" s="2075">
        <f>CT_tram!G892</f>
        <v>0</v>
      </c>
      <c r="H197" s="2076">
        <f>CT_tram!H892</f>
        <v>0</v>
      </c>
      <c r="I197" s="2076">
        <f>CT_tram!I892</f>
        <v>0</v>
      </c>
      <c r="J197" s="1972">
        <f>IFERROR(VLOOKUP(B197,DG!A:F,6,0),3000)</f>
        <v>3000</v>
      </c>
      <c r="K197" s="1973">
        <f>IF(J197&lt;2000,COUNTIF($B$2:B197,B197),0)</f>
        <v>0</v>
      </c>
      <c r="L197" s="1430"/>
      <c r="M197" s="1509"/>
      <c r="O197" s="1509"/>
    </row>
    <row r="198" spans="1:15" s="1285" customFormat="1" ht="25.15" customHeight="1">
      <c r="A198" s="2173">
        <f>COUNTIF($K$1:K198,1)</f>
        <v>90</v>
      </c>
      <c r="B198" s="1976" t="str">
        <f>chitiet!B365</f>
        <v>LVANK</v>
      </c>
      <c r="C198" s="1289" t="str">
        <f>chitiet!C365</f>
        <v>x</v>
      </c>
      <c r="D198" s="1978">
        <f>chitiet!D365</f>
        <v>1.93</v>
      </c>
      <c r="E198" s="1505">
        <f>chitiet!E365</f>
        <v>0</v>
      </c>
      <c r="F198" s="1979" t="str">
        <f>chitiet!F365</f>
        <v>Ván khuôn gỗ móng - móng vuông, chữ nhật</v>
      </c>
      <c r="G198" s="1988" t="str">
        <f>chitiet!G365</f>
        <v>100m2</v>
      </c>
      <c r="H198" s="1989">
        <f>chitiet!H365</f>
        <v>9.65</v>
      </c>
      <c r="I198" s="1989">
        <f>chitiet!P365</f>
        <v>9.65</v>
      </c>
      <c r="J198" s="1972">
        <f>IFERROR(VLOOKUP(B198,DG!A:F,6,0),3000)</f>
        <v>3000</v>
      </c>
      <c r="K198" s="1973">
        <f>IF(J198&lt;2000,COUNTIF($B$2:B198,B198),0)</f>
        <v>0</v>
      </c>
      <c r="L198" s="1430"/>
      <c r="M198" s="1509"/>
      <c r="O198" s="1509"/>
    </row>
    <row r="199" spans="1:15" s="1285" customFormat="1" ht="25.15" customHeight="1">
      <c r="A199" s="2173">
        <f>COUNTIF($K$1:K199,1)</f>
        <v>90</v>
      </c>
      <c r="B199" s="2264" t="str">
        <f>chitiet!B370</f>
        <v>MDD3</v>
      </c>
      <c r="C199" s="1984" t="str">
        <f>chitiet!C370</f>
        <v>x</v>
      </c>
      <c r="D199" s="1985">
        <f>chitiet!D370</f>
        <v>1.8340000000000001</v>
      </c>
      <c r="E199" s="1986" t="str">
        <f>chitiet!E370</f>
        <v>03.1013</v>
      </c>
      <c r="F199" s="1987" t="str">
        <f>chitiet!F370</f>
        <v>Đào hố móng đất cấp 3 sâu &gt;1m</v>
      </c>
      <c r="G199" s="2075" t="str">
        <f>chitiet!G370</f>
        <v>m3</v>
      </c>
      <c r="H199" s="2076">
        <f>chitiet!H370</f>
        <v>9.17</v>
      </c>
      <c r="I199" s="2076">
        <f>chitiet!P370</f>
        <v>9.17</v>
      </c>
      <c r="J199" s="1972">
        <f>IFERROR(VLOOKUP(B199,DG!A:F,6,0),3000)</f>
        <v>3000</v>
      </c>
      <c r="K199" s="1973">
        <f>IF(J199&lt;2000,COUNTIF($B$2:B199,B199),0)</f>
        <v>0</v>
      </c>
      <c r="L199" s="1430"/>
      <c r="M199" s="1509"/>
      <c r="O199" s="1509"/>
    </row>
    <row r="200" spans="1:15" s="1285" customFormat="1" ht="25.15" customHeight="1">
      <c r="A200" s="2173">
        <f>COUNTIF($K$1:K200,1)</f>
        <v>90</v>
      </c>
      <c r="B200" s="2264" t="str">
        <f>chitiet!B245</f>
        <v>MDD3</v>
      </c>
      <c r="C200" s="1984" t="str">
        <f>chitiet!C245</f>
        <v>x</v>
      </c>
      <c r="D200" s="1985">
        <f>chitiet!D245</f>
        <v>0.35299999999999998</v>
      </c>
      <c r="E200" s="1986">
        <f>chitiet!E245</f>
        <v>0</v>
      </c>
      <c r="F200" s="1987" t="str">
        <f>chitiet!F245</f>
        <v>Đào hố móng đất cấp 3 sâu &gt;1m</v>
      </c>
      <c r="G200" s="2075" t="str">
        <f>chitiet!G245</f>
        <v>m3</v>
      </c>
      <c r="H200" s="2076">
        <f>chitiet!H245</f>
        <v>5.2949999999999999</v>
      </c>
      <c r="I200" s="2076">
        <f>chitiet!P245</f>
        <v>5.2949999999999999</v>
      </c>
      <c r="J200" s="1972">
        <f>IFERROR(VLOOKUP(B200,DG!A:F,6,0),3000)</f>
        <v>3000</v>
      </c>
      <c r="K200" s="1973">
        <f>IF(J200&lt;2000,COUNTIF($B$2:B200,B200),0)</f>
        <v>0</v>
      </c>
      <c r="L200" s="1430"/>
      <c r="M200" s="1509"/>
      <c r="O200" s="1509"/>
    </row>
    <row r="201" spans="1:15" s="1285" customFormat="1" ht="25.15" customHeight="1">
      <c r="A201" s="2173">
        <f>COUNTIF($K$1:K201,1)</f>
        <v>90</v>
      </c>
      <c r="B201" s="2264" t="str">
        <f>chitiet!B1413</f>
        <v>MDD3</v>
      </c>
      <c r="C201" s="1984" t="str">
        <f>chitiet!C1413</f>
        <v>x</v>
      </c>
      <c r="D201" s="1985">
        <f>chitiet!D1413</f>
        <v>0.28999999999999998</v>
      </c>
      <c r="E201" s="1986" t="str">
        <f>chitiet!E1413</f>
        <v>03.1013</v>
      </c>
      <c r="F201" s="1987" t="str">
        <f>chitiet!F1413</f>
        <v>Đào hố móng đất cấp 3 sâu &gt;1m</v>
      </c>
      <c r="G201" s="2075" t="str">
        <f>chitiet!G1413</f>
        <v>m3</v>
      </c>
      <c r="H201" s="2076">
        <f>chitiet!H1413</f>
        <v>0.28999999999999998</v>
      </c>
      <c r="I201" s="2076">
        <f>chitiet!P1413</f>
        <v>0.28999999999999998</v>
      </c>
      <c r="J201" s="1972">
        <f>IFERROR(VLOOKUP(B201,DG!A:F,6,0),3000)</f>
        <v>3000</v>
      </c>
      <c r="K201" s="1973">
        <f>IF(J201&lt;2000,COUNTIF($B$2:B201,B201),0)</f>
        <v>0</v>
      </c>
      <c r="L201" s="1430"/>
      <c r="M201" s="1509"/>
      <c r="O201" s="1509"/>
    </row>
    <row r="202" spans="1:15" ht="25.15" customHeight="1">
      <c r="A202" s="2173">
        <f>COUNTIF($K$1:K202,1)</f>
        <v>90</v>
      </c>
      <c r="E202" s="2228"/>
      <c r="F202" s="2233"/>
      <c r="G202" s="2236"/>
      <c r="H202" s="2240"/>
      <c r="I202" s="2240"/>
      <c r="J202" s="1972">
        <f>IFERROR(VLOOKUP(B202,DG!A:F,6,0),3000)</f>
        <v>3000</v>
      </c>
      <c r="K202" s="1973">
        <f>IF(J202&lt;2000,COUNTIF($B$2:B202,B202),0)</f>
        <v>0</v>
      </c>
      <c r="L202" s="1430"/>
      <c r="N202" s="1285"/>
    </row>
    <row r="203" spans="1:15" ht="25.15" customHeight="1">
      <c r="A203" s="2173">
        <f>COUNTIF($K$1:K203,1)</f>
        <v>90</v>
      </c>
      <c r="B203" s="2264"/>
      <c r="C203" s="1984"/>
      <c r="D203" s="1985"/>
      <c r="E203" s="2226"/>
      <c r="F203" s="2231"/>
      <c r="G203" s="2236"/>
      <c r="H203" s="2240"/>
      <c r="I203" s="2240"/>
      <c r="J203" s="1972">
        <f>IFERROR(VLOOKUP(B203,DG!A:F,6,0),3000)</f>
        <v>3000</v>
      </c>
      <c r="K203" s="1973">
        <f>IF(J203&lt;2000,COUNTIF($B$2:B203,B203),0)</f>
        <v>0</v>
      </c>
      <c r="M203" s="1993"/>
      <c r="N203" s="1994"/>
      <c r="O203" s="1993"/>
    </row>
    <row r="204" spans="1:15" ht="25.15" customHeight="1">
      <c r="A204" s="2173">
        <f>COUNTIF($K$1:K204,1)</f>
        <v>90</v>
      </c>
      <c r="B204" s="2264"/>
      <c r="C204" s="1984"/>
      <c r="D204" s="1985"/>
      <c r="E204" s="2226"/>
      <c r="F204" s="2231"/>
      <c r="G204" s="2237"/>
      <c r="H204" s="2241"/>
      <c r="I204" s="2241"/>
      <c r="J204" s="1972">
        <f>IFERROR(VLOOKUP(B204,DG!A:F,6,0),3000)</f>
        <v>3000</v>
      </c>
      <c r="K204" s="1973">
        <f>IF(J204&lt;2000,COUNTIF($B$2:B204,B204),0)</f>
        <v>0</v>
      </c>
      <c r="L204" s="1430"/>
    </row>
    <row r="205" spans="1:15" ht="25.15" customHeight="1">
      <c r="A205" s="2173">
        <f>COUNTIF($K$1:K205,1)</f>
        <v>90</v>
      </c>
      <c r="B205" s="2244"/>
      <c r="C205" s="1990"/>
      <c r="D205" s="1991"/>
      <c r="E205" s="2228"/>
      <c r="F205" s="2233"/>
      <c r="G205" s="2236"/>
      <c r="H205" s="2240"/>
      <c r="I205" s="2240"/>
      <c r="J205" s="1972">
        <f>IFERROR(VLOOKUP(B205,DG!A:F,6,0),3000)</f>
        <v>3000</v>
      </c>
      <c r="K205" s="1973">
        <f>IF(J205&lt;2000,COUNTIF($B$1:B206,B205),0)</f>
        <v>0</v>
      </c>
      <c r="L205" s="1992"/>
      <c r="N205" s="1285"/>
    </row>
    <row r="206" spans="1:15" ht="25.15" customHeight="1">
      <c r="A206" s="2173">
        <f>COUNTIF($K$1:K206,1)</f>
        <v>90</v>
      </c>
      <c r="B206" s="2264"/>
      <c r="C206" s="1984"/>
      <c r="D206" s="1985"/>
      <c r="E206" s="2226"/>
      <c r="F206" s="2231"/>
      <c r="G206" s="2237"/>
      <c r="H206" s="2241"/>
      <c r="I206" s="2241"/>
      <c r="J206" s="1972">
        <f>IFERROR(VLOOKUP(B206,DG!A:F,6,0),3000)</f>
        <v>3000</v>
      </c>
      <c r="K206" s="1973">
        <f>IF(J206&lt;2000,COUNTIF($B$2:B206,B206),0)</f>
        <v>0</v>
      </c>
      <c r="L206" s="1430"/>
      <c r="N206" s="1285"/>
    </row>
    <row r="207" spans="1:15" ht="25.15" customHeight="1">
      <c r="A207" s="2173">
        <f>COUNTIF($K$1:K207,1)</f>
        <v>90</v>
      </c>
      <c r="B207" s="2264"/>
      <c r="C207" s="1984"/>
      <c r="D207" s="1985"/>
      <c r="E207" s="2226"/>
      <c r="F207" s="2231"/>
      <c r="G207" s="2237"/>
      <c r="H207" s="2241"/>
      <c r="I207" s="2241"/>
      <c r="J207" s="1972">
        <f>IFERROR(VLOOKUP(B207,DG!A:F,6,0),3000)</f>
        <v>3000</v>
      </c>
      <c r="K207" s="1973">
        <f>IF(J207&lt;2000,COUNTIF($B$2:B207,B207),0)</f>
        <v>0</v>
      </c>
      <c r="L207" s="1430"/>
      <c r="N207" s="1285"/>
    </row>
    <row r="208" spans="1:15" ht="25.15" customHeight="1">
      <c r="A208" s="2173">
        <f>COUNTIF($K$1:K208,1)</f>
        <v>90</v>
      </c>
      <c r="B208" s="2264"/>
      <c r="C208" s="1984"/>
      <c r="D208" s="1985"/>
      <c r="E208" s="2226"/>
      <c r="F208" s="2231"/>
      <c r="G208" s="2237"/>
      <c r="H208" s="2241"/>
      <c r="I208" s="2241"/>
      <c r="J208" s="1972">
        <f>IFERROR(VLOOKUP(B208,DG!A:F,6,0),3000)</f>
        <v>3000</v>
      </c>
      <c r="K208" s="1973">
        <f>IF(J208&lt;2000,COUNTIF($B$2:B208,B208),0)</f>
        <v>0</v>
      </c>
      <c r="L208" s="1430"/>
      <c r="N208" s="1285"/>
    </row>
    <row r="209" spans="1:15" ht="25.15" customHeight="1">
      <c r="A209" s="2173">
        <f>COUNTIF($K$1:K209,1)</f>
        <v>90</v>
      </c>
      <c r="B209" s="2264"/>
      <c r="C209" s="1984"/>
      <c r="D209" s="1985"/>
      <c r="E209" s="2226"/>
      <c r="F209" s="2231"/>
      <c r="G209" s="2237"/>
      <c r="H209" s="2241"/>
      <c r="I209" s="2241"/>
      <c r="J209" s="1972">
        <f>IFERROR(VLOOKUP(B209,DG!A:F,6,0),3000)</f>
        <v>3000</v>
      </c>
      <c r="K209" s="1973">
        <f>IF(J209&lt;2000,COUNTIF($B$2:B209,B209),0)</f>
        <v>0</v>
      </c>
      <c r="L209" s="1430"/>
    </row>
    <row r="210" spans="1:15" ht="25.15" customHeight="1">
      <c r="A210" s="2173">
        <f>COUNTIF($K$1:K210,1)</f>
        <v>90</v>
      </c>
      <c r="B210" s="2264"/>
      <c r="C210" s="1984"/>
      <c r="D210" s="1985"/>
      <c r="E210" s="2226"/>
      <c r="F210" s="2231"/>
      <c r="G210" s="2237"/>
      <c r="H210" s="2241"/>
      <c r="I210" s="2241"/>
      <c r="J210" s="1972">
        <f>IFERROR(VLOOKUP(B210,DG!A:F,6,0),3000)</f>
        <v>3000</v>
      </c>
      <c r="K210" s="1973">
        <f>IF(J210&lt;2000,COUNTIF($B$2:B210,B210),0)</f>
        <v>0</v>
      </c>
      <c r="L210" s="1430"/>
    </row>
    <row r="211" spans="1:15" ht="25.15" customHeight="1">
      <c r="A211" s="2173">
        <f>COUNTIF($K$1:K211,1)</f>
        <v>90</v>
      </c>
      <c r="B211" s="2264"/>
      <c r="C211" s="1984"/>
      <c r="D211" s="1985"/>
      <c r="E211" s="2226"/>
      <c r="F211" s="2231"/>
      <c r="G211" s="2237"/>
      <c r="H211" s="2241"/>
      <c r="I211" s="2241"/>
      <c r="J211" s="1972">
        <f>IFERROR(VLOOKUP(B211,DG!A:F,6,0),3000)</f>
        <v>3000</v>
      </c>
      <c r="K211" s="1973">
        <f>IF(J211&lt;2000,COUNTIF($B$2:B211,B211),0)</f>
        <v>0</v>
      </c>
      <c r="L211" s="1430"/>
      <c r="M211" s="1993"/>
      <c r="N211" s="1994"/>
      <c r="O211" s="1993"/>
    </row>
    <row r="212" spans="1:15" ht="25.15" customHeight="1">
      <c r="A212" s="2173">
        <f>COUNTIF($K$1:K212,1)</f>
        <v>90</v>
      </c>
      <c r="B212" s="2264"/>
      <c r="C212" s="1984"/>
      <c r="D212" s="1985"/>
      <c r="E212" s="2226"/>
      <c r="F212" s="2231"/>
      <c r="G212" s="2237"/>
      <c r="H212" s="2241"/>
      <c r="I212" s="2241"/>
      <c r="J212" s="1972">
        <f>IFERROR(VLOOKUP(B212,DG!A:F,6,0),3000)</f>
        <v>3000</v>
      </c>
      <c r="K212" s="1973">
        <f>IF(J212&lt;2000,COUNTIF($B$2:B212,B212),0)</f>
        <v>0</v>
      </c>
      <c r="L212" s="1430"/>
    </row>
    <row r="213" spans="1:15" ht="25.15" customHeight="1">
      <c r="A213" s="2173">
        <f>COUNTIF($K$1:K213,1)</f>
        <v>90</v>
      </c>
      <c r="B213" s="2466"/>
      <c r="C213" s="2162"/>
      <c r="D213" s="2163"/>
      <c r="E213" s="2229"/>
      <c r="F213" s="2234"/>
      <c r="G213" s="2239"/>
      <c r="H213" s="2242"/>
      <c r="I213" s="2241"/>
      <c r="J213" s="1972">
        <f>IFERROR(VLOOKUP(B213,DG!A:F,6,0),3000)</f>
        <v>3000</v>
      </c>
      <c r="K213" s="1973">
        <f>IF(J213&lt;2000,COUNTIF($B$2:B213,B213),0)</f>
        <v>0</v>
      </c>
      <c r="L213" s="1992"/>
      <c r="N213" s="1285"/>
    </row>
    <row r="214" spans="1:15" ht="25.15" customHeight="1">
      <c r="A214" s="2173">
        <f>COUNTIF($K$1:K214,1)</f>
        <v>90</v>
      </c>
      <c r="B214" s="2264"/>
      <c r="C214" s="1984"/>
      <c r="D214" s="1985"/>
      <c r="E214" s="2226"/>
      <c r="F214" s="2231"/>
      <c r="G214" s="2237"/>
      <c r="H214" s="2241"/>
      <c r="I214" s="2241"/>
      <c r="J214" s="1972">
        <f>IFERROR(VLOOKUP(B214,DG!A:F,6,0),3000)</f>
        <v>3000</v>
      </c>
      <c r="K214" s="1973">
        <f>IF(J214&lt;2000,COUNTIF($B$2:B214,B214),0)</f>
        <v>0</v>
      </c>
      <c r="L214" s="1430"/>
    </row>
    <row r="215" spans="1:15" ht="25.15" customHeight="1">
      <c r="A215" s="2173">
        <f>COUNTIF($K$1:K215,1)</f>
        <v>90</v>
      </c>
      <c r="B215" s="2264"/>
      <c r="C215" s="1984"/>
      <c r="D215" s="1985"/>
      <c r="E215" s="2226"/>
      <c r="F215" s="2231"/>
      <c r="G215" s="2237"/>
      <c r="H215" s="2241"/>
      <c r="I215" s="2241"/>
      <c r="J215" s="1972">
        <f>IFERROR(VLOOKUP(B215,DG!A:F,6,0),3000)</f>
        <v>3000</v>
      </c>
      <c r="K215" s="1973">
        <f>IF(J215&lt;2000,COUNTIF($B$2:B215,B215),0)</f>
        <v>0</v>
      </c>
      <c r="L215" s="1430"/>
      <c r="N215" s="1285"/>
    </row>
    <row r="216" spans="1:15" ht="25.15" customHeight="1">
      <c r="A216" s="2173">
        <f>COUNTIF($K$1:K216,1)</f>
        <v>90</v>
      </c>
      <c r="B216" s="2465"/>
      <c r="C216" s="1975"/>
      <c r="D216" s="1980"/>
      <c r="E216" s="2229"/>
      <c r="F216" s="2234"/>
      <c r="G216" s="2239"/>
      <c r="H216" s="2242"/>
      <c r="I216" s="2461"/>
      <c r="J216" s="1972">
        <f>IFERROR(VLOOKUP(B216,DG!A:F,6,0),3000)</f>
        <v>3000</v>
      </c>
      <c r="K216" s="1973">
        <f>IF(J216&lt;2000,COUNTIF($B$2:B216,B216),0)</f>
        <v>0</v>
      </c>
      <c r="L216" s="1430"/>
      <c r="N216" s="1285"/>
    </row>
    <row r="217" spans="1:15" ht="25.15" customHeight="1">
      <c r="A217" s="2173">
        <f>COUNTIF($K$1:K217,1)</f>
        <v>90</v>
      </c>
      <c r="B217" s="2264"/>
      <c r="C217" s="1984"/>
      <c r="D217" s="1985"/>
      <c r="E217" s="2226"/>
      <c r="F217" s="2231"/>
      <c r="G217" s="2239"/>
      <c r="H217" s="2241"/>
      <c r="I217" s="2241"/>
      <c r="J217" s="1972">
        <f>IFERROR(VLOOKUP(B217,DG!A:F,6,0),3000)</f>
        <v>3000</v>
      </c>
      <c r="K217" s="1973">
        <f>IF(J217&lt;2000,COUNTIF($B$2:B217,B217),0)</f>
        <v>0</v>
      </c>
      <c r="L217" s="1430"/>
    </row>
    <row r="218" spans="1:15" ht="25.15" customHeight="1">
      <c r="A218" s="2173">
        <f>COUNTIF($K$1:K218,1)</f>
        <v>90</v>
      </c>
      <c r="E218" s="2228"/>
      <c r="F218" s="2233"/>
      <c r="G218" s="2236"/>
      <c r="H218" s="2240"/>
      <c r="I218" s="2240"/>
      <c r="J218" s="1972">
        <f>IFERROR(VLOOKUP(B218,DG!A:F,6,0),3000)</f>
        <v>3000</v>
      </c>
      <c r="K218" s="1973">
        <f>IF(J218&lt;2000,COUNTIF($B$2:B218,B218),0)</f>
        <v>0</v>
      </c>
      <c r="L218" s="1430"/>
      <c r="N218" s="1285"/>
    </row>
    <row r="219" spans="1:15" ht="25.15" customHeight="1">
      <c r="A219" s="2173">
        <f>COUNTIF($K$1:K219,1)</f>
        <v>90</v>
      </c>
      <c r="B219" s="2264"/>
      <c r="C219" s="1984"/>
      <c r="D219" s="1985"/>
      <c r="E219" s="2226"/>
      <c r="F219" s="2231"/>
      <c r="G219" s="2237"/>
      <c r="H219" s="2241"/>
      <c r="I219" s="2241"/>
      <c r="J219" s="1972">
        <f>IFERROR(VLOOKUP(B219,DG!A:F,6,0),3000)</f>
        <v>3000</v>
      </c>
      <c r="K219" s="1973">
        <f>IF(J219&lt;2000,COUNTIF($B$2:B219,B219),0)</f>
        <v>0</v>
      </c>
      <c r="L219" s="1430"/>
    </row>
    <row r="220" spans="1:15" ht="25.15" customHeight="1">
      <c r="A220" s="2173">
        <f>COUNTIF($K$1:K220,1)</f>
        <v>90</v>
      </c>
      <c r="B220" s="2264"/>
      <c r="C220" s="1984"/>
      <c r="D220" s="1985"/>
      <c r="E220" s="2226"/>
      <c r="F220" s="2231"/>
      <c r="G220" s="2236"/>
      <c r="H220" s="2240"/>
      <c r="I220" s="2240"/>
      <c r="J220" s="1972">
        <f>IFERROR(VLOOKUP(B220,DG!A:F,6,0),3000)</f>
        <v>3000</v>
      </c>
      <c r="K220" s="1973">
        <f>IF(J220&lt;2000,COUNTIF($B$2:B220,B220),0)</f>
        <v>0</v>
      </c>
      <c r="L220" s="1430"/>
    </row>
    <row r="221" spans="1:15" ht="25.15" customHeight="1">
      <c r="A221" s="2173">
        <f>COUNTIF($K$1:K221,1)</f>
        <v>90</v>
      </c>
      <c r="B221" s="2264"/>
      <c r="C221" s="1984"/>
      <c r="D221" s="1985"/>
      <c r="E221" s="2226"/>
      <c r="F221" s="2231"/>
      <c r="G221" s="2237"/>
      <c r="H221" s="2241"/>
      <c r="I221" s="2241"/>
      <c r="J221" s="1972">
        <f>IFERROR(VLOOKUP(B221,DG!A:F,6,0),3000)</f>
        <v>3000</v>
      </c>
      <c r="K221" s="1973">
        <f>IF(J221&lt;2000,COUNTIF($B$2:B221,B221),0)</f>
        <v>0</v>
      </c>
      <c r="L221" s="1430"/>
    </row>
    <row r="222" spans="1:15" ht="25.15" customHeight="1">
      <c r="A222" s="2173">
        <f>COUNTIF($K$1:K222,1)</f>
        <v>90</v>
      </c>
      <c r="E222" s="2243"/>
      <c r="F222" s="2244"/>
      <c r="G222" s="2245"/>
      <c r="H222" s="2245"/>
      <c r="I222" s="2245"/>
      <c r="J222" s="1972">
        <f>IFERROR(VLOOKUP(B222,DG!A:F,6,0),3000)</f>
        <v>3000</v>
      </c>
      <c r="K222" s="1973">
        <f>IF(J222&lt;2000,COUNTIF($B$2:B222,B222),0)</f>
        <v>0</v>
      </c>
      <c r="N222" s="1285"/>
    </row>
    <row r="223" spans="1:15" ht="25.15" customHeight="1">
      <c r="A223" s="2173">
        <f>COUNTIF($K$1:K223,1)</f>
        <v>90</v>
      </c>
      <c r="B223" s="2264"/>
      <c r="C223" s="1984"/>
      <c r="D223" s="1985"/>
      <c r="E223" s="2226"/>
      <c r="F223" s="2231"/>
      <c r="G223" s="2236"/>
      <c r="H223" s="2240"/>
      <c r="I223" s="2240"/>
      <c r="J223" s="1972">
        <f>IFERROR(VLOOKUP(B223,DG!A:F,6,0),3000)</f>
        <v>3000</v>
      </c>
      <c r="K223" s="1973">
        <f>IF(J223&lt;2000,COUNTIF($B$2:B223,B223),0)</f>
        <v>0</v>
      </c>
      <c r="L223" s="1430"/>
    </row>
    <row r="224" spans="1:15" ht="25.15" customHeight="1">
      <c r="A224" s="2173">
        <f>COUNTIF($K$1:K224,1)</f>
        <v>90</v>
      </c>
      <c r="E224" s="2243"/>
      <c r="F224" s="2244"/>
      <c r="G224" s="2245"/>
      <c r="H224" s="2245"/>
      <c r="I224" s="2245"/>
      <c r="J224" s="1972">
        <f>IFERROR(VLOOKUP(B224,DG!A:F,6,0),3000)</f>
        <v>3000</v>
      </c>
      <c r="K224" s="1973">
        <f>IF(J224&lt;2000,COUNTIF($B$2:B224,B224),0)</f>
        <v>0</v>
      </c>
    </row>
    <row r="225" spans="1:15" ht="25.15" customHeight="1">
      <c r="A225" s="2173">
        <f>COUNTIF($K$1:K225,1)</f>
        <v>90</v>
      </c>
      <c r="B225" s="2264"/>
      <c r="C225" s="1984"/>
      <c r="D225" s="1985"/>
      <c r="E225" s="2226"/>
      <c r="F225" s="2231"/>
      <c r="G225" s="2237"/>
      <c r="H225" s="2241"/>
      <c r="I225" s="2241"/>
      <c r="J225" s="1972">
        <f>IFERROR(VLOOKUP(B225,DG!A:F,6,0),3000)</f>
        <v>3000</v>
      </c>
      <c r="K225" s="1973">
        <f>IF(J225&lt;2000,COUNTIF($B$2:B225,B225),0)</f>
        <v>0</v>
      </c>
      <c r="L225" s="1430"/>
    </row>
    <row r="226" spans="1:15" ht="25.15" customHeight="1">
      <c r="A226" s="2173">
        <f>COUNTIF($K$1:K226,1)</f>
        <v>90</v>
      </c>
      <c r="B226" s="2264"/>
      <c r="C226" s="1984"/>
      <c r="D226" s="1985"/>
      <c r="E226" s="2226"/>
      <c r="F226" s="2231"/>
      <c r="G226" s="2237"/>
      <c r="H226" s="2241"/>
      <c r="I226" s="2241"/>
      <c r="J226" s="1972">
        <f>IFERROR(VLOOKUP(B226,DG!A:F,6,0),3000)</f>
        <v>3000</v>
      </c>
      <c r="K226" s="1973">
        <f>IF(J226&lt;2000,COUNTIF($B$2:B226,B226),0)</f>
        <v>0</v>
      </c>
      <c r="L226" s="1430"/>
    </row>
    <row r="227" spans="1:15" ht="25.15" customHeight="1">
      <c r="A227" s="2173">
        <f>COUNTIF($K$1:K227,1)</f>
        <v>90</v>
      </c>
      <c r="B227" s="2264"/>
      <c r="C227" s="1984"/>
      <c r="D227" s="1985"/>
      <c r="E227" s="2226"/>
      <c r="F227" s="2231"/>
      <c r="G227" s="2237"/>
      <c r="H227" s="2241"/>
      <c r="I227" s="2241"/>
      <c r="J227" s="1972">
        <f>IFERROR(VLOOKUP(B227,DG!A:F,6,0),3000)</f>
        <v>3000</v>
      </c>
      <c r="K227" s="1973">
        <f>IF(J227&lt;2000,COUNTIF($B$2:B227,B227),0)</f>
        <v>0</v>
      </c>
      <c r="L227" s="1430"/>
    </row>
    <row r="228" spans="1:15" ht="25.15" customHeight="1">
      <c r="A228" s="2173">
        <f>COUNTIF($K$1:K228,1)</f>
        <v>90</v>
      </c>
      <c r="B228" s="2264"/>
      <c r="C228" s="1984"/>
      <c r="D228" s="1985"/>
      <c r="E228" s="2226"/>
      <c r="F228" s="2231"/>
      <c r="G228" s="2237"/>
      <c r="H228" s="2241"/>
      <c r="I228" s="2241"/>
      <c r="J228" s="1972">
        <f>IFERROR(VLOOKUP(B228,DG!A:F,6,0),3000)</f>
        <v>3000</v>
      </c>
      <c r="K228" s="1973">
        <f>IF(J228&lt;2000,COUNTIF($B$2:B228,B228),0)</f>
        <v>0</v>
      </c>
      <c r="L228" s="1430"/>
    </row>
    <row r="229" spans="1:15" ht="25.15" customHeight="1">
      <c r="A229" s="2173">
        <f>COUNTIF($K$1:K229,1)</f>
        <v>90</v>
      </c>
      <c r="B229" s="2465"/>
      <c r="C229" s="1975"/>
      <c r="D229" s="1980"/>
      <c r="E229" s="2229"/>
      <c r="F229" s="2234"/>
      <c r="G229" s="2239"/>
      <c r="H229" s="2241"/>
      <c r="I229" s="2241"/>
      <c r="J229" s="1972">
        <f>IFERROR(VLOOKUP(B229,DG!A:F,6,0),3000)</f>
        <v>3000</v>
      </c>
      <c r="K229" s="1973">
        <f>IF(J229&lt;2000,COUNTIF($B$2:B229,B229),0)</f>
        <v>0</v>
      </c>
      <c r="L229" s="1430"/>
    </row>
    <row r="230" spans="1:15" ht="25.15" customHeight="1">
      <c r="A230" s="2173">
        <f>COUNTIF($K$1:K230,1)</f>
        <v>90</v>
      </c>
      <c r="E230" s="2228"/>
      <c r="F230" s="2233"/>
      <c r="G230" s="2236"/>
      <c r="H230" s="2240"/>
      <c r="I230" s="2240"/>
      <c r="J230" s="1972">
        <f>IFERROR(VLOOKUP(B230,DG!A:F,6,0),3000)</f>
        <v>3000</v>
      </c>
      <c r="K230" s="1973">
        <f>IF(J230&lt;2000,COUNTIF($B$2:B230,B230),0)</f>
        <v>0</v>
      </c>
      <c r="L230" s="1430"/>
    </row>
    <row r="231" spans="1:15" ht="25.15" customHeight="1">
      <c r="A231" s="2173">
        <f>COUNTIF($K$1:K231,1)</f>
        <v>90</v>
      </c>
      <c r="B231" s="2264"/>
      <c r="C231" s="1984"/>
      <c r="D231" s="1985"/>
      <c r="E231" s="2226"/>
      <c r="F231" s="2231"/>
      <c r="G231" s="2237"/>
      <c r="H231" s="2241"/>
      <c r="I231" s="2241"/>
      <c r="J231" s="1972">
        <f>IFERROR(VLOOKUP(B231,DG!A:F,6,0),3000)</f>
        <v>3000</v>
      </c>
      <c r="K231" s="1973">
        <f>IF(J231&lt;2000,COUNTIF($B$2:B231,B231),0)</f>
        <v>0</v>
      </c>
      <c r="L231" s="1430"/>
    </row>
    <row r="232" spans="1:15" ht="25.15" customHeight="1">
      <c r="A232" s="2173">
        <f>COUNTIF($K$1:K232,1)</f>
        <v>90</v>
      </c>
      <c r="E232" s="2228"/>
      <c r="F232" s="2233"/>
      <c r="G232" s="2236"/>
      <c r="H232" s="2240"/>
      <c r="I232" s="2240"/>
      <c r="J232" s="1972">
        <f>IFERROR(VLOOKUP(B232,DG!A:F,6,0),3000)</f>
        <v>3000</v>
      </c>
      <c r="K232" s="1973">
        <f>IF(J232&lt;2000,COUNTIF($B$2:B232,B232),0)</f>
        <v>0</v>
      </c>
      <c r="L232" s="1430"/>
    </row>
    <row r="233" spans="1:15" ht="25.15" customHeight="1">
      <c r="A233" s="2173">
        <f>COUNTIF($K$1:K233,1)</f>
        <v>90</v>
      </c>
      <c r="E233" s="2228"/>
      <c r="F233" s="2233"/>
      <c r="G233" s="2236"/>
      <c r="H233" s="2240"/>
      <c r="I233" s="2240"/>
      <c r="J233" s="1972">
        <f>IFERROR(VLOOKUP(B233,DG!A:F,6,0),3000)</f>
        <v>3000</v>
      </c>
      <c r="K233" s="1973">
        <f>IF(J233&lt;2000,COUNTIF($B$2:B233,B233),0)</f>
        <v>0</v>
      </c>
      <c r="L233" s="1430"/>
    </row>
    <row r="234" spans="1:15" ht="25.15" customHeight="1">
      <c r="A234" s="2173">
        <f>COUNTIF($K$1:K234,1)</f>
        <v>90</v>
      </c>
      <c r="E234" s="2228"/>
      <c r="F234" s="2233"/>
      <c r="G234" s="2236"/>
      <c r="H234" s="2240"/>
      <c r="I234" s="2240"/>
      <c r="J234" s="1972">
        <f>IFERROR(VLOOKUP(B234,DG!A:F,6,0),3000)</f>
        <v>3000</v>
      </c>
      <c r="K234" s="1973">
        <f>IF(J234&lt;2000,COUNTIF($B$2:B234,B234),0)</f>
        <v>0</v>
      </c>
      <c r="L234" s="1430"/>
    </row>
    <row r="235" spans="1:15" ht="25.15" customHeight="1">
      <c r="A235" s="2173">
        <f>COUNTIF($K$1:K235,1)</f>
        <v>90</v>
      </c>
      <c r="E235" s="2228"/>
      <c r="F235" s="2233"/>
      <c r="G235" s="2236"/>
      <c r="H235" s="2240"/>
      <c r="I235" s="2240"/>
      <c r="J235" s="1972">
        <f>IFERROR(VLOOKUP(B235,DG!A:F,6,0),3000)</f>
        <v>3000</v>
      </c>
      <c r="K235" s="1973">
        <f>IF(J235&lt;2000,COUNTIF($B$2:B235,B235),0)</f>
        <v>0</v>
      </c>
      <c r="L235" s="1430"/>
    </row>
    <row r="236" spans="1:15" ht="25.15" customHeight="1">
      <c r="A236" s="2173">
        <f>COUNTIF($K$1:K236,1)</f>
        <v>90</v>
      </c>
      <c r="E236" s="2243"/>
      <c r="F236" s="2244"/>
      <c r="G236" s="2245"/>
      <c r="H236" s="2245"/>
      <c r="I236" s="2245"/>
      <c r="J236" s="1972">
        <f>IFERROR(VLOOKUP(B236,DG!A:F,6,0),3000)</f>
        <v>3000</v>
      </c>
      <c r="K236" s="1973">
        <f>IF(J236&lt;2000,COUNTIF($B$2:B236,B236),0)</f>
        <v>0</v>
      </c>
    </row>
    <row r="237" spans="1:15" ht="25.15" customHeight="1">
      <c r="A237" s="2173">
        <f>COUNTIF($K$1:K237,1)</f>
        <v>90</v>
      </c>
      <c r="B237" s="2264"/>
      <c r="C237" s="1984"/>
      <c r="D237" s="1985"/>
      <c r="E237" s="2226"/>
      <c r="F237" s="2231"/>
      <c r="G237" s="2237"/>
      <c r="H237" s="2241"/>
      <c r="I237" s="2241"/>
      <c r="J237" s="1972">
        <f>IFERROR(VLOOKUP(B237,DG!A:F,6,0),3000)</f>
        <v>3000</v>
      </c>
      <c r="K237" s="1973">
        <f>IF(J237&lt;2000,COUNTIF($B$2:B237,B237),0)</f>
        <v>0</v>
      </c>
      <c r="L237" s="1430"/>
    </row>
    <row r="238" spans="1:15" ht="25.15" customHeight="1">
      <c r="A238" s="2173">
        <f>COUNTIF($K$1:K238,1)</f>
        <v>90</v>
      </c>
      <c r="B238" s="2264"/>
      <c r="C238" s="1984"/>
      <c r="D238" s="1985"/>
      <c r="E238" s="2226"/>
      <c r="F238" s="2231"/>
      <c r="G238" s="2237"/>
      <c r="H238" s="2241"/>
      <c r="I238" s="2241"/>
      <c r="J238" s="1972">
        <f>IFERROR(VLOOKUP(B238,DG!A:F,6,0),3000)</f>
        <v>3000</v>
      </c>
      <c r="K238" s="1973">
        <f>IF(J238&lt;2000,COUNTIF($B$2:B238,B238),0)</f>
        <v>0</v>
      </c>
      <c r="L238" s="1430"/>
    </row>
    <row r="239" spans="1:15" ht="25.15" customHeight="1">
      <c r="A239" s="2173">
        <f>COUNTIF($K$1:K239,1)</f>
        <v>90</v>
      </c>
      <c r="E239" s="2228"/>
      <c r="F239" s="2233"/>
      <c r="G239" s="2236"/>
      <c r="H239" s="2240"/>
      <c r="I239" s="2240"/>
      <c r="J239" s="1972">
        <f>IFERROR(VLOOKUP(B239,DG!A:F,6,0),3000)</f>
        <v>3000</v>
      </c>
      <c r="K239" s="1973">
        <f>IF(J239&lt;2000,COUNTIF($B$2:B239,B239),0)</f>
        <v>0</v>
      </c>
      <c r="L239" s="1430"/>
    </row>
    <row r="240" spans="1:15" ht="25.15" customHeight="1">
      <c r="A240" s="2173">
        <f>COUNTIF($K$1:K240,1)</f>
        <v>90</v>
      </c>
      <c r="B240" s="2264"/>
      <c r="C240" s="1984"/>
      <c r="D240" s="1985"/>
      <c r="E240" s="2226"/>
      <c r="F240" s="2231"/>
      <c r="G240" s="2237"/>
      <c r="H240" s="2241"/>
      <c r="I240" s="2241"/>
      <c r="J240" s="1972">
        <f>IFERROR(VLOOKUP(B240,DG!A:F,6,0),3000)</f>
        <v>3000</v>
      </c>
      <c r="K240" s="1973">
        <f>IF(J240&lt;2000,COUNTIF($B$2:B240,B240),0)</f>
        <v>0</v>
      </c>
      <c r="L240" s="1430"/>
      <c r="M240" s="1993"/>
      <c r="N240" s="1994"/>
      <c r="O240" s="1993"/>
    </row>
    <row r="241" spans="1:15" ht="25.15" customHeight="1">
      <c r="A241" s="2173">
        <f>COUNTIF($K$1:K241,1)</f>
        <v>90</v>
      </c>
      <c r="B241" s="2264"/>
      <c r="C241" s="1984"/>
      <c r="D241" s="1985"/>
      <c r="E241" s="2226"/>
      <c r="F241" s="2231"/>
      <c r="G241" s="2237"/>
      <c r="H241" s="2241"/>
      <c r="I241" s="2241"/>
      <c r="J241" s="1972">
        <f>IFERROR(VLOOKUP(B241,DG!A:F,6,0),3000)</f>
        <v>3000</v>
      </c>
      <c r="K241" s="1973">
        <f>IF(J241&lt;2000,COUNTIF($B$2:B241,B241),0)</f>
        <v>0</v>
      </c>
      <c r="L241" s="1430"/>
    </row>
    <row r="242" spans="1:15" ht="25.15" customHeight="1">
      <c r="A242" s="2173">
        <f>COUNTIF($K$1:K242,1)</f>
        <v>90</v>
      </c>
      <c r="B242" s="2467"/>
      <c r="C242" s="2080"/>
      <c r="D242" s="2081"/>
      <c r="E242" s="2226"/>
      <c r="F242" s="2231"/>
      <c r="G242" s="2237"/>
      <c r="H242" s="2241"/>
      <c r="I242" s="2241"/>
      <c r="J242" s="1972">
        <f>IFERROR(VLOOKUP(B242,DG!A:F,6,0),3000)</f>
        <v>3000</v>
      </c>
      <c r="K242" s="1973">
        <f>IF(J242&lt;2000,COUNTIF($B$2:B242,B242),0)</f>
        <v>0</v>
      </c>
      <c r="L242" s="1992"/>
      <c r="N242" s="1285"/>
    </row>
    <row r="243" spans="1:15" ht="25.15" customHeight="1">
      <c r="A243" s="2173">
        <f>COUNTIF($K$1:K243,1)</f>
        <v>90</v>
      </c>
      <c r="B243" s="2264"/>
      <c r="C243" s="1984"/>
      <c r="D243" s="1985"/>
      <c r="E243" s="2226"/>
      <c r="F243" s="2231"/>
      <c r="G243" s="2237"/>
      <c r="H243" s="2241"/>
      <c r="I243" s="2241"/>
      <c r="J243" s="1972">
        <f>IFERROR(VLOOKUP(B243,DG!A:F,6,0),3000)</f>
        <v>3000</v>
      </c>
      <c r="K243" s="1973">
        <f>IF(J243&lt;2000,COUNTIF($B$2:B243,B243),0)</f>
        <v>0</v>
      </c>
      <c r="L243" s="1430"/>
    </row>
    <row r="244" spans="1:15" ht="25.15" customHeight="1">
      <c r="A244" s="2173">
        <f>COUNTIF($K$1:K244,1)</f>
        <v>90</v>
      </c>
      <c r="B244" s="2264"/>
      <c r="C244" s="1984"/>
      <c r="D244" s="1985"/>
      <c r="E244" s="2226"/>
      <c r="F244" s="2231"/>
      <c r="G244" s="2237"/>
      <c r="H244" s="2241"/>
      <c r="I244" s="2241"/>
      <c r="J244" s="1972">
        <f>IFERROR(VLOOKUP(B244,DG!A:F,6,0),3000)</f>
        <v>3000</v>
      </c>
      <c r="K244" s="1973">
        <f>IF(J244&lt;2000,COUNTIF($B$2:B244,B244),0)</f>
        <v>0</v>
      </c>
      <c r="L244" s="1430"/>
      <c r="N244" s="1285"/>
    </row>
    <row r="245" spans="1:15" ht="25.15" customHeight="1">
      <c r="A245" s="2173">
        <f>COUNTIF($K$1:K245,1)</f>
        <v>90</v>
      </c>
      <c r="B245" s="2264"/>
      <c r="C245" s="1984"/>
      <c r="D245" s="1985"/>
      <c r="E245" s="2226"/>
      <c r="F245" s="2231"/>
      <c r="G245" s="2237"/>
      <c r="H245" s="2241"/>
      <c r="I245" s="2241"/>
      <c r="J245" s="1972">
        <f>IFERROR(VLOOKUP(B245,DG!A:F,6,0),3000)</f>
        <v>3000</v>
      </c>
      <c r="K245" s="1973">
        <f>IF(J245&lt;2000,COUNTIF($B$2:B245,B245),0)</f>
        <v>0</v>
      </c>
      <c r="L245" s="1430"/>
    </row>
    <row r="246" spans="1:15" ht="25.15" customHeight="1">
      <c r="A246" s="2173">
        <f>COUNTIF($K$1:K246,1)</f>
        <v>90</v>
      </c>
      <c r="B246" s="2264"/>
      <c r="C246" s="1984"/>
      <c r="D246" s="1985"/>
      <c r="E246" s="2226"/>
      <c r="F246" s="2231"/>
      <c r="G246" s="2237"/>
      <c r="H246" s="2241"/>
      <c r="I246" s="2241"/>
      <c r="J246" s="1972">
        <f>IFERROR(VLOOKUP(B246,DG!A:F,6,0),3000)</f>
        <v>3000</v>
      </c>
      <c r="K246" s="1973">
        <f>IF(J246&lt;2000,COUNTIF($B$2:B246,B246),0)</f>
        <v>0</v>
      </c>
      <c r="L246" s="1430"/>
      <c r="M246" s="1993"/>
      <c r="N246" s="1994"/>
      <c r="O246" s="1993"/>
    </row>
    <row r="247" spans="1:15" ht="25.15" customHeight="1">
      <c r="A247" s="2173">
        <f>COUNTIF($K$1:K247,1)</f>
        <v>90</v>
      </c>
      <c r="B247" s="2264"/>
      <c r="C247" s="1984"/>
      <c r="D247" s="1985"/>
      <c r="E247" s="2226"/>
      <c r="F247" s="2231"/>
      <c r="G247" s="2237"/>
      <c r="H247" s="2241"/>
      <c r="I247" s="2241"/>
      <c r="J247" s="1972">
        <f>IFERROR(VLOOKUP(B247,DG!A:F,6,0),3000)</f>
        <v>3000</v>
      </c>
      <c r="K247" s="1973">
        <f>IF(J247&lt;2000,COUNTIF($B$2:B247,B247),0)</f>
        <v>0</v>
      </c>
      <c r="L247" s="1430"/>
    </row>
    <row r="248" spans="1:15" ht="25.15" customHeight="1">
      <c r="A248" s="2173">
        <f>COUNTIF($K$1:K248,1)</f>
        <v>90</v>
      </c>
      <c r="B248" s="2244"/>
      <c r="C248" s="1990"/>
      <c r="D248" s="1991"/>
      <c r="E248" s="2243"/>
      <c r="F248" s="2244"/>
      <c r="G248" s="2245"/>
      <c r="H248" s="2245"/>
      <c r="I248" s="2245"/>
      <c r="J248" s="1972">
        <f>IFERROR(VLOOKUP(B248,DG!A:F,6,0),3000)</f>
        <v>3000</v>
      </c>
      <c r="K248" s="1973">
        <f>IF(J248&lt;2000,COUNTIF($B$2:B248,B248),0)</f>
        <v>0</v>
      </c>
      <c r="L248" s="2245"/>
      <c r="N248" s="1285"/>
    </row>
    <row r="249" spans="1:15" ht="25.15" customHeight="1">
      <c r="A249" s="2173">
        <f>COUNTIF($K$1:K249,1)</f>
        <v>90</v>
      </c>
      <c r="E249" s="2243"/>
      <c r="F249" s="2244"/>
      <c r="G249" s="2245"/>
      <c r="H249" s="2245"/>
      <c r="I249" s="2245"/>
      <c r="J249" s="1972">
        <f>IFERROR(VLOOKUP(B249,DG!A:F,6,0),3000)</f>
        <v>3000</v>
      </c>
      <c r="K249" s="1973">
        <f>IF(J249&lt;2000,COUNTIF($B$2:B249,B249),0)</f>
        <v>0</v>
      </c>
    </row>
    <row r="250" spans="1:15" ht="25.15" customHeight="1">
      <c r="A250" s="2173">
        <f>COUNTIF($K$1:K250,1)</f>
        <v>90</v>
      </c>
      <c r="E250" s="2243"/>
      <c r="F250" s="2244"/>
      <c r="G250" s="2245"/>
      <c r="H250" s="2245"/>
      <c r="I250" s="2245"/>
      <c r="J250" s="1972">
        <f>IFERROR(VLOOKUP(B250,DG!A:F,6,0),3000)</f>
        <v>3000</v>
      </c>
      <c r="K250" s="1973">
        <f>IF(J250&lt;2000,COUNTIF($B$2:B250,B250),0)</f>
        <v>0</v>
      </c>
    </row>
    <row r="251" spans="1:15" ht="25.15" customHeight="1">
      <c r="A251" s="2173">
        <f>COUNTIF($K$1:K251,1)</f>
        <v>90</v>
      </c>
      <c r="E251" s="2243"/>
      <c r="F251" s="2244"/>
      <c r="G251" s="2245"/>
      <c r="H251" s="2245"/>
      <c r="I251" s="2245"/>
      <c r="J251" s="1972">
        <f>IFERROR(VLOOKUP(B251,DG!A:F,6,0),3000)</f>
        <v>3000</v>
      </c>
      <c r="K251" s="1973">
        <f>IF(J251&lt;2000,COUNTIF($B$2:B251,B251),0)</f>
        <v>0</v>
      </c>
    </row>
    <row r="252" spans="1:15" ht="25.15" customHeight="1">
      <c r="A252" s="2173">
        <f>COUNTIF($K$1:K252,1)</f>
        <v>90</v>
      </c>
      <c r="E252" s="2243"/>
      <c r="F252" s="2244"/>
      <c r="G252" s="2245"/>
      <c r="H252" s="2245"/>
      <c r="I252" s="2245"/>
      <c r="J252" s="1972">
        <f>IFERROR(VLOOKUP(B252,DG!A:F,6,0),3000)</f>
        <v>3000</v>
      </c>
      <c r="K252" s="1973">
        <f>IF(J252&lt;2000,COUNTIF($B$2:B252,B252),0)</f>
        <v>0</v>
      </c>
    </row>
    <row r="253" spans="1:15" ht="25.15" customHeight="1">
      <c r="A253" s="2173">
        <f>COUNTIF($K$1:K253,1)</f>
        <v>90</v>
      </c>
      <c r="E253" s="2243"/>
      <c r="F253" s="2244"/>
      <c r="G253" s="2245"/>
      <c r="H253" s="2245"/>
      <c r="I253" s="2245"/>
      <c r="J253" s="1972">
        <f>IFERROR(VLOOKUP(B253,DG!A:F,6,0),3000)</f>
        <v>3000</v>
      </c>
      <c r="K253" s="1973">
        <f>IF(J253&lt;2000,COUNTIF($B$2:B253,B253),0)</f>
        <v>0</v>
      </c>
    </row>
    <row r="254" spans="1:15" ht="25.15" customHeight="1">
      <c r="A254" s="2173">
        <f>COUNTIF($K$1:K254,1)</f>
        <v>90</v>
      </c>
      <c r="E254" s="2243"/>
      <c r="F254" s="2244"/>
      <c r="G254" s="2245"/>
      <c r="H254" s="2245"/>
      <c r="I254" s="2245"/>
      <c r="J254" s="1972">
        <f>IFERROR(VLOOKUP(B254,DG!A:F,6,0),3000)</f>
        <v>3000</v>
      </c>
      <c r="K254" s="1973">
        <f>IF(J254&lt;2000,COUNTIF($B$2:B254,B254),0)</f>
        <v>0</v>
      </c>
    </row>
    <row r="255" spans="1:15" ht="25.15" customHeight="1">
      <c r="A255" s="2173">
        <f>COUNTIF($K$1:K255,1)</f>
        <v>90</v>
      </c>
      <c r="E255" s="2243"/>
      <c r="F255" s="2244"/>
      <c r="G255" s="2245"/>
      <c r="H255" s="2245"/>
      <c r="I255" s="2245"/>
      <c r="J255" s="1972">
        <f>IFERROR(VLOOKUP(B255,DG!A:F,6,0),3000)</f>
        <v>3000</v>
      </c>
      <c r="K255" s="1973">
        <f>IF(J255&lt;2000,COUNTIF($B$2:B255,B255),0)</f>
        <v>0</v>
      </c>
    </row>
    <row r="256" spans="1:15" ht="25.15" customHeight="1">
      <c r="A256" s="2173">
        <f>COUNTIF($K$1:K256,1)</f>
        <v>90</v>
      </c>
      <c r="E256" s="2243"/>
      <c r="F256" s="2244"/>
      <c r="G256" s="2245"/>
      <c r="H256" s="2245"/>
      <c r="I256" s="2245"/>
      <c r="J256" s="1972">
        <f>IFERROR(VLOOKUP(B256,DG!A:F,6,0),3000)</f>
        <v>3000</v>
      </c>
      <c r="K256" s="1973">
        <f>IF(J256&lt;2000,COUNTIF($B$2:B256,B256),0)</f>
        <v>0</v>
      </c>
    </row>
    <row r="257" spans="1:15" ht="25.15" customHeight="1">
      <c r="A257" s="2173">
        <f>COUNTIF($K$1:K257,1)</f>
        <v>90</v>
      </c>
      <c r="E257" s="2243"/>
      <c r="F257" s="2244"/>
      <c r="G257" s="2245"/>
      <c r="H257" s="2245"/>
      <c r="I257" s="2245"/>
      <c r="J257" s="1972">
        <f>IFERROR(VLOOKUP(B257,DG!A:F,6,0),3000)</f>
        <v>3000</v>
      </c>
      <c r="K257" s="1973">
        <f>IF(J257&lt;2000,COUNTIF($B$2:B257,B257),0)</f>
        <v>0</v>
      </c>
    </row>
    <row r="258" spans="1:15" ht="25.15" customHeight="1">
      <c r="A258" s="2173">
        <f>COUNTIF($K$1:K258,1)</f>
        <v>90</v>
      </c>
      <c r="E258" s="2243"/>
      <c r="F258" s="2244"/>
      <c r="G258" s="2245"/>
      <c r="H258" s="2245"/>
      <c r="I258" s="2245"/>
      <c r="J258" s="1972">
        <f>IFERROR(VLOOKUP(B258,DG!A:F,6,0),3000)</f>
        <v>3000</v>
      </c>
      <c r="K258" s="1973">
        <f>IF(J258&lt;2000,COUNTIF($B$2:B258,B258),0)</f>
        <v>0</v>
      </c>
    </row>
    <row r="259" spans="1:15" ht="25.15" customHeight="1">
      <c r="A259" s="2173">
        <f>COUNTIF($K$1:K259,1)</f>
        <v>90</v>
      </c>
      <c r="E259" s="2243"/>
      <c r="F259" s="2244"/>
      <c r="G259" s="2245"/>
      <c r="H259" s="2245"/>
      <c r="I259" s="2245"/>
      <c r="J259" s="1972">
        <f>IFERROR(VLOOKUP(B259,DG!A:F,6,0),3000)</f>
        <v>3000</v>
      </c>
      <c r="K259" s="1973">
        <f>IF(J259&lt;2000,COUNTIF($B$2:B259,B259),0)</f>
        <v>0</v>
      </c>
    </row>
    <row r="260" spans="1:15" ht="25.15" customHeight="1">
      <c r="A260" s="2173">
        <f>COUNTIF($K$1:K260,1)</f>
        <v>90</v>
      </c>
      <c r="E260" s="2243"/>
      <c r="F260" s="2244"/>
      <c r="G260" s="2245"/>
      <c r="H260" s="2245"/>
      <c r="I260" s="2245"/>
      <c r="J260" s="1972">
        <f>IFERROR(VLOOKUP(B260,DG!A:F,6,0),3000)</f>
        <v>3000</v>
      </c>
      <c r="K260" s="1973">
        <f>IF(J260&lt;2000,COUNTIF($B$2:B260,B260),0)</f>
        <v>0</v>
      </c>
    </row>
    <row r="261" spans="1:15" ht="25.15" customHeight="1">
      <c r="A261" s="2173">
        <f>COUNTIF($K$1:K261,1)</f>
        <v>90</v>
      </c>
      <c r="E261" s="2243"/>
      <c r="F261" s="2244"/>
      <c r="G261" s="2245"/>
      <c r="H261" s="2245"/>
      <c r="I261" s="2245"/>
      <c r="J261" s="1972">
        <f>IFERROR(VLOOKUP(B261,DG!A:F,6,0),3000)</f>
        <v>3000</v>
      </c>
      <c r="K261" s="1973">
        <f>IF(J261&lt;2000,COUNTIF($B$2:B261,B261),0)</f>
        <v>0</v>
      </c>
    </row>
    <row r="262" spans="1:15" ht="25.15" customHeight="1">
      <c r="A262" s="2173">
        <f>COUNTIF($K$1:K262,1)</f>
        <v>90</v>
      </c>
      <c r="E262" s="2243"/>
      <c r="F262" s="2244"/>
      <c r="G262" s="2245"/>
      <c r="H262" s="2245"/>
      <c r="I262" s="2245"/>
      <c r="J262" s="1972">
        <f>IFERROR(VLOOKUP(B262,DG!A:F,6,0),3000)</f>
        <v>3000</v>
      </c>
      <c r="K262" s="1973">
        <f>IF(J262&lt;2000,COUNTIF($B$2:B262,B262),0)</f>
        <v>0</v>
      </c>
    </row>
    <row r="263" spans="1:15" ht="25.15" customHeight="1">
      <c r="A263" s="2173">
        <f>COUNTIF($K$1:K263,1)</f>
        <v>90</v>
      </c>
      <c r="E263" s="2243"/>
      <c r="F263" s="2244"/>
      <c r="G263" s="2245"/>
      <c r="H263" s="2245"/>
      <c r="I263" s="2245"/>
      <c r="J263" s="1972">
        <f>IFERROR(VLOOKUP(B263,DG!A:F,6,0),3000)</f>
        <v>3000</v>
      </c>
      <c r="K263" s="1973">
        <f>IF(J263&lt;2000,COUNTIF($B$2:B263,B263),0)</f>
        <v>0</v>
      </c>
    </row>
    <row r="264" spans="1:15" ht="25.15" customHeight="1">
      <c r="A264" s="2173">
        <f>COUNTIF($K$1:K264,1)</f>
        <v>90</v>
      </c>
      <c r="E264" s="2243"/>
      <c r="F264" s="2244"/>
      <c r="G264" s="2245"/>
      <c r="H264" s="2245"/>
      <c r="I264" s="2245"/>
      <c r="J264" s="1972">
        <f>IFERROR(VLOOKUP(B264,DG!A:F,6,0),3000)</f>
        <v>3000</v>
      </c>
      <c r="K264" s="1973">
        <f>IF(J264&lt;2000,COUNTIF($B$2:B264,B264),0)</f>
        <v>0</v>
      </c>
    </row>
    <row r="265" spans="1:15" ht="25.15" customHeight="1">
      <c r="A265" s="2173">
        <f>COUNTIF($K$1:K265,1)</f>
        <v>90</v>
      </c>
      <c r="E265" s="2243"/>
      <c r="F265" s="2244"/>
      <c r="G265" s="2245"/>
      <c r="H265" s="2245"/>
      <c r="I265" s="2245"/>
      <c r="J265" s="1972">
        <f>IFERROR(VLOOKUP(B265,DG!A:F,6,0),3000)</f>
        <v>3000</v>
      </c>
      <c r="K265" s="1973">
        <f>IF(J265&lt;2000,COUNTIF($B$2:B265,B265),0)</f>
        <v>0</v>
      </c>
    </row>
    <row r="266" spans="1:15" ht="25.15" customHeight="1">
      <c r="A266" s="2173">
        <f>COUNTIF($K$1:K266,1)</f>
        <v>90</v>
      </c>
      <c r="E266" s="2243"/>
      <c r="F266" s="2244"/>
      <c r="G266" s="2245"/>
      <c r="H266" s="2245"/>
      <c r="I266" s="2245"/>
      <c r="J266" s="1972">
        <f>IFERROR(VLOOKUP(B266,DG!A:F,6,0),3000)</f>
        <v>3000</v>
      </c>
      <c r="K266" s="1973">
        <f>IF(J266&lt;2000,COUNTIF($B$2:B266,B266),0)</f>
        <v>0</v>
      </c>
    </row>
    <row r="267" spans="1:15" ht="25.15" customHeight="1">
      <c r="A267" s="2173">
        <f>COUNTIF($K$1:K267,1)</f>
        <v>90</v>
      </c>
      <c r="E267" s="2243"/>
      <c r="F267" s="2244"/>
      <c r="G267" s="2245"/>
      <c r="H267" s="2245"/>
      <c r="I267" s="2245"/>
      <c r="J267" s="1972">
        <f>IFERROR(VLOOKUP(B267,DG!A:F,6,0),3000)</f>
        <v>3000</v>
      </c>
      <c r="K267" s="1973">
        <f>IF(J267&lt;2000,COUNTIF($B$2:B267,B267),0)</f>
        <v>0</v>
      </c>
    </row>
    <row r="268" spans="1:15" ht="25.15" customHeight="1">
      <c r="A268" s="2173">
        <f>COUNTIF($K$1:K268,1)</f>
        <v>90</v>
      </c>
      <c r="E268" s="2243"/>
      <c r="F268" s="2244"/>
      <c r="G268" s="2245"/>
      <c r="H268" s="2245"/>
      <c r="I268" s="2245"/>
      <c r="J268" s="1972">
        <f>IFERROR(VLOOKUP(B268,DG!A:F,6,0),3000)</f>
        <v>3000</v>
      </c>
      <c r="K268" s="1973">
        <f>IF(J268&lt;2000,COUNTIF($B$2:B268,B268),0)</f>
        <v>0</v>
      </c>
    </row>
    <row r="269" spans="1:15" ht="25.15" customHeight="1">
      <c r="A269" s="2173">
        <f>COUNTIF($K$1:K269,1)</f>
        <v>90</v>
      </c>
      <c r="E269" s="2243"/>
      <c r="F269" s="2244"/>
      <c r="G269" s="2245"/>
      <c r="H269" s="2245"/>
      <c r="I269" s="2245"/>
      <c r="J269" s="1972">
        <f>IFERROR(VLOOKUP(B269,DG!A:F,6,0),3000)</f>
        <v>3000</v>
      </c>
      <c r="K269" s="1973">
        <f>IF(J269&lt;2000,COUNTIF($B$2:B269,B269),0)</f>
        <v>0</v>
      </c>
      <c r="M269" s="1993"/>
      <c r="N269" s="1994"/>
      <c r="O269" s="1993"/>
    </row>
    <row r="270" spans="1:15" ht="25.15" customHeight="1">
      <c r="A270" s="2173">
        <f>COUNTIF($K$1:K270,1)</f>
        <v>90</v>
      </c>
      <c r="E270" s="2243"/>
      <c r="F270" s="2244"/>
      <c r="G270" s="2245"/>
      <c r="H270" s="2245"/>
      <c r="I270" s="2245"/>
      <c r="J270" s="1972">
        <f>IFERROR(VLOOKUP(B270,DG!A:F,6,0),3000)</f>
        <v>3000</v>
      </c>
      <c r="K270" s="1973">
        <f>IF(J270&lt;2000,COUNTIF($B$2:B270,B270),0)</f>
        <v>0</v>
      </c>
    </row>
  </sheetData>
  <autoFilter ref="A1:L270">
    <sortState ref="A2:L270">
      <sortCondition ref="J1:J270"/>
    </sortState>
  </autoFilter>
  <sortState ref="B2:K203">
    <sortCondition ref="J2:J203"/>
    <sortCondition ref="B2:B203"/>
  </sortState>
  <conditionalFormatting sqref="E2:E1048576">
    <cfRule type="containsText" dxfId="43" priority="20" operator="containsText" text="phần">
      <formula>NOT(ISERROR(SEARCH("phần",E2)))</formula>
    </cfRule>
    <cfRule type="containsText" dxfId="42" priority="21" operator="containsText" text="bộ">
      <formula>NOT(ISERROR(SEARCH("bộ",E2)))</formula>
    </cfRule>
    <cfRule type="containsText" dxfId="41" priority="22" operator="containsText" text="đóng">
      <formula>NOT(ISERROR(SEARCH("đóng",E2)))</formula>
    </cfRule>
    <cfRule type="containsText" dxfId="40" priority="23" operator="containsText" text="kéo">
      <formula>NOT(ISERROR(SEARCH("kéo",E2)))</formula>
    </cfRule>
    <cfRule type="cellIs" dxfId="39" priority="24" operator="equal">
      <formula>"đóng"</formula>
    </cfRule>
    <cfRule type="containsText" dxfId="38" priority="25" operator="containsText" text="đổ">
      <formula>NOT(ISERROR(SEARCH("đổ",E2)))</formula>
    </cfRule>
    <cfRule type="containsText" dxfId="37" priority="26" operator="containsText" text="đắp">
      <formula>NOT(ISERROR(SEARCH("đắp",E2)))</formula>
    </cfRule>
    <cfRule type="containsText" dxfId="36" priority="27" operator="containsText" text="Đào">
      <formula>NOT(ISERROR(SEARCH("Đào",E2)))</formula>
    </cfRule>
  </conditionalFormatting>
  <conditionalFormatting sqref="F51:I52">
    <cfRule type="containsText" dxfId="35" priority="1" operator="containsText" text="phần">
      <formula>NOT(ISERROR(SEARCH("phần",F51)))</formula>
    </cfRule>
    <cfRule type="containsText" dxfId="34" priority="2" operator="containsText" text="bộ">
      <formula>NOT(ISERROR(SEARCH("bộ",F51)))</formula>
    </cfRule>
    <cfRule type="containsText" dxfId="33" priority="3" operator="containsText" text="đóng">
      <formula>NOT(ISERROR(SEARCH("đóng",F51)))</formula>
    </cfRule>
    <cfRule type="containsText" dxfId="32" priority="4" operator="containsText" text="kéo">
      <formula>NOT(ISERROR(SEARCH("kéo",F51)))</formula>
    </cfRule>
    <cfRule type="cellIs" dxfId="31" priority="5" operator="equal">
      <formula>"đóng"</formula>
    </cfRule>
    <cfRule type="containsText" dxfId="30" priority="6" operator="containsText" text="đổ">
      <formula>NOT(ISERROR(SEARCH("đổ",F51)))</formula>
    </cfRule>
    <cfRule type="containsText" dxfId="29" priority="7" operator="containsText" text="đắp">
      <formula>NOT(ISERROR(SEARCH("đắp",F51)))</formula>
    </cfRule>
    <cfRule type="containsText" dxfId="28" priority="8" operator="containsText" text="Đào">
      <formula>NOT(ISERROR(SEARCH("Đào",F51)))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0"/>
  </sheetPr>
  <dimension ref="A1:IY316"/>
  <sheetViews>
    <sheetView showZeros="0" zoomScaleNormal="100" workbookViewId="0">
      <pane ySplit="8" topLeftCell="A21" activePane="bottomLeft" state="frozen"/>
      <selection pane="bottomLeft" activeCell="E28" sqref="E28"/>
    </sheetView>
  </sheetViews>
  <sheetFormatPr defaultColWidth="7.44140625" defaultRowHeight="17.25" outlineLevelRow="1"/>
  <cols>
    <col min="1" max="1" width="11.109375" style="2323" customWidth="1"/>
    <col min="2" max="2" width="12.21875" style="2323" customWidth="1"/>
    <col min="3" max="3" width="14.5546875" style="2323" customWidth="1"/>
    <col min="4" max="4" width="4.6640625" style="2410" customWidth="1"/>
    <col min="5" max="5" width="45.88671875" style="2411" bestFit="1" customWidth="1"/>
    <col min="6" max="6" width="6.109375" style="2323" customWidth="1"/>
    <col min="7" max="7" width="10.21875" style="2411" customWidth="1"/>
    <col min="8" max="8" width="9.77734375" style="2411" customWidth="1"/>
    <col min="9" max="9" width="8.88671875" style="2411" customWidth="1"/>
    <col min="10" max="10" width="9.21875" style="2411" customWidth="1"/>
    <col min="11" max="11" width="12.6640625" style="2411" customWidth="1"/>
    <col min="12" max="13" width="7.44140625" style="2323"/>
    <col min="14" max="14" width="28.88671875" style="2323" bestFit="1" customWidth="1"/>
    <col min="15" max="15" width="4.44140625" style="2323" bestFit="1" customWidth="1"/>
    <col min="16" max="16" width="6.5546875" style="2323" customWidth="1"/>
    <col min="17" max="259" width="7.44140625" style="2323"/>
    <col min="260" max="260" width="4.6640625" style="2323" customWidth="1"/>
    <col min="261" max="261" width="45.88671875" style="2323" bestFit="1" customWidth="1"/>
    <col min="262" max="262" width="6.109375" style="2323" customWidth="1"/>
    <col min="263" max="263" width="10.21875" style="2323" customWidth="1"/>
    <col min="264" max="264" width="9.77734375" style="2323" customWidth="1"/>
    <col min="265" max="265" width="8.88671875" style="2323" customWidth="1"/>
    <col min="266" max="266" width="9.21875" style="2323" customWidth="1"/>
    <col min="267" max="267" width="12.6640625" style="2323" customWidth="1"/>
    <col min="268" max="269" width="7.44140625" style="2323"/>
    <col min="270" max="270" width="28.88671875" style="2323" bestFit="1" customWidth="1"/>
    <col min="271" max="271" width="4.44140625" style="2323" bestFit="1" customWidth="1"/>
    <col min="272" max="272" width="6.5546875" style="2323" customWidth="1"/>
    <col min="273" max="515" width="7.44140625" style="2323"/>
    <col min="516" max="516" width="4.6640625" style="2323" customWidth="1"/>
    <col min="517" max="517" width="45.88671875" style="2323" bestFit="1" customWidth="1"/>
    <col min="518" max="518" width="6.109375" style="2323" customWidth="1"/>
    <col min="519" max="519" width="10.21875" style="2323" customWidth="1"/>
    <col min="520" max="520" width="9.77734375" style="2323" customWidth="1"/>
    <col min="521" max="521" width="8.88671875" style="2323" customWidth="1"/>
    <col min="522" max="522" width="9.21875" style="2323" customWidth="1"/>
    <col min="523" max="523" width="12.6640625" style="2323" customWidth="1"/>
    <col min="524" max="525" width="7.44140625" style="2323"/>
    <col min="526" max="526" width="28.88671875" style="2323" bestFit="1" customWidth="1"/>
    <col min="527" max="527" width="4.44140625" style="2323" bestFit="1" customWidth="1"/>
    <col min="528" max="528" width="6.5546875" style="2323" customWidth="1"/>
    <col min="529" max="771" width="7.44140625" style="2323"/>
    <col min="772" max="772" width="4.6640625" style="2323" customWidth="1"/>
    <col min="773" max="773" width="45.88671875" style="2323" bestFit="1" customWidth="1"/>
    <col min="774" max="774" width="6.109375" style="2323" customWidth="1"/>
    <col min="775" max="775" width="10.21875" style="2323" customWidth="1"/>
    <col min="776" max="776" width="9.77734375" style="2323" customWidth="1"/>
    <col min="777" max="777" width="8.88671875" style="2323" customWidth="1"/>
    <col min="778" max="778" width="9.21875" style="2323" customWidth="1"/>
    <col min="779" max="779" width="12.6640625" style="2323" customWidth="1"/>
    <col min="780" max="781" width="7.44140625" style="2323"/>
    <col min="782" max="782" width="28.88671875" style="2323" bestFit="1" customWidth="1"/>
    <col min="783" max="783" width="4.44140625" style="2323" bestFit="1" customWidth="1"/>
    <col min="784" max="784" width="6.5546875" style="2323" customWidth="1"/>
    <col min="785" max="1027" width="7.44140625" style="2323"/>
    <col min="1028" max="1028" width="4.6640625" style="2323" customWidth="1"/>
    <col min="1029" max="1029" width="45.88671875" style="2323" bestFit="1" customWidth="1"/>
    <col min="1030" max="1030" width="6.109375" style="2323" customWidth="1"/>
    <col min="1031" max="1031" width="10.21875" style="2323" customWidth="1"/>
    <col min="1032" max="1032" width="9.77734375" style="2323" customWidth="1"/>
    <col min="1033" max="1033" width="8.88671875" style="2323" customWidth="1"/>
    <col min="1034" max="1034" width="9.21875" style="2323" customWidth="1"/>
    <col min="1035" max="1035" width="12.6640625" style="2323" customWidth="1"/>
    <col min="1036" max="1037" width="7.44140625" style="2323"/>
    <col min="1038" max="1038" width="28.88671875" style="2323" bestFit="1" customWidth="1"/>
    <col min="1039" max="1039" width="4.44140625" style="2323" bestFit="1" customWidth="1"/>
    <col min="1040" max="1040" width="6.5546875" style="2323" customWidth="1"/>
    <col min="1041" max="1283" width="7.44140625" style="2323"/>
    <col min="1284" max="1284" width="4.6640625" style="2323" customWidth="1"/>
    <col min="1285" max="1285" width="45.88671875" style="2323" bestFit="1" customWidth="1"/>
    <col min="1286" max="1286" width="6.109375" style="2323" customWidth="1"/>
    <col min="1287" max="1287" width="10.21875" style="2323" customWidth="1"/>
    <col min="1288" max="1288" width="9.77734375" style="2323" customWidth="1"/>
    <col min="1289" max="1289" width="8.88671875" style="2323" customWidth="1"/>
    <col min="1290" max="1290" width="9.21875" style="2323" customWidth="1"/>
    <col min="1291" max="1291" width="12.6640625" style="2323" customWidth="1"/>
    <col min="1292" max="1293" width="7.44140625" style="2323"/>
    <col min="1294" max="1294" width="28.88671875" style="2323" bestFit="1" customWidth="1"/>
    <col min="1295" max="1295" width="4.44140625" style="2323" bestFit="1" customWidth="1"/>
    <col min="1296" max="1296" width="6.5546875" style="2323" customWidth="1"/>
    <col min="1297" max="1539" width="7.44140625" style="2323"/>
    <col min="1540" max="1540" width="4.6640625" style="2323" customWidth="1"/>
    <col min="1541" max="1541" width="45.88671875" style="2323" bestFit="1" customWidth="1"/>
    <col min="1542" max="1542" width="6.109375" style="2323" customWidth="1"/>
    <col min="1543" max="1543" width="10.21875" style="2323" customWidth="1"/>
    <col min="1544" max="1544" width="9.77734375" style="2323" customWidth="1"/>
    <col min="1545" max="1545" width="8.88671875" style="2323" customWidth="1"/>
    <col min="1546" max="1546" width="9.21875" style="2323" customWidth="1"/>
    <col min="1547" max="1547" width="12.6640625" style="2323" customWidth="1"/>
    <col min="1548" max="1549" width="7.44140625" style="2323"/>
    <col min="1550" max="1550" width="28.88671875" style="2323" bestFit="1" customWidth="1"/>
    <col min="1551" max="1551" width="4.44140625" style="2323" bestFit="1" customWidth="1"/>
    <col min="1552" max="1552" width="6.5546875" style="2323" customWidth="1"/>
    <col min="1553" max="1795" width="7.44140625" style="2323"/>
    <col min="1796" max="1796" width="4.6640625" style="2323" customWidth="1"/>
    <col min="1797" max="1797" width="45.88671875" style="2323" bestFit="1" customWidth="1"/>
    <col min="1798" max="1798" width="6.109375" style="2323" customWidth="1"/>
    <col min="1799" max="1799" width="10.21875" style="2323" customWidth="1"/>
    <col min="1800" max="1800" width="9.77734375" style="2323" customWidth="1"/>
    <col min="1801" max="1801" width="8.88671875" style="2323" customWidth="1"/>
    <col min="1802" max="1802" width="9.21875" style="2323" customWidth="1"/>
    <col min="1803" max="1803" width="12.6640625" style="2323" customWidth="1"/>
    <col min="1804" max="1805" width="7.44140625" style="2323"/>
    <col min="1806" max="1806" width="28.88671875" style="2323" bestFit="1" customWidth="1"/>
    <col min="1807" max="1807" width="4.44140625" style="2323" bestFit="1" customWidth="1"/>
    <col min="1808" max="1808" width="6.5546875" style="2323" customWidth="1"/>
    <col min="1809" max="2051" width="7.44140625" style="2323"/>
    <col min="2052" max="2052" width="4.6640625" style="2323" customWidth="1"/>
    <col min="2053" max="2053" width="45.88671875" style="2323" bestFit="1" customWidth="1"/>
    <col min="2054" max="2054" width="6.109375" style="2323" customWidth="1"/>
    <col min="2055" max="2055" width="10.21875" style="2323" customWidth="1"/>
    <col min="2056" max="2056" width="9.77734375" style="2323" customWidth="1"/>
    <col min="2057" max="2057" width="8.88671875" style="2323" customWidth="1"/>
    <col min="2058" max="2058" width="9.21875" style="2323" customWidth="1"/>
    <col min="2059" max="2059" width="12.6640625" style="2323" customWidth="1"/>
    <col min="2060" max="2061" width="7.44140625" style="2323"/>
    <col min="2062" max="2062" width="28.88671875" style="2323" bestFit="1" customWidth="1"/>
    <col min="2063" max="2063" width="4.44140625" style="2323" bestFit="1" customWidth="1"/>
    <col min="2064" max="2064" width="6.5546875" style="2323" customWidth="1"/>
    <col min="2065" max="2307" width="7.44140625" style="2323"/>
    <col min="2308" max="2308" width="4.6640625" style="2323" customWidth="1"/>
    <col min="2309" max="2309" width="45.88671875" style="2323" bestFit="1" customWidth="1"/>
    <col min="2310" max="2310" width="6.109375" style="2323" customWidth="1"/>
    <col min="2311" max="2311" width="10.21875" style="2323" customWidth="1"/>
    <col min="2312" max="2312" width="9.77734375" style="2323" customWidth="1"/>
    <col min="2313" max="2313" width="8.88671875" style="2323" customWidth="1"/>
    <col min="2314" max="2314" width="9.21875" style="2323" customWidth="1"/>
    <col min="2315" max="2315" width="12.6640625" style="2323" customWidth="1"/>
    <col min="2316" max="2317" width="7.44140625" style="2323"/>
    <col min="2318" max="2318" width="28.88671875" style="2323" bestFit="1" customWidth="1"/>
    <col min="2319" max="2319" width="4.44140625" style="2323" bestFit="1" customWidth="1"/>
    <col min="2320" max="2320" width="6.5546875" style="2323" customWidth="1"/>
    <col min="2321" max="2563" width="7.44140625" style="2323"/>
    <col min="2564" max="2564" width="4.6640625" style="2323" customWidth="1"/>
    <col min="2565" max="2565" width="45.88671875" style="2323" bestFit="1" customWidth="1"/>
    <col min="2566" max="2566" width="6.109375" style="2323" customWidth="1"/>
    <col min="2567" max="2567" width="10.21875" style="2323" customWidth="1"/>
    <col min="2568" max="2568" width="9.77734375" style="2323" customWidth="1"/>
    <col min="2569" max="2569" width="8.88671875" style="2323" customWidth="1"/>
    <col min="2570" max="2570" width="9.21875" style="2323" customWidth="1"/>
    <col min="2571" max="2571" width="12.6640625" style="2323" customWidth="1"/>
    <col min="2572" max="2573" width="7.44140625" style="2323"/>
    <col min="2574" max="2574" width="28.88671875" style="2323" bestFit="1" customWidth="1"/>
    <col min="2575" max="2575" width="4.44140625" style="2323" bestFit="1" customWidth="1"/>
    <col min="2576" max="2576" width="6.5546875" style="2323" customWidth="1"/>
    <col min="2577" max="2819" width="7.44140625" style="2323"/>
    <col min="2820" max="2820" width="4.6640625" style="2323" customWidth="1"/>
    <col min="2821" max="2821" width="45.88671875" style="2323" bestFit="1" customWidth="1"/>
    <col min="2822" max="2822" width="6.109375" style="2323" customWidth="1"/>
    <col min="2823" max="2823" width="10.21875" style="2323" customWidth="1"/>
    <col min="2824" max="2824" width="9.77734375" style="2323" customWidth="1"/>
    <col min="2825" max="2825" width="8.88671875" style="2323" customWidth="1"/>
    <col min="2826" max="2826" width="9.21875" style="2323" customWidth="1"/>
    <col min="2827" max="2827" width="12.6640625" style="2323" customWidth="1"/>
    <col min="2828" max="2829" width="7.44140625" style="2323"/>
    <col min="2830" max="2830" width="28.88671875" style="2323" bestFit="1" customWidth="1"/>
    <col min="2831" max="2831" width="4.44140625" style="2323" bestFit="1" customWidth="1"/>
    <col min="2832" max="2832" width="6.5546875" style="2323" customWidth="1"/>
    <col min="2833" max="3075" width="7.44140625" style="2323"/>
    <col min="3076" max="3076" width="4.6640625" style="2323" customWidth="1"/>
    <col min="3077" max="3077" width="45.88671875" style="2323" bestFit="1" customWidth="1"/>
    <col min="3078" max="3078" width="6.109375" style="2323" customWidth="1"/>
    <col min="3079" max="3079" width="10.21875" style="2323" customWidth="1"/>
    <col min="3080" max="3080" width="9.77734375" style="2323" customWidth="1"/>
    <col min="3081" max="3081" width="8.88671875" style="2323" customWidth="1"/>
    <col min="3082" max="3082" width="9.21875" style="2323" customWidth="1"/>
    <col min="3083" max="3083" width="12.6640625" style="2323" customWidth="1"/>
    <col min="3084" max="3085" width="7.44140625" style="2323"/>
    <col min="3086" max="3086" width="28.88671875" style="2323" bestFit="1" customWidth="1"/>
    <col min="3087" max="3087" width="4.44140625" style="2323" bestFit="1" customWidth="1"/>
    <col min="3088" max="3088" width="6.5546875" style="2323" customWidth="1"/>
    <col min="3089" max="3331" width="7.44140625" style="2323"/>
    <col min="3332" max="3332" width="4.6640625" style="2323" customWidth="1"/>
    <col min="3333" max="3333" width="45.88671875" style="2323" bestFit="1" customWidth="1"/>
    <col min="3334" max="3334" width="6.109375" style="2323" customWidth="1"/>
    <col min="3335" max="3335" width="10.21875" style="2323" customWidth="1"/>
    <col min="3336" max="3336" width="9.77734375" style="2323" customWidth="1"/>
    <col min="3337" max="3337" width="8.88671875" style="2323" customWidth="1"/>
    <col min="3338" max="3338" width="9.21875" style="2323" customWidth="1"/>
    <col min="3339" max="3339" width="12.6640625" style="2323" customWidth="1"/>
    <col min="3340" max="3341" width="7.44140625" style="2323"/>
    <col min="3342" max="3342" width="28.88671875" style="2323" bestFit="1" customWidth="1"/>
    <col min="3343" max="3343" width="4.44140625" style="2323" bestFit="1" customWidth="1"/>
    <col min="3344" max="3344" width="6.5546875" style="2323" customWidth="1"/>
    <col min="3345" max="3587" width="7.44140625" style="2323"/>
    <col min="3588" max="3588" width="4.6640625" style="2323" customWidth="1"/>
    <col min="3589" max="3589" width="45.88671875" style="2323" bestFit="1" customWidth="1"/>
    <col min="3590" max="3590" width="6.109375" style="2323" customWidth="1"/>
    <col min="3591" max="3591" width="10.21875" style="2323" customWidth="1"/>
    <col min="3592" max="3592" width="9.77734375" style="2323" customWidth="1"/>
    <col min="3593" max="3593" width="8.88671875" style="2323" customWidth="1"/>
    <col min="3594" max="3594" width="9.21875" style="2323" customWidth="1"/>
    <col min="3595" max="3595" width="12.6640625" style="2323" customWidth="1"/>
    <col min="3596" max="3597" width="7.44140625" style="2323"/>
    <col min="3598" max="3598" width="28.88671875" style="2323" bestFit="1" customWidth="1"/>
    <col min="3599" max="3599" width="4.44140625" style="2323" bestFit="1" customWidth="1"/>
    <col min="3600" max="3600" width="6.5546875" style="2323" customWidth="1"/>
    <col min="3601" max="3843" width="7.44140625" style="2323"/>
    <col min="3844" max="3844" width="4.6640625" style="2323" customWidth="1"/>
    <col min="3845" max="3845" width="45.88671875" style="2323" bestFit="1" customWidth="1"/>
    <col min="3846" max="3846" width="6.109375" style="2323" customWidth="1"/>
    <col min="3847" max="3847" width="10.21875" style="2323" customWidth="1"/>
    <col min="3848" max="3848" width="9.77734375" style="2323" customWidth="1"/>
    <col min="3849" max="3849" width="8.88671875" style="2323" customWidth="1"/>
    <col min="3850" max="3850" width="9.21875" style="2323" customWidth="1"/>
    <col min="3851" max="3851" width="12.6640625" style="2323" customWidth="1"/>
    <col min="3852" max="3853" width="7.44140625" style="2323"/>
    <col min="3854" max="3854" width="28.88671875" style="2323" bestFit="1" customWidth="1"/>
    <col min="3855" max="3855" width="4.44140625" style="2323" bestFit="1" customWidth="1"/>
    <col min="3856" max="3856" width="6.5546875" style="2323" customWidth="1"/>
    <col min="3857" max="4099" width="7.44140625" style="2323"/>
    <col min="4100" max="4100" width="4.6640625" style="2323" customWidth="1"/>
    <col min="4101" max="4101" width="45.88671875" style="2323" bestFit="1" customWidth="1"/>
    <col min="4102" max="4102" width="6.109375" style="2323" customWidth="1"/>
    <col min="4103" max="4103" width="10.21875" style="2323" customWidth="1"/>
    <col min="4104" max="4104" width="9.77734375" style="2323" customWidth="1"/>
    <col min="4105" max="4105" width="8.88671875" style="2323" customWidth="1"/>
    <col min="4106" max="4106" width="9.21875" style="2323" customWidth="1"/>
    <col min="4107" max="4107" width="12.6640625" style="2323" customWidth="1"/>
    <col min="4108" max="4109" width="7.44140625" style="2323"/>
    <col min="4110" max="4110" width="28.88671875" style="2323" bestFit="1" customWidth="1"/>
    <col min="4111" max="4111" width="4.44140625" style="2323" bestFit="1" customWidth="1"/>
    <col min="4112" max="4112" width="6.5546875" style="2323" customWidth="1"/>
    <col min="4113" max="4355" width="7.44140625" style="2323"/>
    <col min="4356" max="4356" width="4.6640625" style="2323" customWidth="1"/>
    <col min="4357" max="4357" width="45.88671875" style="2323" bestFit="1" customWidth="1"/>
    <col min="4358" max="4358" width="6.109375" style="2323" customWidth="1"/>
    <col min="4359" max="4359" width="10.21875" style="2323" customWidth="1"/>
    <col min="4360" max="4360" width="9.77734375" style="2323" customWidth="1"/>
    <col min="4361" max="4361" width="8.88671875" style="2323" customWidth="1"/>
    <col min="4362" max="4362" width="9.21875" style="2323" customWidth="1"/>
    <col min="4363" max="4363" width="12.6640625" style="2323" customWidth="1"/>
    <col min="4364" max="4365" width="7.44140625" style="2323"/>
    <col min="4366" max="4366" width="28.88671875" style="2323" bestFit="1" customWidth="1"/>
    <col min="4367" max="4367" width="4.44140625" style="2323" bestFit="1" customWidth="1"/>
    <col min="4368" max="4368" width="6.5546875" style="2323" customWidth="1"/>
    <col min="4369" max="4611" width="7.44140625" style="2323"/>
    <col min="4612" max="4612" width="4.6640625" style="2323" customWidth="1"/>
    <col min="4613" max="4613" width="45.88671875" style="2323" bestFit="1" customWidth="1"/>
    <col min="4614" max="4614" width="6.109375" style="2323" customWidth="1"/>
    <col min="4615" max="4615" width="10.21875" style="2323" customWidth="1"/>
    <col min="4616" max="4616" width="9.77734375" style="2323" customWidth="1"/>
    <col min="4617" max="4617" width="8.88671875" style="2323" customWidth="1"/>
    <col min="4618" max="4618" width="9.21875" style="2323" customWidth="1"/>
    <col min="4619" max="4619" width="12.6640625" style="2323" customWidth="1"/>
    <col min="4620" max="4621" width="7.44140625" style="2323"/>
    <col min="4622" max="4622" width="28.88671875" style="2323" bestFit="1" customWidth="1"/>
    <col min="4623" max="4623" width="4.44140625" style="2323" bestFit="1" customWidth="1"/>
    <col min="4624" max="4624" width="6.5546875" style="2323" customWidth="1"/>
    <col min="4625" max="4867" width="7.44140625" style="2323"/>
    <col min="4868" max="4868" width="4.6640625" style="2323" customWidth="1"/>
    <col min="4869" max="4869" width="45.88671875" style="2323" bestFit="1" customWidth="1"/>
    <col min="4870" max="4870" width="6.109375" style="2323" customWidth="1"/>
    <col min="4871" max="4871" width="10.21875" style="2323" customWidth="1"/>
    <col min="4872" max="4872" width="9.77734375" style="2323" customWidth="1"/>
    <col min="4873" max="4873" width="8.88671875" style="2323" customWidth="1"/>
    <col min="4874" max="4874" width="9.21875" style="2323" customWidth="1"/>
    <col min="4875" max="4875" width="12.6640625" style="2323" customWidth="1"/>
    <col min="4876" max="4877" width="7.44140625" style="2323"/>
    <col min="4878" max="4878" width="28.88671875" style="2323" bestFit="1" customWidth="1"/>
    <col min="4879" max="4879" width="4.44140625" style="2323" bestFit="1" customWidth="1"/>
    <col min="4880" max="4880" width="6.5546875" style="2323" customWidth="1"/>
    <col min="4881" max="5123" width="7.44140625" style="2323"/>
    <col min="5124" max="5124" width="4.6640625" style="2323" customWidth="1"/>
    <col min="5125" max="5125" width="45.88671875" style="2323" bestFit="1" customWidth="1"/>
    <col min="5126" max="5126" width="6.109375" style="2323" customWidth="1"/>
    <col min="5127" max="5127" width="10.21875" style="2323" customWidth="1"/>
    <col min="5128" max="5128" width="9.77734375" style="2323" customWidth="1"/>
    <col min="5129" max="5129" width="8.88671875" style="2323" customWidth="1"/>
    <col min="5130" max="5130" width="9.21875" style="2323" customWidth="1"/>
    <col min="5131" max="5131" width="12.6640625" style="2323" customWidth="1"/>
    <col min="5132" max="5133" width="7.44140625" style="2323"/>
    <col min="5134" max="5134" width="28.88671875" style="2323" bestFit="1" customWidth="1"/>
    <col min="5135" max="5135" width="4.44140625" style="2323" bestFit="1" customWidth="1"/>
    <col min="5136" max="5136" width="6.5546875" style="2323" customWidth="1"/>
    <col min="5137" max="5379" width="7.44140625" style="2323"/>
    <col min="5380" max="5380" width="4.6640625" style="2323" customWidth="1"/>
    <col min="5381" max="5381" width="45.88671875" style="2323" bestFit="1" customWidth="1"/>
    <col min="5382" max="5382" width="6.109375" style="2323" customWidth="1"/>
    <col min="5383" max="5383" width="10.21875" style="2323" customWidth="1"/>
    <col min="5384" max="5384" width="9.77734375" style="2323" customWidth="1"/>
    <col min="5385" max="5385" width="8.88671875" style="2323" customWidth="1"/>
    <col min="5386" max="5386" width="9.21875" style="2323" customWidth="1"/>
    <col min="5387" max="5387" width="12.6640625" style="2323" customWidth="1"/>
    <col min="5388" max="5389" width="7.44140625" style="2323"/>
    <col min="5390" max="5390" width="28.88671875" style="2323" bestFit="1" customWidth="1"/>
    <col min="5391" max="5391" width="4.44140625" style="2323" bestFit="1" customWidth="1"/>
    <col min="5392" max="5392" width="6.5546875" style="2323" customWidth="1"/>
    <col min="5393" max="5635" width="7.44140625" style="2323"/>
    <col min="5636" max="5636" width="4.6640625" style="2323" customWidth="1"/>
    <col min="5637" max="5637" width="45.88671875" style="2323" bestFit="1" customWidth="1"/>
    <col min="5638" max="5638" width="6.109375" style="2323" customWidth="1"/>
    <col min="5639" max="5639" width="10.21875" style="2323" customWidth="1"/>
    <col min="5640" max="5640" width="9.77734375" style="2323" customWidth="1"/>
    <col min="5641" max="5641" width="8.88671875" style="2323" customWidth="1"/>
    <col min="5642" max="5642" width="9.21875" style="2323" customWidth="1"/>
    <col min="5643" max="5643" width="12.6640625" style="2323" customWidth="1"/>
    <col min="5644" max="5645" width="7.44140625" style="2323"/>
    <col min="5646" max="5646" width="28.88671875" style="2323" bestFit="1" customWidth="1"/>
    <col min="5647" max="5647" width="4.44140625" style="2323" bestFit="1" customWidth="1"/>
    <col min="5648" max="5648" width="6.5546875" style="2323" customWidth="1"/>
    <col min="5649" max="5891" width="7.44140625" style="2323"/>
    <col min="5892" max="5892" width="4.6640625" style="2323" customWidth="1"/>
    <col min="5893" max="5893" width="45.88671875" style="2323" bestFit="1" customWidth="1"/>
    <col min="5894" max="5894" width="6.109375" style="2323" customWidth="1"/>
    <col min="5895" max="5895" width="10.21875" style="2323" customWidth="1"/>
    <col min="5896" max="5896" width="9.77734375" style="2323" customWidth="1"/>
    <col min="5897" max="5897" width="8.88671875" style="2323" customWidth="1"/>
    <col min="5898" max="5898" width="9.21875" style="2323" customWidth="1"/>
    <col min="5899" max="5899" width="12.6640625" style="2323" customWidth="1"/>
    <col min="5900" max="5901" width="7.44140625" style="2323"/>
    <col min="5902" max="5902" width="28.88671875" style="2323" bestFit="1" customWidth="1"/>
    <col min="5903" max="5903" width="4.44140625" style="2323" bestFit="1" customWidth="1"/>
    <col min="5904" max="5904" width="6.5546875" style="2323" customWidth="1"/>
    <col min="5905" max="6147" width="7.44140625" style="2323"/>
    <col min="6148" max="6148" width="4.6640625" style="2323" customWidth="1"/>
    <col min="6149" max="6149" width="45.88671875" style="2323" bestFit="1" customWidth="1"/>
    <col min="6150" max="6150" width="6.109375" style="2323" customWidth="1"/>
    <col min="6151" max="6151" width="10.21875" style="2323" customWidth="1"/>
    <col min="6152" max="6152" width="9.77734375" style="2323" customWidth="1"/>
    <col min="6153" max="6153" width="8.88671875" style="2323" customWidth="1"/>
    <col min="6154" max="6154" width="9.21875" style="2323" customWidth="1"/>
    <col min="6155" max="6155" width="12.6640625" style="2323" customWidth="1"/>
    <col min="6156" max="6157" width="7.44140625" style="2323"/>
    <col min="6158" max="6158" width="28.88671875" style="2323" bestFit="1" customWidth="1"/>
    <col min="6159" max="6159" width="4.44140625" style="2323" bestFit="1" customWidth="1"/>
    <col min="6160" max="6160" width="6.5546875" style="2323" customWidth="1"/>
    <col min="6161" max="6403" width="7.44140625" style="2323"/>
    <col min="6404" max="6404" width="4.6640625" style="2323" customWidth="1"/>
    <col min="6405" max="6405" width="45.88671875" style="2323" bestFit="1" customWidth="1"/>
    <col min="6406" max="6406" width="6.109375" style="2323" customWidth="1"/>
    <col min="6407" max="6407" width="10.21875" style="2323" customWidth="1"/>
    <col min="6408" max="6408" width="9.77734375" style="2323" customWidth="1"/>
    <col min="6409" max="6409" width="8.88671875" style="2323" customWidth="1"/>
    <col min="6410" max="6410" width="9.21875" style="2323" customWidth="1"/>
    <col min="6411" max="6411" width="12.6640625" style="2323" customWidth="1"/>
    <col min="6412" max="6413" width="7.44140625" style="2323"/>
    <col min="6414" max="6414" width="28.88671875" style="2323" bestFit="1" customWidth="1"/>
    <col min="6415" max="6415" width="4.44140625" style="2323" bestFit="1" customWidth="1"/>
    <col min="6416" max="6416" width="6.5546875" style="2323" customWidth="1"/>
    <col min="6417" max="6659" width="7.44140625" style="2323"/>
    <col min="6660" max="6660" width="4.6640625" style="2323" customWidth="1"/>
    <col min="6661" max="6661" width="45.88671875" style="2323" bestFit="1" customWidth="1"/>
    <col min="6662" max="6662" width="6.109375" style="2323" customWidth="1"/>
    <col min="6663" max="6663" width="10.21875" style="2323" customWidth="1"/>
    <col min="6664" max="6664" width="9.77734375" style="2323" customWidth="1"/>
    <col min="6665" max="6665" width="8.88671875" style="2323" customWidth="1"/>
    <col min="6666" max="6666" width="9.21875" style="2323" customWidth="1"/>
    <col min="6667" max="6667" width="12.6640625" style="2323" customWidth="1"/>
    <col min="6668" max="6669" width="7.44140625" style="2323"/>
    <col min="6670" max="6670" width="28.88671875" style="2323" bestFit="1" customWidth="1"/>
    <col min="6671" max="6671" width="4.44140625" style="2323" bestFit="1" customWidth="1"/>
    <col min="6672" max="6672" width="6.5546875" style="2323" customWidth="1"/>
    <col min="6673" max="6915" width="7.44140625" style="2323"/>
    <col min="6916" max="6916" width="4.6640625" style="2323" customWidth="1"/>
    <col min="6917" max="6917" width="45.88671875" style="2323" bestFit="1" customWidth="1"/>
    <col min="6918" max="6918" width="6.109375" style="2323" customWidth="1"/>
    <col min="6919" max="6919" width="10.21875" style="2323" customWidth="1"/>
    <col min="6920" max="6920" width="9.77734375" style="2323" customWidth="1"/>
    <col min="6921" max="6921" width="8.88671875" style="2323" customWidth="1"/>
    <col min="6922" max="6922" width="9.21875" style="2323" customWidth="1"/>
    <col min="6923" max="6923" width="12.6640625" style="2323" customWidth="1"/>
    <col min="6924" max="6925" width="7.44140625" style="2323"/>
    <col min="6926" max="6926" width="28.88671875" style="2323" bestFit="1" customWidth="1"/>
    <col min="6927" max="6927" width="4.44140625" style="2323" bestFit="1" customWidth="1"/>
    <col min="6928" max="6928" width="6.5546875" style="2323" customWidth="1"/>
    <col min="6929" max="7171" width="7.44140625" style="2323"/>
    <col min="7172" max="7172" width="4.6640625" style="2323" customWidth="1"/>
    <col min="7173" max="7173" width="45.88671875" style="2323" bestFit="1" customWidth="1"/>
    <col min="7174" max="7174" width="6.109375" style="2323" customWidth="1"/>
    <col min="7175" max="7175" width="10.21875" style="2323" customWidth="1"/>
    <col min="7176" max="7176" width="9.77734375" style="2323" customWidth="1"/>
    <col min="7177" max="7177" width="8.88671875" style="2323" customWidth="1"/>
    <col min="7178" max="7178" width="9.21875" style="2323" customWidth="1"/>
    <col min="7179" max="7179" width="12.6640625" style="2323" customWidth="1"/>
    <col min="7180" max="7181" width="7.44140625" style="2323"/>
    <col min="7182" max="7182" width="28.88671875" style="2323" bestFit="1" customWidth="1"/>
    <col min="7183" max="7183" width="4.44140625" style="2323" bestFit="1" customWidth="1"/>
    <col min="7184" max="7184" width="6.5546875" style="2323" customWidth="1"/>
    <col min="7185" max="7427" width="7.44140625" style="2323"/>
    <col min="7428" max="7428" width="4.6640625" style="2323" customWidth="1"/>
    <col min="7429" max="7429" width="45.88671875" style="2323" bestFit="1" customWidth="1"/>
    <col min="7430" max="7430" width="6.109375" style="2323" customWidth="1"/>
    <col min="7431" max="7431" width="10.21875" style="2323" customWidth="1"/>
    <col min="7432" max="7432" width="9.77734375" style="2323" customWidth="1"/>
    <col min="7433" max="7433" width="8.88671875" style="2323" customWidth="1"/>
    <col min="7434" max="7434" width="9.21875" style="2323" customWidth="1"/>
    <col min="7435" max="7435" width="12.6640625" style="2323" customWidth="1"/>
    <col min="7436" max="7437" width="7.44140625" style="2323"/>
    <col min="7438" max="7438" width="28.88671875" style="2323" bestFit="1" customWidth="1"/>
    <col min="7439" max="7439" width="4.44140625" style="2323" bestFit="1" customWidth="1"/>
    <col min="7440" max="7440" width="6.5546875" style="2323" customWidth="1"/>
    <col min="7441" max="7683" width="7.44140625" style="2323"/>
    <col min="7684" max="7684" width="4.6640625" style="2323" customWidth="1"/>
    <col min="7685" max="7685" width="45.88671875" style="2323" bestFit="1" customWidth="1"/>
    <col min="7686" max="7686" width="6.109375" style="2323" customWidth="1"/>
    <col min="7687" max="7687" width="10.21875" style="2323" customWidth="1"/>
    <col min="7688" max="7688" width="9.77734375" style="2323" customWidth="1"/>
    <col min="7689" max="7689" width="8.88671875" style="2323" customWidth="1"/>
    <col min="7690" max="7690" width="9.21875" style="2323" customWidth="1"/>
    <col min="7691" max="7691" width="12.6640625" style="2323" customWidth="1"/>
    <col min="7692" max="7693" width="7.44140625" style="2323"/>
    <col min="7694" max="7694" width="28.88671875" style="2323" bestFit="1" customWidth="1"/>
    <col min="7695" max="7695" width="4.44140625" style="2323" bestFit="1" customWidth="1"/>
    <col min="7696" max="7696" width="6.5546875" style="2323" customWidth="1"/>
    <col min="7697" max="7939" width="7.44140625" style="2323"/>
    <col min="7940" max="7940" width="4.6640625" style="2323" customWidth="1"/>
    <col min="7941" max="7941" width="45.88671875" style="2323" bestFit="1" customWidth="1"/>
    <col min="7942" max="7942" width="6.109375" style="2323" customWidth="1"/>
    <col min="7943" max="7943" width="10.21875" style="2323" customWidth="1"/>
    <col min="7944" max="7944" width="9.77734375" style="2323" customWidth="1"/>
    <col min="7945" max="7945" width="8.88671875" style="2323" customWidth="1"/>
    <col min="7946" max="7946" width="9.21875" style="2323" customWidth="1"/>
    <col min="7947" max="7947" width="12.6640625" style="2323" customWidth="1"/>
    <col min="7948" max="7949" width="7.44140625" style="2323"/>
    <col min="7950" max="7950" width="28.88671875" style="2323" bestFit="1" customWidth="1"/>
    <col min="7951" max="7951" width="4.44140625" style="2323" bestFit="1" customWidth="1"/>
    <col min="7952" max="7952" width="6.5546875" style="2323" customWidth="1"/>
    <col min="7953" max="8195" width="7.44140625" style="2323"/>
    <col min="8196" max="8196" width="4.6640625" style="2323" customWidth="1"/>
    <col min="8197" max="8197" width="45.88671875" style="2323" bestFit="1" customWidth="1"/>
    <col min="8198" max="8198" width="6.109375" style="2323" customWidth="1"/>
    <col min="8199" max="8199" width="10.21875" style="2323" customWidth="1"/>
    <col min="8200" max="8200" width="9.77734375" style="2323" customWidth="1"/>
    <col min="8201" max="8201" width="8.88671875" style="2323" customWidth="1"/>
    <col min="8202" max="8202" width="9.21875" style="2323" customWidth="1"/>
    <col min="8203" max="8203" width="12.6640625" style="2323" customWidth="1"/>
    <col min="8204" max="8205" width="7.44140625" style="2323"/>
    <col min="8206" max="8206" width="28.88671875" style="2323" bestFit="1" customWidth="1"/>
    <col min="8207" max="8207" width="4.44140625" style="2323" bestFit="1" customWidth="1"/>
    <col min="8208" max="8208" width="6.5546875" style="2323" customWidth="1"/>
    <col min="8209" max="8451" width="7.44140625" style="2323"/>
    <col min="8452" max="8452" width="4.6640625" style="2323" customWidth="1"/>
    <col min="8453" max="8453" width="45.88671875" style="2323" bestFit="1" customWidth="1"/>
    <col min="8454" max="8454" width="6.109375" style="2323" customWidth="1"/>
    <col min="8455" max="8455" width="10.21875" style="2323" customWidth="1"/>
    <col min="8456" max="8456" width="9.77734375" style="2323" customWidth="1"/>
    <col min="8457" max="8457" width="8.88671875" style="2323" customWidth="1"/>
    <col min="8458" max="8458" width="9.21875" style="2323" customWidth="1"/>
    <col min="8459" max="8459" width="12.6640625" style="2323" customWidth="1"/>
    <col min="8460" max="8461" width="7.44140625" style="2323"/>
    <col min="8462" max="8462" width="28.88671875" style="2323" bestFit="1" customWidth="1"/>
    <col min="8463" max="8463" width="4.44140625" style="2323" bestFit="1" customWidth="1"/>
    <col min="8464" max="8464" width="6.5546875" style="2323" customWidth="1"/>
    <col min="8465" max="8707" width="7.44140625" style="2323"/>
    <col min="8708" max="8708" width="4.6640625" style="2323" customWidth="1"/>
    <col min="8709" max="8709" width="45.88671875" style="2323" bestFit="1" customWidth="1"/>
    <col min="8710" max="8710" width="6.109375" style="2323" customWidth="1"/>
    <col min="8711" max="8711" width="10.21875" style="2323" customWidth="1"/>
    <col min="8712" max="8712" width="9.77734375" style="2323" customWidth="1"/>
    <col min="8713" max="8713" width="8.88671875" style="2323" customWidth="1"/>
    <col min="8714" max="8714" width="9.21875" style="2323" customWidth="1"/>
    <col min="8715" max="8715" width="12.6640625" style="2323" customWidth="1"/>
    <col min="8716" max="8717" width="7.44140625" style="2323"/>
    <col min="8718" max="8718" width="28.88671875" style="2323" bestFit="1" customWidth="1"/>
    <col min="8719" max="8719" width="4.44140625" style="2323" bestFit="1" customWidth="1"/>
    <col min="8720" max="8720" width="6.5546875" style="2323" customWidth="1"/>
    <col min="8721" max="8963" width="7.44140625" style="2323"/>
    <col min="8964" max="8964" width="4.6640625" style="2323" customWidth="1"/>
    <col min="8965" max="8965" width="45.88671875" style="2323" bestFit="1" customWidth="1"/>
    <col min="8966" max="8966" width="6.109375" style="2323" customWidth="1"/>
    <col min="8967" max="8967" width="10.21875" style="2323" customWidth="1"/>
    <col min="8968" max="8968" width="9.77734375" style="2323" customWidth="1"/>
    <col min="8969" max="8969" width="8.88671875" style="2323" customWidth="1"/>
    <col min="8970" max="8970" width="9.21875" style="2323" customWidth="1"/>
    <col min="8971" max="8971" width="12.6640625" style="2323" customWidth="1"/>
    <col min="8972" max="8973" width="7.44140625" style="2323"/>
    <col min="8974" max="8974" width="28.88671875" style="2323" bestFit="1" customWidth="1"/>
    <col min="8975" max="8975" width="4.44140625" style="2323" bestFit="1" customWidth="1"/>
    <col min="8976" max="8976" width="6.5546875" style="2323" customWidth="1"/>
    <col min="8977" max="9219" width="7.44140625" style="2323"/>
    <col min="9220" max="9220" width="4.6640625" style="2323" customWidth="1"/>
    <col min="9221" max="9221" width="45.88671875" style="2323" bestFit="1" customWidth="1"/>
    <col min="9222" max="9222" width="6.109375" style="2323" customWidth="1"/>
    <col min="9223" max="9223" width="10.21875" style="2323" customWidth="1"/>
    <col min="9224" max="9224" width="9.77734375" style="2323" customWidth="1"/>
    <col min="9225" max="9225" width="8.88671875" style="2323" customWidth="1"/>
    <col min="9226" max="9226" width="9.21875" style="2323" customWidth="1"/>
    <col min="9227" max="9227" width="12.6640625" style="2323" customWidth="1"/>
    <col min="9228" max="9229" width="7.44140625" style="2323"/>
    <col min="9230" max="9230" width="28.88671875" style="2323" bestFit="1" customWidth="1"/>
    <col min="9231" max="9231" width="4.44140625" style="2323" bestFit="1" customWidth="1"/>
    <col min="9232" max="9232" width="6.5546875" style="2323" customWidth="1"/>
    <col min="9233" max="9475" width="7.44140625" style="2323"/>
    <col min="9476" max="9476" width="4.6640625" style="2323" customWidth="1"/>
    <col min="9477" max="9477" width="45.88671875" style="2323" bestFit="1" customWidth="1"/>
    <col min="9478" max="9478" width="6.109375" style="2323" customWidth="1"/>
    <col min="9479" max="9479" width="10.21875" style="2323" customWidth="1"/>
    <col min="9480" max="9480" width="9.77734375" style="2323" customWidth="1"/>
    <col min="9481" max="9481" width="8.88671875" style="2323" customWidth="1"/>
    <col min="9482" max="9482" width="9.21875" style="2323" customWidth="1"/>
    <col min="9483" max="9483" width="12.6640625" style="2323" customWidth="1"/>
    <col min="9484" max="9485" width="7.44140625" style="2323"/>
    <col min="9486" max="9486" width="28.88671875" style="2323" bestFit="1" customWidth="1"/>
    <col min="9487" max="9487" width="4.44140625" style="2323" bestFit="1" customWidth="1"/>
    <col min="9488" max="9488" width="6.5546875" style="2323" customWidth="1"/>
    <col min="9489" max="9731" width="7.44140625" style="2323"/>
    <col min="9732" max="9732" width="4.6640625" style="2323" customWidth="1"/>
    <col min="9733" max="9733" width="45.88671875" style="2323" bestFit="1" customWidth="1"/>
    <col min="9734" max="9734" width="6.109375" style="2323" customWidth="1"/>
    <col min="9735" max="9735" width="10.21875" style="2323" customWidth="1"/>
    <col min="9736" max="9736" width="9.77734375" style="2323" customWidth="1"/>
    <col min="9737" max="9737" width="8.88671875" style="2323" customWidth="1"/>
    <col min="9738" max="9738" width="9.21875" style="2323" customWidth="1"/>
    <col min="9739" max="9739" width="12.6640625" style="2323" customWidth="1"/>
    <col min="9740" max="9741" width="7.44140625" style="2323"/>
    <col min="9742" max="9742" width="28.88671875" style="2323" bestFit="1" customWidth="1"/>
    <col min="9743" max="9743" width="4.44140625" style="2323" bestFit="1" customWidth="1"/>
    <col min="9744" max="9744" width="6.5546875" style="2323" customWidth="1"/>
    <col min="9745" max="9987" width="7.44140625" style="2323"/>
    <col min="9988" max="9988" width="4.6640625" style="2323" customWidth="1"/>
    <col min="9989" max="9989" width="45.88671875" style="2323" bestFit="1" customWidth="1"/>
    <col min="9990" max="9990" width="6.109375" style="2323" customWidth="1"/>
    <col min="9991" max="9991" width="10.21875" style="2323" customWidth="1"/>
    <col min="9992" max="9992" width="9.77734375" style="2323" customWidth="1"/>
    <col min="9993" max="9993" width="8.88671875" style="2323" customWidth="1"/>
    <col min="9994" max="9994" width="9.21875" style="2323" customWidth="1"/>
    <col min="9995" max="9995" width="12.6640625" style="2323" customWidth="1"/>
    <col min="9996" max="9997" width="7.44140625" style="2323"/>
    <col min="9998" max="9998" width="28.88671875" style="2323" bestFit="1" customWidth="1"/>
    <col min="9999" max="9999" width="4.44140625" style="2323" bestFit="1" customWidth="1"/>
    <col min="10000" max="10000" width="6.5546875" style="2323" customWidth="1"/>
    <col min="10001" max="10243" width="7.44140625" style="2323"/>
    <col min="10244" max="10244" width="4.6640625" style="2323" customWidth="1"/>
    <col min="10245" max="10245" width="45.88671875" style="2323" bestFit="1" customWidth="1"/>
    <col min="10246" max="10246" width="6.109375" style="2323" customWidth="1"/>
    <col min="10247" max="10247" width="10.21875" style="2323" customWidth="1"/>
    <col min="10248" max="10248" width="9.77734375" style="2323" customWidth="1"/>
    <col min="10249" max="10249" width="8.88671875" style="2323" customWidth="1"/>
    <col min="10250" max="10250" width="9.21875" style="2323" customWidth="1"/>
    <col min="10251" max="10251" width="12.6640625" style="2323" customWidth="1"/>
    <col min="10252" max="10253" width="7.44140625" style="2323"/>
    <col min="10254" max="10254" width="28.88671875" style="2323" bestFit="1" customWidth="1"/>
    <col min="10255" max="10255" width="4.44140625" style="2323" bestFit="1" customWidth="1"/>
    <col min="10256" max="10256" width="6.5546875" style="2323" customWidth="1"/>
    <col min="10257" max="10499" width="7.44140625" style="2323"/>
    <col min="10500" max="10500" width="4.6640625" style="2323" customWidth="1"/>
    <col min="10501" max="10501" width="45.88671875" style="2323" bestFit="1" customWidth="1"/>
    <col min="10502" max="10502" width="6.109375" style="2323" customWidth="1"/>
    <col min="10503" max="10503" width="10.21875" style="2323" customWidth="1"/>
    <col min="10504" max="10504" width="9.77734375" style="2323" customWidth="1"/>
    <col min="10505" max="10505" width="8.88671875" style="2323" customWidth="1"/>
    <col min="10506" max="10506" width="9.21875" style="2323" customWidth="1"/>
    <col min="10507" max="10507" width="12.6640625" style="2323" customWidth="1"/>
    <col min="10508" max="10509" width="7.44140625" style="2323"/>
    <col min="10510" max="10510" width="28.88671875" style="2323" bestFit="1" customWidth="1"/>
    <col min="10511" max="10511" width="4.44140625" style="2323" bestFit="1" customWidth="1"/>
    <col min="10512" max="10512" width="6.5546875" style="2323" customWidth="1"/>
    <col min="10513" max="10755" width="7.44140625" style="2323"/>
    <col min="10756" max="10756" width="4.6640625" style="2323" customWidth="1"/>
    <col min="10757" max="10757" width="45.88671875" style="2323" bestFit="1" customWidth="1"/>
    <col min="10758" max="10758" width="6.109375" style="2323" customWidth="1"/>
    <col min="10759" max="10759" width="10.21875" style="2323" customWidth="1"/>
    <col min="10760" max="10760" width="9.77734375" style="2323" customWidth="1"/>
    <col min="10761" max="10761" width="8.88671875" style="2323" customWidth="1"/>
    <col min="10762" max="10762" width="9.21875" style="2323" customWidth="1"/>
    <col min="10763" max="10763" width="12.6640625" style="2323" customWidth="1"/>
    <col min="10764" max="10765" width="7.44140625" style="2323"/>
    <col min="10766" max="10766" width="28.88671875" style="2323" bestFit="1" customWidth="1"/>
    <col min="10767" max="10767" width="4.44140625" style="2323" bestFit="1" customWidth="1"/>
    <col min="10768" max="10768" width="6.5546875" style="2323" customWidth="1"/>
    <col min="10769" max="11011" width="7.44140625" style="2323"/>
    <col min="11012" max="11012" width="4.6640625" style="2323" customWidth="1"/>
    <col min="11013" max="11013" width="45.88671875" style="2323" bestFit="1" customWidth="1"/>
    <col min="11014" max="11014" width="6.109375" style="2323" customWidth="1"/>
    <col min="11015" max="11015" width="10.21875" style="2323" customWidth="1"/>
    <col min="11016" max="11016" width="9.77734375" style="2323" customWidth="1"/>
    <col min="11017" max="11017" width="8.88671875" style="2323" customWidth="1"/>
    <col min="11018" max="11018" width="9.21875" style="2323" customWidth="1"/>
    <col min="11019" max="11019" width="12.6640625" style="2323" customWidth="1"/>
    <col min="11020" max="11021" width="7.44140625" style="2323"/>
    <col min="11022" max="11022" width="28.88671875" style="2323" bestFit="1" customWidth="1"/>
    <col min="11023" max="11023" width="4.44140625" style="2323" bestFit="1" customWidth="1"/>
    <col min="11024" max="11024" width="6.5546875" style="2323" customWidth="1"/>
    <col min="11025" max="11267" width="7.44140625" style="2323"/>
    <col min="11268" max="11268" width="4.6640625" style="2323" customWidth="1"/>
    <col min="11269" max="11269" width="45.88671875" style="2323" bestFit="1" customWidth="1"/>
    <col min="11270" max="11270" width="6.109375" style="2323" customWidth="1"/>
    <col min="11271" max="11271" width="10.21875" style="2323" customWidth="1"/>
    <col min="11272" max="11272" width="9.77734375" style="2323" customWidth="1"/>
    <col min="11273" max="11273" width="8.88671875" style="2323" customWidth="1"/>
    <col min="11274" max="11274" width="9.21875" style="2323" customWidth="1"/>
    <col min="11275" max="11275" width="12.6640625" style="2323" customWidth="1"/>
    <col min="11276" max="11277" width="7.44140625" style="2323"/>
    <col min="11278" max="11278" width="28.88671875" style="2323" bestFit="1" customWidth="1"/>
    <col min="11279" max="11279" width="4.44140625" style="2323" bestFit="1" customWidth="1"/>
    <col min="11280" max="11280" width="6.5546875" style="2323" customWidth="1"/>
    <col min="11281" max="11523" width="7.44140625" style="2323"/>
    <col min="11524" max="11524" width="4.6640625" style="2323" customWidth="1"/>
    <col min="11525" max="11525" width="45.88671875" style="2323" bestFit="1" customWidth="1"/>
    <col min="11526" max="11526" width="6.109375" style="2323" customWidth="1"/>
    <col min="11527" max="11527" width="10.21875" style="2323" customWidth="1"/>
    <col min="11528" max="11528" width="9.77734375" style="2323" customWidth="1"/>
    <col min="11529" max="11529" width="8.88671875" style="2323" customWidth="1"/>
    <col min="11530" max="11530" width="9.21875" style="2323" customWidth="1"/>
    <col min="11531" max="11531" width="12.6640625" style="2323" customWidth="1"/>
    <col min="11532" max="11533" width="7.44140625" style="2323"/>
    <col min="11534" max="11534" width="28.88671875" style="2323" bestFit="1" customWidth="1"/>
    <col min="11535" max="11535" width="4.44140625" style="2323" bestFit="1" customWidth="1"/>
    <col min="11536" max="11536" width="6.5546875" style="2323" customWidth="1"/>
    <col min="11537" max="11779" width="7.44140625" style="2323"/>
    <col min="11780" max="11780" width="4.6640625" style="2323" customWidth="1"/>
    <col min="11781" max="11781" width="45.88671875" style="2323" bestFit="1" customWidth="1"/>
    <col min="11782" max="11782" width="6.109375" style="2323" customWidth="1"/>
    <col min="11783" max="11783" width="10.21875" style="2323" customWidth="1"/>
    <col min="11784" max="11784" width="9.77734375" style="2323" customWidth="1"/>
    <col min="11785" max="11785" width="8.88671875" style="2323" customWidth="1"/>
    <col min="11786" max="11786" width="9.21875" style="2323" customWidth="1"/>
    <col min="11787" max="11787" width="12.6640625" style="2323" customWidth="1"/>
    <col min="11788" max="11789" width="7.44140625" style="2323"/>
    <col min="11790" max="11790" width="28.88671875" style="2323" bestFit="1" customWidth="1"/>
    <col min="11791" max="11791" width="4.44140625" style="2323" bestFit="1" customWidth="1"/>
    <col min="11792" max="11792" width="6.5546875" style="2323" customWidth="1"/>
    <col min="11793" max="12035" width="7.44140625" style="2323"/>
    <col min="12036" max="12036" width="4.6640625" style="2323" customWidth="1"/>
    <col min="12037" max="12037" width="45.88671875" style="2323" bestFit="1" customWidth="1"/>
    <col min="12038" max="12038" width="6.109375" style="2323" customWidth="1"/>
    <col min="12039" max="12039" width="10.21875" style="2323" customWidth="1"/>
    <col min="12040" max="12040" width="9.77734375" style="2323" customWidth="1"/>
    <col min="12041" max="12041" width="8.88671875" style="2323" customWidth="1"/>
    <col min="12042" max="12042" width="9.21875" style="2323" customWidth="1"/>
    <col min="12043" max="12043" width="12.6640625" style="2323" customWidth="1"/>
    <col min="12044" max="12045" width="7.44140625" style="2323"/>
    <col min="12046" max="12046" width="28.88671875" style="2323" bestFit="1" customWidth="1"/>
    <col min="12047" max="12047" width="4.44140625" style="2323" bestFit="1" customWidth="1"/>
    <col min="12048" max="12048" width="6.5546875" style="2323" customWidth="1"/>
    <col min="12049" max="12291" width="7.44140625" style="2323"/>
    <col min="12292" max="12292" width="4.6640625" style="2323" customWidth="1"/>
    <col min="12293" max="12293" width="45.88671875" style="2323" bestFit="1" customWidth="1"/>
    <col min="12294" max="12294" width="6.109375" style="2323" customWidth="1"/>
    <col min="12295" max="12295" width="10.21875" style="2323" customWidth="1"/>
    <col min="12296" max="12296" width="9.77734375" style="2323" customWidth="1"/>
    <col min="12297" max="12297" width="8.88671875" style="2323" customWidth="1"/>
    <col min="12298" max="12298" width="9.21875" style="2323" customWidth="1"/>
    <col min="12299" max="12299" width="12.6640625" style="2323" customWidth="1"/>
    <col min="12300" max="12301" width="7.44140625" style="2323"/>
    <col min="12302" max="12302" width="28.88671875" style="2323" bestFit="1" customWidth="1"/>
    <col min="12303" max="12303" width="4.44140625" style="2323" bestFit="1" customWidth="1"/>
    <col min="12304" max="12304" width="6.5546875" style="2323" customWidth="1"/>
    <col min="12305" max="12547" width="7.44140625" style="2323"/>
    <col min="12548" max="12548" width="4.6640625" style="2323" customWidth="1"/>
    <col min="12549" max="12549" width="45.88671875" style="2323" bestFit="1" customWidth="1"/>
    <col min="12550" max="12550" width="6.109375" style="2323" customWidth="1"/>
    <col min="12551" max="12551" width="10.21875" style="2323" customWidth="1"/>
    <col min="12552" max="12552" width="9.77734375" style="2323" customWidth="1"/>
    <col min="12553" max="12553" width="8.88671875" style="2323" customWidth="1"/>
    <col min="12554" max="12554" width="9.21875" style="2323" customWidth="1"/>
    <col min="12555" max="12555" width="12.6640625" style="2323" customWidth="1"/>
    <col min="12556" max="12557" width="7.44140625" style="2323"/>
    <col min="12558" max="12558" width="28.88671875" style="2323" bestFit="1" customWidth="1"/>
    <col min="12559" max="12559" width="4.44140625" style="2323" bestFit="1" customWidth="1"/>
    <col min="12560" max="12560" width="6.5546875" style="2323" customWidth="1"/>
    <col min="12561" max="12803" width="7.44140625" style="2323"/>
    <col min="12804" max="12804" width="4.6640625" style="2323" customWidth="1"/>
    <col min="12805" max="12805" width="45.88671875" style="2323" bestFit="1" customWidth="1"/>
    <col min="12806" max="12806" width="6.109375" style="2323" customWidth="1"/>
    <col min="12807" max="12807" width="10.21875" style="2323" customWidth="1"/>
    <col min="12808" max="12808" width="9.77734375" style="2323" customWidth="1"/>
    <col min="12809" max="12809" width="8.88671875" style="2323" customWidth="1"/>
    <col min="12810" max="12810" width="9.21875" style="2323" customWidth="1"/>
    <col min="12811" max="12811" width="12.6640625" style="2323" customWidth="1"/>
    <col min="12812" max="12813" width="7.44140625" style="2323"/>
    <col min="12814" max="12814" width="28.88671875" style="2323" bestFit="1" customWidth="1"/>
    <col min="12815" max="12815" width="4.44140625" style="2323" bestFit="1" customWidth="1"/>
    <col min="12816" max="12816" width="6.5546875" style="2323" customWidth="1"/>
    <col min="12817" max="13059" width="7.44140625" style="2323"/>
    <col min="13060" max="13060" width="4.6640625" style="2323" customWidth="1"/>
    <col min="13061" max="13061" width="45.88671875" style="2323" bestFit="1" customWidth="1"/>
    <col min="13062" max="13062" width="6.109375" style="2323" customWidth="1"/>
    <col min="13063" max="13063" width="10.21875" style="2323" customWidth="1"/>
    <col min="13064" max="13064" width="9.77734375" style="2323" customWidth="1"/>
    <col min="13065" max="13065" width="8.88671875" style="2323" customWidth="1"/>
    <col min="13066" max="13066" width="9.21875" style="2323" customWidth="1"/>
    <col min="13067" max="13067" width="12.6640625" style="2323" customWidth="1"/>
    <col min="13068" max="13069" width="7.44140625" style="2323"/>
    <col min="13070" max="13070" width="28.88671875" style="2323" bestFit="1" customWidth="1"/>
    <col min="13071" max="13071" width="4.44140625" style="2323" bestFit="1" customWidth="1"/>
    <col min="13072" max="13072" width="6.5546875" style="2323" customWidth="1"/>
    <col min="13073" max="13315" width="7.44140625" style="2323"/>
    <col min="13316" max="13316" width="4.6640625" style="2323" customWidth="1"/>
    <col min="13317" max="13317" width="45.88671875" style="2323" bestFit="1" customWidth="1"/>
    <col min="13318" max="13318" width="6.109375" style="2323" customWidth="1"/>
    <col min="13319" max="13319" width="10.21875" style="2323" customWidth="1"/>
    <col min="13320" max="13320" width="9.77734375" style="2323" customWidth="1"/>
    <col min="13321" max="13321" width="8.88671875" style="2323" customWidth="1"/>
    <col min="13322" max="13322" width="9.21875" style="2323" customWidth="1"/>
    <col min="13323" max="13323" width="12.6640625" style="2323" customWidth="1"/>
    <col min="13324" max="13325" width="7.44140625" style="2323"/>
    <col min="13326" max="13326" width="28.88671875" style="2323" bestFit="1" customWidth="1"/>
    <col min="13327" max="13327" width="4.44140625" style="2323" bestFit="1" customWidth="1"/>
    <col min="13328" max="13328" width="6.5546875" style="2323" customWidth="1"/>
    <col min="13329" max="13571" width="7.44140625" style="2323"/>
    <col min="13572" max="13572" width="4.6640625" style="2323" customWidth="1"/>
    <col min="13573" max="13573" width="45.88671875" style="2323" bestFit="1" customWidth="1"/>
    <col min="13574" max="13574" width="6.109375" style="2323" customWidth="1"/>
    <col min="13575" max="13575" width="10.21875" style="2323" customWidth="1"/>
    <col min="13576" max="13576" width="9.77734375" style="2323" customWidth="1"/>
    <col min="13577" max="13577" width="8.88671875" style="2323" customWidth="1"/>
    <col min="13578" max="13578" width="9.21875" style="2323" customWidth="1"/>
    <col min="13579" max="13579" width="12.6640625" style="2323" customWidth="1"/>
    <col min="13580" max="13581" width="7.44140625" style="2323"/>
    <col min="13582" max="13582" width="28.88671875" style="2323" bestFit="1" customWidth="1"/>
    <col min="13583" max="13583" width="4.44140625" style="2323" bestFit="1" customWidth="1"/>
    <col min="13584" max="13584" width="6.5546875" style="2323" customWidth="1"/>
    <col min="13585" max="13827" width="7.44140625" style="2323"/>
    <col min="13828" max="13828" width="4.6640625" style="2323" customWidth="1"/>
    <col min="13829" max="13829" width="45.88671875" style="2323" bestFit="1" customWidth="1"/>
    <col min="13830" max="13830" width="6.109375" style="2323" customWidth="1"/>
    <col min="13831" max="13831" width="10.21875" style="2323" customWidth="1"/>
    <col min="13832" max="13832" width="9.77734375" style="2323" customWidth="1"/>
    <col min="13833" max="13833" width="8.88671875" style="2323" customWidth="1"/>
    <col min="13834" max="13834" width="9.21875" style="2323" customWidth="1"/>
    <col min="13835" max="13835" width="12.6640625" style="2323" customWidth="1"/>
    <col min="13836" max="13837" width="7.44140625" style="2323"/>
    <col min="13838" max="13838" width="28.88671875" style="2323" bestFit="1" customWidth="1"/>
    <col min="13839" max="13839" width="4.44140625" style="2323" bestFit="1" customWidth="1"/>
    <col min="13840" max="13840" width="6.5546875" style="2323" customWidth="1"/>
    <col min="13841" max="14083" width="7.44140625" style="2323"/>
    <col min="14084" max="14084" width="4.6640625" style="2323" customWidth="1"/>
    <col min="14085" max="14085" width="45.88671875" style="2323" bestFit="1" customWidth="1"/>
    <col min="14086" max="14086" width="6.109375" style="2323" customWidth="1"/>
    <col min="14087" max="14087" width="10.21875" style="2323" customWidth="1"/>
    <col min="14088" max="14088" width="9.77734375" style="2323" customWidth="1"/>
    <col min="14089" max="14089" width="8.88671875" style="2323" customWidth="1"/>
    <col min="14090" max="14090" width="9.21875" style="2323" customWidth="1"/>
    <col min="14091" max="14091" width="12.6640625" style="2323" customWidth="1"/>
    <col min="14092" max="14093" width="7.44140625" style="2323"/>
    <col min="14094" max="14094" width="28.88671875" style="2323" bestFit="1" customWidth="1"/>
    <col min="14095" max="14095" width="4.44140625" style="2323" bestFit="1" customWidth="1"/>
    <col min="14096" max="14096" width="6.5546875" style="2323" customWidth="1"/>
    <col min="14097" max="14339" width="7.44140625" style="2323"/>
    <col min="14340" max="14340" width="4.6640625" style="2323" customWidth="1"/>
    <col min="14341" max="14341" width="45.88671875" style="2323" bestFit="1" customWidth="1"/>
    <col min="14342" max="14342" width="6.109375" style="2323" customWidth="1"/>
    <col min="14343" max="14343" width="10.21875" style="2323" customWidth="1"/>
    <col min="14344" max="14344" width="9.77734375" style="2323" customWidth="1"/>
    <col min="14345" max="14345" width="8.88671875" style="2323" customWidth="1"/>
    <col min="14346" max="14346" width="9.21875" style="2323" customWidth="1"/>
    <col min="14347" max="14347" width="12.6640625" style="2323" customWidth="1"/>
    <col min="14348" max="14349" width="7.44140625" style="2323"/>
    <col min="14350" max="14350" width="28.88671875" style="2323" bestFit="1" customWidth="1"/>
    <col min="14351" max="14351" width="4.44140625" style="2323" bestFit="1" customWidth="1"/>
    <col min="14352" max="14352" width="6.5546875" style="2323" customWidth="1"/>
    <col min="14353" max="14595" width="7.44140625" style="2323"/>
    <col min="14596" max="14596" width="4.6640625" style="2323" customWidth="1"/>
    <col min="14597" max="14597" width="45.88671875" style="2323" bestFit="1" customWidth="1"/>
    <col min="14598" max="14598" width="6.109375" style="2323" customWidth="1"/>
    <col min="14599" max="14599" width="10.21875" style="2323" customWidth="1"/>
    <col min="14600" max="14600" width="9.77734375" style="2323" customWidth="1"/>
    <col min="14601" max="14601" width="8.88671875" style="2323" customWidth="1"/>
    <col min="14602" max="14602" width="9.21875" style="2323" customWidth="1"/>
    <col min="14603" max="14603" width="12.6640625" style="2323" customWidth="1"/>
    <col min="14604" max="14605" width="7.44140625" style="2323"/>
    <col min="14606" max="14606" width="28.88671875" style="2323" bestFit="1" customWidth="1"/>
    <col min="14607" max="14607" width="4.44140625" style="2323" bestFit="1" customWidth="1"/>
    <col min="14608" max="14608" width="6.5546875" style="2323" customWidth="1"/>
    <col min="14609" max="14851" width="7.44140625" style="2323"/>
    <col min="14852" max="14852" width="4.6640625" style="2323" customWidth="1"/>
    <col min="14853" max="14853" width="45.88671875" style="2323" bestFit="1" customWidth="1"/>
    <col min="14854" max="14854" width="6.109375" style="2323" customWidth="1"/>
    <col min="14855" max="14855" width="10.21875" style="2323" customWidth="1"/>
    <col min="14856" max="14856" width="9.77734375" style="2323" customWidth="1"/>
    <col min="14857" max="14857" width="8.88671875" style="2323" customWidth="1"/>
    <col min="14858" max="14858" width="9.21875" style="2323" customWidth="1"/>
    <col min="14859" max="14859" width="12.6640625" style="2323" customWidth="1"/>
    <col min="14860" max="14861" width="7.44140625" style="2323"/>
    <col min="14862" max="14862" width="28.88671875" style="2323" bestFit="1" customWidth="1"/>
    <col min="14863" max="14863" width="4.44140625" style="2323" bestFit="1" customWidth="1"/>
    <col min="14864" max="14864" width="6.5546875" style="2323" customWidth="1"/>
    <col min="14865" max="15107" width="7.44140625" style="2323"/>
    <col min="15108" max="15108" width="4.6640625" style="2323" customWidth="1"/>
    <col min="15109" max="15109" width="45.88671875" style="2323" bestFit="1" customWidth="1"/>
    <col min="15110" max="15110" width="6.109375" style="2323" customWidth="1"/>
    <col min="15111" max="15111" width="10.21875" style="2323" customWidth="1"/>
    <col min="15112" max="15112" width="9.77734375" style="2323" customWidth="1"/>
    <col min="15113" max="15113" width="8.88671875" style="2323" customWidth="1"/>
    <col min="15114" max="15114" width="9.21875" style="2323" customWidth="1"/>
    <col min="15115" max="15115" width="12.6640625" style="2323" customWidth="1"/>
    <col min="15116" max="15117" width="7.44140625" style="2323"/>
    <col min="15118" max="15118" width="28.88671875" style="2323" bestFit="1" customWidth="1"/>
    <col min="15119" max="15119" width="4.44140625" style="2323" bestFit="1" customWidth="1"/>
    <col min="15120" max="15120" width="6.5546875" style="2323" customWidth="1"/>
    <col min="15121" max="15363" width="7.44140625" style="2323"/>
    <col min="15364" max="15364" width="4.6640625" style="2323" customWidth="1"/>
    <col min="15365" max="15365" width="45.88671875" style="2323" bestFit="1" customWidth="1"/>
    <col min="15366" max="15366" width="6.109375" style="2323" customWidth="1"/>
    <col min="15367" max="15367" width="10.21875" style="2323" customWidth="1"/>
    <col min="15368" max="15368" width="9.77734375" style="2323" customWidth="1"/>
    <col min="15369" max="15369" width="8.88671875" style="2323" customWidth="1"/>
    <col min="15370" max="15370" width="9.21875" style="2323" customWidth="1"/>
    <col min="15371" max="15371" width="12.6640625" style="2323" customWidth="1"/>
    <col min="15372" max="15373" width="7.44140625" style="2323"/>
    <col min="15374" max="15374" width="28.88671875" style="2323" bestFit="1" customWidth="1"/>
    <col min="15375" max="15375" width="4.44140625" style="2323" bestFit="1" customWidth="1"/>
    <col min="15376" max="15376" width="6.5546875" style="2323" customWidth="1"/>
    <col min="15377" max="15619" width="7.44140625" style="2323"/>
    <col min="15620" max="15620" width="4.6640625" style="2323" customWidth="1"/>
    <col min="15621" max="15621" width="45.88671875" style="2323" bestFit="1" customWidth="1"/>
    <col min="15622" max="15622" width="6.109375" style="2323" customWidth="1"/>
    <col min="15623" max="15623" width="10.21875" style="2323" customWidth="1"/>
    <col min="15624" max="15624" width="9.77734375" style="2323" customWidth="1"/>
    <col min="15625" max="15625" width="8.88671875" style="2323" customWidth="1"/>
    <col min="15626" max="15626" width="9.21875" style="2323" customWidth="1"/>
    <col min="15627" max="15627" width="12.6640625" style="2323" customWidth="1"/>
    <col min="15628" max="15629" width="7.44140625" style="2323"/>
    <col min="15630" max="15630" width="28.88671875" style="2323" bestFit="1" customWidth="1"/>
    <col min="15631" max="15631" width="4.44140625" style="2323" bestFit="1" customWidth="1"/>
    <col min="15632" max="15632" width="6.5546875" style="2323" customWidth="1"/>
    <col min="15633" max="15875" width="7.44140625" style="2323"/>
    <col min="15876" max="15876" width="4.6640625" style="2323" customWidth="1"/>
    <col min="15877" max="15877" width="45.88671875" style="2323" bestFit="1" customWidth="1"/>
    <col min="15878" max="15878" width="6.109375" style="2323" customWidth="1"/>
    <col min="15879" max="15879" width="10.21875" style="2323" customWidth="1"/>
    <col min="15880" max="15880" width="9.77734375" style="2323" customWidth="1"/>
    <col min="15881" max="15881" width="8.88671875" style="2323" customWidth="1"/>
    <col min="15882" max="15882" width="9.21875" style="2323" customWidth="1"/>
    <col min="15883" max="15883" width="12.6640625" style="2323" customWidth="1"/>
    <col min="15884" max="15885" width="7.44140625" style="2323"/>
    <col min="15886" max="15886" width="28.88671875" style="2323" bestFit="1" customWidth="1"/>
    <col min="15887" max="15887" width="4.44140625" style="2323" bestFit="1" customWidth="1"/>
    <col min="15888" max="15888" width="6.5546875" style="2323" customWidth="1"/>
    <col min="15889" max="16131" width="7.44140625" style="2323"/>
    <col min="16132" max="16132" width="4.6640625" style="2323" customWidth="1"/>
    <col min="16133" max="16133" width="45.88671875" style="2323" bestFit="1" customWidth="1"/>
    <col min="16134" max="16134" width="6.109375" style="2323" customWidth="1"/>
    <col min="16135" max="16135" width="10.21875" style="2323" customWidth="1"/>
    <col min="16136" max="16136" width="9.77734375" style="2323" customWidth="1"/>
    <col min="16137" max="16137" width="8.88671875" style="2323" customWidth="1"/>
    <col min="16138" max="16138" width="9.21875" style="2323" customWidth="1"/>
    <col min="16139" max="16139" width="12.6640625" style="2323" customWidth="1"/>
    <col min="16140" max="16141" width="7.44140625" style="2323"/>
    <col min="16142" max="16142" width="28.88671875" style="2323" bestFit="1" customWidth="1"/>
    <col min="16143" max="16143" width="4.44140625" style="2323" bestFit="1" customWidth="1"/>
    <col min="16144" max="16144" width="6.5546875" style="2323" customWidth="1"/>
    <col min="16145" max="16384" width="7.44140625" style="2323"/>
  </cols>
  <sheetData>
    <row r="1" spans="1:259" ht="18.75" outlineLevel="1">
      <c r="D1" s="2733" t="s">
        <v>4907</v>
      </c>
      <c r="E1" s="2733"/>
      <c r="F1" s="2733"/>
      <c r="G1" s="2733"/>
      <c r="H1" s="2733"/>
      <c r="I1" s="2733"/>
      <c r="J1" s="2733"/>
      <c r="K1" s="2733"/>
    </row>
    <row r="2" spans="1:259" s="2324" customFormat="1" ht="17.25" customHeight="1" outlineLevel="1">
      <c r="D2" s="2725" t="s">
        <v>4908</v>
      </c>
      <c r="E2" s="2725"/>
      <c r="F2" s="2725"/>
      <c r="G2" s="2725"/>
      <c r="H2" s="2725"/>
      <c r="I2" s="2725"/>
      <c r="J2" s="2725"/>
      <c r="K2" s="2725"/>
      <c r="L2" s="2725" t="s">
        <v>4908</v>
      </c>
      <c r="M2" s="2725"/>
      <c r="N2" s="2725"/>
      <c r="O2" s="2725"/>
      <c r="P2" s="2725"/>
      <c r="Q2" s="2725"/>
      <c r="R2" s="2725"/>
      <c r="S2" s="2725"/>
      <c r="T2" s="2725" t="s">
        <v>4908</v>
      </c>
      <c r="U2" s="2725"/>
      <c r="V2" s="2725"/>
      <c r="W2" s="2725"/>
      <c r="X2" s="2725"/>
      <c r="Y2" s="2725"/>
      <c r="Z2" s="2725"/>
      <c r="AA2" s="2725"/>
      <c r="AB2" s="2725" t="s">
        <v>4908</v>
      </c>
      <c r="AC2" s="2725"/>
      <c r="AD2" s="2725"/>
      <c r="AE2" s="2725"/>
      <c r="AF2" s="2725"/>
      <c r="AG2" s="2725"/>
      <c r="AH2" s="2725"/>
      <c r="AI2" s="2725"/>
      <c r="AJ2" s="2725" t="s">
        <v>4908</v>
      </c>
      <c r="AK2" s="2725"/>
      <c r="AL2" s="2725"/>
      <c r="AM2" s="2725"/>
      <c r="AN2" s="2725"/>
      <c r="AO2" s="2725"/>
      <c r="AP2" s="2725"/>
      <c r="AQ2" s="2725"/>
      <c r="AR2" s="2725" t="s">
        <v>4908</v>
      </c>
      <c r="AS2" s="2725"/>
      <c r="AT2" s="2725"/>
      <c r="AU2" s="2725"/>
      <c r="AV2" s="2725"/>
      <c r="AW2" s="2725"/>
      <c r="AX2" s="2725"/>
      <c r="AY2" s="2725"/>
      <c r="AZ2" s="2725" t="s">
        <v>4908</v>
      </c>
      <c r="BA2" s="2725"/>
      <c r="BB2" s="2725"/>
      <c r="BC2" s="2725"/>
      <c r="BD2" s="2725"/>
      <c r="BE2" s="2725"/>
      <c r="BF2" s="2725"/>
      <c r="BG2" s="2725"/>
      <c r="BH2" s="2725" t="s">
        <v>4908</v>
      </c>
      <c r="BI2" s="2725"/>
      <c r="BJ2" s="2725"/>
      <c r="BK2" s="2725"/>
      <c r="BL2" s="2725"/>
      <c r="BM2" s="2725"/>
      <c r="BN2" s="2725"/>
      <c r="BO2" s="2725"/>
      <c r="BP2" s="2725" t="s">
        <v>4908</v>
      </c>
      <c r="BQ2" s="2725"/>
      <c r="BR2" s="2725"/>
      <c r="BS2" s="2725"/>
      <c r="BT2" s="2725"/>
      <c r="BU2" s="2725"/>
      <c r="BV2" s="2725"/>
      <c r="BW2" s="2725"/>
      <c r="BX2" s="2725" t="s">
        <v>4908</v>
      </c>
      <c r="BY2" s="2725"/>
      <c r="BZ2" s="2725"/>
      <c r="CA2" s="2725"/>
      <c r="CB2" s="2725"/>
      <c r="CC2" s="2725"/>
      <c r="CD2" s="2725"/>
      <c r="CE2" s="2725"/>
      <c r="CF2" s="2725" t="s">
        <v>4908</v>
      </c>
      <c r="CG2" s="2725"/>
      <c r="CH2" s="2725"/>
      <c r="CI2" s="2725"/>
      <c r="CJ2" s="2725"/>
      <c r="CK2" s="2725"/>
      <c r="CL2" s="2725"/>
      <c r="CM2" s="2725"/>
      <c r="CN2" s="2725" t="s">
        <v>4908</v>
      </c>
      <c r="CO2" s="2725"/>
      <c r="CP2" s="2725"/>
      <c r="CQ2" s="2725"/>
      <c r="CR2" s="2725"/>
      <c r="CS2" s="2725"/>
      <c r="CT2" s="2725"/>
      <c r="CU2" s="2725"/>
      <c r="CV2" s="2725" t="s">
        <v>4908</v>
      </c>
      <c r="CW2" s="2725"/>
      <c r="CX2" s="2725"/>
      <c r="CY2" s="2725"/>
      <c r="CZ2" s="2725"/>
      <c r="DA2" s="2725"/>
      <c r="DB2" s="2725"/>
      <c r="DC2" s="2725"/>
      <c r="DD2" s="2725" t="s">
        <v>4908</v>
      </c>
      <c r="DE2" s="2725"/>
      <c r="DF2" s="2725"/>
      <c r="DG2" s="2725"/>
      <c r="DH2" s="2725"/>
      <c r="DI2" s="2725"/>
      <c r="DJ2" s="2725"/>
      <c r="DK2" s="2725"/>
      <c r="DL2" s="2725" t="s">
        <v>4908</v>
      </c>
      <c r="DM2" s="2725"/>
      <c r="DN2" s="2725"/>
      <c r="DO2" s="2725"/>
      <c r="DP2" s="2725"/>
      <c r="DQ2" s="2725"/>
      <c r="DR2" s="2725"/>
      <c r="DS2" s="2725"/>
      <c r="DT2" s="2725" t="s">
        <v>4908</v>
      </c>
      <c r="DU2" s="2725"/>
      <c r="DV2" s="2725"/>
      <c r="DW2" s="2725"/>
      <c r="DX2" s="2725"/>
      <c r="DY2" s="2725"/>
      <c r="DZ2" s="2725"/>
      <c r="EA2" s="2725"/>
      <c r="EB2" s="2725" t="s">
        <v>4908</v>
      </c>
      <c r="EC2" s="2725"/>
      <c r="ED2" s="2725"/>
      <c r="EE2" s="2725"/>
      <c r="EF2" s="2725"/>
      <c r="EG2" s="2725"/>
      <c r="EH2" s="2725"/>
      <c r="EI2" s="2725"/>
      <c r="EJ2" s="2725" t="s">
        <v>4908</v>
      </c>
      <c r="EK2" s="2725"/>
      <c r="EL2" s="2725"/>
      <c r="EM2" s="2725"/>
      <c r="EN2" s="2725"/>
      <c r="EO2" s="2725"/>
      <c r="EP2" s="2725"/>
      <c r="EQ2" s="2725"/>
      <c r="ER2" s="2725" t="s">
        <v>4908</v>
      </c>
      <c r="ES2" s="2725"/>
      <c r="ET2" s="2725"/>
      <c r="EU2" s="2725"/>
      <c r="EV2" s="2725"/>
      <c r="EW2" s="2725"/>
      <c r="EX2" s="2725"/>
      <c r="EY2" s="2725"/>
      <c r="EZ2" s="2725" t="s">
        <v>4908</v>
      </c>
      <c r="FA2" s="2725"/>
      <c r="FB2" s="2725"/>
      <c r="FC2" s="2725"/>
      <c r="FD2" s="2725"/>
      <c r="FE2" s="2725"/>
      <c r="FF2" s="2725"/>
      <c r="FG2" s="2725"/>
      <c r="FH2" s="2725" t="s">
        <v>4908</v>
      </c>
      <c r="FI2" s="2725"/>
      <c r="FJ2" s="2725"/>
      <c r="FK2" s="2725"/>
      <c r="FL2" s="2725"/>
      <c r="FM2" s="2725"/>
      <c r="FN2" s="2725"/>
      <c r="FO2" s="2725"/>
      <c r="FP2" s="2725" t="s">
        <v>4908</v>
      </c>
      <c r="FQ2" s="2725"/>
      <c r="FR2" s="2725"/>
      <c r="FS2" s="2725"/>
      <c r="FT2" s="2725"/>
      <c r="FU2" s="2725"/>
      <c r="FV2" s="2725"/>
      <c r="FW2" s="2725"/>
      <c r="FX2" s="2725" t="s">
        <v>4908</v>
      </c>
      <c r="FY2" s="2725"/>
      <c r="FZ2" s="2725"/>
      <c r="GA2" s="2725"/>
      <c r="GB2" s="2725"/>
      <c r="GC2" s="2725"/>
      <c r="GD2" s="2725"/>
      <c r="GE2" s="2725"/>
      <c r="GF2" s="2725" t="s">
        <v>4908</v>
      </c>
      <c r="GG2" s="2725"/>
      <c r="GH2" s="2725"/>
      <c r="GI2" s="2725"/>
      <c r="GJ2" s="2725"/>
      <c r="GK2" s="2725"/>
      <c r="GL2" s="2725"/>
      <c r="GM2" s="2725"/>
      <c r="GN2" s="2725" t="s">
        <v>4908</v>
      </c>
      <c r="GO2" s="2725"/>
      <c r="GP2" s="2725"/>
      <c r="GQ2" s="2725"/>
      <c r="GR2" s="2725"/>
      <c r="GS2" s="2725"/>
      <c r="GT2" s="2725"/>
      <c r="GU2" s="2725"/>
      <c r="GV2" s="2725" t="s">
        <v>4908</v>
      </c>
      <c r="GW2" s="2725"/>
      <c r="GX2" s="2725"/>
      <c r="GY2" s="2725"/>
      <c r="GZ2" s="2725"/>
      <c r="HA2" s="2725"/>
      <c r="HB2" s="2725"/>
      <c r="HC2" s="2725"/>
      <c r="HD2" s="2725" t="s">
        <v>4908</v>
      </c>
      <c r="HE2" s="2725"/>
      <c r="HF2" s="2725"/>
      <c r="HG2" s="2725"/>
      <c r="HH2" s="2725"/>
      <c r="HI2" s="2725"/>
      <c r="HJ2" s="2725"/>
      <c r="HK2" s="2725"/>
      <c r="HL2" s="2725" t="s">
        <v>4908</v>
      </c>
      <c r="HM2" s="2725"/>
      <c r="HN2" s="2725"/>
      <c r="HO2" s="2725"/>
      <c r="HP2" s="2725"/>
      <c r="HQ2" s="2725"/>
      <c r="HR2" s="2725"/>
      <c r="HS2" s="2725"/>
      <c r="HT2" s="2725" t="s">
        <v>4908</v>
      </c>
      <c r="HU2" s="2725"/>
      <c r="HV2" s="2725"/>
      <c r="HW2" s="2725"/>
      <c r="HX2" s="2725"/>
      <c r="HY2" s="2725"/>
      <c r="HZ2" s="2725"/>
      <c r="IA2" s="2725"/>
      <c r="IB2" s="2725" t="s">
        <v>4908</v>
      </c>
      <c r="IC2" s="2725"/>
      <c r="ID2" s="2725"/>
      <c r="IE2" s="2725"/>
      <c r="IF2" s="2725"/>
      <c r="IG2" s="2725"/>
      <c r="IH2" s="2725"/>
      <c r="II2" s="2725"/>
      <c r="IJ2" s="2725" t="s">
        <v>4908</v>
      </c>
      <c r="IK2" s="2725"/>
      <c r="IL2" s="2725"/>
      <c r="IM2" s="2725"/>
      <c r="IN2" s="2725"/>
      <c r="IO2" s="2725"/>
      <c r="IP2" s="2725"/>
      <c r="IQ2" s="2725"/>
      <c r="IR2" s="2725" t="s">
        <v>4908</v>
      </c>
      <c r="IS2" s="2725"/>
      <c r="IT2" s="2725"/>
      <c r="IU2" s="2725"/>
      <c r="IV2" s="2725"/>
      <c r="IW2" s="2725"/>
      <c r="IX2" s="2725"/>
      <c r="IY2" s="2725"/>
    </row>
    <row r="3" spans="1:259" s="2324" customFormat="1" ht="17.25" customHeight="1" outlineLevel="1">
      <c r="D3" s="2725" t="s">
        <v>4909</v>
      </c>
      <c r="E3" s="2725"/>
      <c r="F3" s="2725"/>
      <c r="G3" s="2725"/>
      <c r="H3" s="2725"/>
      <c r="I3" s="2725"/>
      <c r="J3" s="2725"/>
      <c r="K3" s="2725"/>
      <c r="L3" s="2725" t="s">
        <v>4909</v>
      </c>
      <c r="M3" s="2725"/>
      <c r="N3" s="2725"/>
      <c r="O3" s="2725"/>
      <c r="P3" s="2725"/>
      <c r="Q3" s="2725"/>
      <c r="R3" s="2725"/>
      <c r="S3" s="2725"/>
      <c r="T3" s="2725" t="s">
        <v>4909</v>
      </c>
      <c r="U3" s="2725"/>
      <c r="V3" s="2725"/>
      <c r="W3" s="2725"/>
      <c r="X3" s="2725"/>
      <c r="Y3" s="2725"/>
      <c r="Z3" s="2725"/>
      <c r="AA3" s="2725"/>
      <c r="AB3" s="2725" t="s">
        <v>4909</v>
      </c>
      <c r="AC3" s="2725"/>
      <c r="AD3" s="2725"/>
      <c r="AE3" s="2725"/>
      <c r="AF3" s="2725"/>
      <c r="AG3" s="2725"/>
      <c r="AH3" s="2725"/>
      <c r="AI3" s="2725"/>
      <c r="AJ3" s="2725" t="s">
        <v>4909</v>
      </c>
      <c r="AK3" s="2725"/>
      <c r="AL3" s="2725"/>
      <c r="AM3" s="2725"/>
      <c r="AN3" s="2725"/>
      <c r="AO3" s="2725"/>
      <c r="AP3" s="2725"/>
      <c r="AQ3" s="2725"/>
      <c r="AR3" s="2725" t="s">
        <v>4909</v>
      </c>
      <c r="AS3" s="2725"/>
      <c r="AT3" s="2725"/>
      <c r="AU3" s="2725"/>
      <c r="AV3" s="2725"/>
      <c r="AW3" s="2725"/>
      <c r="AX3" s="2725"/>
      <c r="AY3" s="2725"/>
      <c r="AZ3" s="2725" t="s">
        <v>4909</v>
      </c>
      <c r="BA3" s="2725"/>
      <c r="BB3" s="2725"/>
      <c r="BC3" s="2725"/>
      <c r="BD3" s="2725"/>
      <c r="BE3" s="2725"/>
      <c r="BF3" s="2725"/>
      <c r="BG3" s="2725"/>
      <c r="BH3" s="2725" t="s">
        <v>4909</v>
      </c>
      <c r="BI3" s="2725"/>
      <c r="BJ3" s="2725"/>
      <c r="BK3" s="2725"/>
      <c r="BL3" s="2725"/>
      <c r="BM3" s="2725"/>
      <c r="BN3" s="2725"/>
      <c r="BO3" s="2725"/>
      <c r="BP3" s="2725" t="s">
        <v>4909</v>
      </c>
      <c r="BQ3" s="2725"/>
      <c r="BR3" s="2725"/>
      <c r="BS3" s="2725"/>
      <c r="BT3" s="2725"/>
      <c r="BU3" s="2725"/>
      <c r="BV3" s="2725"/>
      <c r="BW3" s="2725"/>
      <c r="BX3" s="2725" t="s">
        <v>4909</v>
      </c>
      <c r="BY3" s="2725"/>
      <c r="BZ3" s="2725"/>
      <c r="CA3" s="2725"/>
      <c r="CB3" s="2725"/>
      <c r="CC3" s="2725"/>
      <c r="CD3" s="2725"/>
      <c r="CE3" s="2725"/>
      <c r="CF3" s="2725" t="s">
        <v>4909</v>
      </c>
      <c r="CG3" s="2725"/>
      <c r="CH3" s="2725"/>
      <c r="CI3" s="2725"/>
      <c r="CJ3" s="2725"/>
      <c r="CK3" s="2725"/>
      <c r="CL3" s="2725"/>
      <c r="CM3" s="2725"/>
      <c r="CN3" s="2725" t="s">
        <v>4909</v>
      </c>
      <c r="CO3" s="2725"/>
      <c r="CP3" s="2725"/>
      <c r="CQ3" s="2725"/>
      <c r="CR3" s="2725"/>
      <c r="CS3" s="2725"/>
      <c r="CT3" s="2725"/>
      <c r="CU3" s="2725"/>
      <c r="CV3" s="2725" t="s">
        <v>4909</v>
      </c>
      <c r="CW3" s="2725"/>
      <c r="CX3" s="2725"/>
      <c r="CY3" s="2725"/>
      <c r="CZ3" s="2725"/>
      <c r="DA3" s="2725"/>
      <c r="DB3" s="2725"/>
      <c r="DC3" s="2725"/>
      <c r="DD3" s="2725" t="s">
        <v>4909</v>
      </c>
      <c r="DE3" s="2725"/>
      <c r="DF3" s="2725"/>
      <c r="DG3" s="2725"/>
      <c r="DH3" s="2725"/>
      <c r="DI3" s="2725"/>
      <c r="DJ3" s="2725"/>
      <c r="DK3" s="2725"/>
      <c r="DL3" s="2725" t="s">
        <v>4909</v>
      </c>
      <c r="DM3" s="2725"/>
      <c r="DN3" s="2725"/>
      <c r="DO3" s="2725"/>
      <c r="DP3" s="2725"/>
      <c r="DQ3" s="2725"/>
      <c r="DR3" s="2725"/>
      <c r="DS3" s="2725"/>
      <c r="DT3" s="2725" t="s">
        <v>4909</v>
      </c>
      <c r="DU3" s="2725"/>
      <c r="DV3" s="2725"/>
      <c r="DW3" s="2725"/>
      <c r="DX3" s="2725"/>
      <c r="DY3" s="2725"/>
      <c r="DZ3" s="2725"/>
      <c r="EA3" s="2725"/>
      <c r="EB3" s="2725" t="s">
        <v>4909</v>
      </c>
      <c r="EC3" s="2725"/>
      <c r="ED3" s="2725"/>
      <c r="EE3" s="2725"/>
      <c r="EF3" s="2725"/>
      <c r="EG3" s="2725"/>
      <c r="EH3" s="2725"/>
      <c r="EI3" s="2725"/>
      <c r="EJ3" s="2725" t="s">
        <v>4909</v>
      </c>
      <c r="EK3" s="2725"/>
      <c r="EL3" s="2725"/>
      <c r="EM3" s="2725"/>
      <c r="EN3" s="2725"/>
      <c r="EO3" s="2725"/>
      <c r="EP3" s="2725"/>
      <c r="EQ3" s="2725"/>
      <c r="ER3" s="2725" t="s">
        <v>4909</v>
      </c>
      <c r="ES3" s="2725"/>
      <c r="ET3" s="2725"/>
      <c r="EU3" s="2725"/>
      <c r="EV3" s="2725"/>
      <c r="EW3" s="2725"/>
      <c r="EX3" s="2725"/>
      <c r="EY3" s="2725"/>
      <c r="EZ3" s="2725" t="s">
        <v>4909</v>
      </c>
      <c r="FA3" s="2725"/>
      <c r="FB3" s="2725"/>
      <c r="FC3" s="2725"/>
      <c r="FD3" s="2725"/>
      <c r="FE3" s="2725"/>
      <c r="FF3" s="2725"/>
      <c r="FG3" s="2725"/>
      <c r="FH3" s="2725" t="s">
        <v>4909</v>
      </c>
      <c r="FI3" s="2725"/>
      <c r="FJ3" s="2725"/>
      <c r="FK3" s="2725"/>
      <c r="FL3" s="2725"/>
      <c r="FM3" s="2725"/>
      <c r="FN3" s="2725"/>
      <c r="FO3" s="2725"/>
      <c r="FP3" s="2725" t="s">
        <v>4909</v>
      </c>
      <c r="FQ3" s="2725"/>
      <c r="FR3" s="2725"/>
      <c r="FS3" s="2725"/>
      <c r="FT3" s="2725"/>
      <c r="FU3" s="2725"/>
      <c r="FV3" s="2725"/>
      <c r="FW3" s="2725"/>
      <c r="FX3" s="2725" t="s">
        <v>4909</v>
      </c>
      <c r="FY3" s="2725"/>
      <c r="FZ3" s="2725"/>
      <c r="GA3" s="2725"/>
      <c r="GB3" s="2725"/>
      <c r="GC3" s="2725"/>
      <c r="GD3" s="2725"/>
      <c r="GE3" s="2725"/>
      <c r="GF3" s="2725" t="s">
        <v>4909</v>
      </c>
      <c r="GG3" s="2725"/>
      <c r="GH3" s="2725"/>
      <c r="GI3" s="2725"/>
      <c r="GJ3" s="2725"/>
      <c r="GK3" s="2725"/>
      <c r="GL3" s="2725"/>
      <c r="GM3" s="2725"/>
      <c r="GN3" s="2725" t="s">
        <v>4909</v>
      </c>
      <c r="GO3" s="2725"/>
      <c r="GP3" s="2725"/>
      <c r="GQ3" s="2725"/>
      <c r="GR3" s="2725"/>
      <c r="GS3" s="2725"/>
      <c r="GT3" s="2725"/>
      <c r="GU3" s="2725"/>
      <c r="GV3" s="2725" t="s">
        <v>4909</v>
      </c>
      <c r="GW3" s="2725"/>
      <c r="GX3" s="2725"/>
      <c r="GY3" s="2725"/>
      <c r="GZ3" s="2725"/>
      <c r="HA3" s="2725"/>
      <c r="HB3" s="2725"/>
      <c r="HC3" s="2725"/>
      <c r="HD3" s="2725" t="s">
        <v>4909</v>
      </c>
      <c r="HE3" s="2725"/>
      <c r="HF3" s="2725"/>
      <c r="HG3" s="2725"/>
      <c r="HH3" s="2725"/>
      <c r="HI3" s="2725"/>
      <c r="HJ3" s="2725"/>
      <c r="HK3" s="2725"/>
      <c r="HL3" s="2725" t="s">
        <v>4909</v>
      </c>
      <c r="HM3" s="2725"/>
      <c r="HN3" s="2725"/>
      <c r="HO3" s="2725"/>
      <c r="HP3" s="2725"/>
      <c r="HQ3" s="2725"/>
      <c r="HR3" s="2725"/>
      <c r="HS3" s="2725"/>
      <c r="HT3" s="2725" t="s">
        <v>4909</v>
      </c>
      <c r="HU3" s="2725"/>
      <c r="HV3" s="2725"/>
      <c r="HW3" s="2725"/>
      <c r="HX3" s="2725"/>
      <c r="HY3" s="2725"/>
      <c r="HZ3" s="2725"/>
      <c r="IA3" s="2725"/>
      <c r="IB3" s="2725" t="s">
        <v>4909</v>
      </c>
      <c r="IC3" s="2725"/>
      <c r="ID3" s="2725"/>
      <c r="IE3" s="2725"/>
      <c r="IF3" s="2725"/>
      <c r="IG3" s="2725"/>
      <c r="IH3" s="2725"/>
      <c r="II3" s="2725"/>
      <c r="IJ3" s="2725" t="s">
        <v>4909</v>
      </c>
      <c r="IK3" s="2725"/>
      <c r="IL3" s="2725"/>
      <c r="IM3" s="2725"/>
      <c r="IN3" s="2725"/>
      <c r="IO3" s="2725"/>
      <c r="IP3" s="2725"/>
      <c r="IQ3" s="2725"/>
      <c r="IR3" s="2725" t="s">
        <v>4909</v>
      </c>
      <c r="IS3" s="2725"/>
      <c r="IT3" s="2725"/>
      <c r="IU3" s="2725"/>
      <c r="IV3" s="2725"/>
      <c r="IW3" s="2725"/>
      <c r="IX3" s="2725"/>
      <c r="IY3" s="2725"/>
    </row>
    <row r="4" spans="1:259" s="2327" customFormat="1" ht="17.25" customHeight="1" outlineLevel="1">
      <c r="D4" s="2720" t="s">
        <v>4910</v>
      </c>
      <c r="E4" s="2720"/>
      <c r="F4" s="2720"/>
      <c r="G4" s="2720"/>
      <c r="H4" s="2720"/>
      <c r="I4" s="2720"/>
      <c r="J4" s="2720"/>
      <c r="K4" s="2720"/>
      <c r="L4" s="2325"/>
      <c r="M4" s="2325"/>
      <c r="N4" s="2326" t="s">
        <v>5104</v>
      </c>
      <c r="O4" s="2325"/>
      <c r="P4" s="2325"/>
      <c r="Q4" s="2325"/>
      <c r="R4" s="2325"/>
      <c r="S4" s="2325"/>
      <c r="T4" s="2325"/>
      <c r="U4" s="2325"/>
      <c r="V4" s="2325"/>
      <c r="W4" s="2325"/>
      <c r="X4" s="2325"/>
      <c r="Y4" s="2325"/>
      <c r="Z4" s="2325"/>
      <c r="AA4" s="2325"/>
      <c r="AB4" s="2325"/>
      <c r="AC4" s="2325"/>
      <c r="AD4" s="2325"/>
      <c r="AE4" s="2325"/>
    </row>
    <row r="5" spans="1:259" ht="17.25" customHeight="1">
      <c r="D5" s="2726"/>
      <c r="E5" s="2726"/>
      <c r="F5" s="2726"/>
      <c r="G5" s="2726"/>
      <c r="H5" s="2726"/>
      <c r="I5" s="2726"/>
      <c r="J5" s="2726"/>
      <c r="K5" s="2726"/>
    </row>
    <row r="6" spans="1:259" ht="17.25" customHeight="1">
      <c r="D6" s="2727" t="s">
        <v>4227</v>
      </c>
      <c r="E6" s="2729" t="s">
        <v>4911</v>
      </c>
      <c r="F6" s="2729" t="s">
        <v>4912</v>
      </c>
      <c r="G6" s="2731" t="s">
        <v>4913</v>
      </c>
      <c r="H6" s="2732"/>
      <c r="I6" s="2731" t="s">
        <v>4914</v>
      </c>
      <c r="J6" s="2732"/>
      <c r="K6" s="2729" t="s">
        <v>4915</v>
      </c>
    </row>
    <row r="7" spans="1:259" ht="17.25" customHeight="1">
      <c r="D7" s="2728"/>
      <c r="E7" s="2730"/>
      <c r="F7" s="2730"/>
      <c r="G7" s="2328" t="s">
        <v>4916</v>
      </c>
      <c r="H7" s="2328" t="s">
        <v>4725</v>
      </c>
      <c r="I7" s="2328" t="s">
        <v>4917</v>
      </c>
      <c r="J7" s="2328" t="s">
        <v>4918</v>
      </c>
      <c r="K7" s="2730"/>
    </row>
    <row r="8" spans="1:259" ht="17.25" customHeight="1">
      <c r="D8" s="2448"/>
      <c r="E8" s="2449"/>
      <c r="F8" s="2449"/>
      <c r="G8" s="2450"/>
      <c r="H8" s="2450"/>
      <c r="I8" s="2450"/>
      <c r="J8" s="2450"/>
      <c r="K8" s="2449"/>
    </row>
    <row r="9" spans="1:259">
      <c r="D9" s="2329" t="s">
        <v>501</v>
      </c>
      <c r="E9" s="2330" t="s">
        <v>4919</v>
      </c>
      <c r="F9" s="2329"/>
      <c r="G9" s="2331"/>
      <c r="H9" s="2332"/>
      <c r="I9" s="2332"/>
      <c r="J9" s="2332"/>
      <c r="K9" s="2333"/>
    </row>
    <row r="10" spans="1:259" s="2338" customFormat="1" ht="16.5">
      <c r="D10" s="2334"/>
      <c r="E10" s="2335" t="s">
        <v>4920</v>
      </c>
      <c r="F10" s="2336" t="s">
        <v>4921</v>
      </c>
      <c r="G10" s="2310">
        <v>1</v>
      </c>
      <c r="H10" s="2310">
        <v>1</v>
      </c>
      <c r="I10" s="2311"/>
      <c r="J10" s="2311"/>
      <c r="K10" s="2337"/>
      <c r="M10" s="2339" t="s">
        <v>5105</v>
      </c>
      <c r="N10" s="2340" t="s">
        <v>5106</v>
      </c>
      <c r="O10" s="2339"/>
      <c r="P10" s="2339"/>
    </row>
    <row r="11" spans="1:259" s="2342" customFormat="1" ht="16.5">
      <c r="D11" s="2329" t="s">
        <v>941</v>
      </c>
      <c r="E11" s="2341" t="s">
        <v>4922</v>
      </c>
      <c r="F11" s="2330"/>
      <c r="G11" s="2312"/>
      <c r="H11" s="2312"/>
      <c r="I11" s="2313"/>
      <c r="J11" s="2313"/>
      <c r="K11" s="2337"/>
      <c r="M11" s="2339" t="s">
        <v>501</v>
      </c>
      <c r="N11" s="2340" t="s">
        <v>5107</v>
      </c>
      <c r="O11" s="2343"/>
      <c r="P11" s="2344"/>
    </row>
    <row r="12" spans="1:259" s="2342" customFormat="1" ht="16.5">
      <c r="D12" s="2329"/>
      <c r="E12" s="2341" t="s">
        <v>2296</v>
      </c>
      <c r="F12" s="2329"/>
      <c r="G12" s="2314"/>
      <c r="H12" s="2314"/>
      <c r="I12" s="2311"/>
      <c r="J12" s="2311"/>
      <c r="K12" s="2337"/>
      <c r="M12" s="2345">
        <v>1</v>
      </c>
      <c r="N12" s="2343" t="s">
        <v>5108</v>
      </c>
      <c r="O12" s="2346" t="s">
        <v>5109</v>
      </c>
      <c r="P12" s="2347">
        <v>6</v>
      </c>
    </row>
    <row r="13" spans="1:259" s="2342" customFormat="1" ht="16.5">
      <c r="D13" s="2329">
        <v>1</v>
      </c>
      <c r="E13" s="2451" t="s">
        <v>2342</v>
      </c>
      <c r="F13" s="2329" t="s">
        <v>2336</v>
      </c>
      <c r="G13" s="2314"/>
      <c r="H13" s="2314"/>
      <c r="I13" s="2311"/>
      <c r="J13" s="2311"/>
      <c r="K13" s="2337"/>
      <c r="M13" s="2345">
        <v>2</v>
      </c>
      <c r="N13" s="2343" t="s">
        <v>5110</v>
      </c>
      <c r="O13" s="2346" t="s">
        <v>5109</v>
      </c>
      <c r="P13" s="2347">
        <v>36</v>
      </c>
    </row>
    <row r="14" spans="1:259" s="2338" customFormat="1" ht="16.5">
      <c r="A14" s="2342"/>
      <c r="B14" s="2342"/>
      <c r="C14" s="2342"/>
      <c r="D14" s="2329"/>
      <c r="E14" s="2348" t="s">
        <v>4923</v>
      </c>
      <c r="F14" s="2349" t="s">
        <v>858</v>
      </c>
      <c r="G14" s="2350">
        <v>0.23</v>
      </c>
      <c r="H14" s="2350">
        <v>0.23</v>
      </c>
      <c r="I14" s="2311"/>
      <c r="J14" s="2311"/>
      <c r="K14" s="2337"/>
      <c r="M14" s="2345">
        <v>3</v>
      </c>
      <c r="N14" s="2343" t="s">
        <v>5111</v>
      </c>
      <c r="O14" s="2346" t="s">
        <v>5109</v>
      </c>
      <c r="P14" s="2347">
        <v>5</v>
      </c>
    </row>
    <row r="15" spans="1:259" s="2338" customFormat="1" ht="16.5">
      <c r="A15" s="2342"/>
      <c r="B15" s="2342"/>
      <c r="C15" s="2342"/>
      <c r="D15" s="2329"/>
      <c r="E15" s="2348" t="s">
        <v>4924</v>
      </c>
      <c r="F15" s="2349" t="s">
        <v>858</v>
      </c>
      <c r="G15" s="2350">
        <v>0.24</v>
      </c>
      <c r="H15" s="2350">
        <v>0.24</v>
      </c>
      <c r="I15" s="2311"/>
      <c r="J15" s="2311"/>
      <c r="K15" s="2337"/>
      <c r="M15" s="2345">
        <v>4</v>
      </c>
      <c r="N15" s="2343" t="s">
        <v>5112</v>
      </c>
      <c r="O15" s="2346" t="s">
        <v>5113</v>
      </c>
      <c r="P15" s="2347">
        <v>2</v>
      </c>
    </row>
    <row r="16" spans="1:259" s="2338" customFormat="1" ht="16.5">
      <c r="A16" s="2342"/>
      <c r="B16" s="2342"/>
      <c r="C16" s="2342"/>
      <c r="D16" s="2329">
        <v>2</v>
      </c>
      <c r="E16" s="2451" t="s">
        <v>4925</v>
      </c>
      <c r="F16" s="2329" t="s">
        <v>2336</v>
      </c>
      <c r="G16" s="2350">
        <v>2</v>
      </c>
      <c r="H16" s="2350">
        <v>2</v>
      </c>
      <c r="I16" s="2311"/>
      <c r="J16" s="2311"/>
      <c r="K16" s="2337"/>
      <c r="M16" s="2339" t="s">
        <v>941</v>
      </c>
      <c r="N16" s="2340" t="s">
        <v>5114</v>
      </c>
      <c r="O16" s="2343"/>
      <c r="P16" s="2344"/>
    </row>
    <row r="17" spans="1:16" s="2338" customFormat="1" ht="16.5">
      <c r="A17" s="2342"/>
      <c r="B17" s="2342"/>
      <c r="D17" s="2329"/>
      <c r="E17" s="2348" t="s">
        <v>4926</v>
      </c>
      <c r="F17" s="2349" t="s">
        <v>2256</v>
      </c>
      <c r="G17" s="2350">
        <v>162</v>
      </c>
      <c r="H17" s="2350">
        <v>162</v>
      </c>
      <c r="I17" s="2311"/>
      <c r="J17" s="2311"/>
      <c r="K17" s="2337"/>
      <c r="M17" s="2339" t="s">
        <v>1620</v>
      </c>
      <c r="N17" s="2340" t="s">
        <v>5115</v>
      </c>
      <c r="O17" s="2343"/>
      <c r="P17" s="2344"/>
    </row>
    <row r="18" spans="1:16" s="2338" customFormat="1" ht="16.5">
      <c r="A18" s="2342"/>
      <c r="B18" s="2342"/>
      <c r="D18" s="2329"/>
      <c r="E18" s="2348" t="s">
        <v>3025</v>
      </c>
      <c r="F18" s="2349" t="s">
        <v>858</v>
      </c>
      <c r="G18" s="2350">
        <v>0.26</v>
      </c>
      <c r="H18" s="2350">
        <v>0.26</v>
      </c>
      <c r="I18" s="2311"/>
      <c r="J18" s="2311"/>
      <c r="K18" s="2337"/>
      <c r="M18" s="2345">
        <v>1</v>
      </c>
      <c r="N18" s="2343" t="s">
        <v>5116</v>
      </c>
      <c r="O18" s="2346" t="s">
        <v>5113</v>
      </c>
      <c r="P18" s="2347">
        <v>37</v>
      </c>
    </row>
    <row r="19" spans="1:16" s="2338" customFormat="1" ht="16.5">
      <c r="A19" s="2342"/>
      <c r="B19" s="2342"/>
      <c r="D19" s="2329"/>
      <c r="E19" s="2348" t="s">
        <v>3021</v>
      </c>
      <c r="F19" s="2349" t="s">
        <v>858</v>
      </c>
      <c r="G19" s="2350">
        <v>0.48299999999999998</v>
      </c>
      <c r="H19" s="2350">
        <v>0.48299999999999998</v>
      </c>
      <c r="I19" s="2311"/>
      <c r="J19" s="2311"/>
      <c r="K19" s="2337"/>
      <c r="M19" s="2345">
        <v>2</v>
      </c>
      <c r="N19" s="2343" t="s">
        <v>5117</v>
      </c>
      <c r="O19" s="2346" t="s">
        <v>5113</v>
      </c>
      <c r="P19" s="2347">
        <v>6</v>
      </c>
    </row>
    <row r="20" spans="1:16" s="2338" customFormat="1" ht="16.5">
      <c r="A20" s="2342"/>
      <c r="B20" s="2342"/>
      <c r="D20" s="2329"/>
      <c r="E20" s="2348" t="s">
        <v>4923</v>
      </c>
      <c r="F20" s="2349" t="s">
        <v>858</v>
      </c>
      <c r="G20" s="2350">
        <v>0.69</v>
      </c>
      <c r="H20" s="2350">
        <v>0.69</v>
      </c>
      <c r="I20" s="2311"/>
      <c r="J20" s="2311"/>
      <c r="K20" s="2337"/>
      <c r="M20" s="2345">
        <v>3</v>
      </c>
      <c r="N20" s="2343" t="s">
        <v>5118</v>
      </c>
      <c r="O20" s="2346" t="s">
        <v>5113</v>
      </c>
      <c r="P20" s="2347">
        <v>37</v>
      </c>
    </row>
    <row r="21" spans="1:16" s="2342" customFormat="1" ht="16.5">
      <c r="D21" s="2329"/>
      <c r="E21" s="2348" t="s">
        <v>3219</v>
      </c>
      <c r="F21" s="2349" t="s">
        <v>858</v>
      </c>
      <c r="G21" s="2350">
        <v>0.55000000000000004</v>
      </c>
      <c r="H21" s="2350">
        <v>0.55000000000000004</v>
      </c>
      <c r="I21" s="2311"/>
      <c r="J21" s="2311"/>
      <c r="K21" s="2337"/>
      <c r="M21" s="2345">
        <v>4</v>
      </c>
      <c r="N21" s="2343" t="s">
        <v>5119</v>
      </c>
      <c r="O21" s="2346" t="s">
        <v>5113</v>
      </c>
      <c r="P21" s="2347">
        <v>6</v>
      </c>
    </row>
    <row r="22" spans="1:16" s="2342" customFormat="1" ht="16.5">
      <c r="D22" s="2329">
        <v>3</v>
      </c>
      <c r="E22" s="2451" t="s">
        <v>2360</v>
      </c>
      <c r="F22" s="2329" t="s">
        <v>2336</v>
      </c>
      <c r="G22" s="2350">
        <v>24</v>
      </c>
      <c r="H22" s="2350">
        <v>24</v>
      </c>
      <c r="I22" s="2311"/>
      <c r="J22" s="2311"/>
      <c r="K22" s="2337"/>
      <c r="M22" s="2339" t="s">
        <v>1914</v>
      </c>
      <c r="N22" s="2340" t="s">
        <v>5120</v>
      </c>
      <c r="O22" s="2346" t="s">
        <v>5121</v>
      </c>
      <c r="P22" s="2351">
        <v>1</v>
      </c>
    </row>
    <row r="23" spans="1:16" s="2338" customFormat="1" ht="16.5">
      <c r="A23" s="2342"/>
      <c r="B23" s="2342"/>
      <c r="D23" s="2329"/>
      <c r="E23" s="2348" t="s">
        <v>4923</v>
      </c>
      <c r="F23" s="2349" t="s">
        <v>858</v>
      </c>
      <c r="G23" s="2350">
        <v>8</v>
      </c>
      <c r="H23" s="2350">
        <v>8</v>
      </c>
      <c r="I23" s="2311"/>
      <c r="J23" s="2311"/>
      <c r="K23" s="2337"/>
      <c r="N23" s="2352"/>
    </row>
    <row r="24" spans="1:16" s="2338" customFormat="1" ht="16.5">
      <c r="A24" s="2342"/>
      <c r="B24" s="2342"/>
      <c r="D24" s="2329"/>
      <c r="E24" s="2348" t="s">
        <v>4924</v>
      </c>
      <c r="F24" s="2349" t="s">
        <v>858</v>
      </c>
      <c r="G24" s="2350">
        <v>0.18</v>
      </c>
      <c r="H24" s="2350">
        <v>0.18</v>
      </c>
      <c r="I24" s="2311"/>
      <c r="J24" s="2311"/>
      <c r="K24" s="2337"/>
      <c r="N24" s="2352"/>
    </row>
    <row r="25" spans="1:16" s="2342" customFormat="1" ht="16.5">
      <c r="D25" s="2329">
        <v>4</v>
      </c>
      <c r="E25" s="2451" t="s">
        <v>2372</v>
      </c>
      <c r="F25" s="2329" t="s">
        <v>2336</v>
      </c>
      <c r="G25" s="2350">
        <v>1</v>
      </c>
      <c r="H25" s="2350">
        <v>1</v>
      </c>
      <c r="I25" s="2311"/>
      <c r="J25" s="2311"/>
      <c r="K25" s="2337"/>
      <c r="N25" s="2353"/>
    </row>
    <row r="26" spans="1:16" s="2338" customFormat="1" ht="16.5">
      <c r="A26" s="2342"/>
      <c r="B26" s="2342"/>
      <c r="D26" s="2329"/>
      <c r="E26" s="2348" t="s">
        <v>4926</v>
      </c>
      <c r="F26" s="2349" t="s">
        <v>2256</v>
      </c>
      <c r="G26" s="2354">
        <v>180</v>
      </c>
      <c r="H26" s="2354">
        <v>180</v>
      </c>
      <c r="I26" s="2311"/>
      <c r="J26" s="2311"/>
      <c r="K26" s="2337"/>
      <c r="N26" s="2352"/>
    </row>
    <row r="27" spans="1:16" s="2338" customFormat="1" ht="16.5">
      <c r="A27" s="2342"/>
      <c r="B27" s="2342"/>
      <c r="D27" s="2329"/>
      <c r="E27" s="2348" t="s">
        <v>3025</v>
      </c>
      <c r="F27" s="2349" t="s">
        <v>858</v>
      </c>
      <c r="G27" s="2350">
        <v>0.33</v>
      </c>
      <c r="H27" s="2350">
        <v>0.33</v>
      </c>
      <c r="I27" s="2311"/>
      <c r="J27" s="2311"/>
      <c r="K27" s="2337"/>
      <c r="N27" s="2352"/>
    </row>
    <row r="28" spans="1:16" s="2338" customFormat="1" ht="16.5">
      <c r="A28" s="2342"/>
      <c r="B28" s="2342"/>
      <c r="D28" s="2329"/>
      <c r="E28" s="2348" t="s">
        <v>3021</v>
      </c>
      <c r="F28" s="2349" t="s">
        <v>858</v>
      </c>
      <c r="G28" s="2350">
        <v>0.52</v>
      </c>
      <c r="H28" s="2350">
        <v>0.52</v>
      </c>
      <c r="I28" s="2311"/>
      <c r="J28" s="2311"/>
      <c r="K28" s="2337"/>
      <c r="N28" s="2352"/>
    </row>
    <row r="29" spans="1:16" s="2338" customFormat="1" ht="16.5">
      <c r="A29" s="2342"/>
      <c r="B29" s="2342"/>
      <c r="D29" s="2329"/>
      <c r="E29" s="2348" t="s">
        <v>4923</v>
      </c>
      <c r="F29" s="2349" t="s">
        <v>858</v>
      </c>
      <c r="G29" s="2350">
        <v>0.99</v>
      </c>
      <c r="H29" s="2350">
        <v>0.99</v>
      </c>
      <c r="I29" s="2311"/>
      <c r="J29" s="2311"/>
      <c r="K29" s="2337"/>
      <c r="N29" s="2352"/>
    </row>
    <row r="30" spans="1:16" s="2338" customFormat="1" ht="16.5">
      <c r="A30" s="2342"/>
      <c r="B30" s="2342"/>
      <c r="D30" s="2329"/>
      <c r="E30" s="2348" t="s">
        <v>4927</v>
      </c>
      <c r="F30" s="2349" t="s">
        <v>858</v>
      </c>
      <c r="G30" s="2350">
        <v>0.82</v>
      </c>
      <c r="H30" s="2350">
        <v>0.82</v>
      </c>
      <c r="I30" s="2311"/>
      <c r="J30" s="2311"/>
      <c r="K30" s="2337"/>
      <c r="N30" s="2352"/>
    </row>
    <row r="31" spans="1:16" s="2338" customFormat="1" ht="16.5">
      <c r="A31" s="2342"/>
      <c r="B31" s="2342"/>
      <c r="C31" s="2342"/>
      <c r="D31" s="2329">
        <v>5</v>
      </c>
      <c r="E31" s="2451" t="s">
        <v>2373</v>
      </c>
      <c r="F31" s="2329" t="s">
        <v>2336</v>
      </c>
      <c r="G31" s="2350">
        <v>7</v>
      </c>
      <c r="H31" s="2350">
        <v>7</v>
      </c>
      <c r="I31" s="2311"/>
      <c r="J31" s="2311"/>
      <c r="K31" s="2337"/>
      <c r="N31" s="2352"/>
    </row>
    <row r="32" spans="1:16" s="2338" customFormat="1" ht="16.5">
      <c r="A32" s="2342"/>
      <c r="B32" s="2342"/>
      <c r="D32" s="2329"/>
      <c r="E32" s="2348" t="s">
        <v>4926</v>
      </c>
      <c r="F32" s="2349" t="s">
        <v>2256</v>
      </c>
      <c r="G32" s="2315">
        <v>1701</v>
      </c>
      <c r="H32" s="2315">
        <v>1701</v>
      </c>
      <c r="I32" s="2311"/>
      <c r="J32" s="2311"/>
      <c r="K32" s="2337"/>
      <c r="N32" s="2352"/>
    </row>
    <row r="33" spans="1:14" s="2338" customFormat="1" ht="16.5">
      <c r="A33" s="2342"/>
      <c r="B33" s="2342"/>
      <c r="D33" s="2329"/>
      <c r="E33" s="2348" t="s">
        <v>3025</v>
      </c>
      <c r="F33" s="2349" t="s">
        <v>858</v>
      </c>
      <c r="G33" s="2316">
        <v>2.9750000000000001</v>
      </c>
      <c r="H33" s="2316">
        <v>2.9750000000000001</v>
      </c>
      <c r="I33" s="2311"/>
      <c r="J33" s="2311"/>
      <c r="K33" s="2337"/>
      <c r="N33" s="2352"/>
    </row>
    <row r="34" spans="1:14" s="2338" customFormat="1" ht="16.5">
      <c r="A34" s="2342"/>
      <c r="B34" s="2342"/>
      <c r="D34" s="2329"/>
      <c r="E34" s="2348" t="s">
        <v>3021</v>
      </c>
      <c r="F34" s="2349" t="s">
        <v>858</v>
      </c>
      <c r="G34" s="2317">
        <v>5.39</v>
      </c>
      <c r="H34" s="2317">
        <v>5.39</v>
      </c>
      <c r="I34" s="2311"/>
      <c r="J34" s="2311"/>
      <c r="K34" s="2337"/>
      <c r="N34" s="2352"/>
    </row>
    <row r="35" spans="1:14" s="2338" customFormat="1" ht="16.5">
      <c r="A35" s="2342"/>
      <c r="B35" s="2342"/>
      <c r="D35" s="2355"/>
      <c r="E35" s="2356" t="s">
        <v>4923</v>
      </c>
      <c r="F35" s="2357" t="s">
        <v>858</v>
      </c>
      <c r="G35" s="2317">
        <v>11.58</v>
      </c>
      <c r="H35" s="2317">
        <v>11.58</v>
      </c>
      <c r="I35" s="2311"/>
      <c r="J35" s="2311"/>
      <c r="K35" s="2337"/>
      <c r="N35" s="2352"/>
    </row>
    <row r="36" spans="1:14" s="2338" customFormat="1" ht="16.5">
      <c r="A36" s="2342"/>
      <c r="B36" s="2342"/>
      <c r="D36" s="2355"/>
      <c r="E36" s="2356" t="s">
        <v>4927</v>
      </c>
      <c r="F36" s="2357" t="s">
        <v>858</v>
      </c>
      <c r="G36" s="2350">
        <v>6.8040000000000003</v>
      </c>
      <c r="H36" s="2350">
        <v>6.8040000000000003</v>
      </c>
      <c r="I36" s="2311"/>
      <c r="J36" s="2311"/>
      <c r="K36" s="2337"/>
      <c r="N36" s="2352"/>
    </row>
    <row r="37" spans="1:14" s="2338" customFormat="1" ht="16.5">
      <c r="A37" s="2342"/>
      <c r="B37" s="2342"/>
      <c r="C37" s="2342"/>
      <c r="D37" s="2329">
        <v>6</v>
      </c>
      <c r="E37" s="2451" t="s">
        <v>4928</v>
      </c>
      <c r="F37" s="2329" t="s">
        <v>2394</v>
      </c>
      <c r="G37" s="2354">
        <v>1</v>
      </c>
      <c r="H37" s="2354">
        <v>1</v>
      </c>
      <c r="I37" s="2311"/>
      <c r="J37" s="2311"/>
      <c r="K37" s="2337"/>
      <c r="N37" s="2352"/>
    </row>
    <row r="38" spans="1:14" s="2338" customFormat="1" ht="16.5">
      <c r="A38" s="2342"/>
      <c r="B38" s="2342"/>
      <c r="D38" s="2329"/>
      <c r="E38" s="2348" t="s">
        <v>2711</v>
      </c>
      <c r="F38" s="2349" t="s">
        <v>2256</v>
      </c>
      <c r="G38" s="2350">
        <v>2.2400000000000002</v>
      </c>
      <c r="H38" s="2350">
        <v>2.2400000000000002</v>
      </c>
      <c r="I38" s="2311"/>
      <c r="J38" s="2311"/>
      <c r="K38" s="2337"/>
      <c r="N38" s="2352"/>
    </row>
    <row r="39" spans="1:14" s="2338" customFormat="1" ht="16.5">
      <c r="A39" s="2342"/>
      <c r="B39" s="2342"/>
      <c r="D39" s="2329"/>
      <c r="E39" s="2348" t="s">
        <v>4930</v>
      </c>
      <c r="F39" s="2349" t="s">
        <v>2448</v>
      </c>
      <c r="G39" s="2350">
        <v>1</v>
      </c>
      <c r="H39" s="2350">
        <v>1</v>
      </c>
      <c r="I39" s="2311"/>
      <c r="J39" s="2311"/>
      <c r="K39" s="2337"/>
      <c r="N39" s="2352"/>
    </row>
    <row r="40" spans="1:14" s="2338" customFormat="1" ht="16.5">
      <c r="A40" s="2342"/>
      <c r="B40" s="2342"/>
      <c r="D40" s="2329"/>
      <c r="E40" s="2348" t="s">
        <v>2899</v>
      </c>
      <c r="F40" s="2349" t="s">
        <v>2566</v>
      </c>
      <c r="G40" s="2350">
        <v>2</v>
      </c>
      <c r="H40" s="2350">
        <v>2</v>
      </c>
      <c r="I40" s="2311"/>
      <c r="J40" s="2311"/>
      <c r="K40" s="2337"/>
      <c r="N40" s="2352"/>
    </row>
    <row r="41" spans="1:14" s="2338" customFormat="1" ht="16.5">
      <c r="A41" s="2342"/>
      <c r="B41" s="2342"/>
      <c r="D41" s="2329"/>
      <c r="E41" s="2348" t="s">
        <v>3172</v>
      </c>
      <c r="F41" s="2349" t="s">
        <v>2256</v>
      </c>
      <c r="G41" s="2350">
        <v>2.2400000000000002</v>
      </c>
      <c r="H41" s="2350">
        <v>2.2400000000000002</v>
      </c>
      <c r="I41" s="2311"/>
      <c r="J41" s="2311"/>
      <c r="K41" s="2337"/>
      <c r="N41" s="2352"/>
    </row>
    <row r="42" spans="1:14" s="2338" customFormat="1" ht="16.5">
      <c r="A42" s="2342"/>
      <c r="B42" s="2342"/>
      <c r="D42" s="2329"/>
      <c r="E42" s="2348" t="s">
        <v>4931</v>
      </c>
      <c r="F42" s="2349" t="s">
        <v>2286</v>
      </c>
      <c r="G42" s="2350">
        <v>1</v>
      </c>
      <c r="H42" s="2350">
        <v>1</v>
      </c>
      <c r="I42" s="2311"/>
      <c r="J42" s="2311"/>
      <c r="K42" s="2337"/>
      <c r="N42" s="2352"/>
    </row>
    <row r="43" spans="1:14" s="2338" customFormat="1" ht="16.5">
      <c r="A43" s="2342"/>
      <c r="B43" s="2342"/>
      <c r="C43" s="2342"/>
      <c r="D43" s="2329">
        <v>7</v>
      </c>
      <c r="E43" s="2451" t="s">
        <v>2400</v>
      </c>
      <c r="F43" s="2329" t="s">
        <v>2394</v>
      </c>
      <c r="G43" s="2350">
        <v>11</v>
      </c>
      <c r="H43" s="2350">
        <v>11</v>
      </c>
      <c r="I43" s="2311"/>
      <c r="J43" s="2311"/>
      <c r="K43" s="2337"/>
      <c r="N43" s="2352"/>
    </row>
    <row r="44" spans="1:14" s="2338" customFormat="1" ht="16.5">
      <c r="A44" s="2342"/>
      <c r="B44" s="2342"/>
      <c r="D44" s="2329"/>
      <c r="E44" s="2348" t="s">
        <v>2711</v>
      </c>
      <c r="F44" s="2349" t="s">
        <v>2256</v>
      </c>
      <c r="G44" s="2350">
        <v>24.64</v>
      </c>
      <c r="H44" s="2350">
        <v>24.64</v>
      </c>
      <c r="I44" s="2311"/>
      <c r="J44" s="2311"/>
      <c r="K44" s="2337"/>
      <c r="N44" s="2352"/>
    </row>
    <row r="45" spans="1:14" s="2338" customFormat="1" ht="16.5">
      <c r="A45" s="2342"/>
      <c r="B45" s="2342"/>
      <c r="D45" s="2329"/>
      <c r="E45" s="2348" t="s">
        <v>4930</v>
      </c>
      <c r="F45" s="2349" t="s">
        <v>2448</v>
      </c>
      <c r="G45" s="2350">
        <v>11</v>
      </c>
      <c r="H45" s="2350">
        <v>11</v>
      </c>
      <c r="I45" s="2311"/>
      <c r="J45" s="2311"/>
      <c r="K45" s="2337"/>
      <c r="N45" s="2352"/>
    </row>
    <row r="46" spans="1:14" s="2338" customFormat="1" ht="16.5">
      <c r="A46" s="2342"/>
      <c r="B46" s="2342"/>
      <c r="D46" s="2329"/>
      <c r="E46" s="2348" t="s">
        <v>2892</v>
      </c>
      <c r="F46" s="2349" t="s">
        <v>2566</v>
      </c>
      <c r="G46" s="2350">
        <v>22</v>
      </c>
      <c r="H46" s="2350">
        <v>22</v>
      </c>
      <c r="I46" s="2311"/>
      <c r="J46" s="2311"/>
      <c r="K46" s="2337"/>
      <c r="N46" s="2352"/>
    </row>
    <row r="47" spans="1:14" s="2338" customFormat="1" ht="16.5">
      <c r="A47" s="2342"/>
      <c r="B47" s="2342"/>
      <c r="D47" s="2329"/>
      <c r="E47" s="2348" t="s">
        <v>3172</v>
      </c>
      <c r="F47" s="2349" t="s">
        <v>2256</v>
      </c>
      <c r="G47" s="2350">
        <v>2.2400000000000002</v>
      </c>
      <c r="H47" s="2350">
        <v>2.2400000000000002</v>
      </c>
      <c r="I47" s="2311"/>
      <c r="J47" s="2311"/>
      <c r="K47" s="2337"/>
      <c r="N47" s="2352"/>
    </row>
    <row r="48" spans="1:14" s="2338" customFormat="1" ht="16.5">
      <c r="A48" s="2342"/>
      <c r="B48" s="2342"/>
      <c r="D48" s="2329"/>
      <c r="E48" s="2348" t="s">
        <v>4931</v>
      </c>
      <c r="F48" s="2349" t="s">
        <v>2286</v>
      </c>
      <c r="G48" s="2354">
        <v>1</v>
      </c>
      <c r="H48" s="2354">
        <v>1</v>
      </c>
      <c r="I48" s="2311"/>
      <c r="J48" s="2311"/>
      <c r="K48" s="2337"/>
      <c r="N48" s="2352"/>
    </row>
    <row r="49" spans="1:14" s="2338" customFormat="1" ht="16.5">
      <c r="A49" s="2342"/>
      <c r="B49" s="2342"/>
      <c r="C49" s="2342"/>
      <c r="D49" s="2329">
        <v>8</v>
      </c>
      <c r="E49" s="2451" t="s">
        <v>4932</v>
      </c>
      <c r="F49" s="2349" t="s">
        <v>2394</v>
      </c>
      <c r="G49" s="2350">
        <v>0</v>
      </c>
      <c r="H49" s="2350">
        <v>0</v>
      </c>
      <c r="I49" s="2311"/>
      <c r="J49" s="2311"/>
      <c r="K49" s="2337"/>
      <c r="N49" s="2352"/>
    </row>
    <row r="50" spans="1:14" s="2338" customFormat="1" ht="16.5">
      <c r="A50" s="2342"/>
      <c r="B50" s="2342"/>
      <c r="D50" s="2329"/>
      <c r="E50" s="2348" t="s">
        <v>3089</v>
      </c>
      <c r="F50" s="2349" t="s">
        <v>858</v>
      </c>
      <c r="G50" s="2350">
        <v>0.33</v>
      </c>
      <c r="H50" s="2350">
        <v>0.33</v>
      </c>
      <c r="I50" s="2311"/>
      <c r="J50" s="2311"/>
      <c r="K50" s="2337"/>
      <c r="N50" s="2352"/>
    </row>
    <row r="51" spans="1:14" s="2338" customFormat="1" ht="16.5">
      <c r="A51" s="2342"/>
      <c r="B51" s="2342"/>
      <c r="D51" s="2329"/>
      <c r="E51" s="2348" t="s">
        <v>4933</v>
      </c>
      <c r="F51" s="2349" t="s">
        <v>858</v>
      </c>
      <c r="G51" s="2350">
        <v>0.3</v>
      </c>
      <c r="H51" s="2350">
        <v>0.3</v>
      </c>
      <c r="I51" s="2311"/>
      <c r="J51" s="2311"/>
      <c r="K51" s="2337"/>
      <c r="N51" s="2352"/>
    </row>
    <row r="52" spans="1:14" s="2338" customFormat="1" ht="16.5">
      <c r="A52" s="2342"/>
      <c r="B52" s="2342"/>
      <c r="C52" s="2342"/>
      <c r="D52" s="2329" t="s">
        <v>1620</v>
      </c>
      <c r="E52" s="2451" t="s">
        <v>4934</v>
      </c>
      <c r="F52" s="2349"/>
      <c r="G52" s="2350"/>
      <c r="H52" s="2350"/>
      <c r="I52" s="2311"/>
      <c r="J52" s="2311"/>
      <c r="K52" s="2337"/>
      <c r="N52" s="2352"/>
    </row>
    <row r="53" spans="1:14" s="2338" customFormat="1" ht="16.5">
      <c r="A53" s="2342"/>
      <c r="B53" s="2342"/>
      <c r="C53" s="2342"/>
      <c r="D53" s="2329">
        <v>9</v>
      </c>
      <c r="E53" s="2451" t="s">
        <v>4935</v>
      </c>
      <c r="F53" s="2329" t="s">
        <v>2285</v>
      </c>
      <c r="G53" s="2350">
        <v>13</v>
      </c>
      <c r="H53" s="2350">
        <v>13</v>
      </c>
      <c r="I53" s="2311"/>
      <c r="J53" s="2311"/>
      <c r="K53" s="2337"/>
      <c r="N53" s="2352"/>
    </row>
    <row r="54" spans="1:14" s="2338" customFormat="1" ht="16.5">
      <c r="A54" s="2342"/>
      <c r="B54" s="2342"/>
      <c r="D54" s="2329"/>
      <c r="E54" s="2348" t="s">
        <v>3007</v>
      </c>
      <c r="F54" s="2349" t="s">
        <v>2842</v>
      </c>
      <c r="G54" s="2350">
        <v>13</v>
      </c>
      <c r="H54" s="2350">
        <v>13</v>
      </c>
      <c r="I54" s="2311"/>
      <c r="J54" s="2311"/>
      <c r="K54" s="2337"/>
      <c r="N54" s="2352"/>
    </row>
    <row r="55" spans="1:14" s="2338" customFormat="1" ht="16.5">
      <c r="A55" s="2342"/>
      <c r="B55" s="2342"/>
      <c r="D55" s="2329"/>
      <c r="E55" s="2348" t="s">
        <v>2841</v>
      </c>
      <c r="F55" s="2349" t="s">
        <v>2842</v>
      </c>
      <c r="G55" s="2350">
        <v>13</v>
      </c>
      <c r="H55" s="2350">
        <v>13</v>
      </c>
      <c r="I55" s="2311"/>
      <c r="J55" s="2311"/>
      <c r="K55" s="2337"/>
      <c r="N55" s="2352"/>
    </row>
    <row r="56" spans="1:14" s="2338" customFormat="1" ht="16.5">
      <c r="A56" s="2342"/>
      <c r="B56" s="2342"/>
      <c r="D56" s="2329"/>
      <c r="E56" s="2358" t="s">
        <v>3182</v>
      </c>
      <c r="F56" s="2359" t="s">
        <v>2842</v>
      </c>
      <c r="G56" s="2350">
        <v>13</v>
      </c>
      <c r="H56" s="2350">
        <v>13</v>
      </c>
      <c r="I56" s="2311"/>
      <c r="J56" s="2311"/>
      <c r="K56" s="2337"/>
      <c r="N56" s="2352"/>
    </row>
    <row r="57" spans="1:14" s="2338" customFormat="1" ht="16.5">
      <c r="A57" s="2342"/>
      <c r="B57" s="2342"/>
      <c r="C57" s="2342"/>
      <c r="D57" s="2329">
        <v>10</v>
      </c>
      <c r="E57" s="2451" t="s">
        <v>4936</v>
      </c>
      <c r="F57" s="2329" t="s">
        <v>2285</v>
      </c>
      <c r="G57" s="2350">
        <v>23</v>
      </c>
      <c r="H57" s="2350">
        <v>23</v>
      </c>
      <c r="I57" s="2311"/>
      <c r="J57" s="2311"/>
      <c r="K57" s="2337"/>
      <c r="N57" s="2352"/>
    </row>
    <row r="58" spans="1:14" s="2338" customFormat="1" ht="16.5">
      <c r="A58" s="2342"/>
      <c r="B58" s="2342"/>
      <c r="D58" s="2329"/>
      <c r="E58" s="2356" t="s">
        <v>4687</v>
      </c>
      <c r="F58" s="2357" t="s">
        <v>2842</v>
      </c>
      <c r="G58" s="2350">
        <v>23</v>
      </c>
      <c r="H58" s="2350">
        <v>23</v>
      </c>
      <c r="I58" s="2311"/>
      <c r="J58" s="2311"/>
      <c r="K58" s="2337"/>
      <c r="N58" s="2352"/>
    </row>
    <row r="59" spans="1:14" s="2338" customFormat="1" ht="16.5">
      <c r="A59" s="2342"/>
      <c r="B59" s="2342"/>
      <c r="D59" s="2329"/>
      <c r="E59" s="2356" t="s">
        <v>2841</v>
      </c>
      <c r="F59" s="2357" t="s">
        <v>2842</v>
      </c>
      <c r="G59" s="2350">
        <v>23</v>
      </c>
      <c r="H59" s="2350">
        <v>23</v>
      </c>
      <c r="I59" s="2311"/>
      <c r="J59" s="2311"/>
      <c r="K59" s="2337"/>
      <c r="N59" s="2352"/>
    </row>
    <row r="60" spans="1:14" s="2338" customFormat="1" ht="16.5">
      <c r="A60" s="2342"/>
      <c r="B60" s="2342"/>
      <c r="D60" s="2329"/>
      <c r="E60" s="2356" t="s">
        <v>3185</v>
      </c>
      <c r="F60" s="2357" t="s">
        <v>2842</v>
      </c>
      <c r="G60" s="2350">
        <v>23</v>
      </c>
      <c r="H60" s="2350">
        <v>23</v>
      </c>
      <c r="I60" s="2311"/>
      <c r="J60" s="2311"/>
      <c r="K60" s="2337"/>
      <c r="N60" s="2352"/>
    </row>
    <row r="61" spans="1:14" s="2338" customFormat="1" ht="16.5">
      <c r="A61" s="2342"/>
      <c r="B61" s="2342"/>
      <c r="C61" s="2342"/>
      <c r="D61" s="2329" t="s">
        <v>1914</v>
      </c>
      <c r="E61" s="2451" t="s">
        <v>4937</v>
      </c>
      <c r="F61" s="2349"/>
      <c r="G61" s="2315"/>
      <c r="H61" s="2315"/>
      <c r="I61" s="2311"/>
      <c r="J61" s="2311"/>
      <c r="K61" s="2337"/>
      <c r="N61" s="2352"/>
    </row>
    <row r="62" spans="1:14" s="2338" customFormat="1" ht="16.5">
      <c r="A62" s="2342"/>
      <c r="B62" s="2342"/>
      <c r="C62" s="2342"/>
      <c r="D62" s="2329">
        <v>11</v>
      </c>
      <c r="E62" s="2451" t="s">
        <v>4356</v>
      </c>
      <c r="F62" s="2360"/>
      <c r="G62" s="2315">
        <v>1</v>
      </c>
      <c r="H62" s="2315">
        <v>1</v>
      </c>
      <c r="I62" s="2311"/>
      <c r="J62" s="2311"/>
      <c r="K62" s="2337"/>
      <c r="N62" s="2352"/>
    </row>
    <row r="63" spans="1:14" s="2338" customFormat="1" ht="16.5">
      <c r="A63" s="2342"/>
      <c r="B63" s="2342"/>
      <c r="D63" s="2329"/>
      <c r="E63" s="2348" t="s">
        <v>4938</v>
      </c>
      <c r="F63" s="2349" t="s">
        <v>2566</v>
      </c>
      <c r="G63" s="2315">
        <v>2</v>
      </c>
      <c r="H63" s="2315">
        <v>2</v>
      </c>
      <c r="I63" s="2311"/>
      <c r="J63" s="2311"/>
      <c r="K63" s="2337"/>
      <c r="N63" s="2352"/>
    </row>
    <row r="64" spans="1:14" s="2338" customFormat="1" ht="16.5">
      <c r="A64" s="2342"/>
      <c r="B64" s="2342"/>
      <c r="D64" s="2329"/>
      <c r="E64" s="2348" t="s">
        <v>4939</v>
      </c>
      <c r="F64" s="2349" t="s">
        <v>2566</v>
      </c>
      <c r="G64" s="2315">
        <v>4</v>
      </c>
      <c r="H64" s="2315">
        <v>4</v>
      </c>
      <c r="I64" s="2311"/>
      <c r="J64" s="2311"/>
      <c r="K64" s="2337"/>
      <c r="N64" s="2352"/>
    </row>
    <row r="65" spans="1:14" s="2338" customFormat="1" ht="16.5">
      <c r="A65" s="2342"/>
      <c r="B65" s="2342"/>
      <c r="D65" s="2329"/>
      <c r="E65" s="2348" t="s">
        <v>2660</v>
      </c>
      <c r="F65" s="2349" t="s">
        <v>2448</v>
      </c>
      <c r="G65" s="2315">
        <v>2</v>
      </c>
      <c r="H65" s="2315">
        <v>2</v>
      </c>
      <c r="I65" s="2311"/>
      <c r="J65" s="2311"/>
      <c r="K65" s="2337"/>
      <c r="N65" s="2352"/>
    </row>
    <row r="66" spans="1:14" s="2338" customFormat="1" ht="16.5">
      <c r="A66" s="2342"/>
      <c r="B66" s="2342"/>
      <c r="D66" s="2329"/>
      <c r="E66" s="2348" t="s">
        <v>2671</v>
      </c>
      <c r="F66" s="2349" t="s">
        <v>2448</v>
      </c>
      <c r="G66" s="2315">
        <v>4</v>
      </c>
      <c r="H66" s="2315">
        <v>4</v>
      </c>
      <c r="I66" s="2311"/>
      <c r="J66" s="2311"/>
      <c r="K66" s="2337"/>
      <c r="N66" s="2352"/>
    </row>
    <row r="67" spans="1:14" s="2338" customFormat="1" ht="16.5">
      <c r="A67" s="2342"/>
      <c r="B67" s="2342"/>
      <c r="D67" s="2329"/>
      <c r="E67" s="2348" t="s">
        <v>2648</v>
      </c>
      <c r="F67" s="2349" t="s">
        <v>2448</v>
      </c>
      <c r="G67" s="2315">
        <v>4</v>
      </c>
      <c r="H67" s="2315">
        <v>4</v>
      </c>
      <c r="I67" s="2311"/>
      <c r="J67" s="2311"/>
      <c r="K67" s="2337"/>
      <c r="N67" s="2352"/>
    </row>
    <row r="68" spans="1:14" s="2338" customFormat="1" ht="16.5">
      <c r="A68" s="2342"/>
      <c r="B68" s="2342"/>
      <c r="D68" s="2361"/>
      <c r="E68" s="2348" t="s">
        <v>4940</v>
      </c>
      <c r="F68" s="2349" t="s">
        <v>2448</v>
      </c>
      <c r="G68" s="2315">
        <v>1</v>
      </c>
      <c r="H68" s="2315">
        <v>1</v>
      </c>
      <c r="I68" s="2311"/>
      <c r="J68" s="2311"/>
      <c r="K68" s="2337"/>
      <c r="N68" s="2352"/>
    </row>
    <row r="69" spans="1:14" s="2338" customFormat="1" ht="16.5">
      <c r="A69" s="2342"/>
      <c r="B69" s="2342"/>
      <c r="C69" s="2342"/>
      <c r="D69" s="2329">
        <v>12</v>
      </c>
      <c r="E69" s="2451" t="s">
        <v>4941</v>
      </c>
      <c r="F69" s="2329" t="s">
        <v>2394</v>
      </c>
      <c r="G69" s="2315">
        <v>1</v>
      </c>
      <c r="H69" s="2315">
        <v>1</v>
      </c>
      <c r="I69" s="2311"/>
      <c r="J69" s="2311"/>
      <c r="K69" s="2337"/>
      <c r="N69" s="2352"/>
    </row>
    <row r="70" spans="1:14" s="2338" customFormat="1" ht="16.5">
      <c r="A70" s="2342"/>
      <c r="B70" s="2342"/>
      <c r="D70" s="2329"/>
      <c r="E70" s="2348" t="s">
        <v>4938</v>
      </c>
      <c r="F70" s="2349" t="s">
        <v>2566</v>
      </c>
      <c r="G70" s="2315">
        <v>2</v>
      </c>
      <c r="H70" s="2315">
        <v>2</v>
      </c>
      <c r="I70" s="2311"/>
      <c r="J70" s="2311"/>
      <c r="K70" s="2337"/>
      <c r="N70" s="2352"/>
    </row>
    <row r="71" spans="1:14" s="2338" customFormat="1" ht="16.5">
      <c r="A71" s="2342"/>
      <c r="B71" s="2342"/>
      <c r="D71" s="2329"/>
      <c r="E71" s="2348" t="s">
        <v>4939</v>
      </c>
      <c r="F71" s="2349" t="s">
        <v>2566</v>
      </c>
      <c r="G71" s="2315">
        <v>4</v>
      </c>
      <c r="H71" s="2315">
        <v>4</v>
      </c>
      <c r="I71" s="2311"/>
      <c r="J71" s="2311"/>
      <c r="K71" s="2337"/>
      <c r="N71" s="2352"/>
    </row>
    <row r="72" spans="1:14" s="2338" customFormat="1" ht="16.5">
      <c r="A72" s="2342"/>
      <c r="B72" s="2342"/>
      <c r="D72" s="2329"/>
      <c r="E72" s="2348" t="s">
        <v>2665</v>
      </c>
      <c r="F72" s="2349" t="s">
        <v>2448</v>
      </c>
      <c r="G72" s="2315">
        <v>2</v>
      </c>
      <c r="H72" s="2315">
        <v>2</v>
      </c>
      <c r="I72" s="2311"/>
      <c r="J72" s="2311"/>
      <c r="K72" s="2337"/>
      <c r="N72" s="2352"/>
    </row>
    <row r="73" spans="1:14" s="2338" customFormat="1" ht="16.5">
      <c r="A73" s="2342"/>
      <c r="B73" s="2342"/>
      <c r="D73" s="2329"/>
      <c r="E73" s="2348" t="s">
        <v>2675</v>
      </c>
      <c r="F73" s="2349" t="s">
        <v>2448</v>
      </c>
      <c r="G73" s="2315">
        <v>4</v>
      </c>
      <c r="H73" s="2315">
        <v>4</v>
      </c>
      <c r="I73" s="2311"/>
      <c r="J73" s="2311"/>
      <c r="K73" s="2337"/>
      <c r="N73" s="2352"/>
    </row>
    <row r="74" spans="1:14" s="2338" customFormat="1" ht="16.5">
      <c r="A74" s="2342"/>
      <c r="B74" s="2342"/>
      <c r="D74" s="2329"/>
      <c r="E74" s="2348" t="s">
        <v>2648</v>
      </c>
      <c r="F74" s="2349" t="s">
        <v>2448</v>
      </c>
      <c r="G74" s="2350">
        <v>4</v>
      </c>
      <c r="H74" s="2350">
        <v>4</v>
      </c>
      <c r="I74" s="2311"/>
      <c r="J74" s="2311"/>
      <c r="K74" s="2337"/>
      <c r="N74" s="2352"/>
    </row>
    <row r="75" spans="1:14" s="2338" customFormat="1" ht="16.5">
      <c r="A75" s="2342"/>
      <c r="B75" s="2342"/>
      <c r="D75" s="2361"/>
      <c r="E75" s="2348" t="s">
        <v>4940</v>
      </c>
      <c r="F75" s="2349" t="s">
        <v>2448</v>
      </c>
      <c r="G75" s="2315">
        <v>1</v>
      </c>
      <c r="H75" s="2315">
        <v>1</v>
      </c>
      <c r="I75" s="2311"/>
      <c r="J75" s="2311"/>
      <c r="K75" s="2337"/>
      <c r="N75" s="2352"/>
    </row>
    <row r="76" spans="1:14" s="2338" customFormat="1" ht="16.5">
      <c r="A76" s="2342"/>
      <c r="B76" s="2342"/>
      <c r="C76" s="2342"/>
      <c r="D76" s="2329">
        <v>13</v>
      </c>
      <c r="E76" s="2451" t="s">
        <v>2439</v>
      </c>
      <c r="F76" s="2329" t="s">
        <v>2394</v>
      </c>
      <c r="G76" s="2315">
        <v>28</v>
      </c>
      <c r="H76" s="2315">
        <v>28</v>
      </c>
      <c r="I76" s="2311"/>
      <c r="J76" s="2311"/>
      <c r="K76" s="2337"/>
      <c r="N76" s="2352"/>
    </row>
    <row r="77" spans="1:14" s="2338" customFormat="1" ht="16.5">
      <c r="A77" s="2342"/>
      <c r="B77" s="2342"/>
      <c r="D77" s="2329"/>
      <c r="E77" s="2348" t="s">
        <v>4942</v>
      </c>
      <c r="F77" s="2349" t="s">
        <v>2566</v>
      </c>
      <c r="G77" s="2315">
        <v>28</v>
      </c>
      <c r="H77" s="2315">
        <v>28</v>
      </c>
      <c r="I77" s="2311"/>
      <c r="J77" s="2311"/>
      <c r="K77" s="2337"/>
      <c r="N77" s="2352"/>
    </row>
    <row r="78" spans="1:14" s="2338" customFormat="1" ht="16.5">
      <c r="A78" s="2342"/>
      <c r="B78" s="2342"/>
      <c r="D78" s="2329"/>
      <c r="E78" s="2348" t="s">
        <v>4943</v>
      </c>
      <c r="F78" s="2349" t="s">
        <v>2566</v>
      </c>
      <c r="G78" s="2315">
        <v>28</v>
      </c>
      <c r="H78" s="2315">
        <v>28</v>
      </c>
      <c r="I78" s="2311"/>
      <c r="J78" s="2311"/>
      <c r="K78" s="2337"/>
      <c r="N78" s="2352"/>
    </row>
    <row r="79" spans="1:14" s="2338" customFormat="1" ht="16.5">
      <c r="A79" s="2342"/>
      <c r="B79" s="2342"/>
      <c r="D79" s="2355"/>
      <c r="E79" s="2358" t="s">
        <v>4944</v>
      </c>
      <c r="F79" s="2359" t="s">
        <v>2256</v>
      </c>
      <c r="G79" s="2318">
        <v>1</v>
      </c>
      <c r="H79" s="2318">
        <v>1</v>
      </c>
      <c r="I79" s="2311"/>
      <c r="J79" s="2311"/>
      <c r="K79" s="2337"/>
      <c r="N79" s="2352"/>
    </row>
    <row r="80" spans="1:14" s="2338" customFormat="1" ht="16.5">
      <c r="A80" s="2342"/>
      <c r="B80" s="2342"/>
      <c r="D80" s="2329"/>
      <c r="E80" s="2348" t="s">
        <v>2660</v>
      </c>
      <c r="F80" s="2349" t="s">
        <v>2448</v>
      </c>
      <c r="G80" s="2315">
        <v>56</v>
      </c>
      <c r="H80" s="2315">
        <v>56</v>
      </c>
      <c r="I80" s="2311"/>
      <c r="J80" s="2311"/>
      <c r="K80" s="2337"/>
      <c r="N80" s="2352"/>
    </row>
    <row r="81" spans="1:14" s="2338" customFormat="1" ht="16.5">
      <c r="A81" s="2342"/>
      <c r="B81" s="2342"/>
      <c r="D81" s="2329"/>
      <c r="E81" s="2348" t="s">
        <v>2648</v>
      </c>
      <c r="F81" s="2349" t="s">
        <v>2448</v>
      </c>
      <c r="G81" s="2315">
        <v>28</v>
      </c>
      <c r="H81" s="2315">
        <v>28</v>
      </c>
      <c r="I81" s="2311"/>
      <c r="J81" s="2311"/>
      <c r="K81" s="2337"/>
      <c r="N81" s="2352"/>
    </row>
    <row r="82" spans="1:14" s="2338" customFormat="1" ht="16.5">
      <c r="A82" s="2342"/>
      <c r="B82" s="2342"/>
      <c r="D82" s="2361"/>
      <c r="E82" s="2348" t="s">
        <v>4945</v>
      </c>
      <c r="F82" s="2349" t="s">
        <v>2448</v>
      </c>
      <c r="G82" s="2315">
        <v>1</v>
      </c>
      <c r="H82" s="2315">
        <v>1</v>
      </c>
      <c r="I82" s="2311"/>
      <c r="J82" s="2311"/>
      <c r="K82" s="2337"/>
      <c r="N82" s="2352"/>
    </row>
    <row r="83" spans="1:14" s="2338" customFormat="1" ht="16.5">
      <c r="A83" s="2342"/>
      <c r="B83" s="2342"/>
      <c r="C83" s="2342"/>
      <c r="D83" s="2329">
        <v>14</v>
      </c>
      <c r="E83" s="2451" t="s">
        <v>2440</v>
      </c>
      <c r="F83" s="2329" t="s">
        <v>2394</v>
      </c>
      <c r="G83" s="2350">
        <v>1</v>
      </c>
      <c r="H83" s="2350">
        <v>1</v>
      </c>
      <c r="I83" s="2311"/>
      <c r="J83" s="2311"/>
      <c r="K83" s="2337"/>
      <c r="N83" s="2352"/>
    </row>
    <row r="84" spans="1:14" s="2338" customFormat="1" ht="16.5">
      <c r="A84" s="2342"/>
      <c r="B84" s="2342"/>
      <c r="D84" s="2329"/>
      <c r="E84" s="2348" t="s">
        <v>4942</v>
      </c>
      <c r="F84" s="2349" t="s">
        <v>2566</v>
      </c>
      <c r="G84" s="2350">
        <v>2</v>
      </c>
      <c r="H84" s="2350">
        <v>2</v>
      </c>
      <c r="I84" s="2311"/>
      <c r="J84" s="2311"/>
      <c r="K84" s="2337"/>
      <c r="N84" s="2352"/>
    </row>
    <row r="85" spans="1:14" s="2338" customFormat="1" ht="16.5">
      <c r="A85" s="2342"/>
      <c r="B85" s="2342"/>
      <c r="D85" s="2329"/>
      <c r="E85" s="2348" t="s">
        <v>4943</v>
      </c>
      <c r="F85" s="2349" t="s">
        <v>2566</v>
      </c>
      <c r="G85" s="2350">
        <v>2</v>
      </c>
      <c r="H85" s="2350">
        <v>2</v>
      </c>
      <c r="I85" s="2311"/>
      <c r="J85" s="2311"/>
      <c r="K85" s="2337"/>
      <c r="N85" s="2352"/>
    </row>
    <row r="86" spans="1:14" s="2338" customFormat="1" ht="16.5">
      <c r="A86" s="2342"/>
      <c r="B86" s="2342"/>
      <c r="D86" s="2329"/>
      <c r="E86" s="2348" t="s">
        <v>2671</v>
      </c>
      <c r="F86" s="2349" t="s">
        <v>2448</v>
      </c>
      <c r="G86" s="2350">
        <v>3</v>
      </c>
      <c r="H86" s="2350">
        <v>3</v>
      </c>
      <c r="I86" s="2311"/>
      <c r="J86" s="2311"/>
      <c r="K86" s="2337"/>
      <c r="N86" s="2352"/>
    </row>
    <row r="87" spans="1:14" s="2338" customFormat="1" ht="16.5">
      <c r="A87" s="2342"/>
      <c r="B87" s="2342"/>
      <c r="D87" s="2329"/>
      <c r="E87" s="2348" t="s">
        <v>2660</v>
      </c>
      <c r="F87" s="2349" t="s">
        <v>2448</v>
      </c>
      <c r="G87" s="2350">
        <v>2</v>
      </c>
      <c r="H87" s="2350">
        <v>2</v>
      </c>
      <c r="I87" s="2311"/>
      <c r="J87" s="2311"/>
      <c r="K87" s="2337"/>
      <c r="N87" s="2352"/>
    </row>
    <row r="88" spans="1:14" s="2338" customFormat="1" ht="16.5">
      <c r="A88" s="2342"/>
      <c r="B88" s="2342"/>
      <c r="D88" s="2329"/>
      <c r="E88" s="2348" t="s">
        <v>2648</v>
      </c>
      <c r="F88" s="2349" t="s">
        <v>2448</v>
      </c>
      <c r="G88" s="2350">
        <v>2</v>
      </c>
      <c r="H88" s="2350">
        <v>2</v>
      </c>
      <c r="I88" s="2311"/>
      <c r="J88" s="2311"/>
      <c r="K88" s="2337"/>
      <c r="N88" s="2352"/>
    </row>
    <row r="89" spans="1:14" s="2338" customFormat="1" ht="16.5">
      <c r="A89" s="2342"/>
      <c r="B89" s="2342"/>
      <c r="D89" s="2361"/>
      <c r="E89" s="2348" t="s">
        <v>4946</v>
      </c>
      <c r="F89" s="2349" t="s">
        <v>2448</v>
      </c>
      <c r="G89" s="2350">
        <v>1</v>
      </c>
      <c r="H89" s="2350">
        <v>1</v>
      </c>
      <c r="I89" s="2311"/>
      <c r="J89" s="2311"/>
      <c r="K89" s="2337"/>
      <c r="N89" s="2352"/>
    </row>
    <row r="90" spans="1:14" s="2338" customFormat="1" ht="16.5">
      <c r="A90" s="2342"/>
      <c r="B90" s="2342"/>
      <c r="C90" s="2342"/>
      <c r="D90" s="2329">
        <v>15</v>
      </c>
      <c r="E90" s="2451" t="s">
        <v>4947</v>
      </c>
      <c r="F90" s="2329" t="s">
        <v>2394</v>
      </c>
      <c r="G90" s="2315">
        <v>1</v>
      </c>
      <c r="H90" s="2315">
        <v>1</v>
      </c>
      <c r="I90" s="2311"/>
      <c r="J90" s="2311"/>
      <c r="K90" s="2337"/>
      <c r="N90" s="2352"/>
    </row>
    <row r="91" spans="1:14" s="2338" customFormat="1" ht="16.5">
      <c r="A91" s="2342"/>
      <c r="B91" s="2342"/>
      <c r="D91" s="2329"/>
      <c r="E91" s="2348" t="s">
        <v>4948</v>
      </c>
      <c r="F91" s="2349" t="s">
        <v>2601</v>
      </c>
      <c r="G91" s="2319">
        <v>1</v>
      </c>
      <c r="H91" s="2319">
        <v>1</v>
      </c>
      <c r="I91" s="2311"/>
      <c r="J91" s="2311"/>
      <c r="K91" s="2337"/>
      <c r="N91" s="2352"/>
    </row>
    <row r="92" spans="1:14" s="2338" customFormat="1" ht="16.5">
      <c r="A92" s="2342"/>
      <c r="B92" s="2342"/>
      <c r="D92" s="2329"/>
      <c r="E92" s="2348" t="s">
        <v>4949</v>
      </c>
      <c r="F92" s="2349" t="s">
        <v>2601</v>
      </c>
      <c r="G92" s="2350">
        <v>1</v>
      </c>
      <c r="H92" s="2350">
        <v>1</v>
      </c>
      <c r="I92" s="2311"/>
      <c r="J92" s="2311"/>
      <c r="K92" s="2337"/>
      <c r="N92" s="2352"/>
    </row>
    <row r="93" spans="1:14" s="2338" customFormat="1" ht="16.5">
      <c r="A93" s="2342"/>
      <c r="B93" s="2342"/>
      <c r="D93" s="2329"/>
      <c r="E93" s="2348" t="s">
        <v>2663</v>
      </c>
      <c r="F93" s="2349" t="s">
        <v>2448</v>
      </c>
      <c r="G93" s="2350">
        <v>2</v>
      </c>
      <c r="H93" s="2350">
        <v>2</v>
      </c>
      <c r="I93" s="2311"/>
      <c r="J93" s="2311"/>
      <c r="K93" s="2337"/>
      <c r="N93" s="2352"/>
    </row>
    <row r="94" spans="1:14" s="2338" customFormat="1" ht="16.5">
      <c r="A94" s="2342"/>
      <c r="B94" s="2342"/>
      <c r="D94" s="2329"/>
      <c r="E94" s="2348" t="s">
        <v>2651</v>
      </c>
      <c r="F94" s="2349" t="s">
        <v>2448</v>
      </c>
      <c r="G94" s="2350">
        <v>1</v>
      </c>
      <c r="H94" s="2350">
        <v>1</v>
      </c>
      <c r="I94" s="2311"/>
      <c r="J94" s="2311"/>
      <c r="K94" s="2337"/>
      <c r="N94" s="2352"/>
    </row>
    <row r="95" spans="1:14" s="2338" customFormat="1" ht="16.5">
      <c r="A95" s="2342"/>
      <c r="B95" s="2342"/>
      <c r="D95" s="2329"/>
      <c r="E95" s="2348" t="s">
        <v>4950</v>
      </c>
      <c r="F95" s="2349" t="s">
        <v>2448</v>
      </c>
      <c r="G95" s="2350">
        <v>1</v>
      </c>
      <c r="H95" s="2350">
        <v>1</v>
      </c>
      <c r="I95" s="2311"/>
      <c r="J95" s="2311"/>
      <c r="K95" s="2337"/>
      <c r="N95" s="2352"/>
    </row>
    <row r="96" spans="1:14" s="2338" customFormat="1" ht="16.5">
      <c r="A96" s="2342"/>
      <c r="B96" s="2342"/>
      <c r="C96" s="2342"/>
      <c r="D96" s="2329" t="s">
        <v>1903</v>
      </c>
      <c r="E96" s="2451" t="s">
        <v>4951</v>
      </c>
      <c r="F96" s="2349"/>
      <c r="G96" s="2350"/>
      <c r="H96" s="2350"/>
      <c r="I96" s="2311"/>
      <c r="J96" s="2311"/>
      <c r="K96" s="2337"/>
      <c r="N96" s="2352"/>
    </row>
    <row r="97" spans="1:14" s="2338" customFormat="1" ht="16.5">
      <c r="A97" s="2342"/>
      <c r="B97" s="2342"/>
      <c r="C97" s="2342"/>
      <c r="D97" s="2361"/>
      <c r="E97" s="2451" t="s">
        <v>4952</v>
      </c>
      <c r="F97" s="2329" t="s">
        <v>2309</v>
      </c>
      <c r="G97" s="2350">
        <v>1</v>
      </c>
      <c r="H97" s="2350">
        <v>1</v>
      </c>
      <c r="I97" s="2311"/>
      <c r="J97" s="2311"/>
      <c r="K97" s="2337"/>
      <c r="N97" s="2352"/>
    </row>
    <row r="98" spans="1:14" s="2338" customFormat="1" ht="16.5">
      <c r="A98" s="2342"/>
      <c r="B98" s="2342"/>
      <c r="D98" s="2361"/>
      <c r="E98" s="2348" t="s">
        <v>4953</v>
      </c>
      <c r="F98" s="2349" t="s">
        <v>2541</v>
      </c>
      <c r="G98" s="2350">
        <v>3716</v>
      </c>
      <c r="H98" s="2350">
        <v>3716</v>
      </c>
      <c r="I98" s="2311"/>
      <c r="J98" s="2311"/>
      <c r="K98" s="2337"/>
      <c r="N98" s="2352"/>
    </row>
    <row r="99" spans="1:14" s="2338" customFormat="1" ht="16.5">
      <c r="A99" s="2342"/>
      <c r="B99" s="2342"/>
      <c r="D99" s="2329"/>
      <c r="E99" s="2348" t="s">
        <v>4954</v>
      </c>
      <c r="F99" s="2349" t="s">
        <v>2541</v>
      </c>
      <c r="G99" s="2350">
        <v>12</v>
      </c>
      <c r="H99" s="2350">
        <v>12</v>
      </c>
      <c r="I99" s="2311"/>
      <c r="J99" s="2311"/>
      <c r="K99" s="2337"/>
      <c r="N99" s="2352"/>
    </row>
    <row r="100" spans="1:14" s="2338" customFormat="1" ht="16.5">
      <c r="A100" s="2342"/>
      <c r="B100" s="2342"/>
      <c r="D100" s="2329"/>
      <c r="E100" s="2348" t="s">
        <v>3530</v>
      </c>
      <c r="F100" s="2349" t="s">
        <v>2541</v>
      </c>
      <c r="G100" s="2350">
        <v>490</v>
      </c>
      <c r="H100" s="2350">
        <v>490</v>
      </c>
      <c r="I100" s="2311"/>
      <c r="J100" s="2311"/>
      <c r="K100" s="2337"/>
      <c r="N100" s="2352"/>
    </row>
    <row r="101" spans="1:14" s="2338" customFormat="1" ht="16.5">
      <c r="A101" s="2342"/>
      <c r="B101" s="2342"/>
      <c r="C101" s="2342"/>
      <c r="D101" s="2329">
        <v>17</v>
      </c>
      <c r="E101" s="2451" t="s">
        <v>2542</v>
      </c>
      <c r="F101" s="2329" t="s">
        <v>2448</v>
      </c>
      <c r="G101" s="2350">
        <v>27</v>
      </c>
      <c r="H101" s="2350">
        <v>27</v>
      </c>
      <c r="I101" s="2311"/>
      <c r="J101" s="2311"/>
      <c r="K101" s="2337"/>
      <c r="N101" s="2352"/>
    </row>
    <row r="102" spans="1:14" s="2338" customFormat="1" ht="16.5">
      <c r="A102" s="2342"/>
      <c r="B102" s="2342"/>
      <c r="D102" s="2329"/>
      <c r="E102" s="2348" t="s">
        <v>2951</v>
      </c>
      <c r="F102" s="2349" t="s">
        <v>2448</v>
      </c>
      <c r="G102" s="2350">
        <v>27</v>
      </c>
      <c r="H102" s="2350">
        <v>27</v>
      </c>
      <c r="I102" s="2311"/>
      <c r="J102" s="2311"/>
      <c r="K102" s="2337"/>
      <c r="N102" s="2352"/>
    </row>
    <row r="103" spans="1:14" s="2338" customFormat="1" ht="16.5">
      <c r="A103" s="2342"/>
      <c r="B103" s="2342"/>
      <c r="D103" s="2329"/>
      <c r="E103" s="2348" t="s">
        <v>2660</v>
      </c>
      <c r="F103" s="2349" t="s">
        <v>2448</v>
      </c>
      <c r="G103" s="2350">
        <v>27</v>
      </c>
      <c r="H103" s="2350">
        <v>27</v>
      </c>
      <c r="I103" s="2311"/>
      <c r="J103" s="2311"/>
      <c r="K103" s="2337"/>
      <c r="N103" s="2352"/>
    </row>
    <row r="104" spans="1:14" s="2338" customFormat="1" ht="16.5">
      <c r="A104" s="2342"/>
      <c r="B104" s="2342"/>
      <c r="C104" s="2342"/>
      <c r="D104" s="2329">
        <v>18</v>
      </c>
      <c r="E104" s="2451" t="s">
        <v>2514</v>
      </c>
      <c r="F104" s="2329" t="s">
        <v>2448</v>
      </c>
      <c r="G104" s="2350">
        <v>89</v>
      </c>
      <c r="H104" s="2350">
        <v>89</v>
      </c>
      <c r="I104" s="2311"/>
      <c r="J104" s="2311"/>
      <c r="K104" s="2337"/>
      <c r="N104" s="2352"/>
    </row>
    <row r="105" spans="1:14" s="2338" customFormat="1" ht="16.5">
      <c r="A105" s="2342"/>
      <c r="B105" s="2342"/>
      <c r="D105" s="2329"/>
      <c r="E105" s="2348" t="s">
        <v>4955</v>
      </c>
      <c r="F105" s="2349" t="s">
        <v>2566</v>
      </c>
      <c r="G105" s="2350">
        <v>89</v>
      </c>
      <c r="H105" s="2350">
        <v>89</v>
      </c>
      <c r="I105" s="2311"/>
      <c r="J105" s="2311"/>
      <c r="K105" s="2337"/>
      <c r="N105" s="2352"/>
    </row>
    <row r="106" spans="1:14" s="2338" customFormat="1" ht="16.5">
      <c r="A106" s="2342"/>
      <c r="B106" s="2342"/>
      <c r="D106" s="2329"/>
      <c r="E106" s="2348" t="s">
        <v>4956</v>
      </c>
      <c r="F106" s="2349" t="s">
        <v>2566</v>
      </c>
      <c r="G106" s="2350">
        <v>89</v>
      </c>
      <c r="H106" s="2350">
        <v>89</v>
      </c>
      <c r="I106" s="2311"/>
      <c r="J106" s="2311"/>
      <c r="K106" s="2337"/>
      <c r="N106" s="2352"/>
    </row>
    <row r="107" spans="1:14" s="2338" customFormat="1" ht="16.5">
      <c r="A107" s="2342"/>
      <c r="B107" s="2342"/>
      <c r="C107" s="2342"/>
      <c r="D107" s="2329">
        <v>19</v>
      </c>
      <c r="E107" s="2451" t="s">
        <v>2525</v>
      </c>
      <c r="F107" s="2329" t="s">
        <v>2521</v>
      </c>
      <c r="G107" s="2350">
        <v>26</v>
      </c>
      <c r="H107" s="2350">
        <v>26</v>
      </c>
      <c r="I107" s="2311"/>
      <c r="J107" s="2311"/>
      <c r="K107" s="2337"/>
      <c r="N107" s="2352"/>
    </row>
    <row r="108" spans="1:14" s="2338" customFormat="1" ht="16.5">
      <c r="A108" s="2342"/>
      <c r="B108" s="2342"/>
      <c r="D108" s="2329"/>
      <c r="E108" s="2348" t="s">
        <v>2964</v>
      </c>
      <c r="F108" s="2349" t="s">
        <v>2521</v>
      </c>
      <c r="G108" s="2350">
        <v>26</v>
      </c>
      <c r="H108" s="2350">
        <v>26</v>
      </c>
      <c r="I108" s="2311"/>
      <c r="J108" s="2311"/>
      <c r="K108" s="2337"/>
      <c r="N108" s="2352"/>
    </row>
    <row r="109" spans="1:14" s="2338" customFormat="1" ht="16.5">
      <c r="A109" s="2342"/>
      <c r="B109" s="2342"/>
      <c r="D109" s="2329"/>
      <c r="E109" s="2348" t="s">
        <v>2932</v>
      </c>
      <c r="F109" s="2349" t="s">
        <v>2566</v>
      </c>
      <c r="G109" s="2350">
        <v>52</v>
      </c>
      <c r="H109" s="2350">
        <v>52</v>
      </c>
      <c r="I109" s="2311"/>
      <c r="J109" s="2311"/>
      <c r="K109" s="2337"/>
      <c r="N109" s="2352"/>
    </row>
    <row r="110" spans="1:14" s="2338" customFormat="1" ht="16.5">
      <c r="A110" s="2342"/>
      <c r="B110" s="2342"/>
      <c r="D110" s="2329"/>
      <c r="E110" s="2348" t="s">
        <v>4958</v>
      </c>
      <c r="F110" s="2349" t="s">
        <v>2448</v>
      </c>
      <c r="G110" s="2350">
        <v>26</v>
      </c>
      <c r="H110" s="2350">
        <v>26</v>
      </c>
      <c r="I110" s="2311"/>
      <c r="J110" s="2311"/>
      <c r="K110" s="2337"/>
      <c r="N110" s="2352"/>
    </row>
    <row r="111" spans="1:14" s="2338" customFormat="1" ht="16.5">
      <c r="A111" s="2342"/>
      <c r="B111" s="2342"/>
      <c r="D111" s="2329"/>
      <c r="E111" s="2348" t="s">
        <v>4959</v>
      </c>
      <c r="F111" s="2349" t="s">
        <v>4960</v>
      </c>
      <c r="G111" s="2350">
        <v>90</v>
      </c>
      <c r="H111" s="2350">
        <v>90</v>
      </c>
      <c r="I111" s="2311"/>
      <c r="J111" s="2311"/>
      <c r="K111" s="2337"/>
      <c r="N111" s="2352"/>
    </row>
    <row r="112" spans="1:14" s="2338" customFormat="1" ht="16.5">
      <c r="A112" s="2342"/>
      <c r="B112" s="2342"/>
      <c r="D112" s="2329"/>
      <c r="E112" s="2348" t="s">
        <v>4961</v>
      </c>
      <c r="F112" s="2349" t="s">
        <v>4960</v>
      </c>
      <c r="G112" s="2350">
        <v>6</v>
      </c>
      <c r="H112" s="2350">
        <v>6</v>
      </c>
      <c r="I112" s="2311"/>
      <c r="J112" s="2311"/>
      <c r="K112" s="2337"/>
      <c r="N112" s="2352"/>
    </row>
    <row r="113" spans="1:14" s="2338" customFormat="1" ht="16.5">
      <c r="A113" s="2342"/>
      <c r="B113" s="2342"/>
      <c r="D113" s="2329"/>
      <c r="E113" s="2348" t="s">
        <v>2892</v>
      </c>
      <c r="F113" s="2349" t="s">
        <v>2566</v>
      </c>
      <c r="G113" s="2350">
        <v>10</v>
      </c>
      <c r="H113" s="2350">
        <v>10</v>
      </c>
      <c r="I113" s="2311"/>
      <c r="J113" s="2311"/>
      <c r="K113" s="2337"/>
      <c r="N113" s="2352"/>
    </row>
    <row r="114" spans="1:14" s="2338" customFormat="1" ht="16.5">
      <c r="A114" s="2342"/>
      <c r="B114" s="2342"/>
      <c r="D114" s="2329"/>
      <c r="E114" s="2348" t="s">
        <v>4962</v>
      </c>
      <c r="F114" s="2349" t="s">
        <v>2566</v>
      </c>
      <c r="G114" s="2350">
        <v>150</v>
      </c>
      <c r="H114" s="2350">
        <v>150</v>
      </c>
      <c r="I114" s="2311"/>
      <c r="J114" s="2311"/>
      <c r="K114" s="2337"/>
      <c r="N114" s="2352"/>
    </row>
    <row r="115" spans="1:14" s="2338" customFormat="1" ht="16.5">
      <c r="A115" s="2342"/>
      <c r="B115" s="2342"/>
      <c r="D115" s="2329"/>
      <c r="E115" s="2348" t="s">
        <v>5166</v>
      </c>
      <c r="F115" s="2349" t="s">
        <v>2541</v>
      </c>
      <c r="G115" s="2350">
        <v>3</v>
      </c>
      <c r="H115" s="2350">
        <v>3</v>
      </c>
      <c r="I115" s="2311"/>
      <c r="J115" s="2311"/>
      <c r="K115" s="2337"/>
      <c r="N115" s="2352"/>
    </row>
    <row r="116" spans="1:14" s="2338" customFormat="1" ht="16.5">
      <c r="A116" s="2342"/>
      <c r="B116" s="2342"/>
      <c r="D116" s="2329"/>
      <c r="E116" s="2348" t="s">
        <v>3813</v>
      </c>
      <c r="F116" s="2349" t="s">
        <v>2566</v>
      </c>
      <c r="G116" s="2350">
        <v>10</v>
      </c>
      <c r="H116" s="2350">
        <v>10</v>
      </c>
      <c r="I116" s="2311"/>
      <c r="J116" s="2311"/>
      <c r="K116" s="2337"/>
      <c r="N116" s="2352"/>
    </row>
    <row r="117" spans="1:14" s="2338" customFormat="1" ht="16.5">
      <c r="A117" s="2342"/>
      <c r="B117" s="2342"/>
      <c r="D117" s="2329"/>
      <c r="E117" s="2348" t="s">
        <v>4365</v>
      </c>
      <c r="F117" s="2349" t="s">
        <v>2566</v>
      </c>
      <c r="G117" s="2350">
        <v>10</v>
      </c>
      <c r="H117" s="2350">
        <v>10</v>
      </c>
      <c r="I117" s="2311"/>
      <c r="J117" s="2311"/>
      <c r="K117" s="2337"/>
      <c r="N117" s="2352"/>
    </row>
    <row r="118" spans="1:14" s="2338" customFormat="1" ht="16.5">
      <c r="A118" s="2342"/>
      <c r="B118" s="2342"/>
      <c r="D118" s="2329"/>
      <c r="E118" s="2348" t="s">
        <v>4964</v>
      </c>
      <c r="F118" s="2349" t="s">
        <v>2566</v>
      </c>
      <c r="G118" s="2350">
        <v>13</v>
      </c>
      <c r="H118" s="2350">
        <v>13</v>
      </c>
      <c r="I118" s="2311"/>
      <c r="J118" s="2311"/>
      <c r="K118" s="2337"/>
      <c r="N118" s="2352"/>
    </row>
    <row r="119" spans="1:14" s="2338" customFormat="1" ht="16.5">
      <c r="A119" s="2342"/>
      <c r="B119" s="2342"/>
      <c r="D119" s="2329"/>
      <c r="E119" s="2348" t="s">
        <v>2901</v>
      </c>
      <c r="F119" s="2349" t="s">
        <v>2566</v>
      </c>
      <c r="G119" s="2350">
        <v>3</v>
      </c>
      <c r="H119" s="2350">
        <v>3</v>
      </c>
      <c r="I119" s="2311"/>
      <c r="J119" s="2311"/>
      <c r="K119" s="2337"/>
      <c r="N119" s="2352"/>
    </row>
    <row r="120" spans="1:14" s="2338" customFormat="1" ht="16.5">
      <c r="A120" s="2342"/>
      <c r="B120" s="2342"/>
      <c r="D120" s="2329"/>
      <c r="E120" s="2348" t="s">
        <v>2902</v>
      </c>
      <c r="F120" s="2349" t="s">
        <v>2566</v>
      </c>
      <c r="G120" s="2350">
        <v>3</v>
      </c>
      <c r="H120" s="2350">
        <v>3</v>
      </c>
      <c r="I120" s="2311"/>
      <c r="J120" s="2311"/>
      <c r="K120" s="2337"/>
      <c r="N120" s="2352"/>
    </row>
    <row r="121" spans="1:14" s="2338" customFormat="1" ht="16.5">
      <c r="A121" s="2342"/>
      <c r="B121" s="2342"/>
      <c r="D121" s="2329"/>
      <c r="E121" s="2348" t="s">
        <v>2943</v>
      </c>
      <c r="F121" s="2349" t="s">
        <v>2566</v>
      </c>
      <c r="G121" s="2350">
        <v>1</v>
      </c>
      <c r="H121" s="2350">
        <v>1</v>
      </c>
      <c r="I121" s="2311"/>
      <c r="J121" s="2311"/>
      <c r="K121" s="2337"/>
      <c r="N121" s="2352"/>
    </row>
    <row r="122" spans="1:14" s="2338" customFormat="1" ht="16.5">
      <c r="A122" s="2342"/>
      <c r="B122" s="2342"/>
      <c r="D122" s="2329"/>
      <c r="E122" s="2348" t="s">
        <v>2945</v>
      </c>
      <c r="F122" s="2362" t="s">
        <v>2566</v>
      </c>
      <c r="G122" s="2350">
        <v>12</v>
      </c>
      <c r="H122" s="2350">
        <v>12</v>
      </c>
      <c r="I122" s="2311"/>
      <c r="J122" s="2311"/>
      <c r="K122" s="2337"/>
      <c r="N122" s="2352"/>
    </row>
    <row r="123" spans="1:14" s="2338" customFormat="1" ht="30">
      <c r="A123" s="2342"/>
      <c r="B123" s="2342"/>
      <c r="D123" s="2329"/>
      <c r="E123" s="2348" t="s">
        <v>4965</v>
      </c>
      <c r="F123" s="2349" t="s">
        <v>2448</v>
      </c>
      <c r="G123" s="2350">
        <v>6</v>
      </c>
      <c r="H123" s="2350">
        <v>6</v>
      </c>
      <c r="I123" s="2311"/>
      <c r="J123" s="2311"/>
      <c r="K123" s="2337"/>
      <c r="N123" s="2352"/>
    </row>
    <row r="124" spans="1:14" s="2338" customFormat="1" ht="30">
      <c r="A124" s="2342"/>
      <c r="B124" s="2342"/>
      <c r="D124" s="2329"/>
      <c r="E124" s="2348" t="s">
        <v>4966</v>
      </c>
      <c r="F124" s="2349" t="s">
        <v>2448</v>
      </c>
      <c r="G124" s="2350">
        <v>6</v>
      </c>
      <c r="H124" s="2350">
        <v>6</v>
      </c>
      <c r="I124" s="2311"/>
      <c r="J124" s="2311"/>
      <c r="K124" s="2337"/>
      <c r="N124" s="2352"/>
    </row>
    <row r="125" spans="1:14" s="2338" customFormat="1" ht="30">
      <c r="A125" s="2342"/>
      <c r="B125" s="2342"/>
      <c r="D125" s="2329"/>
      <c r="E125" s="2348" t="s">
        <v>4967</v>
      </c>
      <c r="F125" s="2349" t="s">
        <v>2448</v>
      </c>
      <c r="G125" s="2350">
        <v>6</v>
      </c>
      <c r="H125" s="2350">
        <v>6</v>
      </c>
      <c r="I125" s="2311"/>
      <c r="J125" s="2311"/>
      <c r="K125" s="2337"/>
      <c r="N125" s="2352"/>
    </row>
    <row r="126" spans="1:14" s="2338" customFormat="1" ht="16.5">
      <c r="A126" s="2342"/>
      <c r="B126" s="2342"/>
      <c r="D126" s="2329"/>
      <c r="E126" s="2348" t="s">
        <v>4968</v>
      </c>
      <c r="F126" s="2349" t="s">
        <v>2566</v>
      </c>
      <c r="G126" s="2350">
        <v>14</v>
      </c>
      <c r="H126" s="2350">
        <v>14</v>
      </c>
      <c r="I126" s="2311"/>
      <c r="J126" s="2311"/>
      <c r="K126" s="2337"/>
      <c r="N126" s="2352"/>
    </row>
    <row r="127" spans="1:14" s="2338" customFormat="1" ht="30">
      <c r="A127" s="2342"/>
      <c r="B127" s="2342"/>
      <c r="D127" s="2329"/>
      <c r="E127" s="2348" t="s">
        <v>4969</v>
      </c>
      <c r="F127" s="2349" t="s">
        <v>2044</v>
      </c>
      <c r="G127" s="2350">
        <v>3.6440000000000001</v>
      </c>
      <c r="H127" s="2350">
        <v>3.6440000000000001</v>
      </c>
      <c r="I127" s="2311"/>
      <c r="J127" s="2311"/>
      <c r="K127" s="2337"/>
      <c r="N127" s="2352"/>
    </row>
    <row r="128" spans="1:14" s="2338" customFormat="1" ht="16.5">
      <c r="A128" s="2342"/>
      <c r="B128" s="2342"/>
      <c r="D128" s="2329"/>
      <c r="E128" s="2348" t="s">
        <v>3292</v>
      </c>
      <c r="F128" s="2349" t="s">
        <v>2448</v>
      </c>
      <c r="G128" s="2350">
        <v>89</v>
      </c>
      <c r="H128" s="2350">
        <v>89</v>
      </c>
      <c r="I128" s="2311"/>
      <c r="J128" s="2311"/>
      <c r="K128" s="2337"/>
      <c r="N128" s="2352"/>
    </row>
    <row r="129" spans="1:14" s="2338" customFormat="1" ht="16.5">
      <c r="A129" s="2342"/>
      <c r="B129" s="2342"/>
      <c r="D129" s="2329"/>
      <c r="E129" s="2348" t="s">
        <v>3297</v>
      </c>
      <c r="F129" s="2349" t="s">
        <v>2521</v>
      </c>
      <c r="G129" s="2350">
        <v>26</v>
      </c>
      <c r="H129" s="2350">
        <v>26</v>
      </c>
      <c r="I129" s="2311"/>
      <c r="J129" s="2311"/>
      <c r="K129" s="2337"/>
      <c r="N129" s="2352"/>
    </row>
    <row r="130" spans="1:14" s="2338" customFormat="1" ht="16.5">
      <c r="A130" s="2342"/>
      <c r="B130" s="2342"/>
      <c r="D130" s="2329"/>
      <c r="E130" s="2348" t="s">
        <v>3299</v>
      </c>
      <c r="F130" s="2349" t="s">
        <v>2448</v>
      </c>
      <c r="G130" s="2350">
        <v>27</v>
      </c>
      <c r="H130" s="2350">
        <v>27</v>
      </c>
      <c r="I130" s="2311"/>
      <c r="J130" s="2311"/>
      <c r="K130" s="2337"/>
      <c r="N130" s="2352"/>
    </row>
    <row r="131" spans="1:14" s="2338" customFormat="1" ht="28.5">
      <c r="A131" s="2342"/>
      <c r="B131" s="2342"/>
      <c r="C131" s="2342"/>
      <c r="D131" s="2329">
        <v>20</v>
      </c>
      <c r="E131" s="2341" t="s">
        <v>4970</v>
      </c>
      <c r="F131" s="2349"/>
      <c r="G131" s="2350">
        <v>0</v>
      </c>
      <c r="H131" s="2350">
        <v>0</v>
      </c>
      <c r="I131" s="2311"/>
      <c r="J131" s="2311"/>
      <c r="K131" s="2337"/>
      <c r="N131" s="2352"/>
    </row>
    <row r="132" spans="1:14" s="2338" customFormat="1" ht="16.5">
      <c r="A132" s="2342"/>
      <c r="B132" s="2342"/>
      <c r="C132" s="2342"/>
      <c r="D132" s="2329"/>
      <c r="E132" s="2348" t="s">
        <v>4515</v>
      </c>
      <c r="F132" s="2349" t="s">
        <v>2541</v>
      </c>
      <c r="G132" s="2350">
        <v>449</v>
      </c>
      <c r="H132" s="2350">
        <v>449</v>
      </c>
      <c r="I132" s="2311"/>
      <c r="J132" s="2311"/>
      <c r="K132" s="2337"/>
      <c r="N132" s="2352"/>
    </row>
    <row r="133" spans="1:14" s="2338" customFormat="1" ht="16.5">
      <c r="A133" s="2342"/>
      <c r="B133" s="2342"/>
      <c r="C133" s="2342"/>
      <c r="D133" s="2329"/>
      <c r="E133" s="2348" t="s">
        <v>4971</v>
      </c>
      <c r="F133" s="2349" t="s">
        <v>2541</v>
      </c>
      <c r="G133" s="2350">
        <v>61</v>
      </c>
      <c r="H133" s="2350">
        <v>61</v>
      </c>
      <c r="I133" s="2311"/>
      <c r="J133" s="2311"/>
      <c r="K133" s="2337"/>
      <c r="N133" s="2352"/>
    </row>
    <row r="134" spans="1:14" s="2338" customFormat="1" ht="16.5">
      <c r="A134" s="2342"/>
      <c r="B134" s="2342"/>
      <c r="C134" s="2342"/>
      <c r="D134" s="2329"/>
      <c r="E134" s="2348" t="s">
        <v>2656</v>
      </c>
      <c r="F134" s="2349" t="s">
        <v>2448</v>
      </c>
      <c r="G134" s="2350">
        <v>11</v>
      </c>
      <c r="H134" s="2350">
        <v>11</v>
      </c>
      <c r="I134" s="2311"/>
      <c r="J134" s="2311"/>
      <c r="K134" s="2337"/>
      <c r="N134" s="2352"/>
    </row>
    <row r="135" spans="1:14" s="2338" customFormat="1" ht="16.5">
      <c r="A135" s="2342"/>
      <c r="B135" s="2342"/>
      <c r="C135" s="2342"/>
      <c r="D135" s="2329"/>
      <c r="E135" s="2348" t="s">
        <v>2697</v>
      </c>
      <c r="F135" s="2349" t="s">
        <v>2448</v>
      </c>
      <c r="G135" s="2350">
        <v>11</v>
      </c>
      <c r="H135" s="2350">
        <v>11</v>
      </c>
      <c r="I135" s="2311"/>
      <c r="J135" s="2311"/>
      <c r="K135" s="2337"/>
      <c r="N135" s="2352"/>
    </row>
    <row r="136" spans="1:14" s="2338" customFormat="1" ht="16.5">
      <c r="A136" s="2342"/>
      <c r="B136" s="2342"/>
      <c r="C136" s="2342"/>
      <c r="D136" s="2329"/>
      <c r="E136" s="2348" t="s">
        <v>4962</v>
      </c>
      <c r="F136" s="2349" t="s">
        <v>2566</v>
      </c>
      <c r="G136" s="2350">
        <v>55</v>
      </c>
      <c r="H136" s="2350">
        <v>55</v>
      </c>
      <c r="I136" s="2311"/>
      <c r="J136" s="2311"/>
      <c r="K136" s="2337"/>
      <c r="N136" s="2352"/>
    </row>
    <row r="137" spans="1:14" s="2338" customFormat="1" ht="16.5">
      <c r="A137" s="2342"/>
      <c r="B137" s="2342"/>
      <c r="C137" s="2342"/>
      <c r="D137" s="2329"/>
      <c r="E137" s="2348" t="s">
        <v>4972</v>
      </c>
      <c r="F137" s="2349" t="s">
        <v>2566</v>
      </c>
      <c r="G137" s="2350">
        <v>11</v>
      </c>
      <c r="H137" s="2350">
        <v>11</v>
      </c>
      <c r="I137" s="2311"/>
      <c r="J137" s="2311"/>
      <c r="K137" s="2337"/>
      <c r="N137" s="2352"/>
    </row>
    <row r="138" spans="1:14" s="2338" customFormat="1" ht="16.5">
      <c r="A138" s="2342"/>
      <c r="B138" s="2342"/>
      <c r="C138" s="2342"/>
      <c r="D138" s="2329"/>
      <c r="E138" s="2348" t="s">
        <v>2801</v>
      </c>
      <c r="F138" s="2349" t="s">
        <v>2541</v>
      </c>
      <c r="G138" s="2350">
        <v>44</v>
      </c>
      <c r="H138" s="2350">
        <v>44</v>
      </c>
      <c r="I138" s="2311"/>
      <c r="J138" s="2311"/>
      <c r="K138" s="2337"/>
      <c r="N138" s="2352"/>
    </row>
    <row r="139" spans="1:14" s="2338" customFormat="1" ht="16.5">
      <c r="A139" s="2342"/>
      <c r="B139" s="2342"/>
      <c r="C139" s="2342"/>
      <c r="D139" s="2329"/>
      <c r="E139" s="2348" t="s">
        <v>4973</v>
      </c>
      <c r="F139" s="2349" t="s">
        <v>2566</v>
      </c>
      <c r="G139" s="2350">
        <v>9</v>
      </c>
      <c r="H139" s="2350">
        <v>9</v>
      </c>
      <c r="I139" s="2311"/>
      <c r="J139" s="2311"/>
      <c r="K139" s="2337"/>
      <c r="N139" s="2352"/>
    </row>
    <row r="140" spans="1:14" s="2338" customFormat="1" ht="16.5">
      <c r="A140" s="2342"/>
      <c r="B140" s="2342"/>
      <c r="C140" s="2342"/>
      <c r="D140" s="2329"/>
      <c r="E140" s="2348" t="s">
        <v>4808</v>
      </c>
      <c r="F140" s="2349" t="s">
        <v>2566</v>
      </c>
      <c r="G140" s="2350">
        <v>2</v>
      </c>
      <c r="H140" s="2350">
        <v>2</v>
      </c>
      <c r="I140" s="2311"/>
      <c r="J140" s="2311"/>
      <c r="K140" s="2337"/>
      <c r="N140" s="2352"/>
    </row>
    <row r="141" spans="1:14" s="2338" customFormat="1" ht="16.5">
      <c r="A141" s="2342"/>
      <c r="B141" s="2342"/>
      <c r="C141" s="2342"/>
      <c r="D141" s="2329"/>
      <c r="E141" s="2348" t="s">
        <v>2887</v>
      </c>
      <c r="F141" s="2349" t="s">
        <v>2566</v>
      </c>
      <c r="G141" s="2350">
        <v>8</v>
      </c>
      <c r="H141" s="2350">
        <v>8</v>
      </c>
      <c r="I141" s="2311"/>
      <c r="J141" s="2311"/>
      <c r="K141" s="2337"/>
      <c r="N141" s="2352"/>
    </row>
    <row r="142" spans="1:14" s="2338" customFormat="1" ht="16.5">
      <c r="A142" s="2342"/>
      <c r="B142" s="2342"/>
      <c r="C142" s="2342"/>
      <c r="D142" s="2329"/>
      <c r="E142" s="2348" t="s">
        <v>4974</v>
      </c>
      <c r="F142" s="2349" t="s">
        <v>2448</v>
      </c>
      <c r="G142" s="2350">
        <v>1</v>
      </c>
      <c r="H142" s="2350">
        <v>1</v>
      </c>
      <c r="I142" s="2311"/>
      <c r="J142" s="2311"/>
      <c r="K142" s="2337"/>
      <c r="N142" s="2352"/>
    </row>
    <row r="143" spans="1:14" s="2338" customFormat="1" ht="16.5">
      <c r="A143" s="2342"/>
      <c r="B143" s="2342"/>
      <c r="C143" s="2342"/>
      <c r="D143" s="2329">
        <v>21</v>
      </c>
      <c r="E143" s="2363" t="s">
        <v>4975</v>
      </c>
      <c r="F143" s="2334" t="s">
        <v>2448</v>
      </c>
      <c r="G143" s="2364">
        <v>1</v>
      </c>
      <c r="H143" s="2364">
        <v>1</v>
      </c>
      <c r="I143" s="2311"/>
      <c r="J143" s="2311"/>
      <c r="K143" s="2337"/>
      <c r="N143" s="2352"/>
    </row>
    <row r="144" spans="1:14" s="2338" customFormat="1" ht="16.5">
      <c r="A144" s="2342"/>
      <c r="B144" s="2342"/>
      <c r="D144" s="2329"/>
      <c r="E144" s="2348" t="s">
        <v>4976</v>
      </c>
      <c r="F144" s="2349" t="s">
        <v>2566</v>
      </c>
      <c r="G144" s="2315">
        <v>1</v>
      </c>
      <c r="H144" s="2315">
        <v>1</v>
      </c>
      <c r="I144" s="2311"/>
      <c r="J144" s="2311"/>
      <c r="K144" s="2337"/>
      <c r="N144" s="2352"/>
    </row>
    <row r="145" spans="1:14" s="2338" customFormat="1" ht="16.5">
      <c r="A145" s="2342"/>
      <c r="B145" s="2342"/>
      <c r="D145" s="2329"/>
      <c r="E145" s="2348" t="s">
        <v>3483</v>
      </c>
      <c r="F145" s="2349" t="s">
        <v>2566</v>
      </c>
      <c r="G145" s="2365">
        <v>6</v>
      </c>
      <c r="H145" s="2365">
        <v>6</v>
      </c>
      <c r="I145" s="2311"/>
      <c r="J145" s="2311"/>
      <c r="K145" s="2337"/>
      <c r="N145" s="2352"/>
    </row>
    <row r="146" spans="1:14" s="2338" customFormat="1" ht="16.5">
      <c r="A146" s="2342"/>
      <c r="B146" s="2342"/>
      <c r="D146" s="2329"/>
      <c r="E146" s="2348" t="s">
        <v>3516</v>
      </c>
      <c r="F146" s="2349" t="s">
        <v>2566</v>
      </c>
      <c r="G146" s="2365">
        <v>6</v>
      </c>
      <c r="H146" s="2365">
        <v>6</v>
      </c>
      <c r="I146" s="2311"/>
      <c r="J146" s="2311"/>
      <c r="K146" s="2337"/>
      <c r="N146" s="2352"/>
    </row>
    <row r="147" spans="1:14" s="2338" customFormat="1" ht="16.5">
      <c r="A147" s="2342"/>
      <c r="B147" s="2342"/>
      <c r="D147" s="2329"/>
      <c r="E147" s="2348" t="s">
        <v>3237</v>
      </c>
      <c r="F147" s="2349" t="s">
        <v>2044</v>
      </c>
      <c r="G147" s="2350">
        <v>0.06</v>
      </c>
      <c r="H147" s="2350">
        <v>0.06</v>
      </c>
      <c r="I147" s="2311"/>
      <c r="J147" s="2311"/>
      <c r="K147" s="2337"/>
      <c r="N147" s="2352"/>
    </row>
    <row r="148" spans="1:14" s="2338" customFormat="1" ht="16.5">
      <c r="A148" s="2342"/>
      <c r="B148" s="2342"/>
      <c r="D148" s="2329"/>
      <c r="E148" s="2348" t="s">
        <v>4977</v>
      </c>
      <c r="F148" s="2349" t="s">
        <v>2044</v>
      </c>
      <c r="G148" s="2320">
        <v>0.44</v>
      </c>
      <c r="H148" s="2320">
        <v>0.44</v>
      </c>
      <c r="I148" s="2311"/>
      <c r="J148" s="2311"/>
      <c r="K148" s="2337"/>
      <c r="N148" s="2352"/>
    </row>
    <row r="149" spans="1:14" s="2338" customFormat="1" ht="16.5">
      <c r="A149" s="2342"/>
      <c r="B149" s="2342"/>
      <c r="C149" s="2342"/>
      <c r="D149" s="2329">
        <v>22</v>
      </c>
      <c r="E149" s="2341" t="s">
        <v>2580</v>
      </c>
      <c r="F149" s="2329"/>
      <c r="G149" s="2319"/>
      <c r="H149" s="2319"/>
      <c r="I149" s="2311"/>
      <c r="J149" s="2311"/>
      <c r="K149" s="2337"/>
      <c r="N149" s="2352"/>
    </row>
    <row r="150" spans="1:14" s="2338" customFormat="1" ht="16.5">
      <c r="A150" s="2342"/>
      <c r="B150" s="2342"/>
      <c r="D150" s="2329"/>
      <c r="E150" s="2348" t="s">
        <v>95</v>
      </c>
      <c r="F150" s="2349" t="s">
        <v>2566</v>
      </c>
      <c r="G150" s="2319">
        <v>1</v>
      </c>
      <c r="H150" s="2319">
        <v>1</v>
      </c>
      <c r="I150" s="2311"/>
      <c r="J150" s="2311"/>
      <c r="K150" s="2337"/>
      <c r="N150" s="2352"/>
    </row>
    <row r="151" spans="1:14" s="2338" customFormat="1" ht="16.5">
      <c r="A151" s="2342"/>
      <c r="B151" s="2342"/>
      <c r="D151" s="2329"/>
      <c r="E151" s="2348" t="s">
        <v>3445</v>
      </c>
      <c r="F151" s="2349" t="s">
        <v>2611</v>
      </c>
      <c r="G151" s="2366">
        <v>1</v>
      </c>
      <c r="H151" s="2366">
        <v>1</v>
      </c>
      <c r="I151" s="2311"/>
      <c r="J151" s="2311"/>
      <c r="K151" s="2337"/>
      <c r="N151" s="2352"/>
    </row>
    <row r="152" spans="1:14" s="2338" customFormat="1" ht="16.5">
      <c r="A152" s="2342"/>
      <c r="B152" s="2342"/>
      <c r="C152" s="2342"/>
      <c r="D152" s="2367">
        <v>23</v>
      </c>
      <c r="E152" s="2341" t="s">
        <v>4978</v>
      </c>
      <c r="F152" s="2368"/>
      <c r="G152" s="2366"/>
      <c r="H152" s="2366"/>
      <c r="I152" s="2311"/>
      <c r="J152" s="2311"/>
      <c r="K152" s="2337"/>
      <c r="N152" s="2352"/>
    </row>
    <row r="153" spans="1:14" s="2338" customFormat="1" ht="16.5">
      <c r="A153" s="2342"/>
      <c r="B153" s="2342"/>
      <c r="D153" s="2367"/>
      <c r="E153" s="2348" t="s">
        <v>4979</v>
      </c>
      <c r="F153" s="2368" t="s">
        <v>2394</v>
      </c>
      <c r="G153" s="2369">
        <v>8</v>
      </c>
      <c r="H153" s="2369">
        <v>8</v>
      </c>
      <c r="I153" s="2311"/>
      <c r="J153" s="2311"/>
      <c r="K153" s="2337"/>
      <c r="N153" s="2352"/>
    </row>
    <row r="154" spans="1:14" s="2338" customFormat="1" ht="16.5">
      <c r="A154" s="2342"/>
      <c r="B154" s="2342"/>
      <c r="D154" s="2367"/>
      <c r="E154" s="2348" t="s">
        <v>4980</v>
      </c>
      <c r="F154" s="2368" t="s">
        <v>3321</v>
      </c>
      <c r="G154" s="2369">
        <v>2</v>
      </c>
      <c r="H154" s="2369">
        <v>2</v>
      </c>
      <c r="I154" s="2311"/>
      <c r="J154" s="2311"/>
      <c r="K154" s="2337"/>
      <c r="N154" s="2352"/>
    </row>
    <row r="155" spans="1:14" s="2338" customFormat="1" ht="16.5">
      <c r="A155" s="2342"/>
      <c r="B155" s="2342"/>
      <c r="D155" s="2367"/>
      <c r="E155" s="2348" t="s">
        <v>4135</v>
      </c>
      <c r="F155" s="2368" t="s">
        <v>2566</v>
      </c>
      <c r="G155" s="2369">
        <v>8</v>
      </c>
      <c r="H155" s="2369">
        <v>8</v>
      </c>
      <c r="I155" s="2311"/>
      <c r="J155" s="2311"/>
      <c r="K155" s="2337"/>
      <c r="N155" s="2352"/>
    </row>
    <row r="156" spans="1:14" s="2338" customFormat="1" ht="16.5">
      <c r="A156" s="2342"/>
      <c r="B156" s="2342"/>
      <c r="D156" s="2367"/>
      <c r="E156" s="2348" t="s">
        <v>4981</v>
      </c>
      <c r="F156" s="2368" t="s">
        <v>2566</v>
      </c>
      <c r="G156" s="2369">
        <v>8</v>
      </c>
      <c r="H156" s="2369">
        <v>8</v>
      </c>
      <c r="I156" s="2311"/>
      <c r="J156" s="2311"/>
      <c r="K156" s="2337"/>
      <c r="N156" s="2352"/>
    </row>
    <row r="157" spans="1:14" s="2338" customFormat="1" ht="16.5">
      <c r="A157" s="2342"/>
      <c r="B157" s="2342"/>
      <c r="D157" s="2367"/>
      <c r="E157" s="2348" t="s">
        <v>4982</v>
      </c>
      <c r="F157" s="2368" t="s">
        <v>3321</v>
      </c>
      <c r="G157" s="2369">
        <v>2</v>
      </c>
      <c r="H157" s="2369">
        <v>2</v>
      </c>
      <c r="I157" s="2311"/>
      <c r="J157" s="2311"/>
      <c r="K157" s="2337"/>
      <c r="N157" s="2352"/>
    </row>
    <row r="158" spans="1:14" s="2338" customFormat="1" ht="16.5">
      <c r="A158" s="2342"/>
      <c r="B158" s="2342"/>
      <c r="D158" s="2367"/>
      <c r="E158" s="2348" t="s">
        <v>4983</v>
      </c>
      <c r="F158" s="2368" t="s">
        <v>3321</v>
      </c>
      <c r="G158" s="2369">
        <v>1</v>
      </c>
      <c r="H158" s="2369">
        <v>1</v>
      </c>
      <c r="I158" s="2311"/>
      <c r="J158" s="2311"/>
      <c r="K158" s="2337"/>
      <c r="N158" s="2352"/>
    </row>
    <row r="159" spans="1:14" s="2338" customFormat="1" ht="16.5">
      <c r="A159" s="2342"/>
      <c r="B159" s="2342"/>
      <c r="D159" s="2367"/>
      <c r="E159" s="2348" t="s">
        <v>4984</v>
      </c>
      <c r="F159" s="2368" t="s">
        <v>2566</v>
      </c>
      <c r="G159" s="2370">
        <v>8</v>
      </c>
      <c r="H159" s="2370">
        <v>8</v>
      </c>
      <c r="I159" s="2311"/>
      <c r="J159" s="2311"/>
      <c r="K159" s="2337"/>
      <c r="N159" s="2352"/>
    </row>
    <row r="160" spans="1:14" s="2338" customFormat="1" ht="16.5">
      <c r="A160" s="2342"/>
      <c r="B160" s="2342"/>
      <c r="D160" s="2367"/>
      <c r="E160" s="2348" t="s">
        <v>3311</v>
      </c>
      <c r="F160" s="2368" t="s">
        <v>2566</v>
      </c>
      <c r="G160" s="2370">
        <v>8</v>
      </c>
      <c r="H160" s="2370">
        <v>8</v>
      </c>
      <c r="I160" s="2311"/>
      <c r="J160" s="2311"/>
      <c r="K160" s="2337"/>
      <c r="N160" s="2352"/>
    </row>
    <row r="161" spans="1:14" s="2338" customFormat="1" ht="16.5">
      <c r="A161" s="2342"/>
      <c r="B161" s="2342"/>
      <c r="D161" s="2367"/>
      <c r="E161" s="2348" t="s">
        <v>4985</v>
      </c>
      <c r="F161" s="2368" t="s">
        <v>2394</v>
      </c>
      <c r="G161" s="2370">
        <v>3</v>
      </c>
      <c r="H161" s="2370">
        <v>3</v>
      </c>
      <c r="I161" s="2311"/>
      <c r="J161" s="2311"/>
      <c r="K161" s="2337"/>
      <c r="N161" s="2352"/>
    </row>
    <row r="162" spans="1:14" s="2338" customFormat="1" ht="16.5">
      <c r="A162" s="2342"/>
      <c r="B162" s="2342"/>
      <c r="D162" s="2367"/>
      <c r="E162" s="2348" t="s">
        <v>4135</v>
      </c>
      <c r="F162" s="2368" t="s">
        <v>2566</v>
      </c>
      <c r="G162" s="2370">
        <v>4</v>
      </c>
      <c r="H162" s="2370">
        <v>4</v>
      </c>
      <c r="I162" s="2311"/>
      <c r="J162" s="2311"/>
      <c r="K162" s="2337"/>
      <c r="N162" s="2352"/>
    </row>
    <row r="163" spans="1:14" s="2338" customFormat="1" ht="16.5">
      <c r="A163" s="2342"/>
      <c r="B163" s="2342"/>
      <c r="D163" s="2367"/>
      <c r="E163" s="2348" t="s">
        <v>4986</v>
      </c>
      <c r="F163" s="2368" t="s">
        <v>4987</v>
      </c>
      <c r="G163" s="2370">
        <v>18</v>
      </c>
      <c r="H163" s="2370">
        <v>18</v>
      </c>
      <c r="I163" s="2311"/>
      <c r="J163" s="2311"/>
      <c r="K163" s="2337"/>
      <c r="N163" s="2352"/>
    </row>
    <row r="164" spans="1:14" s="2338" customFormat="1" ht="16.5">
      <c r="A164" s="2342"/>
      <c r="B164" s="2342"/>
      <c r="D164" s="2367"/>
      <c r="E164" s="2348" t="s">
        <v>4988</v>
      </c>
      <c r="F164" s="2368" t="s">
        <v>4987</v>
      </c>
      <c r="G164" s="2371">
        <v>18</v>
      </c>
      <c r="H164" s="2371">
        <v>18</v>
      </c>
      <c r="I164" s="2311"/>
      <c r="J164" s="2311"/>
      <c r="K164" s="2337"/>
      <c r="N164" s="2352"/>
    </row>
    <row r="165" spans="1:14" s="2338" customFormat="1" ht="16.5">
      <c r="A165" s="2342"/>
      <c r="B165" s="2342"/>
      <c r="D165" s="2367"/>
      <c r="E165" s="2348" t="s">
        <v>4989</v>
      </c>
      <c r="F165" s="2368" t="s">
        <v>2394</v>
      </c>
      <c r="G165" s="2370">
        <v>9</v>
      </c>
      <c r="H165" s="2370">
        <v>9</v>
      </c>
      <c r="I165" s="2311"/>
      <c r="J165" s="2311"/>
      <c r="K165" s="2337"/>
      <c r="N165" s="2352"/>
    </row>
    <row r="166" spans="1:14" s="2338" customFormat="1" ht="16.5">
      <c r="A166" s="2342"/>
      <c r="B166" s="2342"/>
      <c r="D166" s="2367"/>
      <c r="E166" s="2348" t="s">
        <v>4990</v>
      </c>
      <c r="F166" s="2368" t="s">
        <v>2044</v>
      </c>
      <c r="G166" s="2372">
        <v>4.7699999999999996</v>
      </c>
      <c r="H166" s="2372">
        <v>4.7699999999999996</v>
      </c>
      <c r="I166" s="2311"/>
      <c r="J166" s="2311"/>
      <c r="K166" s="2337"/>
      <c r="N166" s="2352"/>
    </row>
    <row r="167" spans="1:14" s="2338" customFormat="1" ht="16.5">
      <c r="A167" s="2342"/>
      <c r="B167" s="2342"/>
      <c r="D167" s="2367"/>
      <c r="E167" s="2348" t="s">
        <v>4991</v>
      </c>
      <c r="F167" s="2368" t="s">
        <v>2394</v>
      </c>
      <c r="G167" s="2370">
        <v>1</v>
      </c>
      <c r="H167" s="2370">
        <v>1</v>
      </c>
      <c r="I167" s="2311"/>
      <c r="J167" s="2311"/>
      <c r="K167" s="2337"/>
      <c r="N167" s="2352"/>
    </row>
    <row r="168" spans="1:14" s="2338" customFormat="1" ht="16.5">
      <c r="A168" s="2342"/>
      <c r="B168" s="2342"/>
      <c r="D168" s="2367"/>
      <c r="E168" s="2348" t="s">
        <v>4992</v>
      </c>
      <c r="F168" s="2368" t="s">
        <v>2842</v>
      </c>
      <c r="G168" s="2370">
        <v>19</v>
      </c>
      <c r="H168" s="2370">
        <v>19</v>
      </c>
      <c r="I168" s="2311"/>
      <c r="J168" s="2311"/>
      <c r="K168" s="2337"/>
      <c r="N168" s="2352"/>
    </row>
    <row r="169" spans="1:14" s="2338" customFormat="1" ht="16.5">
      <c r="A169" s="2342"/>
      <c r="B169" s="2342"/>
      <c r="D169" s="2367"/>
      <c r="E169" s="2348" t="s">
        <v>4993</v>
      </c>
      <c r="F169" s="2368" t="s">
        <v>2842</v>
      </c>
      <c r="G169" s="2370">
        <v>15</v>
      </c>
      <c r="H169" s="2370">
        <v>15</v>
      </c>
      <c r="I169" s="2311"/>
      <c r="J169" s="2311"/>
      <c r="K169" s="2337"/>
      <c r="N169" s="2352"/>
    </row>
    <row r="170" spans="1:14" s="2338" customFormat="1" ht="16.5">
      <c r="A170" s="2342"/>
      <c r="B170" s="2342"/>
      <c r="D170" s="2367"/>
      <c r="E170" s="2348" t="s">
        <v>4984</v>
      </c>
      <c r="F170" s="2368" t="s">
        <v>2566</v>
      </c>
      <c r="G170" s="2370">
        <v>4</v>
      </c>
      <c r="H170" s="2370">
        <v>4</v>
      </c>
      <c r="I170" s="2311"/>
      <c r="J170" s="2311"/>
      <c r="K170" s="2337"/>
      <c r="N170" s="2352"/>
    </row>
    <row r="171" spans="1:14" s="2338" customFormat="1" ht="16.5">
      <c r="A171" s="2342"/>
      <c r="B171" s="2342"/>
      <c r="D171" s="2367"/>
      <c r="E171" s="2348" t="s">
        <v>4994</v>
      </c>
      <c r="F171" s="2368" t="s">
        <v>2044</v>
      </c>
      <c r="G171" s="2373">
        <v>1.2</v>
      </c>
      <c r="H171" s="2373">
        <v>1.2</v>
      </c>
      <c r="I171" s="2311"/>
      <c r="J171" s="2311"/>
      <c r="K171" s="2337"/>
      <c r="N171" s="2352"/>
    </row>
    <row r="172" spans="1:14" s="2338" customFormat="1" ht="16.5">
      <c r="A172" s="2342"/>
      <c r="B172" s="2342"/>
      <c r="D172" s="2367"/>
      <c r="E172" s="2348" t="s">
        <v>4995</v>
      </c>
      <c r="F172" s="2368" t="s">
        <v>2044</v>
      </c>
      <c r="G172" s="2374">
        <v>1.1930000000000001</v>
      </c>
      <c r="H172" s="2374">
        <v>1.1930000000000001</v>
      </c>
      <c r="I172" s="2311"/>
      <c r="J172" s="2311"/>
      <c r="K172" s="2337"/>
      <c r="N172" s="2352"/>
    </row>
    <row r="173" spans="1:14" s="2338" customFormat="1" ht="16.5">
      <c r="A173" s="2342"/>
      <c r="B173" s="2342"/>
      <c r="D173" s="2367"/>
      <c r="E173" s="2348" t="s">
        <v>4996</v>
      </c>
      <c r="F173" s="2368" t="s">
        <v>2842</v>
      </c>
      <c r="G173" s="2370">
        <v>5</v>
      </c>
      <c r="H173" s="2370">
        <v>5</v>
      </c>
      <c r="I173" s="2311"/>
      <c r="J173" s="2311"/>
      <c r="K173" s="2337"/>
      <c r="N173" s="2352"/>
    </row>
    <row r="174" spans="1:14" s="2338" customFormat="1" ht="16.5">
      <c r="A174" s="2342"/>
      <c r="B174" s="2342"/>
      <c r="C174" s="2342"/>
      <c r="D174" s="2367">
        <v>24</v>
      </c>
      <c r="E174" s="2375" t="s">
        <v>4997</v>
      </c>
      <c r="F174" s="2368"/>
      <c r="G174" s="2370">
        <v>0</v>
      </c>
      <c r="H174" s="2370">
        <v>0</v>
      </c>
      <c r="I174" s="2311"/>
      <c r="J174" s="2311"/>
      <c r="K174" s="2337"/>
      <c r="N174" s="2352"/>
    </row>
    <row r="175" spans="1:14" s="2338" customFormat="1" ht="16.5">
      <c r="A175" s="2342"/>
      <c r="B175" s="2342"/>
      <c r="D175" s="2367"/>
      <c r="E175" s="2376" t="s">
        <v>2397</v>
      </c>
      <c r="F175" s="2368" t="s">
        <v>2394</v>
      </c>
      <c r="G175" s="2371">
        <v>4</v>
      </c>
      <c r="H175" s="2371">
        <v>4</v>
      </c>
      <c r="I175" s="2311"/>
      <c r="J175" s="2311"/>
      <c r="K175" s="2337"/>
      <c r="N175" s="2352"/>
    </row>
    <row r="176" spans="1:14" s="2338" customFormat="1" ht="16.5">
      <c r="A176" s="2342"/>
      <c r="B176" s="2342"/>
      <c r="C176" s="2342"/>
      <c r="D176" s="2367" t="s">
        <v>1906</v>
      </c>
      <c r="E176" s="2341" t="s">
        <v>4998</v>
      </c>
      <c r="F176" s="2368"/>
      <c r="G176" s="2371"/>
      <c r="H176" s="2371"/>
      <c r="I176" s="2311"/>
      <c r="J176" s="2311"/>
      <c r="K176" s="2337"/>
      <c r="N176" s="2352"/>
    </row>
    <row r="177" spans="1:14" s="2338" customFormat="1" ht="16.5">
      <c r="A177" s="2342"/>
      <c r="B177" s="2342"/>
      <c r="C177" s="2342"/>
      <c r="D177" s="2367">
        <v>25</v>
      </c>
      <c r="E177" s="2375" t="s">
        <v>4999</v>
      </c>
      <c r="F177" s="2368"/>
      <c r="G177" s="2370"/>
      <c r="H177" s="2370"/>
      <c r="I177" s="2311"/>
      <c r="J177" s="2311"/>
      <c r="K177" s="2337"/>
      <c r="N177" s="2352"/>
    </row>
    <row r="178" spans="1:14" s="2338" customFormat="1" ht="16.5">
      <c r="A178" s="2342"/>
      <c r="B178" s="2342"/>
      <c r="D178" s="2367"/>
      <c r="E178" s="2469" t="s">
        <v>5000</v>
      </c>
      <c r="F178" s="2368" t="s">
        <v>5001</v>
      </c>
      <c r="G178" s="2370">
        <v>1</v>
      </c>
      <c r="H178" s="2370">
        <v>1</v>
      </c>
      <c r="I178" s="2311"/>
      <c r="J178" s="2311"/>
      <c r="K178" s="2337"/>
      <c r="N178" s="2352"/>
    </row>
    <row r="179" spans="1:14" s="2338" customFormat="1" ht="16.5">
      <c r="A179" s="2342"/>
      <c r="B179" s="2342"/>
      <c r="D179" s="2367"/>
      <c r="E179" s="2469" t="s">
        <v>5002</v>
      </c>
      <c r="F179" s="2368" t="s">
        <v>2566</v>
      </c>
      <c r="G179" s="2370">
        <v>1</v>
      </c>
      <c r="H179" s="2370">
        <v>1</v>
      </c>
      <c r="I179" s="2311"/>
      <c r="J179" s="2311"/>
      <c r="K179" s="2337"/>
      <c r="N179" s="2352"/>
    </row>
    <row r="180" spans="1:14" s="2338" customFormat="1" ht="16.5">
      <c r="A180" s="2342"/>
      <c r="B180" s="2342"/>
      <c r="D180" s="2367"/>
      <c r="E180" s="2376" t="s">
        <v>5003</v>
      </c>
      <c r="F180" s="2368" t="s">
        <v>5001</v>
      </c>
      <c r="G180" s="2370">
        <v>1</v>
      </c>
      <c r="H180" s="2370">
        <v>1</v>
      </c>
      <c r="I180" s="2311"/>
      <c r="J180" s="2311"/>
      <c r="K180" s="2337"/>
      <c r="N180" s="2352"/>
    </row>
    <row r="181" spans="1:14" s="2338" customFormat="1" ht="16.5">
      <c r="A181" s="2342"/>
      <c r="B181" s="2342"/>
      <c r="D181" s="2367"/>
      <c r="E181" s="2376" t="s">
        <v>5004</v>
      </c>
      <c r="F181" s="2368" t="s">
        <v>2394</v>
      </c>
      <c r="G181" s="2370">
        <v>1</v>
      </c>
      <c r="H181" s="2370">
        <v>1</v>
      </c>
      <c r="I181" s="2311"/>
      <c r="J181" s="2311"/>
      <c r="K181" s="2337"/>
      <c r="N181" s="2352"/>
    </row>
    <row r="182" spans="1:14" s="2338" customFormat="1" ht="16.5">
      <c r="A182" s="2342"/>
      <c r="B182" s="2342"/>
      <c r="D182" s="2367"/>
      <c r="E182" s="2376" t="s">
        <v>5005</v>
      </c>
      <c r="F182" s="2368" t="s">
        <v>2394</v>
      </c>
      <c r="G182" s="2370">
        <v>1</v>
      </c>
      <c r="H182" s="2377">
        <v>0</v>
      </c>
      <c r="I182" s="2311"/>
      <c r="J182" s="2313">
        <v>1</v>
      </c>
      <c r="K182" s="2337"/>
      <c r="N182" s="2352"/>
    </row>
    <row r="183" spans="1:14" s="2338" customFormat="1" ht="16.5">
      <c r="A183" s="2342"/>
      <c r="B183" s="2342"/>
      <c r="D183" s="2367"/>
      <c r="E183" s="2376" t="s">
        <v>5006</v>
      </c>
      <c r="F183" s="2368" t="s">
        <v>3466</v>
      </c>
      <c r="G183" s="2370">
        <v>1</v>
      </c>
      <c r="H183" s="2370">
        <v>1</v>
      </c>
      <c r="I183" s="2311"/>
      <c r="J183" s="2311"/>
      <c r="K183" s="2337"/>
      <c r="N183" s="2352"/>
    </row>
    <row r="184" spans="1:14" s="2338" customFormat="1" ht="16.5">
      <c r="A184" s="2342"/>
      <c r="B184" s="2342"/>
      <c r="D184" s="2367"/>
      <c r="E184" s="2376" t="s">
        <v>5007</v>
      </c>
      <c r="F184" s="2368" t="s">
        <v>3466</v>
      </c>
      <c r="G184" s="2370">
        <v>1</v>
      </c>
      <c r="H184" s="2370">
        <v>1</v>
      </c>
      <c r="I184" s="2311"/>
      <c r="J184" s="2311"/>
      <c r="K184" s="2337"/>
      <c r="N184" s="2352"/>
    </row>
    <row r="185" spans="1:14" s="2338" customFormat="1" ht="16.5">
      <c r="A185" s="2342"/>
      <c r="B185" s="2342"/>
      <c r="D185" s="2367"/>
      <c r="E185" s="2376" t="s">
        <v>5173</v>
      </c>
      <c r="F185" s="2368" t="s">
        <v>3466</v>
      </c>
      <c r="G185" s="2378">
        <v>1</v>
      </c>
      <c r="H185" s="2378">
        <v>1</v>
      </c>
      <c r="I185" s="2311"/>
      <c r="J185" s="2311"/>
      <c r="K185" s="2337"/>
      <c r="N185" s="2352"/>
    </row>
    <row r="186" spans="1:14" s="2338" customFormat="1" ht="16.5">
      <c r="A186" s="2342"/>
      <c r="B186" s="2342"/>
      <c r="D186" s="2367"/>
      <c r="E186" s="2376" t="s">
        <v>5009</v>
      </c>
      <c r="F186" s="2368" t="s">
        <v>3466</v>
      </c>
      <c r="G186" s="2370">
        <v>1</v>
      </c>
      <c r="H186" s="2370">
        <v>1</v>
      </c>
      <c r="I186" s="2311"/>
      <c r="J186" s="2311"/>
      <c r="K186" s="2337"/>
      <c r="N186" s="2352"/>
    </row>
    <row r="187" spans="1:14" s="2338" customFormat="1" ht="16.5">
      <c r="A187" s="2342"/>
      <c r="B187" s="2342"/>
      <c r="D187" s="2367"/>
      <c r="E187" s="2376" t="s">
        <v>5010</v>
      </c>
      <c r="F187" s="2368" t="s">
        <v>3466</v>
      </c>
      <c r="G187" s="2370">
        <v>2</v>
      </c>
      <c r="H187" s="2370">
        <v>2</v>
      </c>
      <c r="I187" s="2311"/>
      <c r="J187" s="2311"/>
      <c r="K187" s="2337"/>
      <c r="N187" s="2352"/>
    </row>
    <row r="188" spans="1:14" s="2338" customFormat="1" ht="16.5">
      <c r="A188" s="2342"/>
      <c r="B188" s="2342"/>
      <c r="D188" s="2367"/>
      <c r="E188" s="2376" t="s">
        <v>5011</v>
      </c>
      <c r="F188" s="2368" t="s">
        <v>3466</v>
      </c>
      <c r="G188" s="2370">
        <v>2</v>
      </c>
      <c r="H188" s="2370">
        <v>2</v>
      </c>
      <c r="I188" s="2311"/>
      <c r="J188" s="2311"/>
      <c r="K188" s="2337"/>
      <c r="N188" s="2352"/>
    </row>
    <row r="189" spans="1:14" s="2338" customFormat="1" ht="16.5">
      <c r="A189" s="2342"/>
      <c r="B189" s="2342"/>
      <c r="C189" s="2342"/>
      <c r="D189" s="2367">
        <v>26</v>
      </c>
      <c r="E189" s="2452" t="s">
        <v>5012</v>
      </c>
      <c r="F189" s="2367" t="s">
        <v>2394</v>
      </c>
      <c r="G189" s="2370">
        <v>1</v>
      </c>
      <c r="H189" s="2370">
        <v>1</v>
      </c>
      <c r="I189" s="2311"/>
      <c r="J189" s="2311"/>
      <c r="K189" s="2337"/>
      <c r="N189" s="2352"/>
    </row>
    <row r="190" spans="1:14" s="2338" customFormat="1" ht="16.5">
      <c r="A190" s="2342"/>
      <c r="B190" s="2342"/>
      <c r="D190" s="2367"/>
      <c r="E190" s="2376" t="s">
        <v>5013</v>
      </c>
      <c r="F190" s="2368" t="s">
        <v>3466</v>
      </c>
      <c r="G190" s="2370">
        <v>1</v>
      </c>
      <c r="H190" s="2370">
        <v>1</v>
      </c>
      <c r="I190" s="2311"/>
      <c r="J190" s="2311"/>
      <c r="K190" s="2337"/>
      <c r="N190" s="2352"/>
    </row>
    <row r="191" spans="1:14" s="2338" customFormat="1" ht="16.5">
      <c r="A191" s="2342"/>
      <c r="B191" s="2342"/>
      <c r="D191" s="2367"/>
      <c r="E191" s="2376" t="s">
        <v>5014</v>
      </c>
      <c r="F191" s="2368" t="s">
        <v>2448</v>
      </c>
      <c r="G191" s="2370">
        <v>2</v>
      </c>
      <c r="H191" s="2370">
        <v>2</v>
      </c>
      <c r="I191" s="2311"/>
      <c r="J191" s="2311"/>
      <c r="K191" s="2337"/>
      <c r="N191" s="2352"/>
    </row>
    <row r="192" spans="1:14" s="2338" customFormat="1" ht="16.5">
      <c r="A192" s="2342"/>
      <c r="B192" s="2342"/>
      <c r="D192" s="2367"/>
      <c r="E192" s="2376" t="s">
        <v>5015</v>
      </c>
      <c r="F192" s="2368" t="s">
        <v>2448</v>
      </c>
      <c r="G192" s="2370">
        <v>2</v>
      </c>
      <c r="H192" s="2370">
        <v>2</v>
      </c>
      <c r="I192" s="2311"/>
      <c r="J192" s="2311"/>
      <c r="K192" s="2337"/>
      <c r="N192" s="2352"/>
    </row>
    <row r="193" spans="1:14" s="2338" customFormat="1" ht="16.5">
      <c r="A193" s="2342"/>
      <c r="B193" s="2342"/>
      <c r="D193" s="2367"/>
      <c r="E193" s="2376" t="s">
        <v>5016</v>
      </c>
      <c r="F193" s="2368" t="s">
        <v>2448</v>
      </c>
      <c r="G193" s="2370">
        <v>2</v>
      </c>
      <c r="H193" s="2370">
        <v>2</v>
      </c>
      <c r="I193" s="2311"/>
      <c r="J193" s="2311"/>
      <c r="K193" s="2337"/>
      <c r="N193" s="2352"/>
    </row>
    <row r="194" spans="1:14" s="2338" customFormat="1" ht="16.5">
      <c r="A194" s="2342"/>
      <c r="B194" s="2342"/>
      <c r="C194" s="2342"/>
      <c r="D194" s="2367">
        <v>27</v>
      </c>
      <c r="E194" s="2452" t="s">
        <v>5017</v>
      </c>
      <c r="F194" s="2367" t="s">
        <v>2394</v>
      </c>
      <c r="G194" s="2370">
        <v>1</v>
      </c>
      <c r="H194" s="2370">
        <v>1</v>
      </c>
      <c r="I194" s="2311"/>
      <c r="J194" s="2311"/>
      <c r="K194" s="2337"/>
      <c r="N194" s="2352"/>
    </row>
    <row r="195" spans="1:14" s="2338" customFormat="1" ht="30">
      <c r="A195" s="2342"/>
      <c r="B195" s="2342"/>
      <c r="D195" s="2367"/>
      <c r="E195" s="2376" t="s">
        <v>5018</v>
      </c>
      <c r="F195" s="2368" t="s">
        <v>1633</v>
      </c>
      <c r="G195" s="2379">
        <v>20.6</v>
      </c>
      <c r="H195" s="2379">
        <v>20.6</v>
      </c>
      <c r="I195" s="2311"/>
      <c r="J195" s="2311"/>
      <c r="K195" s="2337"/>
      <c r="N195" s="2352"/>
    </row>
    <row r="196" spans="1:14" s="2338" customFormat="1" ht="16.5">
      <c r="A196" s="2342"/>
      <c r="B196" s="2342"/>
      <c r="D196" s="2367"/>
      <c r="E196" s="2376" t="s">
        <v>5019</v>
      </c>
      <c r="F196" s="2368" t="s">
        <v>2448</v>
      </c>
      <c r="G196" s="2371">
        <v>20</v>
      </c>
      <c r="H196" s="2371">
        <v>20</v>
      </c>
      <c r="I196" s="2311"/>
      <c r="J196" s="2311"/>
      <c r="K196" s="2337"/>
      <c r="N196" s="2352"/>
    </row>
    <row r="197" spans="1:14" s="2338" customFormat="1" ht="16.5">
      <c r="A197" s="2342"/>
      <c r="B197" s="2342"/>
      <c r="D197" s="2367"/>
      <c r="E197" s="2376" t="s">
        <v>5020</v>
      </c>
      <c r="F197" s="2368" t="s">
        <v>2448</v>
      </c>
      <c r="G197" s="2371">
        <v>2</v>
      </c>
      <c r="H197" s="2371">
        <v>2</v>
      </c>
      <c r="I197" s="2311"/>
      <c r="J197" s="2311"/>
      <c r="K197" s="2337"/>
      <c r="N197" s="2352"/>
    </row>
    <row r="198" spans="1:14" s="2338" customFormat="1" ht="16.5">
      <c r="A198" s="2342"/>
      <c r="B198" s="2342"/>
      <c r="D198" s="2367"/>
      <c r="E198" s="2376" t="s">
        <v>5021</v>
      </c>
      <c r="F198" s="2368" t="s">
        <v>2448</v>
      </c>
      <c r="G198" s="2371">
        <v>3</v>
      </c>
      <c r="H198" s="2371">
        <v>3</v>
      </c>
      <c r="I198" s="2311"/>
      <c r="J198" s="2311"/>
      <c r="K198" s="2337"/>
      <c r="N198" s="2352"/>
    </row>
    <row r="199" spans="1:14" s="2338" customFormat="1" ht="16.5">
      <c r="A199" s="2342"/>
      <c r="B199" s="2342"/>
      <c r="D199" s="2367"/>
      <c r="E199" s="2376" t="s">
        <v>5022</v>
      </c>
      <c r="F199" s="2368" t="s">
        <v>1829</v>
      </c>
      <c r="G199" s="2370">
        <v>4</v>
      </c>
      <c r="H199" s="2370">
        <v>4</v>
      </c>
      <c r="I199" s="2311"/>
      <c r="J199" s="2311"/>
      <c r="K199" s="2337"/>
      <c r="N199" s="2352"/>
    </row>
    <row r="200" spans="1:14" s="2338" customFormat="1" ht="16.5">
      <c r="A200" s="2342"/>
      <c r="B200" s="2342"/>
      <c r="D200" s="2367"/>
      <c r="E200" s="2376" t="s">
        <v>5023</v>
      </c>
      <c r="F200" s="2368" t="s">
        <v>3466</v>
      </c>
      <c r="G200" s="2370">
        <v>10</v>
      </c>
      <c r="H200" s="2370">
        <v>10</v>
      </c>
      <c r="I200" s="2311"/>
      <c r="J200" s="2311"/>
      <c r="K200" s="2337"/>
      <c r="N200" s="2352"/>
    </row>
    <row r="201" spans="1:14" s="2338" customFormat="1" ht="16.5">
      <c r="A201" s="2342"/>
      <c r="B201" s="2342"/>
      <c r="D201" s="2367"/>
      <c r="E201" s="2376" t="s">
        <v>5024</v>
      </c>
      <c r="F201" s="2368" t="s">
        <v>5025</v>
      </c>
      <c r="G201" s="2374">
        <v>0.20599999999999999</v>
      </c>
      <c r="H201" s="2374">
        <v>0.20599999999999999</v>
      </c>
      <c r="I201" s="2311"/>
      <c r="J201" s="2311"/>
      <c r="K201" s="2337"/>
      <c r="N201" s="2352"/>
    </row>
    <row r="202" spans="1:14" s="2338" customFormat="1" ht="16.5">
      <c r="A202" s="2342"/>
      <c r="B202" s="2342"/>
      <c r="D202" s="2367"/>
      <c r="E202" s="2376" t="s">
        <v>5026</v>
      </c>
      <c r="F202" s="2368" t="s">
        <v>5027</v>
      </c>
      <c r="G202" s="2370">
        <v>2</v>
      </c>
      <c r="H202" s="2370">
        <v>2</v>
      </c>
      <c r="I202" s="2311"/>
      <c r="J202" s="2311"/>
      <c r="K202" s="2337"/>
      <c r="N202" s="2352"/>
    </row>
    <row r="203" spans="1:14" s="2338" customFormat="1" ht="16.5">
      <c r="A203" s="2342"/>
      <c r="B203" s="2342"/>
      <c r="D203" s="2367"/>
      <c r="E203" s="2376" t="s">
        <v>5028</v>
      </c>
      <c r="F203" s="2368" t="s">
        <v>3466</v>
      </c>
      <c r="G203" s="2370">
        <v>4</v>
      </c>
      <c r="H203" s="2370">
        <v>4</v>
      </c>
      <c r="I203" s="2311"/>
      <c r="J203" s="2311"/>
      <c r="K203" s="2337"/>
      <c r="N203" s="2352"/>
    </row>
    <row r="204" spans="1:14" s="2338" customFormat="1" ht="16.5">
      <c r="A204" s="2342"/>
      <c r="B204" s="2342"/>
      <c r="D204" s="2367"/>
      <c r="E204" s="2376" t="s">
        <v>5029</v>
      </c>
      <c r="F204" s="2368" t="s">
        <v>5030</v>
      </c>
      <c r="G204" s="2372">
        <v>0.03</v>
      </c>
      <c r="H204" s="2372">
        <v>0.03</v>
      </c>
      <c r="I204" s="2311"/>
      <c r="J204" s="2311"/>
      <c r="K204" s="2337"/>
      <c r="N204" s="2352"/>
    </row>
    <row r="205" spans="1:14" s="2338" customFormat="1" ht="16.5">
      <c r="A205" s="2342"/>
      <c r="B205" s="2342"/>
      <c r="D205" s="2367"/>
      <c r="E205" s="2376" t="s">
        <v>5031</v>
      </c>
      <c r="F205" s="2368" t="s">
        <v>2448</v>
      </c>
      <c r="G205" s="2370">
        <v>4</v>
      </c>
      <c r="H205" s="2370">
        <v>4</v>
      </c>
      <c r="I205" s="2311"/>
      <c r="J205" s="2311"/>
      <c r="K205" s="2337"/>
      <c r="N205" s="2352"/>
    </row>
    <row r="206" spans="1:14" s="2338" customFormat="1" ht="16.5">
      <c r="A206" s="2342"/>
      <c r="B206" s="2342"/>
      <c r="D206" s="2367"/>
      <c r="E206" s="2376" t="s">
        <v>5032</v>
      </c>
      <c r="F206" s="2368" t="s">
        <v>5033</v>
      </c>
      <c r="G206" s="2372">
        <v>0.25</v>
      </c>
      <c r="H206" s="2372">
        <v>0.25</v>
      </c>
      <c r="I206" s="2311"/>
      <c r="J206" s="2311"/>
      <c r="K206" s="2337"/>
      <c r="N206" s="2352"/>
    </row>
    <row r="207" spans="1:14" s="2338" customFormat="1" ht="16.5">
      <c r="A207" s="2342"/>
      <c r="B207" s="2342"/>
      <c r="D207" s="2367"/>
      <c r="E207" s="2376" t="s">
        <v>5034</v>
      </c>
      <c r="F207" s="2368" t="s">
        <v>5033</v>
      </c>
      <c r="G207" s="2372">
        <v>0.25</v>
      </c>
      <c r="H207" s="2372">
        <v>0.25</v>
      </c>
      <c r="I207" s="2311"/>
      <c r="J207" s="2311"/>
      <c r="K207" s="2337"/>
      <c r="N207" s="2352"/>
    </row>
    <row r="208" spans="1:14" s="2338" customFormat="1" ht="16.5">
      <c r="A208" s="2342"/>
      <c r="B208" s="2342"/>
      <c r="C208" s="2342"/>
      <c r="D208" s="2367">
        <v>28</v>
      </c>
      <c r="E208" s="2452" t="s">
        <v>5035</v>
      </c>
      <c r="F208" s="2367" t="s">
        <v>3391</v>
      </c>
      <c r="G208" s="2370">
        <v>1</v>
      </c>
      <c r="H208" s="2370">
        <v>1</v>
      </c>
      <c r="I208" s="2311"/>
      <c r="J208" s="2311"/>
      <c r="K208" s="2337"/>
      <c r="N208" s="2352"/>
    </row>
    <row r="209" spans="1:14" s="2338" customFormat="1" ht="16.5">
      <c r="A209" s="79"/>
      <c r="B209" s="2342"/>
      <c r="D209" s="2367"/>
      <c r="E209" s="2376" t="s">
        <v>5036</v>
      </c>
      <c r="F209" s="2368" t="s">
        <v>3391</v>
      </c>
      <c r="G209" s="2370">
        <v>1</v>
      </c>
      <c r="H209" s="2370">
        <v>1</v>
      </c>
      <c r="I209" s="2311"/>
      <c r="J209" s="2311"/>
      <c r="K209" s="2337"/>
      <c r="N209" s="2352"/>
    </row>
    <row r="210" spans="1:14" s="2338" customFormat="1" ht="16.5">
      <c r="A210" s="2342"/>
      <c r="B210" s="2342"/>
      <c r="D210" s="2367"/>
      <c r="E210" s="2376" t="s">
        <v>5037</v>
      </c>
      <c r="F210" s="2368" t="s">
        <v>3466</v>
      </c>
      <c r="G210" s="2370">
        <v>1</v>
      </c>
      <c r="H210" s="2370">
        <v>1</v>
      </c>
      <c r="I210" s="2311"/>
      <c r="J210" s="2311"/>
      <c r="K210" s="2337"/>
      <c r="N210" s="2352"/>
    </row>
    <row r="211" spans="1:14" s="2338" customFormat="1" ht="16.5">
      <c r="A211" s="2342"/>
      <c r="B211" s="2342"/>
      <c r="D211" s="2367"/>
      <c r="E211" s="2376" t="s">
        <v>5038</v>
      </c>
      <c r="F211" s="2368" t="s">
        <v>3391</v>
      </c>
      <c r="G211" s="2370">
        <v>1</v>
      </c>
      <c r="H211" s="2370">
        <v>1</v>
      </c>
      <c r="I211" s="2311"/>
      <c r="J211" s="2311"/>
      <c r="K211" s="2337"/>
      <c r="N211" s="2352"/>
    </row>
    <row r="212" spans="1:14" s="2338" customFormat="1" ht="16.5">
      <c r="A212" s="2342"/>
      <c r="B212" s="2342"/>
      <c r="D212" s="2367"/>
      <c r="E212" s="2348" t="s">
        <v>5039</v>
      </c>
      <c r="F212" s="2368" t="s">
        <v>2448</v>
      </c>
      <c r="G212" s="2370">
        <v>2</v>
      </c>
      <c r="H212" s="2370">
        <v>2</v>
      </c>
      <c r="I212" s="2311"/>
      <c r="J212" s="2311"/>
      <c r="K212" s="2337"/>
      <c r="N212" s="2352"/>
    </row>
    <row r="213" spans="1:14" s="2338" customFormat="1" ht="16.5">
      <c r="A213" s="2342"/>
      <c r="B213" s="2342"/>
      <c r="C213" s="2342"/>
      <c r="D213" s="2367">
        <v>29</v>
      </c>
      <c r="E213" s="2452" t="s">
        <v>5040</v>
      </c>
      <c r="F213" s="2468" t="s">
        <v>2394</v>
      </c>
      <c r="G213" s="2370">
        <v>1</v>
      </c>
      <c r="H213" s="2370">
        <v>1</v>
      </c>
      <c r="I213" s="2311"/>
      <c r="J213" s="2311"/>
      <c r="K213" s="2337"/>
      <c r="N213" s="2352"/>
    </row>
    <row r="214" spans="1:14" s="2338" customFormat="1" ht="16.5">
      <c r="A214" s="2342"/>
      <c r="B214" s="2342"/>
      <c r="D214" s="2367"/>
      <c r="E214" s="2376" t="s">
        <v>5041</v>
      </c>
      <c r="F214" s="2368" t="s">
        <v>2566</v>
      </c>
      <c r="G214" s="2370">
        <v>1</v>
      </c>
      <c r="H214" s="2370">
        <v>1</v>
      </c>
      <c r="I214" s="2311"/>
      <c r="J214" s="2311"/>
      <c r="K214" s="2337"/>
      <c r="N214" s="2352"/>
    </row>
    <row r="215" spans="1:14" s="2338" customFormat="1" ht="16.5">
      <c r="A215" s="2342"/>
      <c r="B215" s="2342"/>
      <c r="D215" s="2367"/>
      <c r="E215" s="2376" t="s">
        <v>5042</v>
      </c>
      <c r="F215" s="2368" t="s">
        <v>2566</v>
      </c>
      <c r="G215" s="2370">
        <v>1</v>
      </c>
      <c r="H215" s="2370">
        <v>1</v>
      </c>
      <c r="I215" s="2311"/>
      <c r="J215" s="2311"/>
      <c r="K215" s="2337"/>
      <c r="N215" s="2352"/>
    </row>
    <row r="216" spans="1:14" s="2338" customFormat="1" ht="16.5">
      <c r="A216" s="2342"/>
      <c r="B216" s="2342"/>
      <c r="D216" s="2367"/>
      <c r="E216" s="2376" t="s">
        <v>5043</v>
      </c>
      <c r="F216" s="2368" t="s">
        <v>5044</v>
      </c>
      <c r="G216" s="2371">
        <v>1</v>
      </c>
      <c r="H216" s="2371">
        <v>1</v>
      </c>
      <c r="I216" s="2311"/>
      <c r="J216" s="2311"/>
      <c r="K216" s="2337"/>
      <c r="N216" s="2352"/>
    </row>
    <row r="217" spans="1:14" s="2338" customFormat="1" ht="16.5">
      <c r="A217" s="2342"/>
      <c r="B217" s="2342"/>
      <c r="D217" s="2367"/>
      <c r="E217" s="2376" t="s">
        <v>5045</v>
      </c>
      <c r="F217" s="2368" t="s">
        <v>5044</v>
      </c>
      <c r="G217" s="2371">
        <v>1</v>
      </c>
      <c r="H217" s="2371">
        <v>1</v>
      </c>
      <c r="I217" s="2311"/>
      <c r="J217" s="2311"/>
      <c r="K217" s="2337"/>
      <c r="N217" s="2352"/>
    </row>
    <row r="218" spans="1:14" s="2338" customFormat="1" ht="16.5">
      <c r="A218" s="2342"/>
      <c r="B218" s="2342"/>
      <c r="C218" s="2342"/>
      <c r="D218" s="2367">
        <v>30</v>
      </c>
      <c r="E218" s="2452" t="s">
        <v>5046</v>
      </c>
      <c r="F218" s="2367" t="s">
        <v>2394</v>
      </c>
      <c r="G218" s="2370">
        <v>1</v>
      </c>
      <c r="H218" s="2370">
        <v>1</v>
      </c>
      <c r="I218" s="2311"/>
      <c r="J218" s="2311"/>
      <c r="K218" s="2337"/>
      <c r="N218" s="2352"/>
    </row>
    <row r="219" spans="1:14" s="2338" customFormat="1" ht="16.5">
      <c r="A219" s="2342"/>
      <c r="B219" s="2342"/>
      <c r="D219" s="2367"/>
      <c r="E219" s="2376" t="s">
        <v>5047</v>
      </c>
      <c r="F219" s="2368" t="s">
        <v>1829</v>
      </c>
      <c r="G219" s="2370">
        <v>3</v>
      </c>
      <c r="H219" s="2370">
        <v>3</v>
      </c>
      <c r="I219" s="2311"/>
      <c r="J219" s="2311"/>
      <c r="K219" s="2337"/>
      <c r="N219" s="2352"/>
    </row>
    <row r="220" spans="1:14" s="2338" customFormat="1" ht="16.5">
      <c r="A220" s="2342"/>
      <c r="B220" s="2342"/>
      <c r="D220" s="2367"/>
      <c r="E220" s="2376" t="s">
        <v>5048</v>
      </c>
      <c r="F220" s="2368" t="s">
        <v>1829</v>
      </c>
      <c r="G220" s="2370">
        <v>3</v>
      </c>
      <c r="H220" s="2370">
        <v>3</v>
      </c>
      <c r="I220" s="2311"/>
      <c r="J220" s="2311"/>
      <c r="K220" s="2337"/>
      <c r="N220" s="2352"/>
    </row>
    <row r="221" spans="1:14" s="2338" customFormat="1" ht="16.5">
      <c r="A221" s="2342"/>
      <c r="B221" s="2342"/>
      <c r="D221" s="2367"/>
      <c r="E221" s="2376" t="s">
        <v>5049</v>
      </c>
      <c r="F221" s="2368" t="s">
        <v>3466</v>
      </c>
      <c r="G221" s="2370">
        <v>1</v>
      </c>
      <c r="H221" s="2370">
        <v>1</v>
      </c>
      <c r="I221" s="2311"/>
      <c r="J221" s="2311"/>
      <c r="K221" s="2337"/>
      <c r="N221" s="2352"/>
    </row>
    <row r="222" spans="1:14" s="2338" customFormat="1" ht="16.5">
      <c r="A222" s="2342"/>
      <c r="B222" s="2342"/>
      <c r="D222" s="2367"/>
      <c r="E222" s="2376" t="s">
        <v>5050</v>
      </c>
      <c r="F222" s="2368" t="s">
        <v>3466</v>
      </c>
      <c r="G222" s="2370">
        <v>1</v>
      </c>
      <c r="H222" s="2370">
        <v>1</v>
      </c>
      <c r="I222" s="2311"/>
      <c r="J222" s="2311"/>
      <c r="K222" s="2337"/>
      <c r="N222" s="2352"/>
    </row>
    <row r="223" spans="1:14" s="2338" customFormat="1" ht="16.5">
      <c r="A223" s="2342"/>
      <c r="B223" s="2342"/>
      <c r="C223" s="2342"/>
      <c r="D223" s="2367">
        <v>33</v>
      </c>
      <c r="E223" s="2452" t="s">
        <v>5051</v>
      </c>
      <c r="F223" s="2367" t="s">
        <v>2394</v>
      </c>
      <c r="G223" s="2380">
        <v>1</v>
      </c>
      <c r="H223" s="2380">
        <v>1</v>
      </c>
      <c r="I223" s="2311"/>
      <c r="J223" s="2311"/>
      <c r="K223" s="2337"/>
      <c r="N223" s="2352"/>
    </row>
    <row r="224" spans="1:14" s="2338" customFormat="1" ht="16.5">
      <c r="A224" s="2342"/>
      <c r="B224" s="2342"/>
      <c r="D224" s="2367"/>
      <c r="E224" s="2376" t="s">
        <v>5052</v>
      </c>
      <c r="F224" s="2368" t="s">
        <v>1829</v>
      </c>
      <c r="G224" s="2381">
        <v>20</v>
      </c>
      <c r="H224" s="2381">
        <v>20</v>
      </c>
      <c r="I224" s="2311"/>
      <c r="J224" s="2311"/>
      <c r="K224" s="2337"/>
      <c r="N224" s="2352"/>
    </row>
    <row r="225" spans="1:14" s="2338" customFormat="1" ht="16.5">
      <c r="A225" s="2342"/>
      <c r="B225" s="2342"/>
      <c r="D225" s="2367"/>
      <c r="E225" s="2376" t="s">
        <v>5053</v>
      </c>
      <c r="F225" s="2368" t="s">
        <v>1829</v>
      </c>
      <c r="G225" s="2370">
        <v>10</v>
      </c>
      <c r="H225" s="2370">
        <v>10</v>
      </c>
      <c r="I225" s="2311"/>
      <c r="J225" s="2311"/>
      <c r="K225" s="2337"/>
      <c r="N225" s="2352"/>
    </row>
    <row r="226" spans="1:14" s="2338" customFormat="1" ht="16.5">
      <c r="A226" s="2342"/>
      <c r="B226" s="2342"/>
      <c r="D226" s="2367"/>
      <c r="E226" s="2376" t="s">
        <v>5054</v>
      </c>
      <c r="F226" s="2368" t="s">
        <v>1829</v>
      </c>
      <c r="G226" s="2370">
        <v>30</v>
      </c>
      <c r="H226" s="2370">
        <v>30</v>
      </c>
      <c r="I226" s="2311"/>
      <c r="J226" s="2311"/>
      <c r="K226" s="2337"/>
      <c r="N226" s="2352"/>
    </row>
    <row r="227" spans="1:14" s="2338" customFormat="1" ht="16.5">
      <c r="A227" s="79"/>
      <c r="B227" s="2342"/>
      <c r="D227" s="2367"/>
      <c r="E227" s="2376" t="s">
        <v>5055</v>
      </c>
      <c r="F227" s="2368" t="s">
        <v>1829</v>
      </c>
      <c r="G227" s="2370">
        <v>4</v>
      </c>
      <c r="H227" s="2370">
        <v>4</v>
      </c>
      <c r="I227" s="2311"/>
      <c r="J227" s="2311"/>
      <c r="K227" s="2337"/>
      <c r="N227" s="2352"/>
    </row>
    <row r="228" spans="1:14" s="2338" customFormat="1" ht="16.5">
      <c r="A228" s="2342"/>
      <c r="B228" s="2342"/>
      <c r="D228" s="2367"/>
      <c r="E228" s="2376" t="s">
        <v>5056</v>
      </c>
      <c r="F228" s="2368" t="s">
        <v>3466</v>
      </c>
      <c r="G228" s="2370">
        <v>2</v>
      </c>
      <c r="H228" s="2370">
        <v>2</v>
      </c>
      <c r="I228" s="2311"/>
      <c r="J228" s="2311"/>
      <c r="K228" s="2337"/>
      <c r="N228" s="2352"/>
    </row>
    <row r="229" spans="1:14" s="2338" customFormat="1" ht="16.5">
      <c r="A229" s="2342"/>
      <c r="B229" s="2342"/>
      <c r="D229" s="2367"/>
      <c r="E229" s="2376" t="s">
        <v>5057</v>
      </c>
      <c r="F229" s="2368" t="s">
        <v>3466</v>
      </c>
      <c r="G229" s="2370">
        <v>1</v>
      </c>
      <c r="H229" s="2370">
        <v>1</v>
      </c>
      <c r="I229" s="2311"/>
      <c r="J229" s="2311"/>
      <c r="K229" s="2337"/>
      <c r="N229" s="2352"/>
    </row>
    <row r="230" spans="1:14" s="2338" customFormat="1" ht="16.5">
      <c r="A230" s="2342"/>
      <c r="B230" s="2342"/>
      <c r="D230" s="2367"/>
      <c r="E230" s="2376" t="s">
        <v>5058</v>
      </c>
      <c r="F230" s="2368" t="s">
        <v>1829</v>
      </c>
      <c r="G230" s="2370">
        <v>8</v>
      </c>
      <c r="H230" s="2370">
        <v>8</v>
      </c>
      <c r="I230" s="2311"/>
      <c r="J230" s="2311"/>
      <c r="K230" s="2337"/>
      <c r="N230" s="2352"/>
    </row>
    <row r="231" spans="1:14" s="2338" customFormat="1" ht="30">
      <c r="A231" s="2342"/>
      <c r="B231" s="2342"/>
      <c r="D231" s="2367"/>
      <c r="E231" s="2376" t="s">
        <v>5059</v>
      </c>
      <c r="F231" s="2368" t="s">
        <v>2448</v>
      </c>
      <c r="G231" s="2370">
        <v>3</v>
      </c>
      <c r="H231" s="2370">
        <v>3</v>
      </c>
      <c r="I231" s="2311"/>
      <c r="J231" s="2311"/>
      <c r="K231" s="2337"/>
      <c r="N231" s="2352"/>
    </row>
    <row r="232" spans="1:14" s="2338" customFormat="1" ht="16.5">
      <c r="A232" s="2342"/>
      <c r="B232" s="2342"/>
      <c r="D232" s="2367"/>
      <c r="E232" s="2376" t="s">
        <v>5060</v>
      </c>
      <c r="F232" s="2368" t="s">
        <v>3466</v>
      </c>
      <c r="G232" s="2370">
        <v>2</v>
      </c>
      <c r="H232" s="2370">
        <v>2</v>
      </c>
      <c r="I232" s="2311"/>
      <c r="J232" s="2311"/>
      <c r="K232" s="2337"/>
      <c r="N232" s="2352"/>
    </row>
    <row r="233" spans="1:14" s="2338" customFormat="1" ht="16.5">
      <c r="A233" s="2342"/>
      <c r="B233" s="2342"/>
      <c r="D233" s="2367"/>
      <c r="E233" s="2376" t="s">
        <v>5061</v>
      </c>
      <c r="F233" s="2368" t="s">
        <v>3466</v>
      </c>
      <c r="G233" s="2370">
        <v>1</v>
      </c>
      <c r="H233" s="2370">
        <v>1</v>
      </c>
      <c r="I233" s="2311"/>
      <c r="J233" s="2311"/>
      <c r="K233" s="2337"/>
      <c r="N233" s="2352"/>
    </row>
    <row r="234" spans="1:14" s="2338" customFormat="1" ht="16.5">
      <c r="A234" s="2342"/>
      <c r="B234" s="2342"/>
      <c r="D234" s="2367"/>
      <c r="E234" s="2376" t="s">
        <v>5062</v>
      </c>
      <c r="F234" s="2368" t="s">
        <v>3589</v>
      </c>
      <c r="G234" s="2370">
        <v>1</v>
      </c>
      <c r="H234" s="2370">
        <v>1</v>
      </c>
      <c r="I234" s="2311"/>
      <c r="J234" s="2311"/>
      <c r="K234" s="2337"/>
      <c r="N234" s="2352"/>
    </row>
    <row r="235" spans="1:14" s="2338" customFormat="1" ht="16.5">
      <c r="A235" s="2342"/>
      <c r="B235" s="2342"/>
      <c r="D235" s="2367"/>
      <c r="E235" s="2376" t="s">
        <v>5063</v>
      </c>
      <c r="F235" s="2368" t="s">
        <v>3589</v>
      </c>
      <c r="G235" s="2370">
        <v>1</v>
      </c>
      <c r="H235" s="2370">
        <v>1</v>
      </c>
      <c r="I235" s="2311"/>
      <c r="J235" s="2311"/>
      <c r="K235" s="2337"/>
      <c r="N235" s="2352"/>
    </row>
    <row r="236" spans="1:14" s="2338" customFormat="1" ht="16.5">
      <c r="A236" s="2342"/>
      <c r="B236" s="2342"/>
      <c r="D236" s="2367"/>
      <c r="E236" s="2376" t="s">
        <v>5064</v>
      </c>
      <c r="F236" s="2368" t="s">
        <v>3466</v>
      </c>
      <c r="G236" s="2370">
        <v>1</v>
      </c>
      <c r="H236" s="2370">
        <v>1</v>
      </c>
      <c r="I236" s="2311"/>
      <c r="J236" s="2311"/>
      <c r="K236" s="2337"/>
      <c r="N236" s="2352"/>
    </row>
    <row r="237" spans="1:14" s="2338" customFormat="1" ht="16.5">
      <c r="A237" s="2342"/>
      <c r="B237" s="2342"/>
      <c r="D237" s="2367"/>
      <c r="E237" s="2376" t="s">
        <v>5065</v>
      </c>
      <c r="F237" s="2368" t="s">
        <v>2448</v>
      </c>
      <c r="G237" s="2370">
        <v>1</v>
      </c>
      <c r="H237" s="2370">
        <v>1</v>
      </c>
      <c r="I237" s="2311"/>
      <c r="J237" s="2311"/>
      <c r="K237" s="2337"/>
      <c r="N237" s="2352"/>
    </row>
    <row r="238" spans="1:14" s="2338" customFormat="1" ht="16.5">
      <c r="A238" s="2342"/>
      <c r="B238" s="2342"/>
      <c r="D238" s="2367"/>
      <c r="E238" s="2376" t="s">
        <v>5066</v>
      </c>
      <c r="F238" s="2368" t="s">
        <v>1829</v>
      </c>
      <c r="G238" s="2371">
        <v>8</v>
      </c>
      <c r="H238" s="2371">
        <v>8</v>
      </c>
      <c r="I238" s="2311"/>
      <c r="J238" s="2311"/>
      <c r="K238" s="2337"/>
      <c r="N238" s="2352"/>
    </row>
    <row r="239" spans="1:14" s="2338" customFormat="1" ht="16.5">
      <c r="A239" s="2342"/>
      <c r="B239" s="2342"/>
      <c r="D239" s="2367"/>
      <c r="E239" s="2376" t="s">
        <v>5067</v>
      </c>
      <c r="F239" s="2368" t="s">
        <v>2448</v>
      </c>
      <c r="G239" s="2370">
        <v>2</v>
      </c>
      <c r="H239" s="2370">
        <v>2</v>
      </c>
      <c r="I239" s="2311"/>
      <c r="J239" s="2311"/>
      <c r="K239" s="2337"/>
      <c r="N239" s="2352"/>
    </row>
    <row r="240" spans="1:14" s="2338" customFormat="1" ht="16.5">
      <c r="A240" s="2342"/>
      <c r="B240" s="2342"/>
      <c r="D240" s="2367"/>
      <c r="E240" s="2376" t="s">
        <v>5068</v>
      </c>
      <c r="F240" s="2368" t="s">
        <v>2448</v>
      </c>
      <c r="G240" s="2370">
        <v>1</v>
      </c>
      <c r="H240" s="2370">
        <v>1</v>
      </c>
      <c r="I240" s="2311"/>
      <c r="J240" s="2311"/>
      <c r="K240" s="2337"/>
      <c r="N240" s="2352"/>
    </row>
    <row r="241" spans="1:14" s="2338" customFormat="1" ht="16.5">
      <c r="A241" s="2342"/>
      <c r="B241" s="2342"/>
      <c r="C241" s="2342"/>
      <c r="D241" s="2367">
        <v>31</v>
      </c>
      <c r="E241" s="2452" t="s">
        <v>5069</v>
      </c>
      <c r="F241" s="2367" t="s">
        <v>2394</v>
      </c>
      <c r="G241" s="2370">
        <v>1</v>
      </c>
      <c r="H241" s="2370">
        <v>1</v>
      </c>
      <c r="I241" s="2311"/>
      <c r="J241" s="2311"/>
      <c r="K241" s="2337"/>
      <c r="N241" s="2352"/>
    </row>
    <row r="242" spans="1:14" s="2338" customFormat="1" ht="16.5">
      <c r="A242" s="2342"/>
      <c r="B242" s="2342"/>
      <c r="D242" s="2367"/>
      <c r="E242" s="2376" t="s">
        <v>5070</v>
      </c>
      <c r="F242" s="2368" t="s">
        <v>1829</v>
      </c>
      <c r="G242" s="2372">
        <v>19.38</v>
      </c>
      <c r="H242" s="2372">
        <v>19.38</v>
      </c>
      <c r="I242" s="2311"/>
      <c r="J242" s="2311"/>
      <c r="K242" s="2337"/>
      <c r="N242" s="2352"/>
    </row>
    <row r="243" spans="1:14" s="2338" customFormat="1" ht="16.5">
      <c r="A243" s="2342"/>
      <c r="B243" s="2342"/>
      <c r="D243" s="2367"/>
      <c r="E243" s="2376" t="s">
        <v>5048</v>
      </c>
      <c r="F243" s="2368" t="s">
        <v>1829</v>
      </c>
      <c r="G243" s="2372">
        <v>19.38</v>
      </c>
      <c r="H243" s="2372">
        <v>19.38</v>
      </c>
      <c r="I243" s="2311"/>
      <c r="J243" s="2311"/>
      <c r="K243" s="2337"/>
      <c r="N243" s="2352"/>
    </row>
    <row r="244" spans="1:14" s="2338" customFormat="1" ht="16.5">
      <c r="A244" s="2342"/>
      <c r="B244" s="2342"/>
      <c r="D244" s="2367"/>
      <c r="E244" s="2376" t="s">
        <v>5071</v>
      </c>
      <c r="F244" s="2368" t="s">
        <v>1829</v>
      </c>
      <c r="G244" s="2372">
        <v>31.62</v>
      </c>
      <c r="H244" s="2372">
        <v>31.62</v>
      </c>
      <c r="I244" s="2311"/>
      <c r="J244" s="2311"/>
      <c r="K244" s="2337"/>
      <c r="N244" s="2352"/>
    </row>
    <row r="245" spans="1:14" s="2338" customFormat="1" ht="16.5">
      <c r="A245" s="2342"/>
      <c r="B245" s="2342"/>
      <c r="D245" s="2367"/>
      <c r="E245" s="2376" t="s">
        <v>5072</v>
      </c>
      <c r="F245" s="2368" t="s">
        <v>2044</v>
      </c>
      <c r="G245" s="2382">
        <v>3.1620000000000002E-2</v>
      </c>
      <c r="H245" s="2382">
        <v>3.1620000000000002E-2</v>
      </c>
      <c r="I245" s="2311"/>
      <c r="J245" s="2311"/>
      <c r="K245" s="2337"/>
      <c r="N245" s="2352"/>
    </row>
    <row r="246" spans="1:14" s="2338" customFormat="1" ht="16.5">
      <c r="A246" s="2342"/>
      <c r="B246" s="2342"/>
      <c r="D246" s="2367"/>
      <c r="E246" s="2376" t="s">
        <v>5050</v>
      </c>
      <c r="F246" s="2368" t="s">
        <v>3466</v>
      </c>
      <c r="G246" s="2370">
        <v>4</v>
      </c>
      <c r="H246" s="2370">
        <v>4</v>
      </c>
      <c r="I246" s="2311"/>
      <c r="J246" s="2311"/>
      <c r="K246" s="2337"/>
      <c r="N246" s="2352"/>
    </row>
    <row r="247" spans="1:14" s="2338" customFormat="1" ht="16.5">
      <c r="A247" s="2342"/>
      <c r="B247" s="2342"/>
      <c r="D247" s="2367"/>
      <c r="E247" s="2376" t="s">
        <v>5073</v>
      </c>
      <c r="F247" s="2368" t="s">
        <v>2521</v>
      </c>
      <c r="G247" s="2370">
        <v>4</v>
      </c>
      <c r="H247" s="2370">
        <v>4</v>
      </c>
      <c r="I247" s="2311"/>
      <c r="J247" s="2311"/>
      <c r="K247" s="2337"/>
      <c r="N247" s="2352"/>
    </row>
    <row r="248" spans="1:14" s="2338" customFormat="1" ht="16.5">
      <c r="A248" s="2342"/>
      <c r="B248" s="2342"/>
      <c r="D248" s="2367"/>
      <c r="E248" s="2376" t="s">
        <v>5074</v>
      </c>
      <c r="F248" s="2368" t="s">
        <v>2566</v>
      </c>
      <c r="G248" s="2370">
        <v>4</v>
      </c>
      <c r="H248" s="2370">
        <v>4</v>
      </c>
      <c r="I248" s="2311"/>
      <c r="J248" s="2311"/>
      <c r="K248" s="2337"/>
      <c r="N248" s="2352"/>
    </row>
    <row r="249" spans="1:14" s="2338" customFormat="1" ht="16.5">
      <c r="A249" s="2342"/>
      <c r="B249" s="2342"/>
      <c r="D249" s="2367"/>
      <c r="E249" s="2376" t="s">
        <v>2932</v>
      </c>
      <c r="F249" s="2368" t="s">
        <v>2566</v>
      </c>
      <c r="G249" s="2371">
        <v>4</v>
      </c>
      <c r="H249" s="2371">
        <v>4</v>
      </c>
      <c r="I249" s="2311"/>
      <c r="J249" s="2311"/>
      <c r="K249" s="2337"/>
      <c r="N249" s="2352"/>
    </row>
    <row r="250" spans="1:14" s="2338" customFormat="1" ht="16.5">
      <c r="A250" s="2342"/>
      <c r="B250" s="2342"/>
      <c r="D250" s="2367"/>
      <c r="E250" s="2376" t="s">
        <v>5075</v>
      </c>
      <c r="F250" s="2368" t="s">
        <v>2566</v>
      </c>
      <c r="G250" s="2371">
        <v>4</v>
      </c>
      <c r="H250" s="2371">
        <v>4</v>
      </c>
      <c r="I250" s="2311"/>
      <c r="J250" s="2311"/>
      <c r="K250" s="2337"/>
      <c r="N250" s="2352"/>
    </row>
    <row r="251" spans="1:14" s="2338" customFormat="1" ht="16.5">
      <c r="A251" s="2342"/>
      <c r="B251" s="2342"/>
      <c r="D251" s="2367"/>
      <c r="E251" s="2376" t="s">
        <v>5076</v>
      </c>
      <c r="F251" s="2368" t="s">
        <v>2566</v>
      </c>
      <c r="G251" s="2370">
        <v>4</v>
      </c>
      <c r="H251" s="2370">
        <v>4</v>
      </c>
      <c r="I251" s="2311"/>
      <c r="J251" s="2311"/>
      <c r="K251" s="2337"/>
      <c r="N251" s="2352"/>
    </row>
    <row r="252" spans="1:14" s="2338" customFormat="1" ht="16.5">
      <c r="A252" s="2342"/>
      <c r="B252" s="2342"/>
      <c r="D252" s="2367"/>
      <c r="E252" s="2376" t="s">
        <v>2892</v>
      </c>
      <c r="F252" s="2368" t="s">
        <v>2566</v>
      </c>
      <c r="G252" s="2370">
        <v>6</v>
      </c>
      <c r="H252" s="2370">
        <v>6</v>
      </c>
      <c r="I252" s="2311"/>
      <c r="J252" s="2311"/>
      <c r="K252" s="2337"/>
      <c r="N252" s="2352"/>
    </row>
    <row r="253" spans="1:14" s="2338" customFormat="1" ht="16.5">
      <c r="A253" s="2342"/>
      <c r="B253" s="2342"/>
      <c r="D253" s="2367"/>
      <c r="E253" s="2376" t="s">
        <v>3813</v>
      </c>
      <c r="F253" s="2368" t="s">
        <v>2566</v>
      </c>
      <c r="G253" s="2370">
        <v>1</v>
      </c>
      <c r="H253" s="2370">
        <v>1</v>
      </c>
      <c r="I253" s="2311"/>
      <c r="J253" s="2311"/>
      <c r="K253" s="2337"/>
      <c r="N253" s="2352"/>
    </row>
    <row r="254" spans="1:14" s="2338" customFormat="1" ht="16.5">
      <c r="A254" s="2342"/>
      <c r="B254" s="2342"/>
      <c r="D254" s="2367"/>
      <c r="E254" s="2376" t="s">
        <v>1739</v>
      </c>
      <c r="F254" s="2368" t="s">
        <v>2566</v>
      </c>
      <c r="G254" s="2370">
        <v>1</v>
      </c>
      <c r="H254" s="2370">
        <v>1</v>
      </c>
      <c r="I254" s="2311"/>
      <c r="J254" s="2311"/>
      <c r="K254" s="2337"/>
      <c r="N254" s="2352"/>
    </row>
    <row r="255" spans="1:14" s="2338" customFormat="1" ht="16.5">
      <c r="A255" s="2342"/>
      <c r="B255" s="2342"/>
      <c r="D255" s="2367"/>
      <c r="E255" s="2376" t="s">
        <v>5077</v>
      </c>
      <c r="F255" s="2368" t="s">
        <v>2566</v>
      </c>
      <c r="G255" s="2370">
        <v>2</v>
      </c>
      <c r="H255" s="2370">
        <v>2</v>
      </c>
      <c r="I255" s="2311"/>
      <c r="J255" s="2311"/>
      <c r="K255" s="2337"/>
      <c r="N255" s="2352"/>
    </row>
    <row r="256" spans="1:14" s="2338" customFormat="1" ht="16.5">
      <c r="A256" s="2342"/>
      <c r="B256" s="2342"/>
      <c r="D256" s="2367"/>
      <c r="E256" s="2376" t="s">
        <v>5078</v>
      </c>
      <c r="F256" s="2368" t="s">
        <v>2566</v>
      </c>
      <c r="G256" s="2370">
        <v>2</v>
      </c>
      <c r="H256" s="2370">
        <v>2</v>
      </c>
      <c r="I256" s="2311"/>
      <c r="J256" s="2311"/>
      <c r="K256" s="2337"/>
      <c r="N256" s="2352"/>
    </row>
    <row r="257" spans="1:14" s="2338" customFormat="1" ht="16.5">
      <c r="A257" s="2342"/>
      <c r="B257" s="2342"/>
      <c r="C257" s="2342"/>
      <c r="D257" s="2367">
        <v>32</v>
      </c>
      <c r="E257" s="2452" t="s">
        <v>5079</v>
      </c>
      <c r="F257" s="2367" t="s">
        <v>2448</v>
      </c>
      <c r="G257" s="2383">
        <v>2</v>
      </c>
      <c r="H257" s="2383">
        <v>2</v>
      </c>
      <c r="I257" s="2311"/>
      <c r="J257" s="2311"/>
      <c r="K257" s="2337"/>
      <c r="N257" s="2352"/>
    </row>
    <row r="258" spans="1:14" s="2338" customFormat="1" ht="16.5">
      <c r="A258" s="2342"/>
      <c r="B258" s="2342"/>
      <c r="D258" s="2367"/>
      <c r="E258" s="2376" t="s">
        <v>5080</v>
      </c>
      <c r="F258" s="2368" t="s">
        <v>2256</v>
      </c>
      <c r="G258" s="2372">
        <v>9.48</v>
      </c>
      <c r="H258" s="2372">
        <v>9.48</v>
      </c>
      <c r="I258" s="2311"/>
      <c r="J258" s="2311"/>
      <c r="K258" s="2337"/>
      <c r="N258" s="2352"/>
    </row>
    <row r="259" spans="1:14" s="2338" customFormat="1" ht="16.5">
      <c r="A259" s="2342"/>
      <c r="B259" s="2342"/>
      <c r="D259" s="2367"/>
      <c r="E259" s="2376" t="s">
        <v>2959</v>
      </c>
      <c r="F259" s="2368" t="s">
        <v>2566</v>
      </c>
      <c r="G259" s="2370">
        <v>2</v>
      </c>
      <c r="H259" s="2370">
        <v>2</v>
      </c>
      <c r="I259" s="2311"/>
      <c r="J259" s="2311"/>
      <c r="K259" s="2337"/>
      <c r="N259" s="2352"/>
    </row>
    <row r="260" spans="1:14" s="2338" customFormat="1" ht="16.5">
      <c r="A260" s="2342"/>
      <c r="B260" s="2342"/>
      <c r="D260" s="2367"/>
      <c r="E260" s="2376" t="s">
        <v>5081</v>
      </c>
      <c r="F260" s="2368" t="s">
        <v>2566</v>
      </c>
      <c r="G260" s="2370">
        <v>16</v>
      </c>
      <c r="H260" s="2370">
        <v>16</v>
      </c>
      <c r="I260" s="2311"/>
      <c r="J260" s="2311"/>
      <c r="K260" s="2337"/>
      <c r="N260" s="2352"/>
    </row>
    <row r="261" spans="1:14" s="2338" customFormat="1" ht="16.5">
      <c r="A261" s="2342"/>
      <c r="B261" s="2342"/>
      <c r="D261" s="2367"/>
      <c r="E261" s="2376" t="s">
        <v>5082</v>
      </c>
      <c r="F261" s="2368" t="s">
        <v>2566</v>
      </c>
      <c r="G261" s="2370">
        <v>2</v>
      </c>
      <c r="H261" s="2370">
        <v>2</v>
      </c>
      <c r="I261" s="2311"/>
      <c r="J261" s="2311"/>
      <c r="K261" s="2337"/>
      <c r="N261" s="2352"/>
    </row>
    <row r="262" spans="1:14" s="2338" customFormat="1" ht="16.5">
      <c r="A262" s="2342"/>
      <c r="B262" s="2342"/>
      <c r="D262" s="2367"/>
      <c r="E262" s="2376" t="s">
        <v>5083</v>
      </c>
      <c r="F262" s="2368" t="s">
        <v>2566</v>
      </c>
      <c r="G262" s="2370">
        <v>4</v>
      </c>
      <c r="H262" s="2370">
        <v>4</v>
      </c>
      <c r="I262" s="2311"/>
      <c r="J262" s="2311"/>
      <c r="K262" s="2337"/>
      <c r="N262" s="2352"/>
    </row>
    <row r="263" spans="1:14" s="2338" customFormat="1" ht="16.5">
      <c r="A263" s="2342"/>
      <c r="B263" s="2342"/>
      <c r="D263" s="2367"/>
      <c r="E263" s="2376" t="s">
        <v>5084</v>
      </c>
      <c r="F263" s="2368" t="s">
        <v>2566</v>
      </c>
      <c r="G263" s="2370">
        <v>2</v>
      </c>
      <c r="H263" s="2370">
        <v>2</v>
      </c>
      <c r="I263" s="2311"/>
      <c r="J263" s="2311"/>
      <c r="K263" s="2337"/>
      <c r="N263" s="2352"/>
    </row>
    <row r="264" spans="1:14" s="2338" customFormat="1" ht="16.5">
      <c r="A264" s="2342"/>
      <c r="B264" s="2342"/>
      <c r="D264" s="2367"/>
      <c r="E264" s="2376" t="s">
        <v>5085</v>
      </c>
      <c r="F264" s="2368" t="s">
        <v>2566</v>
      </c>
      <c r="G264" s="2370">
        <v>2</v>
      </c>
      <c r="H264" s="2370">
        <v>2</v>
      </c>
      <c r="I264" s="2311"/>
      <c r="J264" s="2311"/>
      <c r="K264" s="2337"/>
      <c r="N264" s="2352"/>
    </row>
    <row r="265" spans="1:14" s="2338" customFormat="1" ht="16.5">
      <c r="A265" s="2342"/>
      <c r="B265" s="2342"/>
      <c r="D265" s="2367"/>
      <c r="E265" s="2376" t="s">
        <v>5086</v>
      </c>
      <c r="F265" s="2368" t="s">
        <v>2566</v>
      </c>
      <c r="G265" s="2370">
        <v>2</v>
      </c>
      <c r="H265" s="2370">
        <v>2</v>
      </c>
      <c r="I265" s="2311"/>
      <c r="J265" s="2311"/>
      <c r="K265" s="2337"/>
      <c r="N265" s="2352"/>
    </row>
    <row r="266" spans="1:14" s="2338" customFormat="1" ht="16.5">
      <c r="A266" s="2342"/>
      <c r="B266" s="2342"/>
      <c r="C266" s="2342"/>
      <c r="D266" s="2367">
        <v>33</v>
      </c>
      <c r="E266" s="2375" t="s">
        <v>5087</v>
      </c>
      <c r="F266" s="2368"/>
      <c r="G266" s="2370">
        <v>0</v>
      </c>
      <c r="H266" s="2370">
        <v>0</v>
      </c>
      <c r="I266" s="2311"/>
      <c r="J266" s="2311"/>
      <c r="K266" s="2337"/>
      <c r="N266" s="2352"/>
    </row>
    <row r="267" spans="1:14" s="2338" customFormat="1" ht="16.5">
      <c r="A267" s="2342"/>
      <c r="B267" s="2342"/>
      <c r="D267" s="2367"/>
      <c r="E267" s="2376" t="s">
        <v>5088</v>
      </c>
      <c r="F267" s="2368" t="s">
        <v>3466</v>
      </c>
      <c r="G267" s="2371">
        <v>1</v>
      </c>
      <c r="H267" s="2371">
        <v>1</v>
      </c>
      <c r="I267" s="2311"/>
      <c r="J267" s="2311"/>
      <c r="K267" s="2337"/>
      <c r="N267" s="2352"/>
    </row>
    <row r="268" spans="1:14" s="2338" customFormat="1" ht="16.5">
      <c r="A268" s="2342"/>
      <c r="B268" s="2342"/>
      <c r="D268" s="2367"/>
      <c r="E268" s="2376" t="s">
        <v>5089</v>
      </c>
      <c r="F268" s="2368" t="s">
        <v>3466</v>
      </c>
      <c r="G268" s="2371">
        <v>1</v>
      </c>
      <c r="H268" s="2371">
        <v>1</v>
      </c>
      <c r="I268" s="2311"/>
      <c r="J268" s="2311"/>
      <c r="K268" s="2337"/>
      <c r="N268" s="2352"/>
    </row>
    <row r="269" spans="1:14" s="2338" customFormat="1" ht="16.5">
      <c r="A269" s="2342"/>
      <c r="B269" s="2342"/>
      <c r="D269" s="2367"/>
      <c r="E269" s="2376" t="s">
        <v>5006</v>
      </c>
      <c r="F269" s="2368" t="s">
        <v>3466</v>
      </c>
      <c r="G269" s="2371">
        <v>1</v>
      </c>
      <c r="H269" s="2371">
        <v>1</v>
      </c>
      <c r="I269" s="2311"/>
      <c r="J269" s="2311"/>
      <c r="K269" s="2337"/>
      <c r="N269" s="2352"/>
    </row>
    <row r="270" spans="1:14" s="2338" customFormat="1" ht="16.5">
      <c r="A270" s="2342"/>
      <c r="B270" s="2342"/>
      <c r="D270" s="2367"/>
      <c r="E270" s="2376" t="s">
        <v>5090</v>
      </c>
      <c r="F270" s="2368" t="s">
        <v>5091</v>
      </c>
      <c r="G270" s="2371">
        <v>5</v>
      </c>
      <c r="H270" s="2371">
        <v>5</v>
      </c>
      <c r="I270" s="2311"/>
      <c r="J270" s="2311"/>
      <c r="K270" s="2337"/>
      <c r="N270" s="2352"/>
    </row>
    <row r="271" spans="1:14" s="2338" customFormat="1" ht="16.5">
      <c r="A271" s="2342"/>
      <c r="B271" s="2342"/>
      <c r="D271" s="2367"/>
      <c r="E271" s="2376" t="s">
        <v>5092</v>
      </c>
      <c r="F271" s="2368" t="s">
        <v>5091</v>
      </c>
      <c r="G271" s="2370">
        <v>5</v>
      </c>
      <c r="H271" s="2370">
        <v>5</v>
      </c>
      <c r="I271" s="2311"/>
      <c r="J271" s="2311"/>
      <c r="K271" s="2337"/>
      <c r="N271" s="2352"/>
    </row>
    <row r="272" spans="1:14" s="2338" customFormat="1" ht="16.5">
      <c r="A272" s="2342"/>
      <c r="B272" s="2342"/>
      <c r="D272" s="2367"/>
      <c r="E272" s="2376" t="s">
        <v>5093</v>
      </c>
      <c r="F272" s="2368" t="s">
        <v>3466</v>
      </c>
      <c r="G272" s="2370">
        <v>1</v>
      </c>
      <c r="H272" s="2370">
        <v>1</v>
      </c>
      <c r="I272" s="2311"/>
      <c r="J272" s="2311"/>
      <c r="K272" s="2337"/>
      <c r="N272" s="2352"/>
    </row>
    <row r="273" spans="1:14" s="2338" customFormat="1" ht="30">
      <c r="A273" s="2342"/>
      <c r="B273" s="2342"/>
      <c r="D273" s="2367"/>
      <c r="E273" s="2376" t="s">
        <v>5094</v>
      </c>
      <c r="F273" s="2368" t="s">
        <v>5095</v>
      </c>
      <c r="G273" s="2370">
        <v>1</v>
      </c>
      <c r="H273" s="2370">
        <v>1</v>
      </c>
      <c r="I273" s="2311"/>
      <c r="J273" s="2311"/>
      <c r="K273" s="2337"/>
      <c r="N273" s="2352"/>
    </row>
    <row r="274" spans="1:14" s="2338" customFormat="1" ht="16.5">
      <c r="A274" s="2342"/>
      <c r="B274" s="2342"/>
      <c r="D274" s="2367"/>
      <c r="E274" s="2376" t="s">
        <v>4957</v>
      </c>
      <c r="F274" s="2368" t="s">
        <v>2521</v>
      </c>
      <c r="G274" s="2370">
        <v>4</v>
      </c>
      <c r="H274" s="2370">
        <v>4</v>
      </c>
      <c r="I274" s="2311"/>
      <c r="J274" s="2311"/>
      <c r="K274" s="2337"/>
      <c r="N274" s="2352"/>
    </row>
    <row r="275" spans="1:14" s="2338" customFormat="1" ht="16.5">
      <c r="A275" s="2342"/>
      <c r="B275" s="2342"/>
      <c r="D275" s="2367" t="s">
        <v>1669</v>
      </c>
      <c r="E275" s="2375" t="s">
        <v>5096</v>
      </c>
      <c r="F275" s="2368"/>
      <c r="G275" s="2373"/>
      <c r="H275" s="2373"/>
      <c r="I275" s="2311"/>
      <c r="J275" s="2311"/>
      <c r="K275" s="2337"/>
      <c r="N275" s="2352"/>
    </row>
    <row r="276" spans="1:14" s="2338" customFormat="1" ht="28.5">
      <c r="A276" s="2342"/>
      <c r="B276" s="2342"/>
      <c r="D276" s="2367">
        <v>1</v>
      </c>
      <c r="E276" s="2375" t="s">
        <v>4970</v>
      </c>
      <c r="F276" s="2368"/>
      <c r="G276" s="2370"/>
      <c r="H276" s="2370"/>
      <c r="I276" s="2311"/>
      <c r="J276" s="2311"/>
      <c r="K276" s="2337"/>
      <c r="N276" s="2352"/>
    </row>
    <row r="277" spans="1:14" s="2338" customFormat="1" ht="16.5">
      <c r="A277" s="2342"/>
      <c r="B277" s="2342"/>
      <c r="D277" s="2367"/>
      <c r="E277" s="2384" t="s">
        <v>5097</v>
      </c>
      <c r="F277" s="2385" t="s">
        <v>2044</v>
      </c>
      <c r="G277" s="2374">
        <v>6.0999999999999999E-2</v>
      </c>
      <c r="H277" s="2374">
        <v>6.0999999999999999E-2</v>
      </c>
      <c r="I277" s="2311"/>
      <c r="J277" s="2311"/>
      <c r="K277" s="2337"/>
      <c r="N277" s="2352"/>
    </row>
    <row r="278" spans="1:14" s="2338" customFormat="1" ht="16.5">
      <c r="A278" s="2342"/>
      <c r="B278" s="2342"/>
      <c r="D278" s="2367"/>
      <c r="E278" s="2384" t="s">
        <v>5098</v>
      </c>
      <c r="F278" s="2385" t="s">
        <v>2541</v>
      </c>
      <c r="G278" s="2370">
        <v>31</v>
      </c>
      <c r="H278" s="2370">
        <v>31</v>
      </c>
      <c r="I278" s="2311"/>
      <c r="J278" s="2311"/>
      <c r="K278" s="2337"/>
      <c r="N278" s="2352"/>
    </row>
    <row r="279" spans="1:14" s="2338" customFormat="1" ht="16.5">
      <c r="A279" s="2342"/>
      <c r="B279" s="2342"/>
      <c r="D279" s="2367"/>
      <c r="E279" s="2384" t="s">
        <v>5099</v>
      </c>
      <c r="F279" s="2385" t="s">
        <v>2541</v>
      </c>
      <c r="G279" s="2370">
        <v>31</v>
      </c>
      <c r="H279" s="2370">
        <v>31</v>
      </c>
      <c r="I279" s="2311"/>
      <c r="J279" s="2311"/>
      <c r="K279" s="2337"/>
      <c r="N279" s="2352"/>
    </row>
    <row r="280" spans="1:14" s="2338" customFormat="1" ht="16.5">
      <c r="A280" s="2342"/>
      <c r="B280" s="2342"/>
      <c r="D280" s="2367"/>
      <c r="E280" s="2384" t="s">
        <v>5100</v>
      </c>
      <c r="F280" s="2385" t="s">
        <v>2541</v>
      </c>
      <c r="G280" s="2370">
        <v>20</v>
      </c>
      <c r="H280" s="2370">
        <v>20</v>
      </c>
      <c r="I280" s="2311"/>
      <c r="J280" s="2311"/>
      <c r="K280" s="2337"/>
      <c r="N280" s="2352"/>
    </row>
    <row r="281" spans="1:14" s="2338" customFormat="1" ht="16.5">
      <c r="A281" s="2342"/>
      <c r="B281" s="2342"/>
      <c r="D281" s="2367"/>
      <c r="E281" s="2384" t="s">
        <v>5101</v>
      </c>
      <c r="F281" s="2385" t="s">
        <v>2541</v>
      </c>
      <c r="G281" s="2370">
        <v>20</v>
      </c>
      <c r="H281" s="2370">
        <v>20</v>
      </c>
      <c r="I281" s="2311"/>
      <c r="J281" s="2311"/>
      <c r="K281" s="2337"/>
      <c r="N281" s="2352"/>
    </row>
    <row r="282" spans="1:14" s="2338" customFormat="1" ht="16.5">
      <c r="A282" s="2342"/>
      <c r="B282" s="2342"/>
      <c r="D282" s="2367"/>
      <c r="E282" s="2384" t="s">
        <v>5102</v>
      </c>
      <c r="F282" s="2385" t="s">
        <v>2448</v>
      </c>
      <c r="G282" s="2370">
        <v>4</v>
      </c>
      <c r="H282" s="2370">
        <v>4</v>
      </c>
      <c r="I282" s="2311"/>
      <c r="J282" s="2311"/>
      <c r="K282" s="2337"/>
      <c r="N282" s="2352"/>
    </row>
    <row r="283" spans="1:14" s="2338" customFormat="1" ht="16.5">
      <c r="A283" s="2342"/>
      <c r="B283" s="2342"/>
      <c r="D283" s="2367"/>
      <c r="E283" s="2384" t="s">
        <v>5103</v>
      </c>
      <c r="F283" s="2385" t="s">
        <v>2448</v>
      </c>
      <c r="G283" s="2370">
        <v>2</v>
      </c>
      <c r="H283" s="2370">
        <v>2</v>
      </c>
      <c r="I283" s="2311"/>
      <c r="J283" s="2311"/>
      <c r="K283" s="2337"/>
      <c r="N283" s="2352"/>
    </row>
    <row r="284" spans="1:14" s="2338" customFormat="1" ht="18.75" customHeight="1">
      <c r="A284" s="2342"/>
      <c r="B284" s="2342"/>
      <c r="D284" s="2321"/>
      <c r="E284" s="2386"/>
      <c r="F284" s="2387"/>
      <c r="G284" s="2388"/>
      <c r="H284" s="2388"/>
      <c r="I284" s="2322"/>
      <c r="J284" s="2322"/>
      <c r="K284" s="2389"/>
      <c r="N284" s="2352"/>
    </row>
    <row r="285" spans="1:14" s="2391" customFormat="1" ht="18.75" customHeight="1">
      <c r="D285" s="2717"/>
      <c r="E285" s="2717"/>
      <c r="F285" s="2717"/>
      <c r="G285" s="2718"/>
      <c r="H285" s="2718"/>
      <c r="I285" s="2718"/>
      <c r="J285" s="2718"/>
      <c r="K285" s="2719"/>
      <c r="L285" s="2390"/>
    </row>
    <row r="286" spans="1:14" s="2325" customFormat="1" ht="15.75">
      <c r="D286" s="2392"/>
      <c r="E286" s="2393"/>
      <c r="F286" s="2392"/>
      <c r="G286" s="2394"/>
      <c r="H286" s="2394"/>
      <c r="I286" s="2720"/>
      <c r="J286" s="2720"/>
      <c r="K286" s="2327"/>
      <c r="L286" s="2392"/>
    </row>
    <row r="287" spans="1:14" s="2391" customFormat="1" ht="18">
      <c r="D287" s="2390"/>
      <c r="E287" s="2390"/>
      <c r="F287" s="2390"/>
      <c r="G287" s="2395"/>
      <c r="H287" s="2395"/>
      <c r="I287" s="2395"/>
      <c r="J287" s="2395"/>
      <c r="K287" s="2396"/>
      <c r="L287" s="2390"/>
    </row>
    <row r="288" spans="1:14" s="2391" customFormat="1" ht="18">
      <c r="D288" s="2390"/>
      <c r="E288" s="2390"/>
      <c r="F288" s="2390"/>
      <c r="G288" s="2395"/>
      <c r="H288" s="2395"/>
      <c r="I288" s="2395"/>
      <c r="J288" s="2395"/>
      <c r="K288" s="2396"/>
      <c r="L288" s="2390"/>
    </row>
    <row r="289" spans="4:12" s="2391" customFormat="1" ht="18">
      <c r="D289" s="2390"/>
      <c r="E289" s="2390"/>
      <c r="F289" s="2390"/>
      <c r="G289" s="2395"/>
      <c r="H289" s="2395"/>
      <c r="I289" s="2395"/>
      <c r="J289" s="2395"/>
      <c r="K289" s="2396"/>
      <c r="L289" s="2390"/>
    </row>
    <row r="290" spans="4:12" s="2391" customFormat="1" ht="18">
      <c r="D290" s="2390"/>
      <c r="E290" s="2390"/>
      <c r="F290" s="2390"/>
      <c r="G290" s="2395"/>
      <c r="H290" s="2395"/>
      <c r="I290" s="2395"/>
      <c r="J290" s="2395"/>
      <c r="K290" s="2396"/>
      <c r="L290" s="2390"/>
    </row>
    <row r="291" spans="4:12" s="2391" customFormat="1" ht="18">
      <c r="D291" s="2390"/>
      <c r="E291" s="2390"/>
      <c r="F291" s="2390"/>
      <c r="G291" s="2395"/>
      <c r="H291" s="2395"/>
      <c r="I291" s="2395"/>
      <c r="J291" s="2395"/>
      <c r="K291" s="2396"/>
      <c r="L291" s="2390"/>
    </row>
    <row r="292" spans="4:12" s="2398" customFormat="1" ht="20.25">
      <c r="D292" s="2392"/>
      <c r="E292" s="2397"/>
      <c r="F292" s="2721"/>
      <c r="G292" s="2721"/>
      <c r="H292" s="2397"/>
      <c r="I292" s="2397"/>
      <c r="J292" s="2393"/>
      <c r="K292" s="2391"/>
    </row>
    <row r="293" spans="4:12" s="2402" customFormat="1" ht="18.75">
      <c r="D293" s="2399"/>
      <c r="E293" s="2400"/>
      <c r="F293" s="2400"/>
      <c r="G293" s="2401"/>
      <c r="H293" s="2401"/>
      <c r="I293" s="2401"/>
      <c r="J293" s="2401"/>
      <c r="K293" s="2401"/>
    </row>
    <row r="294" spans="4:12" s="2398" customFormat="1" ht="20.25">
      <c r="D294" s="2403"/>
      <c r="E294" s="2404"/>
      <c r="F294" s="2405"/>
      <c r="G294" s="2405"/>
      <c r="H294" s="2405"/>
      <c r="I294" s="2405"/>
      <c r="J294" s="2405"/>
      <c r="K294" s="2406"/>
    </row>
    <row r="295" spans="4:12" s="2402" customFormat="1" ht="18.75">
      <c r="D295" s="2722"/>
      <c r="E295" s="2722"/>
      <c r="F295" s="2722"/>
      <c r="G295" s="2401"/>
      <c r="H295" s="2401"/>
      <c r="I295" s="2401"/>
      <c r="J295" s="2401"/>
      <c r="K295" s="2407"/>
    </row>
    <row r="296" spans="4:12" s="2398" customFormat="1" ht="20.25">
      <c r="D296" s="2408"/>
      <c r="F296" s="2405"/>
      <c r="G296" s="2409"/>
      <c r="H296" s="2409"/>
      <c r="I296" s="2409"/>
      <c r="J296" s="2409"/>
      <c r="K296" s="2406"/>
    </row>
    <row r="297" spans="4:12" s="2402" customFormat="1" ht="18.75">
      <c r="D297" s="2399"/>
      <c r="E297" s="2400"/>
      <c r="F297" s="2400"/>
      <c r="G297" s="2401"/>
      <c r="H297" s="2401"/>
      <c r="I297" s="2401"/>
      <c r="J297" s="2401"/>
      <c r="K297" s="2401"/>
    </row>
    <row r="298" spans="4:12" s="2402" customFormat="1" ht="18.75">
      <c r="D298" s="2399"/>
      <c r="E298" s="2400"/>
      <c r="F298" s="2400"/>
      <c r="G298" s="2401"/>
      <c r="H298" s="2401"/>
      <c r="I298" s="2401"/>
      <c r="J298" s="2401"/>
      <c r="K298" s="2401"/>
    </row>
    <row r="299" spans="4:12" s="2402" customFormat="1" ht="18.75">
      <c r="D299" s="2399"/>
      <c r="E299" s="2400"/>
      <c r="F299" s="2400"/>
      <c r="G299" s="2401"/>
      <c r="H299" s="2401"/>
      <c r="I299" s="2401"/>
      <c r="J299" s="2401"/>
      <c r="K299" s="2401"/>
    </row>
    <row r="300" spans="4:12" s="2398" customFormat="1" ht="20.25">
      <c r="D300" s="2403"/>
      <c r="E300" s="2404"/>
      <c r="F300" s="2405"/>
      <c r="G300" s="2405"/>
      <c r="H300" s="2405"/>
      <c r="I300" s="2405"/>
      <c r="J300" s="2405"/>
      <c r="K300" s="2406"/>
    </row>
    <row r="316" spans="4:11">
      <c r="D316" s="2723"/>
      <c r="E316" s="2724"/>
      <c r="F316" s="2724"/>
      <c r="G316" s="2724"/>
      <c r="H316" s="2724"/>
      <c r="I316" s="2724"/>
      <c r="J316" s="2724"/>
      <c r="K316" s="2724"/>
    </row>
  </sheetData>
  <autoFilter ref="C8:K284"/>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27" priority="4"/>
  </conditionalFormatting>
  <conditionalFormatting sqref="A209">
    <cfRule type="duplicateValues" dxfId="26" priority="3"/>
  </conditionalFormatting>
  <conditionalFormatting sqref="A227">
    <cfRule type="duplicateValues" dxfId="25" priority="2"/>
  </conditionalFormatting>
  <conditionalFormatting sqref="A227">
    <cfRule type="duplicateValues" dxfId="24" priority="1"/>
  </conditionalFormatting>
  <printOptions horizontalCentered="1"/>
  <pageMargins left="0.23622047244094499" right="0.23622047244094499" top="0.74803149606299202" bottom="0.3" header="0.23622047244094499" footer="0.23622047244094499"/>
  <pageSetup paperSize="9" scale="110" orientation="landscape" blackAndWhite="1" r:id="rId1"/>
  <headerFooter alignWithMargins="0">
    <oddFooter>&amp;R&amp;"VNI-Helve,Normal"&amp;9Trang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6"/>
  <sheetViews>
    <sheetView workbookViewId="0">
      <selection activeCell="J24" sqref="J24"/>
    </sheetView>
  </sheetViews>
  <sheetFormatPr defaultRowHeight="16.5"/>
  <cols>
    <col min="1" max="1" width="8.77734375" style="1285"/>
    <col min="3" max="3" width="16.44140625" style="1012" customWidth="1"/>
    <col min="4" max="4" width="6.77734375" customWidth="1"/>
    <col min="5" max="5" width="34.33203125" customWidth="1"/>
    <col min="6" max="6" width="6.77734375" style="1285" customWidth="1"/>
    <col min="7" max="8" width="6" customWidth="1"/>
    <col min="9" max="9" width="10.5546875" hidden="1" customWidth="1"/>
    <col min="10" max="10" width="6.33203125" customWidth="1"/>
  </cols>
  <sheetData>
    <row r="1" spans="1:15" ht="22.5" customHeight="1">
      <c r="E1" s="933"/>
      <c r="F1" s="933"/>
    </row>
    <row r="3" spans="1:15" ht="31.5">
      <c r="D3" s="1444" t="s">
        <v>1714</v>
      </c>
      <c r="E3" s="1444" t="s">
        <v>4229</v>
      </c>
      <c r="F3" s="1515" t="s">
        <v>4232</v>
      </c>
      <c r="G3" s="1515" t="s">
        <v>5161</v>
      </c>
      <c r="H3" s="1515" t="s">
        <v>4200</v>
      </c>
      <c r="I3" s="1515" t="s">
        <v>4233</v>
      </c>
      <c r="J3" s="1515" t="s">
        <v>4199</v>
      </c>
      <c r="K3" s="1448">
        <v>2</v>
      </c>
    </row>
    <row r="4" spans="1:15" ht="18" hidden="1" customHeight="1">
      <c r="A4" s="1285" t="str">
        <f>N4&amp;B4</f>
        <v>81</v>
      </c>
      <c r="B4">
        <v>1</v>
      </c>
      <c r="C4" s="1012" t="s">
        <v>960</v>
      </c>
      <c r="D4" s="1445">
        <f ca="1">SUM($K$4:K4)</f>
        <v>0</v>
      </c>
      <c r="E4" s="2477" t="str">
        <f t="shared" ref="E4:E13" si="0">VLOOKUP(C4,DonGia,3,0)</f>
        <v>Móng M8</v>
      </c>
      <c r="F4" s="1447" t="str">
        <f t="shared" ref="F4:F13" si="1">VLOOKUP(C4,DonGia,4,0)</f>
        <v>Móng</v>
      </c>
      <c r="G4" s="1449">
        <f t="shared" ref="G4:G13" ca="1" si="2">SUMIF(KhoiLuong,C4,DuToan)</f>
        <v>0</v>
      </c>
      <c r="H4" s="1449">
        <f t="shared" ref="H4:H13" ca="1" si="3">SUMIF(KhoiLuong,C4,ThiCong)</f>
        <v>0</v>
      </c>
      <c r="I4" s="1449">
        <f>Solieu!$B$3</f>
        <v>3</v>
      </c>
      <c r="J4" s="1446"/>
      <c r="K4" t="str">
        <f ca="1">IF(OR(G4&gt;0,H4&gt;0),1,"")</f>
        <v/>
      </c>
      <c r="L4" s="933">
        <v>4</v>
      </c>
      <c r="M4">
        <v>9</v>
      </c>
      <c r="N4">
        <v>8</v>
      </c>
      <c r="O4" s="2453">
        <f ca="1">G4</f>
        <v>0</v>
      </c>
    </row>
    <row r="5" spans="1:15" ht="18" hidden="1" customHeight="1">
      <c r="A5" s="1285" t="str">
        <f t="shared" ref="A5:A13" si="4">N5&amp;B5</f>
        <v>81</v>
      </c>
      <c r="B5">
        <v>1</v>
      </c>
      <c r="C5" s="1012" t="s">
        <v>2184</v>
      </c>
      <c r="D5" s="1998">
        <f ca="1">SUM($K$4:K5)</f>
        <v>0</v>
      </c>
      <c r="E5" s="2477" t="str">
        <f t="shared" si="0"/>
        <v>Móng M8a</v>
      </c>
      <c r="F5" s="1447" t="str">
        <f t="shared" si="1"/>
        <v>Móng</v>
      </c>
      <c r="G5" s="1449">
        <f t="shared" ca="1" si="2"/>
        <v>0</v>
      </c>
      <c r="H5" s="1449">
        <f t="shared" ca="1" si="3"/>
        <v>0</v>
      </c>
      <c r="I5" s="1449">
        <f>Solieu!$B$3</f>
        <v>3</v>
      </c>
      <c r="J5" s="1446"/>
      <c r="K5" s="1285" t="str">
        <f t="shared" ref="K5:K15" ca="1" si="5">IF(OR(G5&gt;0,H5&gt;0),1,"")</f>
        <v/>
      </c>
      <c r="L5" s="933">
        <v>1</v>
      </c>
      <c r="M5">
        <v>2</v>
      </c>
      <c r="N5">
        <v>8</v>
      </c>
      <c r="O5" s="2453">
        <f t="shared" ref="O5:O13" ca="1" si="6">G5</f>
        <v>0</v>
      </c>
    </row>
    <row r="6" spans="1:15" ht="18" hidden="1" customHeight="1">
      <c r="A6" s="1285" t="str">
        <f t="shared" si="4"/>
        <v>121</v>
      </c>
      <c r="B6" s="1285">
        <v>1</v>
      </c>
      <c r="C6" s="1012" t="s">
        <v>2323</v>
      </c>
      <c r="D6" s="1998">
        <f ca="1">SUM($K$4:K6)</f>
        <v>0</v>
      </c>
      <c r="E6" s="2477" t="str">
        <f t="shared" si="0"/>
        <v>Móng bê tông trụ đơn 8,4m</v>
      </c>
      <c r="F6" s="1447" t="str">
        <f t="shared" si="1"/>
        <v>Móng</v>
      </c>
      <c r="G6" s="1449">
        <f t="shared" ca="1" si="2"/>
        <v>0</v>
      </c>
      <c r="H6" s="1449">
        <f t="shared" ca="1" si="3"/>
        <v>0</v>
      </c>
      <c r="I6" s="1449">
        <f>Solieu!$B$3</f>
        <v>3</v>
      </c>
      <c r="J6" s="1446"/>
      <c r="K6" s="1285" t="str">
        <f t="shared" ca="1" si="5"/>
        <v/>
      </c>
      <c r="L6" s="933">
        <v>15</v>
      </c>
      <c r="M6">
        <v>24</v>
      </c>
      <c r="N6">
        <v>12</v>
      </c>
      <c r="O6" s="2453">
        <f t="shared" ca="1" si="6"/>
        <v>0</v>
      </c>
    </row>
    <row r="7" spans="1:15" s="1285" customFormat="1" ht="18" customHeight="1">
      <c r="A7" s="1285" t="str">
        <f t="shared" si="4"/>
        <v>121</v>
      </c>
      <c r="B7" s="1285">
        <v>1</v>
      </c>
      <c r="C7" s="1012" t="s">
        <v>219</v>
      </c>
      <c r="D7" s="1998">
        <f ca="1">SUM($K$4:K7)</f>
        <v>1</v>
      </c>
      <c r="E7" s="2477" t="str">
        <f t="shared" si="0"/>
        <v>Móng M12</v>
      </c>
      <c r="F7" s="1447" t="str">
        <f t="shared" si="1"/>
        <v>Móng</v>
      </c>
      <c r="G7" s="1449">
        <f t="shared" ca="1" si="2"/>
        <v>15</v>
      </c>
      <c r="H7" s="1449">
        <f t="shared" ca="1" si="3"/>
        <v>15</v>
      </c>
      <c r="I7" s="1449">
        <f>Solieu!$B$3</f>
        <v>3</v>
      </c>
      <c r="J7" s="1446"/>
      <c r="K7" s="1285">
        <f t="shared" ca="1" si="5"/>
        <v>1</v>
      </c>
      <c r="L7" s="933">
        <v>1</v>
      </c>
      <c r="M7" s="1285">
        <v>1</v>
      </c>
      <c r="N7" s="1285">
        <v>12</v>
      </c>
      <c r="O7" s="2453">
        <f t="shared" ca="1" si="6"/>
        <v>15</v>
      </c>
    </row>
    <row r="8" spans="1:15" s="1285" customFormat="1" ht="18" hidden="1" customHeight="1">
      <c r="A8" s="1285" t="str">
        <f t="shared" si="4"/>
        <v>121</v>
      </c>
      <c r="B8" s="1285">
        <v>1</v>
      </c>
      <c r="C8" s="1012" t="s">
        <v>2313</v>
      </c>
      <c r="D8" s="1998">
        <f ca="1">SUM($K$4:K8)</f>
        <v>1</v>
      </c>
      <c r="E8" s="2477" t="str">
        <f t="shared" si="0"/>
        <v>Móng bê tông trụ đơn 12m</v>
      </c>
      <c r="F8" s="1447" t="str">
        <f t="shared" si="1"/>
        <v>Móng</v>
      </c>
      <c r="G8" s="1449">
        <f t="shared" ca="1" si="2"/>
        <v>0</v>
      </c>
      <c r="H8" s="1449">
        <f t="shared" ca="1" si="3"/>
        <v>0</v>
      </c>
      <c r="I8" s="1449">
        <f>Solieu!$B$3</f>
        <v>3</v>
      </c>
      <c r="J8" s="1446"/>
      <c r="K8" s="1285" t="str">
        <f t="shared" ca="1" si="5"/>
        <v/>
      </c>
      <c r="L8" s="933">
        <v>2</v>
      </c>
      <c r="M8" s="1285">
        <v>7</v>
      </c>
      <c r="N8" s="1285">
        <v>12</v>
      </c>
      <c r="O8" s="2453">
        <f t="shared" ca="1" si="6"/>
        <v>0</v>
      </c>
    </row>
    <row r="9" spans="1:15" s="1285" customFormat="1" ht="18" customHeight="1">
      <c r="A9" s="1285" t="str">
        <f t="shared" si="4"/>
        <v>82</v>
      </c>
      <c r="B9" s="1285">
        <v>2</v>
      </c>
      <c r="C9" s="1012" t="s">
        <v>2314</v>
      </c>
      <c r="D9" s="1998">
        <f ca="1">SUM($K$4:K9)</f>
        <v>2</v>
      </c>
      <c r="E9" s="2477" t="str">
        <f t="shared" si="0"/>
        <v>Móng bê tông trụ đôi 12m</v>
      </c>
      <c r="F9" s="1447" t="str">
        <f t="shared" si="1"/>
        <v>Móng</v>
      </c>
      <c r="G9" s="1449">
        <f t="shared" ca="1" si="2"/>
        <v>5</v>
      </c>
      <c r="H9" s="1449">
        <f t="shared" ca="1" si="3"/>
        <v>5</v>
      </c>
      <c r="I9" s="1449">
        <v>3</v>
      </c>
      <c r="J9" s="1446"/>
      <c r="K9" s="1285">
        <f t="shared" ca="1" si="5"/>
        <v>1</v>
      </c>
      <c r="L9" s="933"/>
      <c r="N9" s="1285">
        <v>8</v>
      </c>
      <c r="O9" s="2453">
        <f t="shared" ca="1" si="6"/>
        <v>5</v>
      </c>
    </row>
    <row r="10" spans="1:15" s="1285" customFormat="1" ht="18" hidden="1" customHeight="1">
      <c r="A10" s="1285" t="str">
        <f t="shared" si="4"/>
        <v>82</v>
      </c>
      <c r="B10" s="1285">
        <v>2</v>
      </c>
      <c r="C10" s="1012" t="s">
        <v>782</v>
      </c>
      <c r="D10" s="1998">
        <f ca="1">SUM($K$4:K10)</f>
        <v>2</v>
      </c>
      <c r="E10" s="2477" t="str">
        <f t="shared" si="0"/>
        <v>Móng M14</v>
      </c>
      <c r="F10" s="1447" t="str">
        <f t="shared" si="1"/>
        <v>Móng</v>
      </c>
      <c r="G10" s="1449">
        <f t="shared" ca="1" si="2"/>
        <v>0</v>
      </c>
      <c r="H10" s="1449">
        <f t="shared" ca="1" si="3"/>
        <v>0</v>
      </c>
      <c r="I10" s="1449">
        <v>3</v>
      </c>
      <c r="J10" s="1446"/>
      <c r="K10" s="1285" t="str">
        <f t="shared" ca="1" si="5"/>
        <v/>
      </c>
      <c r="L10" s="933"/>
      <c r="N10" s="1285">
        <v>8</v>
      </c>
      <c r="O10" s="2453">
        <f t="shared" ca="1" si="6"/>
        <v>0</v>
      </c>
    </row>
    <row r="11" spans="1:15" s="1285" customFormat="1" ht="18" hidden="1" customHeight="1">
      <c r="A11" s="1285" t="str">
        <f t="shared" si="4"/>
        <v>122</v>
      </c>
      <c r="B11" s="1285">
        <v>2</v>
      </c>
      <c r="C11" s="1012" t="s">
        <v>2315</v>
      </c>
      <c r="D11" s="1998">
        <f ca="1">SUM($K$4:K11)</f>
        <v>2</v>
      </c>
      <c r="E11" s="2477" t="str">
        <f t="shared" si="0"/>
        <v>Móng bê tông trụ đơn 14m</v>
      </c>
      <c r="F11" s="1447" t="str">
        <f t="shared" si="1"/>
        <v>Móng</v>
      </c>
      <c r="G11" s="1449">
        <f t="shared" ca="1" si="2"/>
        <v>0</v>
      </c>
      <c r="H11" s="1449">
        <f t="shared" ca="1" si="3"/>
        <v>0</v>
      </c>
      <c r="I11" s="1449">
        <v>3</v>
      </c>
      <c r="J11" s="1446"/>
      <c r="K11" s="1285" t="str">
        <f t="shared" ca="1" si="5"/>
        <v/>
      </c>
      <c r="L11" s="933"/>
      <c r="N11" s="1285">
        <v>12</v>
      </c>
      <c r="O11" s="2453">
        <f t="shared" ca="1" si="6"/>
        <v>0</v>
      </c>
    </row>
    <row r="12" spans="1:15" s="1285" customFormat="1" ht="18" hidden="1" customHeight="1">
      <c r="A12" s="1285" t="str">
        <f t="shared" si="4"/>
        <v>122</v>
      </c>
      <c r="B12" s="1285">
        <v>2</v>
      </c>
      <c r="C12" s="1012" t="s">
        <v>1497</v>
      </c>
      <c r="D12" s="1998">
        <f ca="1">SUM($K$4:K12)</f>
        <v>2</v>
      </c>
      <c r="E12" s="2477" t="str">
        <f t="shared" si="0"/>
        <v>Bộ móng neo xòe cho chằng xuống: NXX</v>
      </c>
      <c r="F12" s="1447" t="str">
        <f t="shared" si="1"/>
        <v>Bộ</v>
      </c>
      <c r="G12" s="1449">
        <f t="shared" ca="1" si="2"/>
        <v>0</v>
      </c>
      <c r="H12" s="1449">
        <f t="shared" ca="1" si="3"/>
        <v>0</v>
      </c>
      <c r="I12" s="1449"/>
      <c r="J12" s="1446"/>
      <c r="K12" s="1285" t="str">
        <f t="shared" ca="1" si="5"/>
        <v/>
      </c>
      <c r="L12" s="933"/>
      <c r="N12" s="1285">
        <v>12</v>
      </c>
      <c r="O12" s="2453">
        <f t="shared" ca="1" si="6"/>
        <v>0</v>
      </c>
    </row>
    <row r="13" spans="1:15" s="1285" customFormat="1" ht="18" customHeight="1">
      <c r="A13" s="1285" t="str">
        <f t="shared" si="4"/>
        <v>122</v>
      </c>
      <c r="B13" s="1285">
        <v>2</v>
      </c>
      <c r="C13" s="1012" t="s">
        <v>1498</v>
      </c>
      <c r="D13" s="1998">
        <f ca="1">SUM($K$4:K13)</f>
        <v>3</v>
      </c>
      <c r="E13" s="2477" t="str">
        <f t="shared" si="0"/>
        <v>Bộ móng neo xòe cho chằng lệch: NXL</v>
      </c>
      <c r="F13" s="1447" t="str">
        <f t="shared" si="1"/>
        <v>Bộ</v>
      </c>
      <c r="G13" s="1449">
        <f t="shared" ca="1" si="2"/>
        <v>1</v>
      </c>
      <c r="H13" s="1449">
        <f t="shared" ca="1" si="3"/>
        <v>1</v>
      </c>
      <c r="I13" s="1449"/>
      <c r="J13" s="1446"/>
      <c r="K13" s="1285">
        <f t="shared" ca="1" si="5"/>
        <v>1</v>
      </c>
      <c r="L13" s="933"/>
      <c r="N13" s="1285">
        <v>12</v>
      </c>
      <c r="O13" s="2453">
        <f t="shared" ca="1" si="6"/>
        <v>1</v>
      </c>
    </row>
    <row r="14" spans="1:15" s="1285" customFormat="1" ht="18" hidden="1" customHeight="1">
      <c r="C14" s="1012"/>
      <c r="D14" s="1998">
        <f ca="1">SUM($K$4:K14)</f>
        <v>3</v>
      </c>
      <c r="E14" s="2477"/>
      <c r="F14" s="1447"/>
      <c r="G14" s="1449"/>
      <c r="H14" s="1449"/>
      <c r="I14" s="1449"/>
      <c r="J14" s="1446"/>
      <c r="K14" s="1285" t="str">
        <f t="shared" si="5"/>
        <v/>
      </c>
      <c r="L14" s="933"/>
    </row>
    <row r="15" spans="1:15" ht="21.75" hidden="1" customHeight="1">
      <c r="D15" s="1998">
        <f ca="1">SUM($K$4:K15)</f>
        <v>3</v>
      </c>
      <c r="E15" s="2477"/>
      <c r="F15" s="1447"/>
      <c r="G15" s="1449"/>
      <c r="H15" s="1449"/>
      <c r="I15" s="1445"/>
      <c r="J15" s="1446"/>
      <c r="K15" s="1285" t="str">
        <f t="shared" si="5"/>
        <v/>
      </c>
    </row>
    <row r="16" spans="1:15" ht="27" customHeight="1">
      <c r="D16" s="1998"/>
      <c r="E16" s="1999" t="s">
        <v>4263</v>
      </c>
      <c r="F16" s="1999"/>
      <c r="G16" s="1450">
        <f ca="1">SUMIF(K4:K13,K3,G4:G13)</f>
        <v>0</v>
      </c>
      <c r="H16" s="1450">
        <f ca="1">G16</f>
        <v>0</v>
      </c>
      <c r="I16" s="1998"/>
      <c r="J16" s="1998"/>
      <c r="K16">
        <v>1</v>
      </c>
    </row>
  </sheetData>
  <autoFilter ref="K3:K16">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K18" sqref="K18"/>
    </sheetView>
  </sheetViews>
  <sheetFormatPr defaultColWidth="8.88671875" defaultRowHeight="16.5"/>
  <cols>
    <col min="1" max="1" width="8.88671875" style="1285"/>
    <col min="2" max="2" width="14.44140625" style="1452" customWidth="1"/>
    <col min="3" max="3" width="4.88671875" style="1285" customWidth="1"/>
    <col min="4" max="4" width="45" style="1285" customWidth="1"/>
    <col min="5" max="5" width="6.88671875" style="1285" customWidth="1"/>
    <col min="6" max="7" width="6" style="1285" customWidth="1"/>
    <col min="8" max="8" width="10.5546875" style="1285" hidden="1" customWidth="1"/>
    <col min="9" max="9" width="6" style="1285" customWidth="1"/>
    <col min="10" max="16384" width="8.88671875" style="1285"/>
  </cols>
  <sheetData>
    <row r="1" spans="2:12">
      <c r="D1" s="933" t="s">
        <v>2842</v>
      </c>
      <c r="E1" s="933"/>
    </row>
    <row r="3" spans="2:12" s="1750" customFormat="1" ht="36.6" customHeight="1">
      <c r="B3" s="1288"/>
      <c r="C3" s="1999" t="s">
        <v>1714</v>
      </c>
      <c r="D3" s="1999" t="s">
        <v>3996</v>
      </c>
      <c r="E3" s="1515" t="s">
        <v>4232</v>
      </c>
      <c r="F3" s="1515" t="s">
        <v>5161</v>
      </c>
      <c r="G3" s="1515" t="s">
        <v>4200</v>
      </c>
      <c r="H3" s="1515" t="s">
        <v>4233</v>
      </c>
      <c r="I3" s="1515" t="s">
        <v>4199</v>
      </c>
      <c r="J3" s="2308" t="s">
        <v>512</v>
      </c>
      <c r="K3" s="1750">
        <v>2</v>
      </c>
    </row>
    <row r="4" spans="2:12" hidden="1">
      <c r="B4" s="1452" t="s">
        <v>233</v>
      </c>
      <c r="C4" s="1445">
        <f ca="1">SUM($J$4:J4)</f>
        <v>0</v>
      </c>
      <c r="D4" s="1447" t="str">
        <f t="shared" ref="D4:D15" si="0">VLOOKUP(B4,DonGia,3,0)</f>
        <v>Trụ bê tông ly tâm 7.5m</v>
      </c>
      <c r="E4" s="1998" t="str">
        <f t="shared" ref="E4:E15" si="1">VLOOKUP(B4,DonGia,4,0)</f>
        <v>Trụ</v>
      </c>
      <c r="F4" s="1449">
        <f ca="1">SUMIF(DZ,B4,chitiet!H:H)</f>
        <v>0</v>
      </c>
      <c r="G4" s="1449">
        <f ca="1">SUMIF(DZ,B4,chitiet!P:P)</f>
        <v>0</v>
      </c>
      <c r="H4" s="1449">
        <f>VLOOKUP($D$1,Solieu!A:C,2,0)</f>
        <v>3</v>
      </c>
      <c r="I4" s="1446"/>
      <c r="J4" s="1285" t="str">
        <f t="shared" ref="J4:J16" ca="1" si="2">IF(OR(F4&gt;0,G4&gt;0),1,"")</f>
        <v/>
      </c>
      <c r="L4" s="1449"/>
    </row>
    <row r="5" spans="2:12" hidden="1">
      <c r="B5" s="1452" t="s">
        <v>232</v>
      </c>
      <c r="C5" s="1998">
        <f ca="1">SUM($J$4:J5)</f>
        <v>0</v>
      </c>
      <c r="D5" s="1447" t="str">
        <f t="shared" si="0"/>
        <v>Trụ bê tông ly tâm 8.4m</v>
      </c>
      <c r="E5" s="1998" t="str">
        <f t="shared" si="1"/>
        <v>Trụ</v>
      </c>
      <c r="F5" s="1449">
        <f ca="1">SUMIF(DZ,B5,chitiet!H:H)</f>
        <v>0</v>
      </c>
      <c r="G5" s="1449">
        <f ca="1">SUMIF(DZ,B5,chitiet!P:P)</f>
        <v>0</v>
      </c>
      <c r="H5" s="1449">
        <f>VLOOKUP($D$1,Solieu!A:C,2,0)</f>
        <v>3</v>
      </c>
      <c r="I5" s="1446"/>
      <c r="J5" s="1285" t="str">
        <f t="shared" ca="1" si="2"/>
        <v/>
      </c>
      <c r="K5" s="933"/>
      <c r="L5" s="1449"/>
    </row>
    <row r="6" spans="2:12" hidden="1">
      <c r="B6" s="1452" t="s">
        <v>185</v>
      </c>
      <c r="C6" s="1998">
        <f ca="1">SUM($J$4:J6)</f>
        <v>0</v>
      </c>
      <c r="D6" s="1447" t="str">
        <f t="shared" si="0"/>
        <v>Trụ bê tông ly tâm 8.4m có dây tiếp địa</v>
      </c>
      <c r="E6" s="1998" t="str">
        <f t="shared" si="1"/>
        <v>Trụ</v>
      </c>
      <c r="F6" s="1449">
        <f ca="1">SUMIF(DZ,B6,chitiet!H:H)</f>
        <v>0</v>
      </c>
      <c r="G6" s="1449">
        <f ca="1">SUMIF(DZ,B6,chitiet!P:P)</f>
        <v>0</v>
      </c>
      <c r="H6" s="1449">
        <f>VLOOKUP($D$1,Solieu!A:C,2,0)</f>
        <v>3</v>
      </c>
      <c r="I6" s="1446"/>
      <c r="J6" s="1285" t="str">
        <f t="shared" ca="1" si="2"/>
        <v/>
      </c>
      <c r="K6" s="933"/>
    </row>
    <row r="7" spans="2:12" hidden="1">
      <c r="B7" s="2454" t="s">
        <v>232</v>
      </c>
      <c r="C7" s="1998">
        <f ca="1">SUM($J$4:J7)</f>
        <v>0</v>
      </c>
      <c r="D7" s="1447" t="str">
        <f t="shared" si="0"/>
        <v>Trụ bê tông ly tâm 8.4m</v>
      </c>
      <c r="E7" s="1998" t="str">
        <f t="shared" si="1"/>
        <v>Trụ</v>
      </c>
      <c r="F7" s="1449">
        <f ca="1">SUMIF(DZ,B7,chitiet!H:H)</f>
        <v>0</v>
      </c>
      <c r="G7" s="1449">
        <f ca="1">SUMIF(DZ,B7,chitiet!P:P)</f>
        <v>0</v>
      </c>
      <c r="H7" s="1449">
        <f>VLOOKUP($D$1,Solieu!A:C,2,0)</f>
        <v>3</v>
      </c>
      <c r="I7" s="1446"/>
      <c r="J7" s="1285" t="str">
        <f t="shared" ca="1" si="2"/>
        <v/>
      </c>
      <c r="K7" s="933"/>
    </row>
    <row r="8" spans="2:12" ht="31.5" hidden="1" customHeight="1">
      <c r="B8" s="1452" t="s">
        <v>510</v>
      </c>
      <c r="C8" s="1998">
        <f ca="1">SUM($J$4:J8)</f>
        <v>0</v>
      </c>
      <c r="D8" s="1447" t="str">
        <f t="shared" si="0"/>
        <v>Nhổ và trồng trụ 8,4m</v>
      </c>
      <c r="E8" s="1998" t="str">
        <f t="shared" si="1"/>
        <v>Trụ</v>
      </c>
      <c r="F8" s="1449">
        <f ca="1">SUMIF(DZ,B8,chitiet!H:H)</f>
        <v>0</v>
      </c>
      <c r="G8" s="1449">
        <f ca="1">SUMIF(DZ,B8,chitiet!P:P)</f>
        <v>0</v>
      </c>
      <c r="I8" s="1446"/>
      <c r="J8" s="1285" t="str">
        <f t="shared" ca="1" si="2"/>
        <v/>
      </c>
    </row>
    <row r="9" spans="2:12" hidden="1">
      <c r="B9" s="1452" t="s">
        <v>300</v>
      </c>
      <c r="C9" s="1998">
        <f ca="1">SUM($J$4:J9)</f>
        <v>0</v>
      </c>
      <c r="D9" s="1447" t="str">
        <f t="shared" si="0"/>
        <v>Trụ bê tông ly tâm 10.5m</v>
      </c>
      <c r="E9" s="1998" t="str">
        <f t="shared" si="1"/>
        <v>Trụ</v>
      </c>
      <c r="F9" s="1449">
        <f ca="1">SUMIF(DZ,B9,chitiet!H:H)</f>
        <v>0</v>
      </c>
      <c r="G9" s="1449">
        <f ca="1">SUMIF(DZ,B9,chitiet!P:P)</f>
        <v>0</v>
      </c>
      <c r="I9" s="1446"/>
      <c r="J9" s="1285" t="str">
        <f t="shared" ca="1" si="2"/>
        <v/>
      </c>
    </row>
    <row r="10" spans="2:12" hidden="1">
      <c r="B10" s="1452" t="s">
        <v>370</v>
      </c>
      <c r="C10" s="1998">
        <f ca="1">SUM($J$4:J10)</f>
        <v>0</v>
      </c>
      <c r="D10" s="1447" t="str">
        <f t="shared" si="0"/>
        <v>Nhổ trụ bê tông ly tâm 10.5m</v>
      </c>
      <c r="E10" s="1998" t="str">
        <f t="shared" si="1"/>
        <v>Trụ</v>
      </c>
      <c r="F10" s="1449">
        <f ca="1">SUMIF(DZ,B10,chitiet!H:H)</f>
        <v>0</v>
      </c>
      <c r="G10" s="1449">
        <f ca="1">SUMIF(DZ,B10,chitiet!P:P)</f>
        <v>0</v>
      </c>
      <c r="I10" s="1446"/>
      <c r="J10" s="1285" t="str">
        <f t="shared" ca="1" si="2"/>
        <v/>
      </c>
    </row>
    <row r="11" spans="2:12" hidden="1">
      <c r="B11" s="1452" t="s">
        <v>1188</v>
      </c>
      <c r="C11" s="1998">
        <f ca="1">SUM($J$4:J11)</f>
        <v>0</v>
      </c>
      <c r="D11" s="1447" t="str">
        <f t="shared" si="0"/>
        <v>Trụ bê tông ly tâm 12m trồng thủ công</v>
      </c>
      <c r="E11" s="1998" t="str">
        <f t="shared" si="1"/>
        <v>Trụ</v>
      </c>
      <c r="F11" s="1449">
        <f ca="1">SUMIF(DZ,B11,chitiet!H:H)</f>
        <v>0</v>
      </c>
      <c r="G11" s="1449">
        <f ca="1">SUMIF(DZ,B11,chitiet!P:P)</f>
        <v>0</v>
      </c>
      <c r="I11" s="1446"/>
      <c r="J11" s="1285" t="str">
        <f t="shared" ca="1" si="2"/>
        <v/>
      </c>
    </row>
    <row r="12" spans="2:12" ht="39" customHeight="1">
      <c r="B12" s="1452" t="s">
        <v>301</v>
      </c>
      <c r="C12" s="1998">
        <f ca="1">SUM($J$4:J12)</f>
        <v>1</v>
      </c>
      <c r="D12" s="1447" t="str">
        <f t="shared" si="0"/>
        <v>Trụ bê tông ly tâm 12m trồng thủ công+cơ giới</v>
      </c>
      <c r="E12" s="1998" t="str">
        <f t="shared" si="1"/>
        <v>Trụ</v>
      </c>
      <c r="F12" s="1449">
        <f ca="1">SUMIF(DZ,B12,chitiet!H:H)</f>
        <v>25</v>
      </c>
      <c r="G12" s="1449">
        <f ca="1">SUMIF(DZ,B12,chitiet!P:P)</f>
        <v>25</v>
      </c>
      <c r="I12" s="1446"/>
      <c r="J12" s="1285">
        <f t="shared" ca="1" si="2"/>
        <v>1</v>
      </c>
    </row>
    <row r="13" spans="2:12" ht="33" hidden="1">
      <c r="B13" s="1452" t="s">
        <v>2316</v>
      </c>
      <c r="C13" s="1998">
        <f ca="1">SUM($J$4:J13)</f>
        <v>1</v>
      </c>
      <c r="D13" s="1447" t="str">
        <f t="shared" si="0"/>
        <v>Trụ bê tông ly tâm 12m (tiếp địa có sẵn) trồng thủ công+cơ giới</v>
      </c>
      <c r="E13" s="1998" t="str">
        <f t="shared" si="1"/>
        <v>Trụ</v>
      </c>
      <c r="F13" s="1449">
        <f ca="1">SUMIF(DZ,B13,chitiet!H:H)</f>
        <v>0</v>
      </c>
      <c r="G13" s="1449">
        <f ca="1">SUMIF(DZ,B13,chitiet!P:P)</f>
        <v>0</v>
      </c>
      <c r="I13" s="1446"/>
      <c r="J13" s="1285" t="str">
        <f t="shared" ca="1" si="2"/>
        <v/>
      </c>
    </row>
    <row r="14" spans="2:12" hidden="1">
      <c r="B14" s="1452" t="s">
        <v>302</v>
      </c>
      <c r="C14" s="1998">
        <f ca="1">SUM($J$4:J14)</f>
        <v>1</v>
      </c>
      <c r="D14" s="1447" t="str">
        <f t="shared" si="0"/>
        <v>Trụ bê tông ly tâm 14m</v>
      </c>
      <c r="E14" s="1998" t="str">
        <f t="shared" si="1"/>
        <v>Trụ</v>
      </c>
      <c r="F14" s="1449">
        <f ca="1">SUMIF(DZ,B14,chitiet!H:H)</f>
        <v>0</v>
      </c>
      <c r="G14" s="1449">
        <f ca="1">SUMIF(DZ,B14,chitiet!P:P)</f>
        <v>0</v>
      </c>
      <c r="I14" s="1446"/>
      <c r="J14" s="1285" t="str">
        <f t="shared" ca="1" si="2"/>
        <v/>
      </c>
    </row>
    <row r="15" spans="2:12" hidden="1">
      <c r="B15" s="1452" t="s">
        <v>761</v>
      </c>
      <c r="C15" s="1998">
        <f ca="1">SUM($J$4:J15)</f>
        <v>1</v>
      </c>
      <c r="D15" s="1447" t="str">
        <f t="shared" si="0"/>
        <v>Trụ bê tông ly tâm 20m</v>
      </c>
      <c r="E15" s="1998" t="str">
        <f t="shared" si="1"/>
        <v>Trụ</v>
      </c>
      <c r="F15" s="1449">
        <f ca="1">SUMIF(DZ,B15,chitiet!H:H)</f>
        <v>0</v>
      </c>
      <c r="G15" s="1449">
        <f ca="1">SUMIF(DZ,B15,chitiet!P:P)</f>
        <v>0</v>
      </c>
      <c r="I15" s="1446"/>
      <c r="J15" s="1285" t="str">
        <f t="shared" ca="1" si="2"/>
        <v/>
      </c>
    </row>
    <row r="16" spans="2:12" ht="39.75" customHeight="1">
      <c r="C16" s="1998"/>
      <c r="D16" s="1999" t="s">
        <v>4263</v>
      </c>
      <c r="E16" s="1999"/>
      <c r="F16" s="1450">
        <f ca="1">SUM(F4:F15)</f>
        <v>25</v>
      </c>
      <c r="G16" s="1450">
        <f ca="1">SUM(G4:G15)</f>
        <v>25</v>
      </c>
      <c r="H16" s="1998"/>
      <c r="I16" s="1998"/>
      <c r="J16" s="1285">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J11" sqref="J11"/>
    </sheetView>
  </sheetViews>
  <sheetFormatPr defaultColWidth="8.88671875" defaultRowHeight="16.5"/>
  <cols>
    <col min="1" max="1" width="8.88671875" style="1285"/>
    <col min="2" max="2" width="14.44140625" style="1474" customWidth="1"/>
    <col min="3" max="3" width="5.6640625" style="1285" customWidth="1"/>
    <col min="4" max="4" width="30.109375" style="1285" customWidth="1"/>
    <col min="5" max="5" width="7" style="1285" customWidth="1"/>
    <col min="6" max="6" width="8.33203125" style="1285" customWidth="1"/>
    <col min="7" max="7" width="7.5546875" style="1285" customWidth="1"/>
    <col min="8" max="8" width="10.5546875" style="1285" hidden="1" customWidth="1"/>
    <col min="9" max="9" width="10.109375" style="1285" customWidth="1"/>
    <col min="10" max="10" width="8.88671875" style="1285"/>
    <col min="11" max="11" width="0" style="1285" hidden="1" customWidth="1"/>
    <col min="12" max="12" width="9.88671875" style="1285" customWidth="1"/>
    <col min="13" max="16384" width="8.88671875" style="1285"/>
  </cols>
  <sheetData>
    <row r="3" spans="2:11" ht="31.5">
      <c r="C3" s="1999" t="s">
        <v>1714</v>
      </c>
      <c r="D3" s="1999" t="s">
        <v>4325</v>
      </c>
      <c r="E3" s="1515" t="s">
        <v>4232</v>
      </c>
      <c r="F3" s="1515" t="s">
        <v>5161</v>
      </c>
      <c r="G3" s="1515" t="s">
        <v>4200</v>
      </c>
      <c r="H3" s="1515" t="s">
        <v>4233</v>
      </c>
      <c r="I3" s="1515" t="s">
        <v>4199</v>
      </c>
      <c r="J3" s="1448" t="s">
        <v>512</v>
      </c>
    </row>
    <row r="4" spans="2:11" ht="24" hidden="1" customHeight="1">
      <c r="B4" s="1452" t="s">
        <v>2323</v>
      </c>
      <c r="C4" s="1445">
        <f ca="1">SUM($J$4:J4)</f>
        <v>0</v>
      </c>
      <c r="D4" s="1447" t="str">
        <f t="shared" ref="D4:D10" si="0">VLOOKUP(B4,DonGia,3,0)</f>
        <v>Móng bê tông trụ đơn 8,4m</v>
      </c>
      <c r="E4" s="1998" t="s">
        <v>2336</v>
      </c>
      <c r="F4" s="1449">
        <f ca="1">SUMIF('2Mong'!C:C,B4,'2Mong'!G:G)</f>
        <v>0</v>
      </c>
      <c r="G4" s="1449">
        <f ca="1">F4</f>
        <v>0</v>
      </c>
      <c r="H4" s="1449">
        <f>VLOOKUP(K4,Solieu!A:C,2,0)</f>
        <v>3</v>
      </c>
      <c r="I4" s="1446"/>
      <c r="J4" s="1285" t="str">
        <f ca="1">IF(OR(F4&gt;0,G4&gt;0),1,"")</f>
        <v/>
      </c>
      <c r="K4" s="933" t="s">
        <v>4506</v>
      </c>
    </row>
    <row r="5" spans="2:11" ht="24" hidden="1" customHeight="1">
      <c r="B5" s="1452" t="s">
        <v>2313</v>
      </c>
      <c r="C5" s="1445">
        <f ca="1">SUM($J$4:J5)</f>
        <v>0</v>
      </c>
      <c r="D5" s="1447" t="str">
        <f t="shared" si="0"/>
        <v>Móng bê tông trụ đơn 12m</v>
      </c>
      <c r="E5" s="1998" t="s">
        <v>2336</v>
      </c>
      <c r="F5" s="1449">
        <f ca="1">SUMIF('2Mong'!C:C,B5,'2Mong'!G:G)</f>
        <v>0</v>
      </c>
      <c r="G5" s="1449">
        <f t="shared" ref="G5:G10" ca="1" si="1">F5</f>
        <v>0</v>
      </c>
      <c r="H5" s="1449">
        <f>VLOOKUP(K5,Solieu!A:C,2,0)</f>
        <v>3</v>
      </c>
      <c r="I5" s="1446"/>
      <c r="J5" s="1285" t="str">
        <f t="shared" ref="J5:J10" ca="1" si="2">IF(OR(F5&gt;0,G5&gt;0),1,"")</f>
        <v/>
      </c>
      <c r="K5" s="933" t="s">
        <v>4506</v>
      </c>
    </row>
    <row r="6" spans="2:11" ht="32.25" customHeight="1">
      <c r="B6" s="1452" t="s">
        <v>2314</v>
      </c>
      <c r="C6" s="1445">
        <f ca="1">SUM($J$4:J6)</f>
        <v>1</v>
      </c>
      <c r="D6" s="1447" t="str">
        <f t="shared" si="0"/>
        <v>Móng bê tông trụ đôi 12m</v>
      </c>
      <c r="E6" s="1998" t="s">
        <v>2336</v>
      </c>
      <c r="F6" s="1449">
        <f ca="1">SUMIF('2Mong'!C:C,B6,'2Mong'!G:G)</f>
        <v>5</v>
      </c>
      <c r="G6" s="1449">
        <f t="shared" ca="1" si="1"/>
        <v>5</v>
      </c>
      <c r="H6" s="1449">
        <f>VLOOKUP(K6,Solieu!A:C,2,0)</f>
        <v>3</v>
      </c>
      <c r="I6" s="1446"/>
      <c r="J6" s="1285">
        <f t="shared" ca="1" si="2"/>
        <v>1</v>
      </c>
      <c r="K6" s="933" t="s">
        <v>4506</v>
      </c>
    </row>
    <row r="7" spans="2:11" ht="24" hidden="1" customHeight="1">
      <c r="B7" s="1452"/>
      <c r="C7" s="1445">
        <f ca="1">SUM($J$4:J7)</f>
        <v>1</v>
      </c>
      <c r="D7" s="1447" t="e">
        <f t="shared" si="0"/>
        <v>#N/A</v>
      </c>
      <c r="E7" s="1447"/>
      <c r="F7" s="1449">
        <f>SUMIF('2Mong'!C:C,B7,'2Mong'!G:G)</f>
        <v>0</v>
      </c>
      <c r="G7" s="1449">
        <f t="shared" si="1"/>
        <v>0</v>
      </c>
      <c r="H7" s="1449">
        <f>VLOOKUP(K7,Solieu!A:C,2,0)</f>
        <v>3</v>
      </c>
      <c r="I7" s="1446"/>
      <c r="J7" s="1285" t="str">
        <f t="shared" si="2"/>
        <v/>
      </c>
      <c r="K7" s="933" t="s">
        <v>4506</v>
      </c>
    </row>
    <row r="8" spans="2:11" ht="24" hidden="1" customHeight="1">
      <c r="B8" s="1452"/>
      <c r="C8" s="1998">
        <f ca="1">SUM($J$4:J8)</f>
        <v>1</v>
      </c>
      <c r="D8" s="1447" t="e">
        <f t="shared" si="0"/>
        <v>#N/A</v>
      </c>
      <c r="E8" s="1447"/>
      <c r="F8" s="1449">
        <f>SUMIF('2Mong'!C:C,B8,'2Mong'!G:G)</f>
        <v>0</v>
      </c>
      <c r="G8" s="1449">
        <f t="shared" si="1"/>
        <v>0</v>
      </c>
      <c r="H8" s="1449">
        <f>VLOOKUP(K8,Solieu!A:C,2,0)</f>
        <v>3</v>
      </c>
      <c r="I8" s="1998"/>
      <c r="J8" s="1285" t="str">
        <f t="shared" si="2"/>
        <v/>
      </c>
      <c r="K8" s="933" t="s">
        <v>4506</v>
      </c>
    </row>
    <row r="9" spans="2:11" ht="24" hidden="1" customHeight="1">
      <c r="B9" s="1452"/>
      <c r="C9" s="1445">
        <f ca="1">SUM($J$4:J9)</f>
        <v>1</v>
      </c>
      <c r="D9" s="1447" t="e">
        <f t="shared" si="0"/>
        <v>#N/A</v>
      </c>
      <c r="E9" s="1447"/>
      <c r="F9" s="1449">
        <f>SUMIF('2Mong'!C:C,B9,'2Mong'!G:G)</f>
        <v>0</v>
      </c>
      <c r="G9" s="1449">
        <f t="shared" si="1"/>
        <v>0</v>
      </c>
      <c r="H9" s="1449">
        <f>VLOOKUP(K9,Solieu!A:C,2,0)</f>
        <v>3</v>
      </c>
      <c r="I9" s="1446"/>
      <c r="J9" s="1285" t="str">
        <f t="shared" si="2"/>
        <v/>
      </c>
      <c r="K9" s="933" t="s">
        <v>4506</v>
      </c>
    </row>
    <row r="10" spans="2:11" ht="24" hidden="1" customHeight="1">
      <c r="B10" s="1452"/>
      <c r="C10" s="1445">
        <f ca="1">SUM($J$4:J10)</f>
        <v>1</v>
      </c>
      <c r="D10" s="1447" t="e">
        <f t="shared" si="0"/>
        <v>#N/A</v>
      </c>
      <c r="E10" s="1447"/>
      <c r="F10" s="1449">
        <f>SUMIF('2Mong'!C:C,B10,'2Mong'!G:G)</f>
        <v>0</v>
      </c>
      <c r="G10" s="1449">
        <f t="shared" si="1"/>
        <v>0</v>
      </c>
      <c r="H10" s="1449">
        <f>VLOOKUP(K10,Solieu!A:C,2,0)</f>
        <v>3</v>
      </c>
      <c r="I10" s="1446"/>
      <c r="J10" s="1285" t="str">
        <f t="shared" si="2"/>
        <v/>
      </c>
      <c r="K10" s="933" t="s">
        <v>4506</v>
      </c>
    </row>
    <row r="11" spans="2:11" ht="24" customHeight="1">
      <c r="B11" s="1452"/>
      <c r="C11" s="1998"/>
      <c r="D11" s="1999" t="s">
        <v>4263</v>
      </c>
      <c r="E11" s="1999"/>
      <c r="F11" s="1450">
        <f ca="1">SUM(F4:F10)</f>
        <v>5</v>
      </c>
      <c r="G11" s="1450">
        <f ca="1">SUM(G4:G10)</f>
        <v>5</v>
      </c>
      <c r="H11" s="1998"/>
      <c r="I11" s="1998"/>
      <c r="J11" s="1285">
        <v>1</v>
      </c>
    </row>
    <row r="12" spans="2:11" hidden="1">
      <c r="B12" s="1474" t="s">
        <v>2313</v>
      </c>
    </row>
    <row r="13" spans="2:11" hidden="1">
      <c r="B13" s="1474" t="s">
        <v>2314</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E14" sqref="E14:F14"/>
    </sheetView>
  </sheetViews>
  <sheetFormatPr defaultColWidth="8.88671875" defaultRowHeight="16.5"/>
  <cols>
    <col min="1" max="1" width="8.88671875" style="1285"/>
    <col min="2" max="2" width="14.44140625" style="1511" customWidth="1"/>
    <col min="3" max="3" width="5.33203125" style="1285" customWidth="1"/>
    <col min="4" max="4" width="33.6640625" style="1285" customWidth="1"/>
    <col min="5" max="6" width="6" style="1285" customWidth="1"/>
    <col min="7" max="7" width="9.109375" style="1285" customWidth="1"/>
    <col min="8" max="8" width="6.33203125" style="1285" customWidth="1"/>
    <col min="9" max="16384" width="8.88671875" style="1285"/>
  </cols>
  <sheetData>
    <row r="1" spans="2:10">
      <c r="D1" s="933" t="s">
        <v>4508</v>
      </c>
    </row>
    <row r="3" spans="2:10" ht="49.5">
      <c r="C3" s="1999" t="s">
        <v>1714</v>
      </c>
      <c r="D3" s="1999" t="s">
        <v>4424</v>
      </c>
      <c r="E3" s="1999" t="s">
        <v>4236</v>
      </c>
      <c r="F3" s="1999" t="s">
        <v>4200</v>
      </c>
      <c r="G3" s="1999" t="s">
        <v>4230</v>
      </c>
      <c r="H3" s="1999" t="s">
        <v>4199</v>
      </c>
      <c r="I3" s="1448" t="s">
        <v>512</v>
      </c>
    </row>
    <row r="4" spans="2:10" ht="25.5" hidden="1" customHeight="1">
      <c r="B4" s="1511" t="s">
        <v>1197</v>
      </c>
      <c r="C4" s="1445">
        <f>SUM($I$4:I4)</f>
        <v>0</v>
      </c>
      <c r="D4" s="1447" t="str">
        <f>VLOOKUP(B4,DG!A:C,3,0)</f>
        <v>Bộ CODE lắp néo trung hòa: CODE th-Þ240</v>
      </c>
      <c r="E4" s="1449">
        <f>SUMIF(TongHopKL!$B:$B,B4,TongHopKL!H:H)</f>
        <v>0</v>
      </c>
      <c r="F4" s="1449">
        <f>SUMIF(TongHopKL!$B:$B,B4,TongHopKL!I:I)</f>
        <v>0</v>
      </c>
      <c r="G4" s="1449">
        <f>VLOOKUP($D$1,Solieu!A:C,2,0)</f>
        <v>0</v>
      </c>
      <c r="H4" s="1446"/>
      <c r="I4" s="1285" t="str">
        <f>IF(OR(E4&gt;0,F4&gt;0),1,"")</f>
        <v/>
      </c>
    </row>
    <row r="5" spans="2:10" ht="24.75" hidden="1" customHeight="1">
      <c r="B5" s="1511" t="s">
        <v>633</v>
      </c>
      <c r="C5" s="1445">
        <f>SUM($I$4:I5)</f>
        <v>0</v>
      </c>
      <c r="D5" s="1447" t="str">
        <f>VLOOKUP(B5,DG!A:C,3,0)</f>
        <v>Bộ chằng xuống đơn cho trụ hạ thế: CX.ht</v>
      </c>
      <c r="E5" s="1449">
        <f>SUMIF(TongHopKL!$B:$B,B5,TongHopKL!H:H)</f>
        <v>0</v>
      </c>
      <c r="F5" s="1449">
        <f>SUMIF(TongHopKL!$B:$B,B5,TongHopKL!I:I)</f>
        <v>0</v>
      </c>
      <c r="G5" s="1449">
        <f>VLOOKUP($D$1,Solieu!A:C,2,0)</f>
        <v>0</v>
      </c>
      <c r="H5" s="1446"/>
      <c r="I5" s="1285" t="str">
        <f t="shared" ref="I5:I32" si="0">IF(OR(E5&gt;0,F5&gt;0),1,"")</f>
        <v/>
      </c>
      <c r="J5" s="933"/>
    </row>
    <row r="6" spans="2:10" ht="33" hidden="1">
      <c r="B6" s="1511" t="s">
        <v>205</v>
      </c>
      <c r="C6" s="1445">
        <f>SUM($I$4:I6)</f>
        <v>0</v>
      </c>
      <c r="D6" s="1447" t="str">
        <f>VLOOKUP(B6,DG!A:C,3,0)</f>
        <v>Tháo bộ chằng lệch đơn cho trụ hạ thế: CL.ht</v>
      </c>
      <c r="E6" s="1449">
        <f>SUMIF(TongHopKL!$B:$B,B6,TongHopKL!H:H)</f>
        <v>0</v>
      </c>
      <c r="F6" s="1449">
        <f>SUMIF(TongHopKL!$B:$B,B6,TongHopKL!I:I)</f>
        <v>0</v>
      </c>
      <c r="G6" s="1449">
        <f>VLOOKUP($D$1,Solieu!A:C,2,0)</f>
        <v>0</v>
      </c>
      <c r="H6" s="1446"/>
      <c r="I6" s="1285" t="str">
        <f t="shared" si="0"/>
        <v/>
      </c>
      <c r="J6" s="933"/>
    </row>
    <row r="7" spans="2:10" hidden="1">
      <c r="B7" s="1511" t="s">
        <v>632</v>
      </c>
      <c r="C7" s="1445">
        <f>SUM($I$4:I7)</f>
        <v>0</v>
      </c>
      <c r="D7" s="1447" t="str">
        <f>VLOOKUP(B7,DG!A:C,3,0)</f>
        <v>Bộ chằng lệch đơn cho trụ hạ thế: CL.ht</v>
      </c>
      <c r="E7" s="1449">
        <f>SUMIF(TongHopKL!$B:$B,B7,TongHopKL!H:H)</f>
        <v>0</v>
      </c>
      <c r="F7" s="1449">
        <f>SUMIF(TongHopKL!$B:$B,B7,TongHopKL!I:I)</f>
        <v>0</v>
      </c>
      <c r="G7" s="1449">
        <f>VLOOKUP($D$1,Solieu!A:C,2,0)</f>
        <v>0</v>
      </c>
      <c r="H7" s="1446"/>
      <c r="I7" s="1285" t="str">
        <f t="shared" si="0"/>
        <v/>
      </c>
      <c r="J7" s="933"/>
    </row>
    <row r="8" spans="2:10" ht="33" hidden="1">
      <c r="B8" s="1511" t="s">
        <v>837</v>
      </c>
      <c r="C8" s="1445">
        <f>SUM($I$4:I8)</f>
        <v>0</v>
      </c>
      <c r="D8" s="1447" t="str">
        <f>VLOOKUP(B8,DG!A:C,3,0)</f>
        <v>Bộ chằng xuống đơn cho trụ 10,5m: CX10-B</v>
      </c>
      <c r="E8" s="1449">
        <f>SUMIF(TongHopKL!$B:$B,B8,TongHopKL!H:H)</f>
        <v>0</v>
      </c>
      <c r="F8" s="1449">
        <f>SUMIF(TongHopKL!$B:$B,B8,TongHopKL!I:I)</f>
        <v>0</v>
      </c>
      <c r="G8" s="1449">
        <f>VLOOKUP($D$1,Solieu!A:C,2,0)</f>
        <v>0</v>
      </c>
      <c r="H8" s="1446"/>
      <c r="I8" s="1285" t="str">
        <f t="shared" si="0"/>
        <v/>
      </c>
      <c r="J8" s="933"/>
    </row>
    <row r="9" spans="2:10" ht="33" hidden="1">
      <c r="B9" s="1511" t="s">
        <v>838</v>
      </c>
      <c r="C9" s="1445">
        <f>SUM($I$4:I9)</f>
        <v>0</v>
      </c>
      <c r="D9" s="1447" t="str">
        <f>VLOOKUP(B9,DG!A:C,3,0)</f>
        <v>Bộ chằng lệch đơn cho trụ 10,5m: CL10-B</v>
      </c>
      <c r="E9" s="1449">
        <f>SUMIF(TongHopKL!$B:$B,B9,TongHopKL!H:H)</f>
        <v>0</v>
      </c>
      <c r="F9" s="1449">
        <f>SUMIF(TongHopKL!$B:$B,B9,TongHopKL!I:I)</f>
        <v>0</v>
      </c>
      <c r="G9" s="1449">
        <f>VLOOKUP($D$1,Solieu!A:C,2,0)</f>
        <v>0</v>
      </c>
      <c r="H9" s="1446"/>
      <c r="I9" s="1285" t="str">
        <f t="shared" si="0"/>
        <v/>
      </c>
      <c r="J9" s="933"/>
    </row>
    <row r="10" spans="2:10" ht="33" hidden="1">
      <c r="B10" s="1511" t="s">
        <v>839</v>
      </c>
      <c r="C10" s="1445">
        <f>SUM($I$4:I10)</f>
        <v>0</v>
      </c>
      <c r="D10" s="1447" t="str">
        <f>VLOOKUP(B10,DG!A:C,3,0)</f>
        <v>Bộ chằng xuống kép cho trụ 10,5m: CXX10-B</v>
      </c>
      <c r="E10" s="1449">
        <f>SUMIF(TongHopKL!$B:$B,B10,TongHopKL!H:H)</f>
        <v>0</v>
      </c>
      <c r="F10" s="1449">
        <f>SUMIF(TongHopKL!$B:$B,B10,TongHopKL!I:I)</f>
        <v>0</v>
      </c>
      <c r="G10" s="1449">
        <f>VLOOKUP($D$1,Solieu!A:C,2,0)</f>
        <v>0</v>
      </c>
      <c r="H10" s="1446"/>
      <c r="I10" s="1285" t="str">
        <f t="shared" si="0"/>
        <v/>
      </c>
      <c r="J10" s="933"/>
    </row>
    <row r="11" spans="2:10" ht="33" hidden="1">
      <c r="B11" s="1511" t="s">
        <v>1275</v>
      </c>
      <c r="C11" s="1445">
        <f>SUM($I$4:I11)</f>
        <v>0</v>
      </c>
      <c r="D11" s="1447" t="str">
        <f>VLOOKUP(B11,DG!A:C,3,0)</f>
        <v>Tháo bộ chằng xuống đơn cho trụ 12m: CX12-B</v>
      </c>
      <c r="E11" s="1449">
        <f>SUMIF(TongHopKL!$B:$B,B11,TongHopKL!H:H)</f>
        <v>0</v>
      </c>
      <c r="F11" s="1449">
        <f>SUMIF(TongHopKL!$B:$B,B11,TongHopKL!I:I)</f>
        <v>0</v>
      </c>
      <c r="G11" s="1449">
        <f>VLOOKUP($D$1,Solieu!A:C,2,0)</f>
        <v>0</v>
      </c>
      <c r="H11" s="1446"/>
      <c r="I11" s="1285" t="str">
        <f t="shared" si="0"/>
        <v/>
      </c>
      <c r="J11" s="933"/>
    </row>
    <row r="12" spans="2:10" ht="35.25" hidden="1" customHeight="1">
      <c r="B12" s="1511" t="s">
        <v>663</v>
      </c>
      <c r="C12" s="1445">
        <f>SUM($I$4:I12)</f>
        <v>0</v>
      </c>
      <c r="D12" s="1447" t="str">
        <f>VLOOKUP(B12,DG!A:C,3,0)</f>
        <v>Bộ chằng xuống đơn cho trụ 12m: CX12-B</v>
      </c>
      <c r="E12" s="1449">
        <f>SUMIF(TongHopKL!$B:$B,B12,TongHopKL!H:H)</f>
        <v>0</v>
      </c>
      <c r="F12" s="1449">
        <f>SUMIF(TongHopKL!$B:$B,B12,TongHopKL!I:I)</f>
        <v>0</v>
      </c>
      <c r="G12" s="1449">
        <f>VLOOKUP($D$1,Solieu!A:C,2,0)</f>
        <v>0</v>
      </c>
      <c r="H12" s="1446"/>
      <c r="I12" s="1285" t="str">
        <f t="shared" si="0"/>
        <v/>
      </c>
      <c r="J12" s="933"/>
    </row>
    <row r="13" spans="2:10" ht="33" hidden="1">
      <c r="B13" s="1511" t="s">
        <v>195</v>
      </c>
      <c r="C13" s="1445">
        <f>SUM($I$4:I13)</f>
        <v>0</v>
      </c>
      <c r="D13" s="1447" t="str">
        <f>VLOOKUP(B13,DG!A:C,3,0)</f>
        <v>Tháo bộ chằng lệch đơn cho trụ 12m: CL12-B</v>
      </c>
      <c r="E13" s="1449">
        <f>SUMIF(TongHopKL!$B:$B,B13,TongHopKL!H:H)</f>
        <v>0</v>
      </c>
      <c r="F13" s="1449">
        <f>SUMIF(TongHopKL!$B:$B,B13,TongHopKL!I:I)</f>
        <v>0</v>
      </c>
      <c r="G13" s="1449">
        <f>VLOOKUP($D$1,Solieu!A:C,2,0)</f>
        <v>0</v>
      </c>
      <c r="H13" s="1446"/>
      <c r="I13" s="1285" t="str">
        <f t="shared" si="0"/>
        <v/>
      </c>
      <c r="J13" s="933"/>
    </row>
    <row r="14" spans="2:10" ht="43.5" customHeight="1">
      <c r="B14" s="1511" t="s">
        <v>664</v>
      </c>
      <c r="C14" s="1998">
        <f>SUM($I$4:I14)</f>
        <v>1</v>
      </c>
      <c r="D14" s="1447" t="str">
        <f>VLOOKUP(B14,DG!A:C,3,0)</f>
        <v>Bộ chằng lệch đơn cho trụ 12m: CL12-B</v>
      </c>
      <c r="E14" s="1449">
        <f>SUMIF(TongHopKL!$B:$B,B14,TongHopKL!H:H)</f>
        <v>1</v>
      </c>
      <c r="F14" s="1449">
        <f>SUMIF(TongHopKL!$B:$B,B14,TongHopKL!I:I)</f>
        <v>1</v>
      </c>
      <c r="G14" s="1449">
        <f>VLOOKUP($D$1,Solieu!A:C,2,0)</f>
        <v>0</v>
      </c>
      <c r="H14" s="1446"/>
      <c r="I14" s="1285">
        <f t="shared" si="0"/>
        <v>1</v>
      </c>
      <c r="J14" s="933"/>
    </row>
    <row r="15" spans="2:10" ht="33" hidden="1">
      <c r="B15" s="1511" t="s">
        <v>665</v>
      </c>
      <c r="C15" s="1445">
        <f>SUM($I$4:I15)</f>
        <v>1</v>
      </c>
      <c r="D15" s="1447" t="str">
        <f>VLOOKUP(B15,DG!A:C,3,0)</f>
        <v>Bộ chằng xuống kép cho trụ 12m: CXX12-B</v>
      </c>
      <c r="E15" s="1449">
        <f>SUMIF(TongHopKL!$B:$B,B15,TongHopKL!H:H)</f>
        <v>0</v>
      </c>
      <c r="F15" s="1449">
        <f>SUMIF(TongHopKL!$B:$B,B15,TongHopKL!I:I)</f>
        <v>0</v>
      </c>
      <c r="G15" s="1449">
        <f>VLOOKUP($D$1,Solieu!A:C,2,0)</f>
        <v>0</v>
      </c>
      <c r="H15" s="1446"/>
      <c r="I15" s="1285" t="str">
        <f t="shared" si="0"/>
        <v/>
      </c>
      <c r="J15" s="933"/>
    </row>
    <row r="16" spans="2:10" ht="27" hidden="1" customHeight="1">
      <c r="B16" s="1511" t="s">
        <v>666</v>
      </c>
      <c r="C16" s="1445">
        <f>SUM($I$4:I16)</f>
        <v>1</v>
      </c>
      <c r="D16" s="1447" t="str">
        <f>VLOOKUP(B16,DG!A:C,3,0)</f>
        <v>Bộ chằng xuống đơn cho trụ 14m: CX14-B</v>
      </c>
      <c r="E16" s="1449">
        <f>SUMIF(TongHopKL!$B:$B,B16,TongHopKL!H:H)</f>
        <v>0</v>
      </c>
      <c r="F16" s="1449">
        <f>SUMIF(TongHopKL!$B:$B,B16,TongHopKL!I:I)</f>
        <v>0</v>
      </c>
      <c r="G16" s="1449">
        <f>VLOOKUP($D$1,Solieu!A:C,2,0)</f>
        <v>0</v>
      </c>
      <c r="H16" s="1446"/>
      <c r="I16" s="1285" t="str">
        <f t="shared" si="0"/>
        <v/>
      </c>
    </row>
    <row r="17" spans="2:9" hidden="1">
      <c r="B17" s="1511" t="s">
        <v>914</v>
      </c>
      <c r="C17" s="1445">
        <f>SUM($I$4:I17)</f>
        <v>1</v>
      </c>
      <c r="D17" s="1447" t="str">
        <f>VLOOKUP(B17,DG!A:C,3,0)</f>
        <v>Bộ chằng lệch đơn cho trụ 14m: CL14-B</v>
      </c>
      <c r="E17" s="1449">
        <f>SUMIF(TongHopKL!$B:$B,B17,TongHopKL!H:H)</f>
        <v>0</v>
      </c>
      <c r="F17" s="1449">
        <f>SUMIF(TongHopKL!$B:$B,B17,TongHopKL!I:I)</f>
        <v>0</v>
      </c>
      <c r="G17" s="1449">
        <f>VLOOKUP($D$1,Solieu!A:C,2,0)</f>
        <v>0</v>
      </c>
      <c r="H17" s="1446"/>
      <c r="I17" s="1285" t="str">
        <f t="shared" si="0"/>
        <v/>
      </c>
    </row>
    <row r="18" spans="2:9" ht="33" hidden="1">
      <c r="B18" s="1511" t="s">
        <v>915</v>
      </c>
      <c r="C18" s="1445">
        <f>SUM($I$4:I18)</f>
        <v>1</v>
      </c>
      <c r="D18" s="1447" t="str">
        <f>VLOOKUP(B18,DG!A:C,3,0)</f>
        <v>Bộ chằng xuống kép cho trụ 14m: CXX14-B</v>
      </c>
      <c r="E18" s="1449">
        <f>SUMIF(TongHopKL!$B:$B,B18,TongHopKL!H:H)</f>
        <v>0</v>
      </c>
      <c r="F18" s="1449">
        <f>SUMIF(TongHopKL!$B:$B,B18,TongHopKL!I:I)</f>
        <v>0</v>
      </c>
      <c r="G18" s="1449">
        <f>VLOOKUP($D$1,Solieu!A:C,2,0)</f>
        <v>0</v>
      </c>
      <c r="H18" s="1446"/>
      <c r="I18" s="1285" t="str">
        <f t="shared" si="0"/>
        <v/>
      </c>
    </row>
    <row r="19" spans="2:9" hidden="1">
      <c r="B19" s="1511" t="s">
        <v>751</v>
      </c>
      <c r="C19" s="1445">
        <f>SUM($I$4:I19)</f>
        <v>1</v>
      </c>
      <c r="D19" s="1447" t="str">
        <f>VLOOKUP(B19,DG!A:C,3,0)</f>
        <v>Bộ chằng vượt đơn: CK-B</v>
      </c>
      <c r="E19" s="1449">
        <f>SUMIF(TongHopKL!$B:$B,B19,TongHopKL!H:H)</f>
        <v>0</v>
      </c>
      <c r="F19" s="1449">
        <f>SUMIF(TongHopKL!$B:$B,B19,TongHopKL!I:I)</f>
        <v>0</v>
      </c>
      <c r="G19" s="1449">
        <f>VLOOKUP($D$1,Solieu!A:C,2,0)</f>
        <v>0</v>
      </c>
      <c r="H19" s="1446"/>
      <c r="I19" s="1285" t="str">
        <f t="shared" si="0"/>
        <v/>
      </c>
    </row>
    <row r="20" spans="2:9" hidden="1">
      <c r="B20" s="1511" t="s">
        <v>750</v>
      </c>
      <c r="C20" s="1445">
        <f>SUM($I$4:I20)</f>
        <v>1</v>
      </c>
      <c r="D20" s="1447" t="str">
        <f>VLOOKUP(B20,DG!A:C,3,0)</f>
        <v>Bộ chằng vượt kép: CKK-B</v>
      </c>
      <c r="E20" s="1449">
        <f>SUMIF(TongHopKL!$B:$B,B20,TongHopKL!H:H)</f>
        <v>0</v>
      </c>
      <c r="F20" s="1449">
        <f>SUMIF(TongHopKL!$B:$B,B20,TongHopKL!I:I)</f>
        <v>0</v>
      </c>
      <c r="G20" s="1449">
        <f>VLOOKUP($D$1,Solieu!A:C,2,0)</f>
        <v>0</v>
      </c>
      <c r="H20" s="1446"/>
      <c r="I20" s="1285" t="str">
        <f t="shared" si="0"/>
        <v/>
      </c>
    </row>
    <row r="21" spans="2:9" ht="33" hidden="1">
      <c r="B21" s="1511" t="s">
        <v>345</v>
      </c>
      <c r="C21" s="1445">
        <f>SUM($I$4:I21)</f>
        <v>1</v>
      </c>
      <c r="D21" s="1447" t="str">
        <f>VLOOKUP(B21,DG!A:C,3,0)</f>
        <v>Bộ chằng xuống đơn cho trụ 10,5m: CX10-C</v>
      </c>
      <c r="E21" s="1449">
        <f>SUMIF(TongHopKL!$B:$B,B21,TongHopKL!H:H)</f>
        <v>0</v>
      </c>
      <c r="F21" s="1449">
        <f>SUMIF(TongHopKL!$B:$B,B21,TongHopKL!I:I)</f>
        <v>0</v>
      </c>
      <c r="G21" s="1449">
        <f>VLOOKUP($D$1,Solieu!A:C,2,0)</f>
        <v>0</v>
      </c>
      <c r="H21" s="1446"/>
      <c r="I21" s="1285" t="str">
        <f t="shared" si="0"/>
        <v/>
      </c>
    </row>
    <row r="22" spans="2:9" ht="33" hidden="1">
      <c r="B22" s="1511" t="s">
        <v>1086</v>
      </c>
      <c r="C22" s="1445">
        <f>SUM($I$4:I22)</f>
        <v>1</v>
      </c>
      <c r="D22" s="1447" t="str">
        <f>VLOOKUP(B22,DG!A:C,3,0)</f>
        <v>Bộ chằng lệch đơn cho trụ 10,5m: CL10-C</v>
      </c>
      <c r="E22" s="1449">
        <f>SUMIF(TongHopKL!$B:$B,B22,TongHopKL!H:H)</f>
        <v>0</v>
      </c>
      <c r="F22" s="1449">
        <f>SUMIF(TongHopKL!$B:$B,B22,TongHopKL!I:I)</f>
        <v>0</v>
      </c>
      <c r="G22" s="1449">
        <f>VLOOKUP($D$1,Solieu!A:C,2,0)</f>
        <v>0</v>
      </c>
      <c r="H22" s="1446"/>
      <c r="I22" s="1285" t="str">
        <f t="shared" si="0"/>
        <v/>
      </c>
    </row>
    <row r="23" spans="2:9" ht="33" hidden="1">
      <c r="B23" s="1511" t="s">
        <v>1087</v>
      </c>
      <c r="C23" s="1445">
        <f>SUM($I$4:I23)</f>
        <v>1</v>
      </c>
      <c r="D23" s="1447" t="str">
        <f>VLOOKUP(B23,DG!A:C,3,0)</f>
        <v>Bộ chằng xuống kép cho trụ 10,5m: CXX10-C</v>
      </c>
      <c r="E23" s="1449">
        <f>SUMIF(TongHopKL!$B:$B,B23,TongHopKL!H:H)</f>
        <v>0</v>
      </c>
      <c r="F23" s="1449">
        <f>SUMIF(TongHopKL!$B:$B,B23,TongHopKL!I:I)</f>
        <v>0</v>
      </c>
      <c r="G23" s="1449">
        <f>VLOOKUP($D$1,Solieu!A:C,2,0)</f>
        <v>0</v>
      </c>
      <c r="H23" s="1446"/>
      <c r="I23" s="1285" t="str">
        <f t="shared" si="0"/>
        <v/>
      </c>
    </row>
    <row r="24" spans="2:9" ht="33" hidden="1">
      <c r="B24" s="1511" t="s">
        <v>1088</v>
      </c>
      <c r="C24" s="1445">
        <f>SUM($I$4:I24)</f>
        <v>1</v>
      </c>
      <c r="D24" s="1447" t="str">
        <f>VLOOKUP(B24,DG!A:C,3,0)</f>
        <v>Bộ chằng xuống đơn cho trụ 12m: CX12-C</v>
      </c>
      <c r="E24" s="1449">
        <f>SUMIF(TongHopKL!$B:$B,B24,TongHopKL!H:H)</f>
        <v>0</v>
      </c>
      <c r="F24" s="1449">
        <f>SUMIF(TongHopKL!$B:$B,B24,TongHopKL!I:I)</f>
        <v>0</v>
      </c>
      <c r="G24" s="1449">
        <f>VLOOKUP($D$1,Solieu!A:C,2,0)</f>
        <v>0</v>
      </c>
      <c r="H24" s="1446"/>
      <c r="I24" s="1285" t="str">
        <f t="shared" si="0"/>
        <v/>
      </c>
    </row>
    <row r="25" spans="2:9" hidden="1">
      <c r="B25" s="1511" t="s">
        <v>1089</v>
      </c>
      <c r="C25" s="1445">
        <f>SUM($I$4:I25)</f>
        <v>1</v>
      </c>
      <c r="D25" s="1447" t="str">
        <f>VLOOKUP(B25,DG!A:C,3,0)</f>
        <v>Bộ chằng lệch đơn cho trụ 12m: CL12-C</v>
      </c>
      <c r="E25" s="1449">
        <f>SUMIF(TongHopKL!$B:$B,B25,TongHopKL!H:H)</f>
        <v>0</v>
      </c>
      <c r="F25" s="1449">
        <f>SUMIF(TongHopKL!$B:$B,B25,TongHopKL!I:I)</f>
        <v>0</v>
      </c>
      <c r="G25" s="1449">
        <f>VLOOKUP($D$1,Solieu!A:C,2,0)</f>
        <v>0</v>
      </c>
      <c r="H25" s="1446"/>
      <c r="I25" s="1285" t="str">
        <f t="shared" si="0"/>
        <v/>
      </c>
    </row>
    <row r="26" spans="2:9" ht="33" hidden="1">
      <c r="B26" s="1511" t="s">
        <v>1090</v>
      </c>
      <c r="C26" s="1445">
        <f>SUM($I$4:I26)</f>
        <v>1</v>
      </c>
      <c r="D26" s="1447" t="str">
        <f>VLOOKUP(B26,DG!A:C,3,0)</f>
        <v>Bộ chằng xuống kép cho trụ 12m: CXX12-C</v>
      </c>
      <c r="E26" s="1449">
        <f>SUMIF(TongHopKL!$B:$B,B26,TongHopKL!H:H)</f>
        <v>0</v>
      </c>
      <c r="F26" s="1449">
        <f>SUMIF(TongHopKL!$B:$B,B26,TongHopKL!I:I)</f>
        <v>0</v>
      </c>
      <c r="G26" s="1449">
        <f>VLOOKUP($D$1,Solieu!A:C,2,0)</f>
        <v>0</v>
      </c>
      <c r="H26" s="1446"/>
      <c r="I26" s="1285" t="str">
        <f t="shared" si="0"/>
        <v/>
      </c>
    </row>
    <row r="27" spans="2:9" ht="33" hidden="1">
      <c r="B27" s="1511" t="s">
        <v>1815</v>
      </c>
      <c r="C27" s="1445">
        <f>SUM($I$4:I27)</f>
        <v>1</v>
      </c>
      <c r="D27" s="1447" t="str">
        <f>VLOOKUP(B27,DG!A:C,3,0)</f>
        <v>Bộ chằng xuống đơn cho trụ 14m: CX14-C</v>
      </c>
      <c r="E27" s="1449">
        <f>SUMIF(TongHopKL!$B:$B,B27,TongHopKL!H:H)</f>
        <v>0</v>
      </c>
      <c r="F27" s="1449">
        <f>SUMIF(TongHopKL!$B:$B,B27,TongHopKL!I:I)</f>
        <v>0</v>
      </c>
      <c r="G27" s="1449">
        <f>VLOOKUP($D$1,Solieu!A:C,2,0)</f>
        <v>0</v>
      </c>
      <c r="H27" s="1446"/>
      <c r="I27" s="1285" t="str">
        <f t="shared" si="0"/>
        <v/>
      </c>
    </row>
    <row r="28" spans="2:9" hidden="1">
      <c r="B28" s="1511" t="s">
        <v>339</v>
      </c>
      <c r="C28" s="1445">
        <f>SUM($I$4:I28)</f>
        <v>1</v>
      </c>
      <c r="D28" s="1447" t="str">
        <f>VLOOKUP(B28,DG!A:C,3,0)</f>
        <v>Bộ chằng lệch đơn cho trụ 14m: CL14-C</v>
      </c>
      <c r="E28" s="1449">
        <f>SUMIF(TongHopKL!$B:$B,B28,TongHopKL!H:H)</f>
        <v>0</v>
      </c>
      <c r="F28" s="1449">
        <f>SUMIF(TongHopKL!$B:$B,B28,TongHopKL!I:I)</f>
        <v>0</v>
      </c>
      <c r="G28" s="1449">
        <f>VLOOKUP($D$1,Solieu!A:C,2,0)</f>
        <v>0</v>
      </c>
      <c r="H28" s="1446"/>
      <c r="I28" s="1285" t="str">
        <f t="shared" si="0"/>
        <v/>
      </c>
    </row>
    <row r="29" spans="2:9" ht="33" hidden="1">
      <c r="B29" s="1511" t="s">
        <v>1245</v>
      </c>
      <c r="C29" s="1445">
        <f>SUM($I$4:I29)</f>
        <v>1</v>
      </c>
      <c r="D29" s="1447" t="str">
        <f>VLOOKUP(B29,DG!A:C,3,0)</f>
        <v>Bộ chằng xuống kép cho trụ 14m: CXX14-C</v>
      </c>
      <c r="E29" s="1449">
        <f>SUMIF(TongHopKL!$B:$B,B29,TongHopKL!H:H)</f>
        <v>0</v>
      </c>
      <c r="F29" s="1449">
        <f>SUMIF(TongHopKL!$B:$B,B29,TongHopKL!I:I)</f>
        <v>0</v>
      </c>
      <c r="G29" s="1449">
        <f>VLOOKUP($D$1,Solieu!A:C,2,0)</f>
        <v>0</v>
      </c>
      <c r="H29" s="1446"/>
      <c r="I29" s="1285" t="str">
        <f t="shared" si="0"/>
        <v/>
      </c>
    </row>
    <row r="30" spans="2:9" ht="33" hidden="1">
      <c r="B30" s="1511" t="s">
        <v>814</v>
      </c>
      <c r="C30" s="1445">
        <f>SUM($I$4:I30)</f>
        <v>1</v>
      </c>
      <c r="D30" s="1447" t="str">
        <f>VLOOKUP(B30,DG!A:C,3,0)</f>
        <v>Bộ chằng xuống đơn cho trụ 20m: CX20-C</v>
      </c>
      <c r="E30" s="1449">
        <f>SUMIF(TongHopKL!$B:$B,B30,TongHopKL!H:H)</f>
        <v>0</v>
      </c>
      <c r="F30" s="1449">
        <f>SUMIF(TongHopKL!$B:$B,B30,TongHopKL!I:I)</f>
        <v>0</v>
      </c>
      <c r="G30" s="1449">
        <f>VLOOKUP($D$1,Solieu!A:C,2,0)</f>
        <v>0</v>
      </c>
      <c r="H30" s="1446"/>
      <c r="I30" s="1285" t="str">
        <f t="shared" si="0"/>
        <v/>
      </c>
    </row>
    <row r="31" spans="2:9" hidden="1">
      <c r="B31" s="1511" t="s">
        <v>1091</v>
      </c>
      <c r="C31" s="1445">
        <f>SUM($I$4:I31)</f>
        <v>1</v>
      </c>
      <c r="D31" s="1447" t="str">
        <f>VLOOKUP(B31,DG!A:C,3,0)</f>
        <v>Bộ chằng vượt đơn: CK-C</v>
      </c>
      <c r="E31" s="1449">
        <f>SUMIF(TongHopKL!$B:$B,B31,TongHopKL!H:H)</f>
        <v>0</v>
      </c>
      <c r="F31" s="1449">
        <f>SUMIF(TongHopKL!$B:$B,B31,TongHopKL!I:I)</f>
        <v>0</v>
      </c>
      <c r="G31" s="1449">
        <f>VLOOKUP($D$1,Solieu!A:C,2,0)</f>
        <v>0</v>
      </c>
      <c r="H31" s="1446"/>
      <c r="I31" s="1285" t="str">
        <f t="shared" si="0"/>
        <v/>
      </c>
    </row>
    <row r="32" spans="2:9" hidden="1">
      <c r="B32" s="1511" t="s">
        <v>1092</v>
      </c>
      <c r="C32" s="1445">
        <f>SUM($I$4:I32)</f>
        <v>1</v>
      </c>
      <c r="D32" s="1447" t="str">
        <f>VLOOKUP(B32,DG!A:C,3,0)</f>
        <v>Bộ chằng vượt kép: CKK-C</v>
      </c>
      <c r="E32" s="1449">
        <f>SUMIF(TongHopKL!$B:$B,B32,TongHopKL!H:H)</f>
        <v>0</v>
      </c>
      <c r="F32" s="1449">
        <f>SUMIF(TongHopKL!$B:$B,B32,TongHopKL!I:I)</f>
        <v>0</v>
      </c>
      <c r="G32" s="1449">
        <f>VLOOKUP($D$1,Solieu!A:C,2,0)</f>
        <v>0</v>
      </c>
      <c r="H32" s="1446"/>
      <c r="I32" s="1285" t="str">
        <f t="shared" si="0"/>
        <v/>
      </c>
    </row>
    <row r="33" spans="3:9" ht="32.25" customHeight="1">
      <c r="C33" s="1998"/>
      <c r="D33" s="1999" t="s">
        <v>4263</v>
      </c>
      <c r="E33" s="1450">
        <f>SUM(E4:E32)</f>
        <v>1</v>
      </c>
      <c r="F33" s="1450">
        <f>SUM(F4:F32)</f>
        <v>1</v>
      </c>
      <c r="G33" s="1998"/>
      <c r="H33" s="1446"/>
      <c r="I33" s="1285">
        <v>1</v>
      </c>
    </row>
  </sheetData>
  <autoFilter ref="I3:I33">
    <filterColumn colId="0">
      <customFilters>
        <customFilter operator="notEqual" val=" "/>
      </customFilters>
    </filterColumn>
  </autoFilter>
  <conditionalFormatting sqref="B1:B1048576">
    <cfRule type="duplicateValues" dxfId="23"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85"/>
  <sheetViews>
    <sheetView topLeftCell="A7" workbookViewId="0">
      <selection activeCell="J86" sqref="J86"/>
    </sheetView>
  </sheetViews>
  <sheetFormatPr defaultColWidth="8.88671875" defaultRowHeight="16.5"/>
  <cols>
    <col min="1" max="1" width="8.88671875" style="1285"/>
    <col min="2" max="2" width="17.33203125" style="1512" bestFit="1" customWidth="1"/>
    <col min="3" max="3" width="5.109375" style="1285" customWidth="1"/>
    <col min="4" max="4" width="36.5546875" style="1285" customWidth="1"/>
    <col min="5" max="7" width="6" style="1285" customWidth="1"/>
    <col min="8" max="8" width="11.88671875" style="1285" hidden="1" customWidth="1"/>
    <col min="9" max="9" width="9" style="1285" customWidth="1"/>
    <col min="10" max="10" width="8.88671875" style="1285"/>
    <col min="11" max="11" width="8.88671875" style="1474"/>
    <col min="12" max="16384" width="8.88671875" style="1285"/>
  </cols>
  <sheetData>
    <row r="1" spans="1:20">
      <c r="D1" s="1452" t="s">
        <v>4509</v>
      </c>
    </row>
    <row r="2" spans="1:20">
      <c r="D2" s="1452"/>
      <c r="L2" s="1285" t="s">
        <v>533</v>
      </c>
      <c r="M2" s="1285" t="s">
        <v>895</v>
      </c>
      <c r="N2" s="1285" t="s">
        <v>2300</v>
      </c>
      <c r="O2" s="1285" t="s">
        <v>2301</v>
      </c>
      <c r="P2" s="1285" t="s">
        <v>361</v>
      </c>
      <c r="Q2" s="1285" t="s">
        <v>2513</v>
      </c>
      <c r="R2" s="1285" t="s">
        <v>2551</v>
      </c>
      <c r="S2" s="1285" t="s">
        <v>2508</v>
      </c>
      <c r="T2" s="1285" t="s">
        <v>1627</v>
      </c>
    </row>
    <row r="3" spans="1:20" ht="31.5">
      <c r="C3" s="1515" t="s">
        <v>1714</v>
      </c>
      <c r="D3" s="1515" t="s">
        <v>4231</v>
      </c>
      <c r="E3" s="1515" t="s">
        <v>4232</v>
      </c>
      <c r="F3" s="1515" t="s">
        <v>5161</v>
      </c>
      <c r="G3" s="1515" t="s">
        <v>4200</v>
      </c>
      <c r="H3" s="1515" t="s">
        <v>4233</v>
      </c>
      <c r="I3" s="1515" t="s">
        <v>4199</v>
      </c>
      <c r="J3" s="2456">
        <v>1</v>
      </c>
      <c r="L3" s="1285">
        <v>1</v>
      </c>
      <c r="M3" s="1285">
        <v>2</v>
      </c>
    </row>
    <row r="4" spans="1:20" ht="34.5" customHeight="1">
      <c r="B4" s="1512" t="s">
        <v>2303</v>
      </c>
      <c r="C4" s="1445">
        <f ca="1">SUM($J$4:J4)</f>
        <v>1</v>
      </c>
      <c r="D4" s="1447" t="str">
        <f>VLOOKUP(B4,DG!A:C,3,0)</f>
        <v>Bộ xà kép L75x75x8 dài 2.2m: X-22K-Đ - C810 (lắp trụ đơn)</v>
      </c>
      <c r="E4" s="1449" t="str">
        <f>VLOOKUP(B4,DG!A:D,4,0)</f>
        <v>Bộ</v>
      </c>
      <c r="F4" s="1449">
        <f t="shared" ref="F4:F35" ca="1" si="0">IF(B4&lt;&gt;0,SUMIF(KhoiLuong,B4,DuToan),0)</f>
        <v>4</v>
      </c>
      <c r="G4" s="1449">
        <f t="shared" ref="G4:G35" ca="1" si="1">IF(B4&lt;&gt;0,SUMIF(KhoiLuong,B4,ThiCong),0)</f>
        <v>4</v>
      </c>
      <c r="H4" s="1449">
        <f>VLOOKUP($D$1,Solieu!A:C,2,0)</f>
        <v>4</v>
      </c>
      <c r="I4" s="1444"/>
      <c r="J4" s="1285">
        <f t="shared" ref="J4:J62" ca="1" si="2">IF(G4&gt;0,1,"")</f>
        <v>1</v>
      </c>
      <c r="K4" s="2455">
        <f>SUMIF('Hoan cong VL-NC-MTC'!C:C,B4,'Hoan cong VL-NC-MTC'!G:G)</f>
        <v>0</v>
      </c>
      <c r="L4" s="1285">
        <v>1</v>
      </c>
      <c r="M4" s="1285">
        <f>K4-L4</f>
        <v>-1</v>
      </c>
    </row>
    <row r="5" spans="1:20" ht="34.5" customHeight="1">
      <c r="B5" s="1512" t="s">
        <v>533</v>
      </c>
      <c r="C5" s="1445">
        <f ca="1">SUM($J$4:J5)</f>
        <v>2</v>
      </c>
      <c r="D5" s="1447" t="str">
        <f>VLOOKUP(B5,DG!A:C,3,0)</f>
        <v>Bộ xà kép L75x75x8 dài 2.2m: X-22K-K - C810 (lắp theo hướng trụ ghép)</v>
      </c>
      <c r="E5" s="1449" t="str">
        <f>VLOOKUP(B5,DG!A:D,4,0)</f>
        <v>Bộ</v>
      </c>
      <c r="F5" s="1449">
        <f t="shared" ca="1" si="0"/>
        <v>3</v>
      </c>
      <c r="G5" s="1449">
        <f t="shared" ca="1" si="1"/>
        <v>3</v>
      </c>
      <c r="H5" s="1449">
        <f>VLOOKUP($D$1,Solieu!A:C,2,0)</f>
        <v>4</v>
      </c>
      <c r="I5" s="1444"/>
      <c r="J5" s="1285">
        <f t="shared" ca="1" si="2"/>
        <v>1</v>
      </c>
      <c r="K5" s="2455">
        <f>SUMIF('Hoan cong VL-NC-MTC'!C:C,B5,'Hoan cong VL-NC-MTC'!G:G)</f>
        <v>0</v>
      </c>
      <c r="L5" s="1285">
        <v>1</v>
      </c>
      <c r="M5" s="1285">
        <f t="shared" ref="M5:M13" si="3">K5-L5</f>
        <v>-1</v>
      </c>
    </row>
    <row r="6" spans="1:20" ht="34.5" customHeight="1">
      <c r="B6" s="1512" t="s">
        <v>2300</v>
      </c>
      <c r="C6" s="1445">
        <f ca="1">SUM($J$4:J6)</f>
        <v>3</v>
      </c>
      <c r="D6" s="1447" t="str">
        <f>VLOOKUP(B6,DG!A:C,3,0)</f>
        <v>Bộ xà lệch đơn L75x75x8 dài 2,1m: X-21ĐL</v>
      </c>
      <c r="E6" s="1449" t="str">
        <f>VLOOKUP(B6,DG!A:D,4,0)</f>
        <v>Bộ</v>
      </c>
      <c r="F6" s="1449">
        <f t="shared" ca="1" si="0"/>
        <v>15</v>
      </c>
      <c r="G6" s="1449">
        <f t="shared" ca="1" si="1"/>
        <v>15</v>
      </c>
      <c r="H6" s="1449">
        <f>VLOOKUP($D$1,Solieu!A:C,2,0)</f>
        <v>4</v>
      </c>
      <c r="I6" s="1444"/>
      <c r="J6" s="1285">
        <f t="shared" ca="1" si="2"/>
        <v>1</v>
      </c>
      <c r="K6" s="2455">
        <f>SUMIF('Hoan cong VL-NC-MTC'!C:C,B6,'Hoan cong VL-NC-MTC'!G:G)</f>
        <v>0</v>
      </c>
      <c r="L6" s="1285">
        <v>13</v>
      </c>
      <c r="M6" s="1285">
        <f t="shared" si="3"/>
        <v>-13</v>
      </c>
    </row>
    <row r="7" spans="1:20" ht="34.5" customHeight="1">
      <c r="B7" s="1512" t="s">
        <v>895</v>
      </c>
      <c r="C7" s="1445">
        <f ca="1">SUM($J$4:J7)</f>
        <v>4</v>
      </c>
      <c r="D7" s="1447" t="str">
        <f>VLOOKUP(B7,DG!A:C,3,0)</f>
        <v>Bộ xà lệch kép L75x75x8 dài 2,1m: X-21KL</v>
      </c>
      <c r="E7" s="1449" t="str">
        <f>VLOOKUP(B7,DG!A:D,4,0)</f>
        <v>Bộ</v>
      </c>
      <c r="F7" s="1449">
        <f t="shared" ca="1" si="0"/>
        <v>1</v>
      </c>
      <c r="G7" s="1449">
        <f t="shared" ca="1" si="1"/>
        <v>1</v>
      </c>
      <c r="H7" s="1449">
        <f>VLOOKUP($D$1,Solieu!A:C,2,0)</f>
        <v>4</v>
      </c>
      <c r="I7" s="1444"/>
      <c r="J7" s="1285">
        <f t="shared" ca="1" si="2"/>
        <v>1</v>
      </c>
      <c r="K7" s="2455">
        <f>SUMIF('Hoan cong VL-NC-MTC'!C:C,B7,'Hoan cong VL-NC-MTC'!G:G)</f>
        <v>0</v>
      </c>
      <c r="L7" s="1285">
        <v>1</v>
      </c>
      <c r="M7" s="1285">
        <f t="shared" si="3"/>
        <v>-1</v>
      </c>
    </row>
    <row r="8" spans="1:20" ht="34.5" hidden="1" customHeight="1">
      <c r="B8" s="1514" t="s">
        <v>4750</v>
      </c>
      <c r="C8" s="1445">
        <f ca="1">SUM($J$4:J8)</f>
        <v>4</v>
      </c>
      <c r="D8" s="1447" t="str">
        <f>VLOOKUP(B8,DG!A:C,3,0)</f>
        <v>Bộ đà composite 0,8m</v>
      </c>
      <c r="E8" s="1449" t="str">
        <f>VLOOKUP(B8,DG!A:D,4,0)</f>
        <v>bộ</v>
      </c>
      <c r="F8" s="1449">
        <f t="shared" ca="1" si="0"/>
        <v>0</v>
      </c>
      <c r="G8" s="1449">
        <f t="shared" ca="1" si="1"/>
        <v>0</v>
      </c>
      <c r="H8" s="1449">
        <f>VLOOKUP($D$1,Solieu!A:C,2,0)</f>
        <v>4</v>
      </c>
      <c r="I8" s="1444"/>
      <c r="J8" s="1285" t="str">
        <f t="shared" ca="1" si="2"/>
        <v/>
      </c>
      <c r="K8" s="2455">
        <f>SUMIF('Hoan cong VL-NC-MTC'!C:C,B8,'Hoan cong VL-NC-MTC'!G:G)</f>
        <v>0</v>
      </c>
      <c r="L8" s="1285">
        <v>1</v>
      </c>
      <c r="M8" s="1285">
        <f t="shared" si="3"/>
        <v>-1</v>
      </c>
    </row>
    <row r="9" spans="1:20" ht="34.5" customHeight="1">
      <c r="A9" s="1285" t="s">
        <v>4736</v>
      </c>
      <c r="B9" s="1514" t="s">
        <v>2508</v>
      </c>
      <c r="C9" s="1445">
        <f ca="1">SUM($J$4:J9)</f>
        <v>5</v>
      </c>
      <c r="D9" s="1447" t="str">
        <f>VLOOKUP(B9,DG!A:C,3,0)</f>
        <v>Bộ Uclevis đỡ dây trung hòa: Đth-U</v>
      </c>
      <c r="E9" s="1449" t="str">
        <f>VLOOKUP(B9,DG!A:D,4,0)</f>
        <v>bộ</v>
      </c>
      <c r="F9" s="1449">
        <f t="shared" ca="1" si="0"/>
        <v>17</v>
      </c>
      <c r="G9" s="1449">
        <f t="shared" ca="1" si="1"/>
        <v>17</v>
      </c>
      <c r="H9" s="1449">
        <f>VLOOKUP($D$1,Solieu!A:C,2,0)</f>
        <v>4</v>
      </c>
      <c r="I9" s="1444"/>
      <c r="J9" s="1285">
        <f t="shared" ca="1" si="2"/>
        <v>1</v>
      </c>
      <c r="K9" s="2455">
        <f>SUMIF('Hoan cong VL-NC-MTC'!C:C,B9,'Hoan cong VL-NC-MTC'!G:G)</f>
        <v>0</v>
      </c>
      <c r="L9" s="1285">
        <v>15</v>
      </c>
      <c r="M9" s="1285">
        <f t="shared" si="3"/>
        <v>-15</v>
      </c>
    </row>
    <row r="10" spans="1:20" ht="34.5" customHeight="1">
      <c r="B10" s="1514" t="s">
        <v>2513</v>
      </c>
      <c r="C10" s="1445">
        <f ca="1">SUM($J$4:J10)</f>
        <v>6</v>
      </c>
      <c r="D10" s="1447" t="str">
        <f>VLOOKUP(B10,DG!A:C,3,0)</f>
        <v>Bộ cách điện đứng+ty sứ : SĐU</v>
      </c>
      <c r="E10" s="1449" t="str">
        <f>VLOOKUP(B10,DG!A:D,4,0)</f>
        <v>bộ</v>
      </c>
      <c r="F10" s="1449">
        <f t="shared" ca="1" si="0"/>
        <v>69</v>
      </c>
      <c r="G10" s="1449">
        <f t="shared" ca="1" si="1"/>
        <v>69</v>
      </c>
      <c r="H10" s="1449">
        <f>VLOOKUP($D$1,Solieu!A:C,2,0)</f>
        <v>4</v>
      </c>
      <c r="I10" s="1444"/>
      <c r="J10" s="1285">
        <f t="shared" ca="1" si="2"/>
        <v>1</v>
      </c>
      <c r="K10" s="2455">
        <f>SUMIF('Hoan cong VL-NC-MTC'!C:C,B10,'Hoan cong VL-NC-MTC'!G:G)</f>
        <v>0</v>
      </c>
      <c r="L10" s="1285">
        <v>42</v>
      </c>
      <c r="M10" s="1285">
        <f t="shared" si="3"/>
        <v>-42</v>
      </c>
    </row>
    <row r="11" spans="1:20" ht="34.5" hidden="1" customHeight="1">
      <c r="B11" s="1513" t="s">
        <v>2524</v>
      </c>
      <c r="C11" s="1445">
        <f ca="1">SUM($J$4:J11)</f>
        <v>6</v>
      </c>
      <c r="D11" s="1447" t="str">
        <f>VLOOKUP(B11,DG!A:C,3,0)</f>
        <v>Chuỗi sứ treo Polymer 25kV lắp vào xà : CĐT ply-X</v>
      </c>
      <c r="E11" s="1449" t="str">
        <f>VLOOKUP(B11,DG!A:D,4,0)</f>
        <v>bộ</v>
      </c>
      <c r="F11" s="1449">
        <f t="shared" ca="1" si="0"/>
        <v>0</v>
      </c>
      <c r="G11" s="1449">
        <f t="shared" ca="1" si="1"/>
        <v>0</v>
      </c>
      <c r="H11" s="1449">
        <f>VLOOKUP($D$1,Solieu!A:C,2,0)</f>
        <v>4</v>
      </c>
      <c r="I11" s="1444"/>
      <c r="J11" s="1285" t="str">
        <f t="shared" ca="1" si="2"/>
        <v/>
      </c>
      <c r="K11" s="2455">
        <f>SUMIF('Hoan cong VL-NC-MTC'!C:C,B11,'Hoan cong VL-NC-MTC'!G:G)</f>
        <v>0</v>
      </c>
      <c r="L11" s="1285">
        <v>14</v>
      </c>
      <c r="M11" s="1285">
        <f t="shared" si="3"/>
        <v>-14</v>
      </c>
    </row>
    <row r="12" spans="1:20" ht="34.5" hidden="1" customHeight="1">
      <c r="B12" s="1512" t="s">
        <v>1161</v>
      </c>
      <c r="C12" s="1445">
        <f ca="1">SUM($J$4:J12)</f>
        <v>6</v>
      </c>
      <c r="D12" s="1447" t="str">
        <f>VLOOKUP(B12,DG!A:C,3,0)</f>
        <v>Kẹp treo cáp ABC4x95mm2</v>
      </c>
      <c r="E12" s="1449" t="str">
        <f>VLOOKUP(B12,DG!A:D,4,0)</f>
        <v>cái</v>
      </c>
      <c r="F12" s="1449">
        <f t="shared" ca="1" si="0"/>
        <v>0</v>
      </c>
      <c r="G12" s="1449">
        <f t="shared" ca="1" si="1"/>
        <v>0</v>
      </c>
      <c r="H12" s="1449">
        <f>VLOOKUP($D$1,Solieu!A:C,2,0)</f>
        <v>4</v>
      </c>
      <c r="I12" s="1444"/>
      <c r="J12" s="1285" t="str">
        <f t="shared" ca="1" si="2"/>
        <v/>
      </c>
      <c r="K12" s="2455">
        <f>SUMIF('Hoan cong VL-NC-MTC'!C:C,B12,'Hoan cong VL-NC-MTC'!G:G)</f>
        <v>0</v>
      </c>
      <c r="L12" s="1285">
        <v>1</v>
      </c>
      <c r="M12" s="1285">
        <f t="shared" si="3"/>
        <v>-1</v>
      </c>
    </row>
    <row r="13" spans="1:20" ht="34.5" hidden="1" customHeight="1">
      <c r="B13" s="1512" t="s">
        <v>1434</v>
      </c>
      <c r="C13" s="1445">
        <f ca="1">SUM($J$4:J13)</f>
        <v>6</v>
      </c>
      <c r="D13" s="1447" t="str">
        <f>VLOOKUP(B13,DG!A:C,3,0)</f>
        <v>Kẹp ngừng cáp ABC4x95mm2</v>
      </c>
      <c r="E13" s="1449" t="str">
        <f>VLOOKUP(B13,DG!A:D,4,0)</f>
        <v>cái</v>
      </c>
      <c r="F13" s="1449">
        <f t="shared" ca="1" si="0"/>
        <v>0</v>
      </c>
      <c r="G13" s="1449">
        <f t="shared" ca="1" si="1"/>
        <v>0</v>
      </c>
      <c r="H13" s="1449">
        <f>VLOOKUP($D$1,Solieu!A:C,2,0)</f>
        <v>4</v>
      </c>
      <c r="I13" s="1444"/>
      <c r="J13" s="1285" t="str">
        <f t="shared" ca="1" si="2"/>
        <v/>
      </c>
      <c r="K13" s="2455">
        <f>SUMIF('Hoan cong VL-NC-MTC'!C:C,B13,'Hoan cong VL-NC-MTC'!G:G)</f>
        <v>0</v>
      </c>
      <c r="L13" s="1285">
        <v>0</v>
      </c>
      <c r="M13" s="1285">
        <f t="shared" si="3"/>
        <v>0</v>
      </c>
    </row>
    <row r="14" spans="1:20" ht="34.5" customHeight="1">
      <c r="B14" s="1512" t="s">
        <v>361</v>
      </c>
      <c r="C14" s="1445">
        <f ca="1">SUM($J$4:J14)</f>
        <v>7</v>
      </c>
      <c r="D14" s="1447" t="str">
        <f>VLOOKUP(B14,DG!A:C,3,0)</f>
        <v>Bộ xà composite 2,4m bắt FCO</v>
      </c>
      <c r="E14" s="1449" t="str">
        <f>VLOOKUP(B14,DG!A:D,4,0)</f>
        <v>Bộ</v>
      </c>
      <c r="F14" s="1449">
        <f t="shared" ca="1" si="0"/>
        <v>1</v>
      </c>
      <c r="G14" s="1449">
        <f t="shared" ca="1" si="1"/>
        <v>1</v>
      </c>
      <c r="H14" s="1449">
        <f>VLOOKUP($D$1,Solieu!A:C,2,0)</f>
        <v>4</v>
      </c>
      <c r="I14" s="1444"/>
      <c r="J14" s="1285">
        <f t="shared" ca="1" si="2"/>
        <v>1</v>
      </c>
    </row>
    <row r="15" spans="1:20" ht="34.5" customHeight="1">
      <c r="B15" s="1512" t="s">
        <v>664</v>
      </c>
      <c r="C15" s="1445">
        <f ca="1">SUM($J$4:J15)</f>
        <v>8</v>
      </c>
      <c r="D15" s="1447" t="str">
        <f>VLOOKUP(B15,DG!A:C,3,0)</f>
        <v>Bộ chằng lệch đơn cho trụ 12m: CL12-B</v>
      </c>
      <c r="E15" s="1449" t="str">
        <f>VLOOKUP(B15,DG!A:D,4,0)</f>
        <v>Bộ</v>
      </c>
      <c r="F15" s="1449">
        <f t="shared" ca="1" si="0"/>
        <v>1</v>
      </c>
      <c r="G15" s="1449">
        <f t="shared" ca="1" si="1"/>
        <v>1</v>
      </c>
      <c r="H15" s="1449">
        <f>VLOOKUP($D$1,Solieu!A:C,2,0)</f>
        <v>4</v>
      </c>
      <c r="I15" s="1444"/>
      <c r="J15" s="1285">
        <f t="shared" ca="1" si="2"/>
        <v>1</v>
      </c>
    </row>
    <row r="16" spans="1:20" ht="34.5" customHeight="1">
      <c r="B16" s="1512" t="s">
        <v>1498</v>
      </c>
      <c r="C16" s="1445">
        <f ca="1">SUM($J$4:J16)</f>
        <v>9</v>
      </c>
      <c r="D16" s="1447" t="str">
        <f>VLOOKUP(B16,DG!A:C,3,0)</f>
        <v>Bộ móng neo xòe cho chằng lệch: NXL</v>
      </c>
      <c r="E16" s="1449" t="str">
        <f>VLOOKUP(B16,DG!A:D,4,0)</f>
        <v>Bộ</v>
      </c>
      <c r="F16" s="1449">
        <f t="shared" ca="1" si="0"/>
        <v>1</v>
      </c>
      <c r="G16" s="1449">
        <f t="shared" ca="1" si="1"/>
        <v>1</v>
      </c>
      <c r="H16" s="1449">
        <f>VLOOKUP($D$1,Solieu!A:C,2,0)</f>
        <v>4</v>
      </c>
      <c r="I16" s="1444"/>
      <c r="J16" s="1285">
        <f t="shared" ca="1" si="2"/>
        <v>1</v>
      </c>
    </row>
    <row r="17" spans="2:10" ht="34.5" hidden="1" customHeight="1">
      <c r="B17" s="1512">
        <v>0</v>
      </c>
      <c r="C17" s="1445">
        <f ca="1">SUM($J$4:J17)</f>
        <v>9</v>
      </c>
      <c r="D17" s="1447" t="e">
        <f>VLOOKUP(B17,DG!A:C,3,0)</f>
        <v>#N/A</v>
      </c>
      <c r="E17" s="1449" t="e">
        <f>VLOOKUP(B17,DG!A:D,4,0)</f>
        <v>#N/A</v>
      </c>
      <c r="F17" s="1449">
        <f t="shared" si="0"/>
        <v>0</v>
      </c>
      <c r="G17" s="1449">
        <f t="shared" si="1"/>
        <v>0</v>
      </c>
      <c r="H17" s="1449">
        <f>VLOOKUP($D$1,Solieu!A:C,2,0)</f>
        <v>4</v>
      </c>
      <c r="I17" s="1444"/>
      <c r="J17" s="1285" t="str">
        <f t="shared" si="2"/>
        <v/>
      </c>
    </row>
    <row r="18" spans="2:10" ht="34.5" hidden="1" customHeight="1">
      <c r="C18" s="1445">
        <f ca="1">SUM($J$4:J18)</f>
        <v>9</v>
      </c>
      <c r="D18" s="1447" t="e">
        <f>VLOOKUP(B18,DG!A:C,3,0)</f>
        <v>#N/A</v>
      </c>
      <c r="E18" s="1449" t="e">
        <f>VLOOKUP(B18,DG!A:D,4,0)</f>
        <v>#N/A</v>
      </c>
      <c r="F18" s="1449">
        <f t="shared" si="0"/>
        <v>0</v>
      </c>
      <c r="G18" s="1449">
        <f t="shared" si="1"/>
        <v>0</v>
      </c>
      <c r="H18" s="1449">
        <f>VLOOKUP($D$1,Solieu!A:C,2,0)</f>
        <v>4</v>
      </c>
      <c r="I18" s="1444"/>
      <c r="J18" s="1285" t="str">
        <f t="shared" si="2"/>
        <v/>
      </c>
    </row>
    <row r="19" spans="2:10" ht="34.5" customHeight="1">
      <c r="B19" s="1512" t="s">
        <v>1627</v>
      </c>
      <c r="C19" s="1445">
        <f ca="1">SUM($J$4:J19)</f>
        <v>10</v>
      </c>
      <c r="D19" s="1447" t="str">
        <f>VLOOKUP(B19,DG!A:C,3,0)</f>
        <v>Bộ khóa néo dây trung hòa vào trụ: Nth-T</v>
      </c>
      <c r="E19" s="1449" t="str">
        <f>VLOOKUP(B19,DG!A:D,4,0)</f>
        <v>bộ</v>
      </c>
      <c r="F19" s="1449">
        <f t="shared" ca="1" si="0"/>
        <v>8</v>
      </c>
      <c r="G19" s="1449">
        <f t="shared" ca="1" si="1"/>
        <v>8</v>
      </c>
      <c r="H19" s="1449">
        <f>VLOOKUP($D$1,Solieu!A:C,2,0)</f>
        <v>4</v>
      </c>
      <c r="I19" s="1444"/>
      <c r="J19" s="1285">
        <f t="shared" ca="1" si="2"/>
        <v>1</v>
      </c>
    </row>
    <row r="20" spans="2:10" ht="34.5" customHeight="1">
      <c r="B20" s="1512" t="s">
        <v>2551</v>
      </c>
      <c r="C20" s="1445">
        <f ca="1">SUM($J$4:J20)</f>
        <v>11</v>
      </c>
      <c r="D20" s="1447" t="str">
        <f>VLOOKUP(B20,DG!A:C,3,0)</f>
        <v>Chuỗi sứ treo Polymer 25kV lắp vào xà : CĐT ply-X</v>
      </c>
      <c r="E20" s="1449" t="str">
        <f>VLOOKUP(B20,DG!A:D,4,0)</f>
        <v>bộ</v>
      </c>
      <c r="F20" s="1449">
        <f t="shared" ca="1" si="0"/>
        <v>24</v>
      </c>
      <c r="G20" s="1449">
        <f t="shared" ca="1" si="1"/>
        <v>24</v>
      </c>
      <c r="H20" s="1449">
        <f>VLOOKUP($D$1,Solieu!A:C,2,0)</f>
        <v>4</v>
      </c>
      <c r="I20" s="1444"/>
      <c r="J20" s="1285">
        <f t="shared" ca="1" si="2"/>
        <v>1</v>
      </c>
    </row>
    <row r="21" spans="2:10" ht="34.5" hidden="1" customHeight="1">
      <c r="C21" s="1445">
        <f ca="1">SUM($J$4:J21)</f>
        <v>11</v>
      </c>
      <c r="D21" s="1447" t="e">
        <f>VLOOKUP(B21,DG!A:C,3,0)</f>
        <v>#N/A</v>
      </c>
      <c r="E21" s="1449" t="e">
        <f>VLOOKUP(B21,DG!A:D,4,0)</f>
        <v>#N/A</v>
      </c>
      <c r="F21" s="1449">
        <f t="shared" si="0"/>
        <v>0</v>
      </c>
      <c r="G21" s="1449">
        <f t="shared" si="1"/>
        <v>0</v>
      </c>
      <c r="H21" s="1449">
        <f>VLOOKUP($D$1,Solieu!A:C,2,0)</f>
        <v>4</v>
      </c>
      <c r="I21" s="1444"/>
      <c r="J21" s="1285" t="str">
        <f t="shared" si="2"/>
        <v/>
      </c>
    </row>
    <row r="22" spans="2:10" ht="34.5" hidden="1" customHeight="1">
      <c r="C22" s="1445">
        <f ca="1">SUM($J$4:J22)</f>
        <v>11</v>
      </c>
      <c r="D22" s="1447" t="e">
        <f>VLOOKUP(B22,DG!A:C,3,0)</f>
        <v>#N/A</v>
      </c>
      <c r="E22" s="1449" t="e">
        <f>VLOOKUP(B22,DG!A:D,4,0)</f>
        <v>#N/A</v>
      </c>
      <c r="F22" s="1449">
        <f t="shared" si="0"/>
        <v>0</v>
      </c>
      <c r="G22" s="1449">
        <f t="shared" si="1"/>
        <v>0</v>
      </c>
      <c r="H22" s="1449">
        <f>VLOOKUP($D$1,Solieu!A:C,2,0)</f>
        <v>4</v>
      </c>
      <c r="I22" s="1444"/>
      <c r="J22" s="1285" t="str">
        <f t="shared" si="2"/>
        <v/>
      </c>
    </row>
    <row r="23" spans="2:10" ht="34.5" hidden="1" customHeight="1">
      <c r="C23" s="1445">
        <f ca="1">SUM($J$4:J23)</f>
        <v>11</v>
      </c>
      <c r="D23" s="1447" t="e">
        <f>VLOOKUP(B23,DG!A:C,3,0)</f>
        <v>#N/A</v>
      </c>
      <c r="E23" s="1449" t="e">
        <f>VLOOKUP(B23,DG!A:D,4,0)</f>
        <v>#N/A</v>
      </c>
      <c r="F23" s="1449">
        <f t="shared" si="0"/>
        <v>0</v>
      </c>
      <c r="G23" s="1449">
        <f t="shared" si="1"/>
        <v>0</v>
      </c>
      <c r="H23" s="1449">
        <f>VLOOKUP($D$1,Solieu!A:C,2,0)</f>
        <v>4</v>
      </c>
      <c r="I23" s="1444"/>
      <c r="J23" s="1285" t="str">
        <f t="shared" si="2"/>
        <v/>
      </c>
    </row>
    <row r="24" spans="2:10" ht="34.5" hidden="1" customHeight="1">
      <c r="C24" s="1998">
        <f ca="1">SUM($J$4:J24)</f>
        <v>11</v>
      </c>
      <c r="D24" s="1447" t="e">
        <f>VLOOKUP(B24,DG!A:C,3,0)</f>
        <v>#N/A</v>
      </c>
      <c r="E24" s="1449" t="e">
        <f>VLOOKUP(B24,DG!A:D,4,0)</f>
        <v>#N/A</v>
      </c>
      <c r="F24" s="1449">
        <f t="shared" si="0"/>
        <v>0</v>
      </c>
      <c r="G24" s="1449">
        <f t="shared" si="1"/>
        <v>0</v>
      </c>
      <c r="H24" s="1449">
        <f>VLOOKUP($D$1,Solieu!A:C,2,0)</f>
        <v>4</v>
      </c>
      <c r="I24" s="1999"/>
      <c r="J24" s="1285" t="str">
        <f t="shared" si="2"/>
        <v/>
      </c>
    </row>
    <row r="25" spans="2:10" ht="34.5" hidden="1" customHeight="1">
      <c r="C25" s="1998">
        <f ca="1">SUM($J$4:J25)</f>
        <v>11</v>
      </c>
      <c r="D25" s="1447" t="e">
        <f>VLOOKUP(B25,DG!A:C,3,0)</f>
        <v>#N/A</v>
      </c>
      <c r="E25" s="1449" t="e">
        <f>VLOOKUP(B25,DG!A:D,4,0)</f>
        <v>#N/A</v>
      </c>
      <c r="F25" s="1449">
        <f t="shared" si="0"/>
        <v>0</v>
      </c>
      <c r="G25" s="1449">
        <f t="shared" si="1"/>
        <v>0</v>
      </c>
      <c r="H25" s="1449">
        <f>VLOOKUP($D$1,Solieu!A:C,2,0)</f>
        <v>4</v>
      </c>
      <c r="I25" s="1999"/>
      <c r="J25" s="1285" t="str">
        <f t="shared" si="2"/>
        <v/>
      </c>
    </row>
    <row r="26" spans="2:10" ht="34.5" hidden="1" customHeight="1">
      <c r="C26" s="1445">
        <f ca="1">SUM($J$4:J26)</f>
        <v>11</v>
      </c>
      <c r="D26" s="1447" t="e">
        <f>VLOOKUP(B26,DG!A:C,3,0)</f>
        <v>#N/A</v>
      </c>
      <c r="E26" s="1449" t="e">
        <f>VLOOKUP(B26,DG!A:D,4,0)</f>
        <v>#N/A</v>
      </c>
      <c r="F26" s="1449">
        <f t="shared" si="0"/>
        <v>0</v>
      </c>
      <c r="G26" s="1449">
        <f t="shared" si="1"/>
        <v>0</v>
      </c>
      <c r="H26" s="1449">
        <f>VLOOKUP($D$1,Solieu!A:C,2,0)</f>
        <v>4</v>
      </c>
      <c r="I26" s="1444"/>
      <c r="J26" s="1285" t="str">
        <f t="shared" si="2"/>
        <v/>
      </c>
    </row>
    <row r="27" spans="2:10" ht="34.5" hidden="1" customHeight="1">
      <c r="C27" s="1445">
        <f ca="1">SUM($J$4:J27)</f>
        <v>11</v>
      </c>
      <c r="D27" s="1447" t="e">
        <f>VLOOKUP(B27,DG!A:C,3,0)</f>
        <v>#N/A</v>
      </c>
      <c r="E27" s="1449" t="e">
        <f>VLOOKUP(B27,DG!A:D,4,0)</f>
        <v>#N/A</v>
      </c>
      <c r="F27" s="1449">
        <f t="shared" si="0"/>
        <v>0</v>
      </c>
      <c r="G27" s="1449">
        <f t="shared" si="1"/>
        <v>0</v>
      </c>
      <c r="H27" s="1449">
        <f>VLOOKUP($D$1,Solieu!A:C,2,0)</f>
        <v>4</v>
      </c>
      <c r="I27" s="1444"/>
      <c r="J27" s="1285" t="str">
        <f t="shared" si="2"/>
        <v/>
      </c>
    </row>
    <row r="28" spans="2:10" ht="34.5" hidden="1" customHeight="1">
      <c r="C28" s="1445">
        <f ca="1">SUM($J$4:J28)</f>
        <v>11</v>
      </c>
      <c r="D28" s="1447" t="e">
        <f>VLOOKUP(B28,DG!A:C,3,0)</f>
        <v>#N/A</v>
      </c>
      <c r="E28" s="1449" t="e">
        <f>VLOOKUP(B28,DG!A:D,4,0)</f>
        <v>#N/A</v>
      </c>
      <c r="F28" s="1449">
        <f t="shared" si="0"/>
        <v>0</v>
      </c>
      <c r="G28" s="1449">
        <f t="shared" si="1"/>
        <v>0</v>
      </c>
      <c r="H28" s="1449">
        <f>VLOOKUP($D$1,Solieu!A:C,2,0)</f>
        <v>4</v>
      </c>
      <c r="I28" s="1444"/>
      <c r="J28" s="1285" t="str">
        <f t="shared" si="2"/>
        <v/>
      </c>
    </row>
    <row r="29" spans="2:10" ht="34.5" hidden="1" customHeight="1">
      <c r="C29" s="1445">
        <f ca="1">SUM($J$4:J29)</f>
        <v>11</v>
      </c>
      <c r="D29" s="1447" t="e">
        <f>VLOOKUP(B29,DG!A:C,3,0)</f>
        <v>#N/A</v>
      </c>
      <c r="E29" s="1449" t="e">
        <f>VLOOKUP(B29,DG!A:D,4,0)</f>
        <v>#N/A</v>
      </c>
      <c r="F29" s="1449">
        <f t="shared" si="0"/>
        <v>0</v>
      </c>
      <c r="G29" s="1449">
        <f t="shared" si="1"/>
        <v>0</v>
      </c>
      <c r="H29" s="1449">
        <f>VLOOKUP($D$1,Solieu!A:C,2,0)</f>
        <v>4</v>
      </c>
      <c r="I29" s="1444"/>
      <c r="J29" s="1285" t="str">
        <f t="shared" si="2"/>
        <v/>
      </c>
    </row>
    <row r="30" spans="2:10" ht="34.5" hidden="1" customHeight="1">
      <c r="C30" s="1445">
        <f ca="1">SUM($J$4:J30)</f>
        <v>11</v>
      </c>
      <c r="D30" s="1447" t="e">
        <f>VLOOKUP(B30,DG!A:C,3,0)</f>
        <v>#N/A</v>
      </c>
      <c r="E30" s="1449" t="e">
        <f>VLOOKUP(B30,DG!A:D,4,0)</f>
        <v>#N/A</v>
      </c>
      <c r="F30" s="1449">
        <f t="shared" si="0"/>
        <v>0</v>
      </c>
      <c r="G30" s="1449">
        <f t="shared" si="1"/>
        <v>0</v>
      </c>
      <c r="H30" s="1449">
        <f>VLOOKUP($D$1,Solieu!A:C,2,0)</f>
        <v>4</v>
      </c>
      <c r="I30" s="1444"/>
      <c r="J30" s="1285" t="str">
        <f t="shared" si="2"/>
        <v/>
      </c>
    </row>
    <row r="31" spans="2:10" ht="34.5" hidden="1" customHeight="1">
      <c r="C31" s="1445">
        <f ca="1">SUM($J$4:J31)</f>
        <v>11</v>
      </c>
      <c r="D31" s="1447" t="e">
        <f>VLOOKUP(B31,DG!A:C,3,0)</f>
        <v>#N/A</v>
      </c>
      <c r="E31" s="1449" t="e">
        <f>VLOOKUP(B31,DG!A:D,4,0)</f>
        <v>#N/A</v>
      </c>
      <c r="F31" s="1449">
        <f t="shared" si="0"/>
        <v>0</v>
      </c>
      <c r="G31" s="1449">
        <f t="shared" si="1"/>
        <v>0</v>
      </c>
      <c r="H31" s="1449">
        <f>VLOOKUP($D$1,Solieu!A:C,2,0)</f>
        <v>4</v>
      </c>
      <c r="I31" s="1444"/>
      <c r="J31" s="1285" t="str">
        <f t="shared" si="2"/>
        <v/>
      </c>
    </row>
    <row r="32" spans="2:10" ht="34.5" hidden="1" customHeight="1">
      <c r="C32" s="1445">
        <f ca="1">SUM($J$4:J32)</f>
        <v>11</v>
      </c>
      <c r="D32" s="1447" t="e">
        <f>VLOOKUP(B32,DG!A:C,3,0)</f>
        <v>#N/A</v>
      </c>
      <c r="E32" s="1449" t="e">
        <f>VLOOKUP(B32,DG!A:D,4,0)</f>
        <v>#N/A</v>
      </c>
      <c r="F32" s="1449">
        <f t="shared" si="0"/>
        <v>0</v>
      </c>
      <c r="G32" s="1449">
        <f t="shared" si="1"/>
        <v>0</v>
      </c>
      <c r="H32" s="1449">
        <f>VLOOKUP($D$1,Solieu!A:C,2,0)</f>
        <v>4</v>
      </c>
      <c r="I32" s="1444"/>
      <c r="J32" s="1285" t="str">
        <f t="shared" si="2"/>
        <v/>
      </c>
    </row>
    <row r="33" spans="3:10" ht="34.5" hidden="1" customHeight="1">
      <c r="C33" s="1445">
        <f ca="1">SUM($J$4:J33)</f>
        <v>11</v>
      </c>
      <c r="D33" s="1447" t="e">
        <f>VLOOKUP(B33,DG!A:C,3,0)</f>
        <v>#N/A</v>
      </c>
      <c r="E33" s="1449" t="e">
        <f>VLOOKUP(B33,DG!A:D,4,0)</f>
        <v>#N/A</v>
      </c>
      <c r="F33" s="1449">
        <f t="shared" si="0"/>
        <v>0</v>
      </c>
      <c r="G33" s="1449">
        <f t="shared" si="1"/>
        <v>0</v>
      </c>
      <c r="H33" s="1449">
        <f>VLOOKUP($D$1,Solieu!A:C,2,0)</f>
        <v>4</v>
      </c>
      <c r="I33" s="1444"/>
      <c r="J33" s="1285" t="str">
        <f t="shared" si="2"/>
        <v/>
      </c>
    </row>
    <row r="34" spans="3:10" ht="34.5" hidden="1" customHeight="1">
      <c r="C34" s="1445">
        <f ca="1">SUM($J$4:J34)</f>
        <v>11</v>
      </c>
      <c r="D34" s="1447" t="e">
        <f>VLOOKUP(B34,DG!A:C,3,0)</f>
        <v>#N/A</v>
      </c>
      <c r="E34" s="1449" t="e">
        <f>VLOOKUP(B34,DG!A:D,4,0)</f>
        <v>#N/A</v>
      </c>
      <c r="F34" s="1449">
        <f t="shared" si="0"/>
        <v>0</v>
      </c>
      <c r="G34" s="1449">
        <f t="shared" si="1"/>
        <v>0</v>
      </c>
      <c r="H34" s="1449">
        <f>VLOOKUP($D$1,Solieu!A:C,2,0)</f>
        <v>4</v>
      </c>
      <c r="I34" s="1444"/>
      <c r="J34" s="1285" t="str">
        <f t="shared" si="2"/>
        <v/>
      </c>
    </row>
    <row r="35" spans="3:10" ht="34.5" hidden="1" customHeight="1">
      <c r="C35" s="1445">
        <f ca="1">SUM($J$4:J35)</f>
        <v>11</v>
      </c>
      <c r="D35" s="1447" t="e">
        <f>VLOOKUP(B35,DG!A:C,3,0)</f>
        <v>#N/A</v>
      </c>
      <c r="E35" s="1449" t="e">
        <f>VLOOKUP(B35,DG!A:D,4,0)</f>
        <v>#N/A</v>
      </c>
      <c r="F35" s="1449">
        <f t="shared" si="0"/>
        <v>0</v>
      </c>
      <c r="G35" s="1449">
        <f t="shared" si="1"/>
        <v>0</v>
      </c>
      <c r="H35" s="1449">
        <f>VLOOKUP($D$1,Solieu!A:C,2,0)</f>
        <v>4</v>
      </c>
      <c r="I35" s="1444"/>
      <c r="J35" s="1285" t="str">
        <f t="shared" si="2"/>
        <v/>
      </c>
    </row>
    <row r="36" spans="3:10" ht="34.5" hidden="1" customHeight="1">
      <c r="C36" s="1445">
        <f ca="1">SUM($J$4:J36)</f>
        <v>11</v>
      </c>
      <c r="D36" s="1447" t="e">
        <f>VLOOKUP(B36,DG!A:C,3,0)</f>
        <v>#N/A</v>
      </c>
      <c r="E36" s="1449" t="e">
        <f>VLOOKUP(B36,DG!A:D,4,0)</f>
        <v>#N/A</v>
      </c>
      <c r="F36" s="1449">
        <f t="shared" ref="F36:F67" si="4">IF(B36&lt;&gt;0,SUMIF(KhoiLuong,B36,DuToan),0)</f>
        <v>0</v>
      </c>
      <c r="G36" s="1449">
        <f t="shared" ref="G36:G67" si="5">IF(B36&lt;&gt;0,SUMIF(KhoiLuong,B36,ThiCong),0)</f>
        <v>0</v>
      </c>
      <c r="H36" s="1449">
        <f>VLOOKUP($D$1,Solieu!A:C,2,0)</f>
        <v>4</v>
      </c>
      <c r="I36" s="1444"/>
      <c r="J36" s="1285" t="str">
        <f t="shared" si="2"/>
        <v/>
      </c>
    </row>
    <row r="37" spans="3:10" ht="34.5" hidden="1" customHeight="1">
      <c r="C37" s="1445">
        <f ca="1">SUM($J$4:J37)</f>
        <v>11</v>
      </c>
      <c r="D37" s="1447" t="e">
        <f>VLOOKUP(B37,DG!A:C,3,0)</f>
        <v>#N/A</v>
      </c>
      <c r="E37" s="1449" t="e">
        <f>VLOOKUP(B37,DG!A:D,4,0)</f>
        <v>#N/A</v>
      </c>
      <c r="F37" s="1449">
        <f t="shared" si="4"/>
        <v>0</v>
      </c>
      <c r="G37" s="1449">
        <f t="shared" si="5"/>
        <v>0</v>
      </c>
      <c r="H37" s="1449">
        <f>VLOOKUP($D$1,Solieu!A:C,2,0)</f>
        <v>4</v>
      </c>
      <c r="I37" s="1444"/>
      <c r="J37" s="1285" t="str">
        <f t="shared" si="2"/>
        <v/>
      </c>
    </row>
    <row r="38" spans="3:10" ht="34.5" hidden="1" customHeight="1">
      <c r="C38" s="1445">
        <f ca="1">SUM($J$4:J38)</f>
        <v>11</v>
      </c>
      <c r="D38" s="1447" t="e">
        <f>VLOOKUP(B38,DG!A:C,3,0)</f>
        <v>#N/A</v>
      </c>
      <c r="E38" s="1449" t="e">
        <f>VLOOKUP(B38,DG!A:D,4,0)</f>
        <v>#N/A</v>
      </c>
      <c r="F38" s="1449">
        <f t="shared" si="4"/>
        <v>0</v>
      </c>
      <c r="G38" s="1449">
        <f t="shared" si="5"/>
        <v>0</v>
      </c>
      <c r="H38" s="1449">
        <f>VLOOKUP($D$1,Solieu!A:C,2,0)</f>
        <v>4</v>
      </c>
      <c r="I38" s="1444"/>
      <c r="J38" s="1285" t="str">
        <f t="shared" si="2"/>
        <v/>
      </c>
    </row>
    <row r="39" spans="3:10" ht="34.5" hidden="1" customHeight="1">
      <c r="C39" s="1445">
        <f ca="1">SUM($J$4:J39)</f>
        <v>11</v>
      </c>
      <c r="D39" s="1447" t="e">
        <f>VLOOKUP(B39,DG!A:C,3,0)</f>
        <v>#N/A</v>
      </c>
      <c r="E39" s="1449" t="e">
        <f>VLOOKUP(B39,DG!A:D,4,0)</f>
        <v>#N/A</v>
      </c>
      <c r="F39" s="1449">
        <f t="shared" si="4"/>
        <v>0</v>
      </c>
      <c r="G39" s="1449">
        <f t="shared" si="5"/>
        <v>0</v>
      </c>
      <c r="H39" s="1449">
        <f>VLOOKUP($D$1,Solieu!A:C,2,0)</f>
        <v>4</v>
      </c>
      <c r="I39" s="1444"/>
      <c r="J39" s="1285" t="str">
        <f t="shared" si="2"/>
        <v/>
      </c>
    </row>
    <row r="40" spans="3:10" ht="34.5" hidden="1" customHeight="1">
      <c r="C40" s="1445">
        <f ca="1">SUM($J$4:J40)</f>
        <v>11</v>
      </c>
      <c r="D40" s="1447" t="e">
        <f>VLOOKUP(B40,DG!A:C,3,0)</f>
        <v>#N/A</v>
      </c>
      <c r="E40" s="1449" t="e">
        <f>VLOOKUP(B40,DG!A:D,4,0)</f>
        <v>#N/A</v>
      </c>
      <c r="F40" s="1449">
        <f t="shared" si="4"/>
        <v>0</v>
      </c>
      <c r="G40" s="1449">
        <f t="shared" si="5"/>
        <v>0</v>
      </c>
      <c r="H40" s="1449">
        <f>VLOOKUP($D$1,Solieu!A:C,2,0)</f>
        <v>4</v>
      </c>
      <c r="I40" s="1444"/>
      <c r="J40" s="1285" t="str">
        <f t="shared" si="2"/>
        <v/>
      </c>
    </row>
    <row r="41" spans="3:10" ht="34.5" hidden="1" customHeight="1">
      <c r="C41" s="1445">
        <f ca="1">SUM($J$4:J41)</f>
        <v>11</v>
      </c>
      <c r="D41" s="1447" t="e">
        <f>VLOOKUP(B41,DG!A:C,3,0)</f>
        <v>#N/A</v>
      </c>
      <c r="E41" s="1449" t="e">
        <f>VLOOKUP(B41,DG!A:D,4,0)</f>
        <v>#N/A</v>
      </c>
      <c r="F41" s="1449">
        <f t="shared" si="4"/>
        <v>0</v>
      </c>
      <c r="G41" s="1449">
        <f t="shared" si="5"/>
        <v>0</v>
      </c>
      <c r="H41" s="1449">
        <f>VLOOKUP($D$1,Solieu!A:C,2,0)</f>
        <v>4</v>
      </c>
      <c r="I41" s="1444"/>
      <c r="J41" s="1285" t="str">
        <f t="shared" si="2"/>
        <v/>
      </c>
    </row>
    <row r="42" spans="3:10" ht="34.5" hidden="1" customHeight="1">
      <c r="C42" s="1445">
        <f ca="1">SUM($J$4:J42)</f>
        <v>11</v>
      </c>
      <c r="D42" s="1447" t="e">
        <f>VLOOKUP(B42,DG!A:C,3,0)</f>
        <v>#N/A</v>
      </c>
      <c r="E42" s="1449" t="e">
        <f>VLOOKUP(B42,DG!A:D,4,0)</f>
        <v>#N/A</v>
      </c>
      <c r="F42" s="1449">
        <f t="shared" si="4"/>
        <v>0</v>
      </c>
      <c r="G42" s="1449">
        <f t="shared" si="5"/>
        <v>0</v>
      </c>
      <c r="H42" s="1449">
        <f>VLOOKUP($D$1,Solieu!A:C,2,0)</f>
        <v>4</v>
      </c>
      <c r="I42" s="1444"/>
      <c r="J42" s="1285" t="str">
        <f t="shared" si="2"/>
        <v/>
      </c>
    </row>
    <row r="43" spans="3:10" ht="34.5" hidden="1" customHeight="1">
      <c r="C43" s="1445">
        <f ca="1">SUM($J$4:J43)</f>
        <v>11</v>
      </c>
      <c r="D43" s="1447" t="e">
        <f>VLOOKUP(B43,DG!A:C,3,0)</f>
        <v>#N/A</v>
      </c>
      <c r="E43" s="1449" t="e">
        <f>VLOOKUP(B43,DG!A:D,4,0)</f>
        <v>#N/A</v>
      </c>
      <c r="F43" s="1449">
        <f t="shared" si="4"/>
        <v>0</v>
      </c>
      <c r="G43" s="1449">
        <f t="shared" si="5"/>
        <v>0</v>
      </c>
      <c r="H43" s="1449">
        <f>VLOOKUP($D$1,Solieu!A:C,2,0)</f>
        <v>4</v>
      </c>
      <c r="I43" s="1444"/>
      <c r="J43" s="1285" t="str">
        <f t="shared" si="2"/>
        <v/>
      </c>
    </row>
    <row r="44" spans="3:10" ht="34.5" hidden="1" customHeight="1">
      <c r="C44" s="1445">
        <f ca="1">SUM($J$4:J44)</f>
        <v>11</v>
      </c>
      <c r="D44" s="1447" t="e">
        <f>VLOOKUP(B44,DG!A:C,3,0)</f>
        <v>#N/A</v>
      </c>
      <c r="E44" s="1449" t="e">
        <f>VLOOKUP(B44,DG!A:D,4,0)</f>
        <v>#N/A</v>
      </c>
      <c r="F44" s="1449">
        <f t="shared" si="4"/>
        <v>0</v>
      </c>
      <c r="G44" s="1449">
        <f t="shared" si="5"/>
        <v>0</v>
      </c>
      <c r="H44" s="1449">
        <f>VLOOKUP($D$1,Solieu!A:C,2,0)</f>
        <v>4</v>
      </c>
      <c r="I44" s="1444"/>
      <c r="J44" s="1285" t="str">
        <f t="shared" si="2"/>
        <v/>
      </c>
    </row>
    <row r="45" spans="3:10" ht="34.5" hidden="1" customHeight="1">
      <c r="C45" s="1445">
        <f ca="1">SUM($J$4:J45)</f>
        <v>11</v>
      </c>
      <c r="D45" s="1447" t="e">
        <f>VLOOKUP(B45,DG!A:C,3,0)</f>
        <v>#N/A</v>
      </c>
      <c r="E45" s="1449" t="e">
        <f>VLOOKUP(B45,DG!A:D,4,0)</f>
        <v>#N/A</v>
      </c>
      <c r="F45" s="1449">
        <f t="shared" si="4"/>
        <v>0</v>
      </c>
      <c r="G45" s="1449">
        <f t="shared" si="5"/>
        <v>0</v>
      </c>
      <c r="H45" s="1449">
        <f>VLOOKUP($D$1,Solieu!A:C,2,0)</f>
        <v>4</v>
      </c>
      <c r="I45" s="1444"/>
      <c r="J45" s="1285" t="str">
        <f t="shared" si="2"/>
        <v/>
      </c>
    </row>
    <row r="46" spans="3:10" ht="34.5" hidden="1" customHeight="1">
      <c r="C46" s="1445">
        <f ca="1">SUM($J$4:J46)</f>
        <v>11</v>
      </c>
      <c r="D46" s="1447" t="e">
        <f>VLOOKUP(B46,DG!A:C,3,0)</f>
        <v>#N/A</v>
      </c>
      <c r="E46" s="1449" t="e">
        <f>VLOOKUP(B46,DG!A:D,4,0)</f>
        <v>#N/A</v>
      </c>
      <c r="F46" s="1449">
        <f t="shared" si="4"/>
        <v>0</v>
      </c>
      <c r="G46" s="1449">
        <f t="shared" si="5"/>
        <v>0</v>
      </c>
      <c r="H46" s="1449">
        <f>VLOOKUP($D$1,Solieu!A:C,2,0)</f>
        <v>4</v>
      </c>
      <c r="I46" s="1444"/>
      <c r="J46" s="1285" t="str">
        <f t="shared" si="2"/>
        <v/>
      </c>
    </row>
    <row r="47" spans="3:10" ht="34.5" hidden="1" customHeight="1">
      <c r="C47" s="1445">
        <f ca="1">SUM($J$4:J47)</f>
        <v>11</v>
      </c>
      <c r="D47" s="1447" t="e">
        <f>VLOOKUP(B47,DG!A:C,3,0)</f>
        <v>#N/A</v>
      </c>
      <c r="E47" s="1449" t="e">
        <f>VLOOKUP(B47,DG!A:D,4,0)</f>
        <v>#N/A</v>
      </c>
      <c r="F47" s="1449">
        <f t="shared" si="4"/>
        <v>0</v>
      </c>
      <c r="G47" s="1449">
        <f t="shared" si="5"/>
        <v>0</v>
      </c>
      <c r="H47" s="1449">
        <f>VLOOKUP($D$1,Solieu!A:C,2,0)</f>
        <v>4</v>
      </c>
      <c r="I47" s="1444"/>
      <c r="J47" s="1285" t="str">
        <f t="shared" si="2"/>
        <v/>
      </c>
    </row>
    <row r="48" spans="3:10" ht="34.5" hidden="1" customHeight="1">
      <c r="C48" s="1445">
        <f ca="1">SUM($J$4:J48)</f>
        <v>11</v>
      </c>
      <c r="D48" s="1447" t="e">
        <f>VLOOKUP(B48,DG!A:C,3,0)</f>
        <v>#N/A</v>
      </c>
      <c r="E48" s="1449" t="e">
        <f>VLOOKUP(B48,DG!A:D,4,0)</f>
        <v>#N/A</v>
      </c>
      <c r="F48" s="1449">
        <f t="shared" si="4"/>
        <v>0</v>
      </c>
      <c r="G48" s="1449">
        <f t="shared" si="5"/>
        <v>0</v>
      </c>
      <c r="H48" s="1449">
        <f>VLOOKUP($D$1,Solieu!A:C,2,0)</f>
        <v>4</v>
      </c>
      <c r="I48" s="1444"/>
      <c r="J48" s="1285" t="str">
        <f t="shared" si="2"/>
        <v/>
      </c>
    </row>
    <row r="49" spans="2:10" ht="34.5" hidden="1" customHeight="1">
      <c r="C49" s="1445">
        <f ca="1">SUM($J$4:J49)</f>
        <v>11</v>
      </c>
      <c r="D49" s="1447" t="e">
        <f>VLOOKUP(B49,DG!A:C,3,0)</f>
        <v>#N/A</v>
      </c>
      <c r="E49" s="1449" t="e">
        <f>VLOOKUP(B49,DG!A:D,4,0)</f>
        <v>#N/A</v>
      </c>
      <c r="F49" s="1449">
        <f t="shared" si="4"/>
        <v>0</v>
      </c>
      <c r="G49" s="1449">
        <f t="shared" si="5"/>
        <v>0</v>
      </c>
      <c r="H49" s="1449">
        <f>VLOOKUP($D$1,Solieu!A:C,2,0)</f>
        <v>4</v>
      </c>
      <c r="I49" s="1444"/>
      <c r="J49" s="1285" t="str">
        <f t="shared" si="2"/>
        <v/>
      </c>
    </row>
    <row r="50" spans="2:10" ht="34.5" hidden="1" customHeight="1">
      <c r="C50" s="1445">
        <f ca="1">SUM($J$4:J50)</f>
        <v>11</v>
      </c>
      <c r="D50" s="1447" t="e">
        <f>VLOOKUP(B50,DG!A:C,3,0)</f>
        <v>#N/A</v>
      </c>
      <c r="E50" s="1449" t="e">
        <f>VLOOKUP(B50,DG!A:D,4,0)</f>
        <v>#N/A</v>
      </c>
      <c r="F50" s="1449">
        <f t="shared" si="4"/>
        <v>0</v>
      </c>
      <c r="G50" s="1449">
        <f t="shared" si="5"/>
        <v>0</v>
      </c>
      <c r="H50" s="1449">
        <f>VLOOKUP($D$1,Solieu!A:C,2,0)</f>
        <v>4</v>
      </c>
      <c r="I50" s="1444"/>
      <c r="J50" s="1285" t="str">
        <f t="shared" si="2"/>
        <v/>
      </c>
    </row>
    <row r="51" spans="2:10" ht="34.5" hidden="1" customHeight="1">
      <c r="C51" s="1445">
        <f ca="1">SUM($J$4:J51)</f>
        <v>11</v>
      </c>
      <c r="D51" s="1447" t="e">
        <f>VLOOKUP(B51,DG!A:C,3,0)</f>
        <v>#N/A</v>
      </c>
      <c r="E51" s="1449" t="e">
        <f>VLOOKUP(B51,DG!A:D,4,0)</f>
        <v>#N/A</v>
      </c>
      <c r="F51" s="1449">
        <f t="shared" si="4"/>
        <v>0</v>
      </c>
      <c r="G51" s="1449">
        <f t="shared" si="5"/>
        <v>0</v>
      </c>
      <c r="H51" s="1449">
        <f>VLOOKUP($D$1,Solieu!A:C,2,0)</f>
        <v>4</v>
      </c>
      <c r="I51" s="1444"/>
      <c r="J51" s="1285" t="str">
        <f t="shared" si="2"/>
        <v/>
      </c>
    </row>
    <row r="52" spans="2:10" hidden="1">
      <c r="C52" s="1445">
        <f ca="1">SUM($J$4:J52)</f>
        <v>11</v>
      </c>
      <c r="D52" s="1447" t="e">
        <f>VLOOKUP(B52,DG!A:C,3,0)</f>
        <v>#N/A</v>
      </c>
      <c r="E52" s="1449" t="e">
        <f>VLOOKUP(B52,DG!A:D,4,0)</f>
        <v>#N/A</v>
      </c>
      <c r="F52" s="1449">
        <f t="shared" si="4"/>
        <v>0</v>
      </c>
      <c r="G52" s="1449">
        <f t="shared" si="5"/>
        <v>0</v>
      </c>
      <c r="H52" s="1449">
        <f>VLOOKUP($D$1,Solieu!A:C,2,0)</f>
        <v>4</v>
      </c>
      <c r="I52" s="1444"/>
      <c r="J52" s="1285" t="str">
        <f t="shared" si="2"/>
        <v/>
      </c>
    </row>
    <row r="53" spans="2:10" hidden="1">
      <c r="C53" s="1445">
        <f ca="1">SUM($J$4:J53)</f>
        <v>11</v>
      </c>
      <c r="D53" s="1447" t="e">
        <f>VLOOKUP(B53,DG!A:C,3,0)</f>
        <v>#N/A</v>
      </c>
      <c r="E53" s="1449" t="e">
        <f>VLOOKUP(B53,DG!A:D,4,0)</f>
        <v>#N/A</v>
      </c>
      <c r="F53" s="1449">
        <f t="shared" si="4"/>
        <v>0</v>
      </c>
      <c r="G53" s="1449">
        <f t="shared" si="5"/>
        <v>0</v>
      </c>
      <c r="H53" s="1449">
        <f>VLOOKUP($D$1,Solieu!A:C,2,0)</f>
        <v>4</v>
      </c>
      <c r="I53" s="1444"/>
      <c r="J53" s="1285" t="str">
        <f t="shared" si="2"/>
        <v/>
      </c>
    </row>
    <row r="54" spans="2:10" hidden="1">
      <c r="C54" s="1445">
        <f ca="1">SUM($J$4:J54)</f>
        <v>11</v>
      </c>
      <c r="D54" s="1447" t="e">
        <f>VLOOKUP(B54,DG!A:C,3,0)</f>
        <v>#N/A</v>
      </c>
      <c r="E54" s="1449" t="e">
        <f>VLOOKUP(B54,DG!A:D,4,0)</f>
        <v>#N/A</v>
      </c>
      <c r="F54" s="1449">
        <f t="shared" si="4"/>
        <v>0</v>
      </c>
      <c r="G54" s="1449">
        <f t="shared" si="5"/>
        <v>0</v>
      </c>
      <c r="H54" s="1449">
        <f>VLOOKUP($D$1,Solieu!A:C,2,0)</f>
        <v>4</v>
      </c>
      <c r="I54" s="1444"/>
      <c r="J54" s="1285" t="str">
        <f t="shared" si="2"/>
        <v/>
      </c>
    </row>
    <row r="55" spans="2:10" hidden="1">
      <c r="C55" s="1445">
        <f ca="1">SUM($J$4:J55)</f>
        <v>11</v>
      </c>
      <c r="D55" s="1447" t="e">
        <f>VLOOKUP(B55,DG!A:C,3,0)</f>
        <v>#N/A</v>
      </c>
      <c r="E55" s="1449" t="e">
        <f>VLOOKUP(B55,DG!A:D,4,0)</f>
        <v>#N/A</v>
      </c>
      <c r="F55" s="1449">
        <f t="shared" si="4"/>
        <v>0</v>
      </c>
      <c r="G55" s="1449">
        <f t="shared" si="5"/>
        <v>0</v>
      </c>
      <c r="H55" s="1449">
        <f>VLOOKUP($D$1,Solieu!A:C,2,0)</f>
        <v>4</v>
      </c>
      <c r="I55" s="1444"/>
      <c r="J55" s="1285" t="str">
        <f t="shared" si="2"/>
        <v/>
      </c>
    </row>
    <row r="56" spans="2:10" hidden="1">
      <c r="C56" s="1445">
        <f ca="1">SUM($J$4:J56)</f>
        <v>11</v>
      </c>
      <c r="D56" s="1447" t="e">
        <f>VLOOKUP(B56,DG!A:C,3,0)</f>
        <v>#N/A</v>
      </c>
      <c r="E56" s="1449" t="e">
        <f>VLOOKUP(B56,DG!A:D,4,0)</f>
        <v>#N/A</v>
      </c>
      <c r="F56" s="1449">
        <f t="shared" si="4"/>
        <v>0</v>
      </c>
      <c r="G56" s="1449">
        <f t="shared" si="5"/>
        <v>0</v>
      </c>
      <c r="H56" s="1449">
        <f>VLOOKUP($D$1,Solieu!A:C,2,0)</f>
        <v>4</v>
      </c>
      <c r="I56" s="1444"/>
      <c r="J56" s="1285" t="str">
        <f t="shared" si="2"/>
        <v/>
      </c>
    </row>
    <row r="57" spans="2:10" hidden="1">
      <c r="C57" s="1445">
        <f ca="1">SUM($J$4:J57)</f>
        <v>11</v>
      </c>
      <c r="D57" s="1447" t="e">
        <f>VLOOKUP(B57,DG!A:C,3,0)</f>
        <v>#N/A</v>
      </c>
      <c r="E57" s="1449" t="e">
        <f>VLOOKUP(B57,DG!A:D,4,0)</f>
        <v>#N/A</v>
      </c>
      <c r="F57" s="1449">
        <f t="shared" si="4"/>
        <v>0</v>
      </c>
      <c r="G57" s="1449">
        <f t="shared" si="5"/>
        <v>0</v>
      </c>
      <c r="H57" s="1449">
        <f>VLOOKUP($D$1,Solieu!A:C,2,0)</f>
        <v>4</v>
      </c>
      <c r="I57" s="1444"/>
      <c r="J57" s="1285" t="str">
        <f t="shared" si="2"/>
        <v/>
      </c>
    </row>
    <row r="58" spans="2:10" hidden="1">
      <c r="C58" s="1445">
        <f ca="1">SUM($J$4:J58)</f>
        <v>11</v>
      </c>
      <c r="D58" s="1447" t="e">
        <f>VLOOKUP(B58,DG!A:C,3,0)</f>
        <v>#N/A</v>
      </c>
      <c r="E58" s="1449" t="e">
        <f>VLOOKUP(B58,DG!A:D,4,0)</f>
        <v>#N/A</v>
      </c>
      <c r="F58" s="1449">
        <f t="shared" si="4"/>
        <v>0</v>
      </c>
      <c r="G58" s="1449">
        <f t="shared" si="5"/>
        <v>0</v>
      </c>
      <c r="H58" s="1449">
        <f>VLOOKUP($D$1,Solieu!A:C,2,0)</f>
        <v>4</v>
      </c>
      <c r="I58" s="1444"/>
      <c r="J58" s="1285" t="str">
        <f t="shared" si="2"/>
        <v/>
      </c>
    </row>
    <row r="59" spans="2:10" hidden="1">
      <c r="C59" s="1445">
        <f ca="1">SUM($J$4:J59)</f>
        <v>11</v>
      </c>
      <c r="D59" s="1447" t="e">
        <f>VLOOKUP(B59,DG!A:C,3,0)</f>
        <v>#N/A</v>
      </c>
      <c r="E59" s="1449" t="e">
        <f>VLOOKUP(B59,DG!A:D,4,0)</f>
        <v>#N/A</v>
      </c>
      <c r="F59" s="1449">
        <f t="shared" si="4"/>
        <v>0</v>
      </c>
      <c r="G59" s="1449">
        <f t="shared" si="5"/>
        <v>0</v>
      </c>
      <c r="H59" s="1449">
        <f>VLOOKUP($D$1,Solieu!A:C,2,0)</f>
        <v>4</v>
      </c>
      <c r="I59" s="1444"/>
      <c r="J59" s="1285" t="str">
        <f t="shared" si="2"/>
        <v/>
      </c>
    </row>
    <row r="60" spans="2:10" hidden="1">
      <c r="C60" s="1445">
        <f ca="1">SUM($J$4:J60)</f>
        <v>11</v>
      </c>
      <c r="D60" s="1447" t="e">
        <f>VLOOKUP(B60,DG!A:C,3,0)</f>
        <v>#N/A</v>
      </c>
      <c r="E60" s="1449" t="e">
        <f>VLOOKUP(B60,DG!A:D,4,0)</f>
        <v>#N/A</v>
      </c>
      <c r="F60" s="1449">
        <f t="shared" si="4"/>
        <v>0</v>
      </c>
      <c r="G60" s="1449">
        <f t="shared" si="5"/>
        <v>0</v>
      </c>
      <c r="H60" s="1449">
        <f>VLOOKUP($D$1,Solieu!A:C,2,0)</f>
        <v>4</v>
      </c>
      <c r="I60" s="1444"/>
      <c r="J60" s="1285" t="str">
        <f t="shared" si="2"/>
        <v/>
      </c>
    </row>
    <row r="61" spans="2:10" hidden="1">
      <c r="C61" s="1445">
        <f ca="1">SUM($J$4:J61)</f>
        <v>11</v>
      </c>
      <c r="D61" s="1447" t="e">
        <f>VLOOKUP(B61,DG!A:C,3,0)</f>
        <v>#N/A</v>
      </c>
      <c r="E61" s="1449" t="e">
        <f>VLOOKUP(B61,DG!A:D,4,0)</f>
        <v>#N/A</v>
      </c>
      <c r="F61" s="1449">
        <f t="shared" si="4"/>
        <v>0</v>
      </c>
      <c r="G61" s="1449">
        <f t="shared" si="5"/>
        <v>0</v>
      </c>
      <c r="H61" s="1449">
        <f>VLOOKUP($D$1,Solieu!A:C,2,0)</f>
        <v>4</v>
      </c>
      <c r="I61" s="1444"/>
      <c r="J61" s="1285" t="str">
        <f t="shared" si="2"/>
        <v/>
      </c>
    </row>
    <row r="62" spans="2:10" hidden="1">
      <c r="C62" s="1445">
        <f ca="1">SUM($J$4:J62)</f>
        <v>11</v>
      </c>
      <c r="D62" s="1447" t="e">
        <f>VLOOKUP(B62,DG!A:C,3,0)</f>
        <v>#N/A</v>
      </c>
      <c r="E62" s="1449" t="e">
        <f>VLOOKUP(B62,DG!A:D,4,0)</f>
        <v>#N/A</v>
      </c>
      <c r="F62" s="1449">
        <f t="shared" si="4"/>
        <v>0</v>
      </c>
      <c r="G62" s="1449">
        <f t="shared" si="5"/>
        <v>0</v>
      </c>
      <c r="H62" s="1449">
        <f>VLOOKUP($D$1,Solieu!A:C,2,0)</f>
        <v>4</v>
      </c>
      <c r="I62" s="1444"/>
      <c r="J62" s="1285" t="str">
        <f t="shared" si="2"/>
        <v/>
      </c>
    </row>
    <row r="63" spans="2:10" hidden="1">
      <c r="B63" s="1586"/>
      <c r="C63" s="1445">
        <f ca="1">SUM($J$4:J63)</f>
        <v>11</v>
      </c>
      <c r="D63" s="1447" t="e">
        <f>VLOOKUP(B63,DG!A:C,3,0)</f>
        <v>#N/A</v>
      </c>
      <c r="E63" s="1449" t="e">
        <f>VLOOKUP(B63,DG!A:D,4,0)</f>
        <v>#N/A</v>
      </c>
      <c r="F63" s="1449">
        <f t="shared" si="4"/>
        <v>0</v>
      </c>
      <c r="G63" s="1449">
        <f t="shared" si="5"/>
        <v>0</v>
      </c>
      <c r="H63" s="1449">
        <f>VLOOKUP($D$1,Solieu!A:C,2,0)</f>
        <v>4</v>
      </c>
      <c r="I63" s="1444"/>
      <c r="J63" s="1285" t="str">
        <f t="shared" ref="J63:J79" si="6">IF(G63&gt;0,1,"")</f>
        <v/>
      </c>
    </row>
    <row r="64" spans="2:10" hidden="1">
      <c r="C64" s="1445">
        <f ca="1">SUM($J$4:J64)</f>
        <v>11</v>
      </c>
      <c r="D64" s="1447" t="e">
        <f>VLOOKUP(B64,DG!A:C,3,0)</f>
        <v>#N/A</v>
      </c>
      <c r="E64" s="1449" t="e">
        <f>VLOOKUP(B64,DG!A:D,4,0)</f>
        <v>#N/A</v>
      </c>
      <c r="F64" s="1449">
        <f t="shared" si="4"/>
        <v>0</v>
      </c>
      <c r="G64" s="1449">
        <f t="shared" si="5"/>
        <v>0</v>
      </c>
      <c r="H64" s="1449">
        <f>VLOOKUP($D$1,Solieu!A:C,2,0)</f>
        <v>4</v>
      </c>
      <c r="I64" s="1444"/>
      <c r="J64" s="1285" t="str">
        <f t="shared" si="6"/>
        <v/>
      </c>
    </row>
    <row r="65" spans="2:10" hidden="1">
      <c r="C65" s="1445">
        <f ca="1">SUM($J$4:J65)</f>
        <v>11</v>
      </c>
      <c r="D65" s="1447" t="e">
        <f>VLOOKUP(B65,DG!A:C,3,0)</f>
        <v>#N/A</v>
      </c>
      <c r="E65" s="1449" t="e">
        <f>VLOOKUP(B65,DG!A:D,4,0)</f>
        <v>#N/A</v>
      </c>
      <c r="F65" s="1449">
        <f t="shared" si="4"/>
        <v>0</v>
      </c>
      <c r="G65" s="1449">
        <f t="shared" si="5"/>
        <v>0</v>
      </c>
      <c r="H65" s="1449">
        <f>VLOOKUP($D$1,Solieu!A:C,2,0)</f>
        <v>4</v>
      </c>
      <c r="I65" s="1444"/>
      <c r="J65" s="1285" t="str">
        <f t="shared" si="6"/>
        <v/>
      </c>
    </row>
    <row r="66" spans="2:10" hidden="1">
      <c r="C66" s="1445">
        <f ca="1">SUM($J$4:J66)</f>
        <v>11</v>
      </c>
      <c r="D66" s="1447" t="e">
        <f>VLOOKUP(B66,DG!A:C,3,0)</f>
        <v>#N/A</v>
      </c>
      <c r="E66" s="1449" t="e">
        <f>VLOOKUP(B66,DG!A:D,4,0)</f>
        <v>#N/A</v>
      </c>
      <c r="F66" s="1449">
        <f t="shared" si="4"/>
        <v>0</v>
      </c>
      <c r="G66" s="1449">
        <f t="shared" si="5"/>
        <v>0</v>
      </c>
      <c r="H66" s="1449">
        <f>VLOOKUP($D$1,Solieu!A:C,2,0)</f>
        <v>4</v>
      </c>
      <c r="I66" s="1444"/>
      <c r="J66" s="1285" t="str">
        <f t="shared" si="6"/>
        <v/>
      </c>
    </row>
    <row r="67" spans="2:10" hidden="1">
      <c r="B67" s="1827"/>
      <c r="C67" s="1445">
        <f ca="1">SUM($J$4:J67)</f>
        <v>11</v>
      </c>
      <c r="D67" s="1447" t="e">
        <f>VLOOKUP(B67,DG!A:C,3,0)</f>
        <v>#N/A</v>
      </c>
      <c r="E67" s="1449" t="e">
        <f>VLOOKUP(B67,DG!A:D,4,0)</f>
        <v>#N/A</v>
      </c>
      <c r="F67" s="1449">
        <f t="shared" si="4"/>
        <v>0</v>
      </c>
      <c r="G67" s="1449">
        <f t="shared" si="5"/>
        <v>0</v>
      </c>
      <c r="H67" s="1449">
        <f>VLOOKUP($D$1,Solieu!A:C,2,0)</f>
        <v>4</v>
      </c>
      <c r="I67" s="1444"/>
      <c r="J67" s="1285" t="str">
        <f t="shared" si="6"/>
        <v/>
      </c>
    </row>
    <row r="68" spans="2:10" hidden="1">
      <c r="B68" s="1827"/>
      <c r="C68" s="1445">
        <f ca="1">SUM($J$4:J68)</f>
        <v>11</v>
      </c>
      <c r="D68" s="1447" t="e">
        <f>VLOOKUP(B68,DG!A:C,3,0)</f>
        <v>#N/A</v>
      </c>
      <c r="E68" s="1449" t="e">
        <f>VLOOKUP(B68,DG!A:D,4,0)</f>
        <v>#N/A</v>
      </c>
      <c r="F68" s="1449">
        <f t="shared" ref="F68:F79" si="7">IF(B68&lt;&gt;0,SUMIF(KhoiLuong,B68,DuToan),0)</f>
        <v>0</v>
      </c>
      <c r="G68" s="1449">
        <f t="shared" ref="G68:G79" si="8">IF(B68&lt;&gt;0,SUMIF(KhoiLuong,B68,ThiCong),0)</f>
        <v>0</v>
      </c>
      <c r="H68" s="1449">
        <f>VLOOKUP($D$1,Solieu!A:C,2,0)</f>
        <v>4</v>
      </c>
      <c r="I68" s="1444"/>
      <c r="J68" s="1285" t="str">
        <f t="shared" si="6"/>
        <v/>
      </c>
    </row>
    <row r="69" spans="2:10" hidden="1">
      <c r="B69" s="1827"/>
      <c r="C69" s="1445">
        <f ca="1">SUM($J$4:J69)</f>
        <v>11</v>
      </c>
      <c r="D69" s="1447" t="e">
        <f>VLOOKUP(B69,DG!A:C,3,0)</f>
        <v>#N/A</v>
      </c>
      <c r="E69" s="1449" t="e">
        <f>VLOOKUP(B69,DG!A:D,4,0)</f>
        <v>#N/A</v>
      </c>
      <c r="F69" s="1449">
        <f t="shared" si="7"/>
        <v>0</v>
      </c>
      <c r="G69" s="1449">
        <f t="shared" si="8"/>
        <v>0</v>
      </c>
      <c r="H69" s="1449">
        <f>VLOOKUP($D$1,Solieu!A:C,2,0)</f>
        <v>4</v>
      </c>
      <c r="I69" s="1444"/>
      <c r="J69" s="1285" t="str">
        <f t="shared" si="6"/>
        <v/>
      </c>
    </row>
    <row r="70" spans="2:10" hidden="1">
      <c r="B70" s="1827"/>
      <c r="C70" s="1445">
        <f ca="1">SUM($J$4:J70)</f>
        <v>11</v>
      </c>
      <c r="D70" s="1447" t="e">
        <f>VLOOKUP(B70,DG!A:C,3,0)</f>
        <v>#N/A</v>
      </c>
      <c r="E70" s="1449" t="e">
        <f>VLOOKUP(B70,DG!A:D,4,0)</f>
        <v>#N/A</v>
      </c>
      <c r="F70" s="1449">
        <f t="shared" si="7"/>
        <v>0</v>
      </c>
      <c r="G70" s="1449">
        <f t="shared" si="8"/>
        <v>0</v>
      </c>
      <c r="H70" s="1449">
        <f>VLOOKUP($D$1,Solieu!A:C,2,0)</f>
        <v>4</v>
      </c>
      <c r="I70" s="1444"/>
      <c r="J70" s="1285" t="str">
        <f t="shared" si="6"/>
        <v/>
      </c>
    </row>
    <row r="71" spans="2:10" hidden="1">
      <c r="B71" s="1827"/>
      <c r="C71" s="1445">
        <f ca="1">SUM($J$4:J71)</f>
        <v>11</v>
      </c>
      <c r="D71" s="1447" t="e">
        <f>VLOOKUP(B71,DG!A:C,3,0)</f>
        <v>#N/A</v>
      </c>
      <c r="E71" s="1449" t="e">
        <f>VLOOKUP(B71,DG!A:D,4,0)</f>
        <v>#N/A</v>
      </c>
      <c r="F71" s="1449">
        <f t="shared" si="7"/>
        <v>0</v>
      </c>
      <c r="G71" s="1449">
        <f t="shared" si="8"/>
        <v>0</v>
      </c>
      <c r="H71" s="1449">
        <f>VLOOKUP($D$1,Solieu!A:C,2,0)</f>
        <v>4</v>
      </c>
      <c r="I71" s="1444"/>
      <c r="J71" s="1285" t="str">
        <f t="shared" si="6"/>
        <v/>
      </c>
    </row>
    <row r="72" spans="2:10" hidden="1">
      <c r="B72" s="1827"/>
      <c r="C72" s="1445">
        <f ca="1">SUM($J$4:J72)</f>
        <v>11</v>
      </c>
      <c r="D72" s="1447" t="e">
        <f>VLOOKUP(B72,DG!A:C,3,0)</f>
        <v>#N/A</v>
      </c>
      <c r="E72" s="1449" t="e">
        <f>VLOOKUP(B72,DG!A:D,4,0)</f>
        <v>#N/A</v>
      </c>
      <c r="F72" s="1449">
        <f t="shared" si="7"/>
        <v>0</v>
      </c>
      <c r="G72" s="1449">
        <f t="shared" si="8"/>
        <v>0</v>
      </c>
      <c r="H72" s="1449">
        <f>VLOOKUP($D$1,Solieu!A:C,2,0)</f>
        <v>4</v>
      </c>
      <c r="I72" s="1444"/>
      <c r="J72" s="1285" t="str">
        <f t="shared" si="6"/>
        <v/>
      </c>
    </row>
    <row r="73" spans="2:10" hidden="1">
      <c r="B73" s="1827"/>
      <c r="C73" s="1445">
        <f ca="1">SUM($J$4:J73)</f>
        <v>11</v>
      </c>
      <c r="D73" s="1447" t="e">
        <f>VLOOKUP(B73,DG!A:C,3,0)</f>
        <v>#N/A</v>
      </c>
      <c r="E73" s="1449" t="e">
        <f>VLOOKUP(B73,DG!A:D,4,0)</f>
        <v>#N/A</v>
      </c>
      <c r="F73" s="1449">
        <f t="shared" si="7"/>
        <v>0</v>
      </c>
      <c r="G73" s="1449">
        <f t="shared" si="8"/>
        <v>0</v>
      </c>
      <c r="H73" s="1449">
        <f>VLOOKUP($D$1,Solieu!A:C,2,0)</f>
        <v>4</v>
      </c>
      <c r="I73" s="1444"/>
      <c r="J73" s="1285" t="str">
        <f t="shared" si="6"/>
        <v/>
      </c>
    </row>
    <row r="74" spans="2:10" hidden="1">
      <c r="B74" s="1827"/>
      <c r="C74" s="1445">
        <f ca="1">SUM($J$4:J74)</f>
        <v>11</v>
      </c>
      <c r="D74" s="1447" t="e">
        <f>VLOOKUP(B74,DG!A:C,3,0)</f>
        <v>#N/A</v>
      </c>
      <c r="E74" s="1449" t="e">
        <f>VLOOKUP(B74,DG!A:D,4,0)</f>
        <v>#N/A</v>
      </c>
      <c r="F74" s="1449">
        <f t="shared" si="7"/>
        <v>0</v>
      </c>
      <c r="G74" s="1449">
        <f t="shared" si="8"/>
        <v>0</v>
      </c>
      <c r="H74" s="1449">
        <f>VLOOKUP($D$1,Solieu!A:C,2,0)</f>
        <v>4</v>
      </c>
      <c r="I74" s="1444"/>
      <c r="J74" s="1285" t="str">
        <f t="shared" si="6"/>
        <v/>
      </c>
    </row>
    <row r="75" spans="2:10" hidden="1">
      <c r="B75" s="1827"/>
      <c r="C75" s="1445">
        <f ca="1">SUM($J$4:J75)</f>
        <v>11</v>
      </c>
      <c r="D75" s="1447" t="e">
        <f>VLOOKUP(B75,DG!A:C,3,0)</f>
        <v>#N/A</v>
      </c>
      <c r="E75" s="1449" t="e">
        <f>VLOOKUP(B75,DG!A:D,4,0)</f>
        <v>#N/A</v>
      </c>
      <c r="F75" s="1449">
        <f t="shared" si="7"/>
        <v>0</v>
      </c>
      <c r="G75" s="1449">
        <f t="shared" si="8"/>
        <v>0</v>
      </c>
      <c r="H75" s="1449">
        <f>VLOOKUP($D$1,Solieu!A:C,2,0)</f>
        <v>4</v>
      </c>
      <c r="I75" s="1444"/>
      <c r="J75" s="1285" t="str">
        <f t="shared" si="6"/>
        <v/>
      </c>
    </row>
    <row r="76" spans="2:10" hidden="1">
      <c r="B76" s="1827"/>
      <c r="C76" s="1445">
        <f ca="1">SUM($J$4:J76)</f>
        <v>11</v>
      </c>
      <c r="D76" s="1447" t="e">
        <f>VLOOKUP(B76,DG!A:C,3,0)</f>
        <v>#N/A</v>
      </c>
      <c r="E76" s="1449" t="e">
        <f>VLOOKUP(B76,DG!A:D,4,0)</f>
        <v>#N/A</v>
      </c>
      <c r="F76" s="1449">
        <f t="shared" si="7"/>
        <v>0</v>
      </c>
      <c r="G76" s="1449">
        <f t="shared" si="8"/>
        <v>0</v>
      </c>
      <c r="H76" s="1449">
        <f>VLOOKUP($D$1,Solieu!A:C,2,0)</f>
        <v>4</v>
      </c>
      <c r="I76" s="1444"/>
      <c r="J76" s="1285" t="str">
        <f t="shared" si="6"/>
        <v/>
      </c>
    </row>
    <row r="77" spans="2:10" hidden="1">
      <c r="B77" s="1827"/>
      <c r="C77" s="1445">
        <f ca="1">SUM($J$4:J77)</f>
        <v>11</v>
      </c>
      <c r="D77" s="1447" t="e">
        <f>VLOOKUP(B77,DG!A:C,3,0)</f>
        <v>#N/A</v>
      </c>
      <c r="E77" s="1449" t="e">
        <f>VLOOKUP(B77,DG!A:D,4,0)</f>
        <v>#N/A</v>
      </c>
      <c r="F77" s="1449">
        <f t="shared" si="7"/>
        <v>0</v>
      </c>
      <c r="G77" s="1449">
        <f t="shared" si="8"/>
        <v>0</v>
      </c>
      <c r="H77" s="1449">
        <f>VLOOKUP($D$1,Solieu!A:C,2,0)</f>
        <v>4</v>
      </c>
      <c r="I77" s="1444"/>
      <c r="J77" s="1285" t="str">
        <f t="shared" si="6"/>
        <v/>
      </c>
    </row>
    <row r="78" spans="2:10" hidden="1">
      <c r="B78" s="1827"/>
      <c r="C78" s="1445">
        <f ca="1">SUM($J$4:J78)</f>
        <v>11</v>
      </c>
      <c r="D78" s="1447" t="e">
        <f>VLOOKUP(B78,DG!A:C,3,0)</f>
        <v>#N/A</v>
      </c>
      <c r="E78" s="1449" t="e">
        <f>VLOOKUP(B78,DG!A:D,4,0)</f>
        <v>#N/A</v>
      </c>
      <c r="F78" s="1449">
        <f t="shared" si="7"/>
        <v>0</v>
      </c>
      <c r="G78" s="1449">
        <f t="shared" si="8"/>
        <v>0</v>
      </c>
      <c r="H78" s="1449">
        <f>VLOOKUP($D$1,Solieu!A:C,2,0)</f>
        <v>4</v>
      </c>
      <c r="I78" s="1444"/>
      <c r="J78" s="1285" t="str">
        <f t="shared" si="6"/>
        <v/>
      </c>
    </row>
    <row r="79" spans="2:10" hidden="1">
      <c r="B79" s="1827"/>
      <c r="C79" s="1445">
        <f ca="1">SUM($J$4:J79)</f>
        <v>11</v>
      </c>
      <c r="D79" s="1447" t="e">
        <f>VLOOKUP(B79,DG!A:C,3,0)</f>
        <v>#N/A</v>
      </c>
      <c r="E79" s="1449" t="e">
        <f>VLOOKUP(B79,DG!A:D,4,0)</f>
        <v>#N/A</v>
      </c>
      <c r="F79" s="1449">
        <f t="shared" si="7"/>
        <v>0</v>
      </c>
      <c r="G79" s="1449">
        <f t="shared" si="8"/>
        <v>0</v>
      </c>
      <c r="H79" s="1449">
        <f>VLOOKUP($D$1,Solieu!A:C,2,0)</f>
        <v>4</v>
      </c>
      <c r="I79" s="1444"/>
      <c r="J79" s="1285" t="str">
        <f t="shared" si="6"/>
        <v/>
      </c>
    </row>
    <row r="85" spans="2:2">
      <c r="B85" s="1514"/>
    </row>
  </sheetData>
  <autoFilter ref="J3:J79">
    <filterColumn colId="0">
      <customFilters>
        <customFilter operator="notEqual" val=" "/>
      </customFilters>
    </filterColumn>
  </autoFilter>
  <conditionalFormatting sqref="B83:B93 B103:B1048576 B1:B3 B11:B23 B26:B61">
    <cfRule type="duplicateValues" dxfId="22" priority="7"/>
  </conditionalFormatting>
  <conditionalFormatting sqref="B6:B8">
    <cfRule type="duplicateValues" dxfId="21" priority="6"/>
  </conditionalFormatting>
  <conditionalFormatting sqref="B9">
    <cfRule type="duplicateValues" dxfId="20" priority="5"/>
  </conditionalFormatting>
  <conditionalFormatting sqref="B10">
    <cfRule type="duplicateValues" dxfId="19" priority="4"/>
  </conditionalFormatting>
  <conditionalFormatting sqref="B62 B64:B66">
    <cfRule type="duplicateValues" dxfId="18" priority="3"/>
  </conditionalFormatting>
  <conditionalFormatting sqref="B24:B25">
    <cfRule type="duplicateValues" dxfId="17" priority="2"/>
  </conditionalFormatting>
  <conditionalFormatting sqref="B1:B1048576">
    <cfRule type="duplicateValues" dxfId="16"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C3" sqref="C3:H5"/>
    </sheetView>
  </sheetViews>
  <sheetFormatPr defaultColWidth="8.88671875" defaultRowHeight="16.5"/>
  <cols>
    <col min="1" max="1" width="8.88671875" style="1285"/>
    <col min="2" max="2" width="14.44140625" style="1285" customWidth="1"/>
    <col min="3" max="3" width="5.33203125" style="1285" customWidth="1"/>
    <col min="4" max="4" width="16.5546875" style="1285" customWidth="1"/>
    <col min="5" max="5" width="18.21875" style="1285" customWidth="1"/>
    <col min="6" max="7" width="8.109375" style="1285" customWidth="1"/>
    <col min="8" max="8" width="5.88671875" style="1285" customWidth="1"/>
    <col min="9" max="10" width="8.88671875" style="1285"/>
    <col min="11" max="11" width="10.88671875" style="1285" customWidth="1"/>
    <col min="12" max="16384" width="8.88671875" style="1285"/>
  </cols>
  <sheetData>
    <row r="3" spans="1:11">
      <c r="C3" s="2734" t="s">
        <v>1714</v>
      </c>
      <c r="D3" s="1470" t="s">
        <v>4510</v>
      </c>
      <c r="E3" s="2735" t="s">
        <v>4235</v>
      </c>
      <c r="F3" s="2736" t="s">
        <v>4512</v>
      </c>
      <c r="G3" s="2736"/>
      <c r="H3" s="2737" t="s">
        <v>4199</v>
      </c>
      <c r="I3" s="1461" t="s">
        <v>512</v>
      </c>
    </row>
    <row r="4" spans="1:11">
      <c r="C4" s="2734"/>
      <c r="D4" s="1471" t="s">
        <v>4511</v>
      </c>
      <c r="E4" s="2735"/>
      <c r="F4" s="1469" t="s">
        <v>4236</v>
      </c>
      <c r="G4" s="1469" t="s">
        <v>4200</v>
      </c>
      <c r="H4" s="2738"/>
      <c r="I4" s="1285">
        <f>IF(OR(E4&gt;0,F4&gt;0),1,"")</f>
        <v>1</v>
      </c>
      <c r="J4" s="933" t="s">
        <v>4640</v>
      </c>
      <c r="K4" s="1285" t="s">
        <v>4641</v>
      </c>
    </row>
    <row r="5" spans="1:11" ht="52.5" customHeight="1">
      <c r="A5" s="2090" t="s">
        <v>88</v>
      </c>
      <c r="B5" s="1285" t="s">
        <v>360</v>
      </c>
      <c r="C5" s="1466">
        <v>1</v>
      </c>
      <c r="D5" s="1472" t="str">
        <f>$J$4&amp;J5&amp;$K$4&amp;K5</f>
        <v>Từ cột 174/106 đến cột 174/106/020</v>
      </c>
      <c r="E5" s="1468" t="str">
        <f>VLOOKUP(B5,DonGia,3,0)&amp;" + "&amp;VLOOKUP(A5,DonGia,3,0)</f>
        <v>Cáp 24KV ACX 50mm2 + Cáp nhôm lõi thép AC-50/8</v>
      </c>
      <c r="F5" s="2478">
        <f ca="1">SUMIF(KhoiLuong,B5,DuToan)</f>
        <v>2313.36</v>
      </c>
      <c r="G5" s="2478">
        <f ca="1">SUMIF(KhoiLuong,B5,ThiCong)</f>
        <v>2313.36</v>
      </c>
      <c r="H5" s="1467"/>
      <c r="I5" s="1285">
        <f t="shared" ref="I5:I15" ca="1" si="0">IF(OR(E5&gt;0,F5&gt;0),1,"")</f>
        <v>1</v>
      </c>
      <c r="J5" s="2482" t="str">
        <f>WORD!AJ2</f>
        <v>174/106</v>
      </c>
      <c r="K5" s="2482" t="str">
        <f>WORD!AK2</f>
        <v>174/106/020</v>
      </c>
    </row>
    <row r="6" spans="1:11" ht="49.5">
      <c r="B6" s="1285" t="s">
        <v>512</v>
      </c>
      <c r="C6" s="1466">
        <v>2</v>
      </c>
      <c r="D6" s="1472" t="str">
        <f>$J$4&amp;J6&amp;$K$4&amp;K6</f>
        <v xml:space="preserve">Từ cột  đến cột </v>
      </c>
      <c r="E6" s="1468" t="s">
        <v>4971</v>
      </c>
      <c r="F6" s="2457">
        <f>'Hoan cong VL-NC-MTC'!G133</f>
        <v>61</v>
      </c>
      <c r="G6" s="2457">
        <f>'Hoan cong VL-NC-MTC'!H133</f>
        <v>61</v>
      </c>
      <c r="H6" s="1467"/>
      <c r="I6" s="1285">
        <f t="shared" si="0"/>
        <v>1</v>
      </c>
      <c r="J6" s="1933"/>
      <c r="K6" s="2458"/>
    </row>
    <row r="7" spans="1:11">
      <c r="B7" s="1285" t="s">
        <v>512</v>
      </c>
      <c r="C7" s="1457">
        <v>4</v>
      </c>
      <c r="D7" s="1458" t="e">
        <f>VLOOKUP(B7,chitiet!A:F,5,0)</f>
        <v>#N/A</v>
      </c>
      <c r="E7" s="1459">
        <f>SUMIF(chitiet!A:A,'7day'!B7,chitiet!H:H)</f>
        <v>0</v>
      </c>
      <c r="F7" s="1449">
        <f ca="1">SUMIF(TongHopKL!$D:$D,B7,TongHopKL!$G:$G)</f>
        <v>0</v>
      </c>
      <c r="G7" s="1449">
        <f ca="1">SUMIF(TongHopKL!$D:$D,B7,TongHopKL!$H:$H)</f>
        <v>0</v>
      </c>
      <c r="H7" s="1460"/>
      <c r="I7" s="1285" t="str">
        <f t="shared" ca="1" si="0"/>
        <v/>
      </c>
      <c r="J7" s="933"/>
    </row>
    <row r="8" spans="1:11">
      <c r="B8" s="1285" t="s">
        <v>512</v>
      </c>
      <c r="C8" s="1445">
        <v>5</v>
      </c>
      <c r="D8" s="1447" t="e">
        <f>VLOOKUP(B8,chitiet!A:F,5,0)</f>
        <v>#N/A</v>
      </c>
      <c r="E8" s="1449">
        <f>SUMIF(chitiet!A:A,'7day'!B8,chitiet!H:H)</f>
        <v>0</v>
      </c>
      <c r="F8" s="1449">
        <f ca="1">SUMIF(TongHopKL!$D:$D,B8,TongHopKL!$G:$G)</f>
        <v>0</v>
      </c>
      <c r="G8" s="1449">
        <f ca="1">SUMIF(TongHopKL!$D:$D,B8,TongHopKL!$H:$H)</f>
        <v>0</v>
      </c>
      <c r="H8" s="1446"/>
      <c r="I8" s="1285" t="str">
        <f t="shared" ca="1" si="0"/>
        <v/>
      </c>
      <c r="J8" s="933"/>
    </row>
    <row r="9" spans="1:11">
      <c r="B9" s="1285" t="s">
        <v>512</v>
      </c>
      <c r="C9" s="1445">
        <v>6</v>
      </c>
      <c r="D9" s="1447" t="e">
        <f>VLOOKUP(B9,chitiet!A:F,5,0)</f>
        <v>#N/A</v>
      </c>
      <c r="E9" s="1449">
        <f>SUMIF(chitiet!A:A,'7day'!B9,chitiet!H:H)</f>
        <v>0</v>
      </c>
      <c r="F9" s="1449">
        <f ca="1">SUMIF(TongHopKL!$D:$D,B9,TongHopKL!$G:$G)</f>
        <v>0</v>
      </c>
      <c r="G9" s="1449">
        <f ca="1">SUMIF(TongHopKL!$D:$D,B9,TongHopKL!$H:$H)</f>
        <v>0</v>
      </c>
      <c r="H9" s="1446"/>
      <c r="I9" s="1285" t="str">
        <f t="shared" ca="1" si="0"/>
        <v/>
      </c>
      <c r="J9" s="933"/>
    </row>
    <row r="10" spans="1:11">
      <c r="B10" s="1285" t="s">
        <v>512</v>
      </c>
      <c r="C10" s="1445">
        <v>7</v>
      </c>
      <c r="D10" s="1447" t="e">
        <f>VLOOKUP(B10,chitiet!A:F,5,0)</f>
        <v>#N/A</v>
      </c>
      <c r="E10" s="1449">
        <f>SUMIF(chitiet!A:A,'7day'!B10,chitiet!H:H)</f>
        <v>0</v>
      </c>
      <c r="F10" s="1449">
        <f ca="1">SUMIF(TongHopKL!$D:$D,B10,TongHopKL!$G:$G)</f>
        <v>0</v>
      </c>
      <c r="G10" s="1449">
        <f ca="1">SUMIF(TongHopKL!$D:$D,B10,TongHopKL!$H:$H)</f>
        <v>0</v>
      </c>
      <c r="H10" s="1446"/>
      <c r="I10" s="1285" t="str">
        <f t="shared" ca="1" si="0"/>
        <v/>
      </c>
      <c r="J10" s="933"/>
    </row>
    <row r="11" spans="1:11">
      <c r="B11" s="1285" t="s">
        <v>512</v>
      </c>
      <c r="C11" s="1445">
        <v>8</v>
      </c>
      <c r="D11" s="1447" t="e">
        <f>VLOOKUP(B11,chitiet!A:F,5,0)</f>
        <v>#N/A</v>
      </c>
      <c r="E11" s="1449">
        <f>SUMIF(chitiet!A:A,'7day'!B11,chitiet!H:H)</f>
        <v>0</v>
      </c>
      <c r="F11" s="1449">
        <f ca="1">SUMIF(TongHopKL!$D:$D,B11,TongHopKL!$G:$G)</f>
        <v>0</v>
      </c>
      <c r="G11" s="1449">
        <f ca="1">SUMIF(TongHopKL!$D:$D,B11,TongHopKL!$H:$H)</f>
        <v>0</v>
      </c>
      <c r="H11" s="1446"/>
      <c r="I11" s="1285" t="str">
        <f t="shared" ca="1" si="0"/>
        <v/>
      </c>
      <c r="J11" s="933"/>
    </row>
    <row r="12" spans="1:11">
      <c r="B12" s="1285" t="s">
        <v>512</v>
      </c>
      <c r="C12" s="1445">
        <v>9</v>
      </c>
      <c r="D12" s="1447" t="e">
        <f>VLOOKUP(B12,chitiet!A:F,5,0)</f>
        <v>#N/A</v>
      </c>
      <c r="E12" s="1449">
        <f>SUMIF(chitiet!A:A,'7day'!B12,chitiet!H:H)</f>
        <v>0</v>
      </c>
      <c r="F12" s="1449">
        <f ca="1">SUMIF(TongHopKL!$D:$D,B12,TongHopKL!$G:$G)</f>
        <v>0</v>
      </c>
      <c r="G12" s="1449">
        <f ca="1">SUMIF(TongHopKL!$D:$D,B12,TongHopKL!$H:$H)</f>
        <v>0</v>
      </c>
      <c r="H12" s="1446"/>
      <c r="I12" s="1285" t="str">
        <f t="shared" ca="1" si="0"/>
        <v/>
      </c>
      <c r="J12" s="933"/>
    </row>
    <row r="13" spans="1:11">
      <c r="B13" s="1285" t="s">
        <v>512</v>
      </c>
      <c r="C13" s="1445">
        <v>10</v>
      </c>
      <c r="D13" s="1447" t="e">
        <f>VLOOKUP(B13,chitiet!A:F,5,0)</f>
        <v>#N/A</v>
      </c>
      <c r="E13" s="1449">
        <f>SUMIF(chitiet!A:A,'7day'!B13,chitiet!H:H)</f>
        <v>0</v>
      </c>
      <c r="F13" s="1449">
        <f ca="1">SUMIF(TongHopKL!$D:$D,B13,TongHopKL!$G:$G)</f>
        <v>0</v>
      </c>
      <c r="G13" s="1449">
        <f ca="1">SUMIF(TongHopKL!$D:$D,B13,TongHopKL!$H:$H)</f>
        <v>0</v>
      </c>
      <c r="H13" s="1446"/>
      <c r="I13" s="1285" t="str">
        <f t="shared" ca="1" si="0"/>
        <v/>
      </c>
      <c r="J13" s="933"/>
    </row>
    <row r="14" spans="1:11">
      <c r="B14" s="1285" t="s">
        <v>512</v>
      </c>
      <c r="C14" s="1445">
        <v>11</v>
      </c>
      <c r="D14" s="1447" t="e">
        <f>VLOOKUP(B14,chitiet!A:F,5,0)</f>
        <v>#N/A</v>
      </c>
      <c r="E14" s="1449">
        <f>SUMIF(chitiet!A:A,'7day'!B14,chitiet!H:H)</f>
        <v>0</v>
      </c>
      <c r="F14" s="1449">
        <f ca="1">SUMIF(TongHopKL!$D:$D,B14,TongHopKL!$G:$G)</f>
        <v>0</v>
      </c>
      <c r="G14" s="1449">
        <f ca="1">SUMIF(TongHopKL!$D:$D,B14,TongHopKL!$H:$H)</f>
        <v>0</v>
      </c>
      <c r="H14" s="1446"/>
      <c r="I14" s="1285" t="str">
        <f t="shared" ca="1" si="0"/>
        <v/>
      </c>
      <c r="J14" s="933"/>
    </row>
    <row r="15" spans="1:11">
      <c r="B15" s="1285" t="s">
        <v>512</v>
      </c>
      <c r="C15" s="1462">
        <v>12</v>
      </c>
      <c r="D15" s="1463" t="e">
        <f>VLOOKUP(B15,chitiet!A:F,5,0)</f>
        <v>#N/A</v>
      </c>
      <c r="E15" s="1464">
        <f>SUMIF(chitiet!A:A,'7day'!B15,chitiet!H:H)</f>
        <v>0</v>
      </c>
      <c r="F15" s="1449">
        <f ca="1">SUMIF(TongHopKL!$D:$D,B15,TongHopKL!$G:$G)</f>
        <v>0</v>
      </c>
      <c r="G15" s="1449">
        <f ca="1">SUMIF(TongHopKL!$D:$D,B15,TongHopKL!$H:$H)</f>
        <v>0</v>
      </c>
      <c r="H15" s="1465"/>
      <c r="I15" s="1285" t="str">
        <f t="shared" ca="1" si="0"/>
        <v/>
      </c>
      <c r="J15" s="933"/>
    </row>
    <row r="16" spans="1:11">
      <c r="B16" s="1285" t="s">
        <v>512</v>
      </c>
      <c r="F16" s="1449">
        <f ca="1">SUMIF(TongHopKL!$D:$D,B16,TongHopKL!$G:$G)</f>
        <v>0</v>
      </c>
      <c r="G16" s="1449">
        <f ca="1">SUMIF(TongHopKL!$D:$D,B16,TongHopKL!$H:$H)</f>
        <v>0</v>
      </c>
    </row>
    <row r="17" spans="6:7">
      <c r="F17" s="1449">
        <f ca="1">SUMIF(TongHopKL!$D:$D,B17,TongHopKL!$G:$G)</f>
        <v>0</v>
      </c>
      <c r="G17" s="1449">
        <f ca="1">SUMIF(TongHopKL!$D:$D,B17,TongHopKL!$H:$H)</f>
        <v>2692.96</v>
      </c>
    </row>
    <row r="18" spans="6:7">
      <c r="F18" s="1449">
        <f ca="1">SUMIF(TongHopKL!$D:$D,B18,TongHopKL!$G:$G)</f>
        <v>0</v>
      </c>
      <c r="G18" s="1449">
        <f ca="1">SUMIF(TongHopKL!$D:$D,B18,TongHopKL!$H:$H)</f>
        <v>2692.96</v>
      </c>
    </row>
    <row r="19" spans="6:7">
      <c r="F19" s="1449">
        <f ca="1">SUMIF(TongHopKL!$D:$D,B19,TongHopKL!$G:$G)</f>
        <v>0</v>
      </c>
      <c r="G19" s="1449">
        <f ca="1">SUMIF(TongHopKL!$D:$D,B19,TongHopKL!$H:$H)</f>
        <v>2692.96</v>
      </c>
    </row>
    <row r="20" spans="6:7">
      <c r="F20" s="1449">
        <f ca="1">SUMIF(TongHopKL!$D:$D,B20,TongHopKL!$G:$G)</f>
        <v>0</v>
      </c>
      <c r="G20" s="1449">
        <f ca="1">SUMIF(TongHopKL!$D:$D,B20,TongHopKL!$H:$H)</f>
        <v>2692.96</v>
      </c>
    </row>
    <row r="21" spans="6:7">
      <c r="F21" s="1449">
        <f ca="1">SUMIF(TongHopKL!$D:$D,B21,TongHopKL!$G:$G)</f>
        <v>0</v>
      </c>
      <c r="G21" s="1449">
        <f ca="1">SUMIF(TongHopKL!$D:$D,B21,TongHopKL!$H:$H)</f>
        <v>2692.96</v>
      </c>
    </row>
    <row r="22" spans="6:7">
      <c r="F22" s="1449">
        <f ca="1">SUMIF(TongHopKL!$D:$D,B22,TongHopKL!$G:$G)</f>
        <v>0</v>
      </c>
      <c r="G22" s="1449">
        <f ca="1">SUMIF(TongHopKL!$D:$D,B22,TongHopKL!$H:$H)</f>
        <v>2692.96</v>
      </c>
    </row>
    <row r="23" spans="6:7">
      <c r="F23" s="1449">
        <f ca="1">SUMIF(TongHopKL!$D:$D,B23,TongHopKL!$G:$G)</f>
        <v>0</v>
      </c>
      <c r="G23" s="1449">
        <f ca="1">SUMIF(TongHopKL!$D:$D,B23,TongHopKL!$H:$H)</f>
        <v>2692.96</v>
      </c>
    </row>
    <row r="24" spans="6:7">
      <c r="F24" s="1449">
        <f ca="1">SUMIF(TongHopKL!$D:$D,B24,TongHopKL!$G:$G)</f>
        <v>0</v>
      </c>
      <c r="G24" s="1449">
        <f ca="1">SUMIF(TongHopKL!$D:$D,B24,TongHopKL!$H:$H)</f>
        <v>2692.96</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topLeftCell="A10" workbookViewId="0">
      <selection activeCell="B25" sqref="B25"/>
    </sheetView>
  </sheetViews>
  <sheetFormatPr defaultColWidth="8.88671875" defaultRowHeight="16.5"/>
  <cols>
    <col min="1" max="1" width="8.88671875" style="1750"/>
    <col min="2" max="2" width="10.21875" style="1750" bestFit="1" customWidth="1"/>
    <col min="3" max="3" width="6.21875" style="1750" customWidth="1"/>
    <col min="4" max="4" width="31.88671875" style="1493" customWidth="1"/>
    <col min="5" max="5" width="6.77734375" style="998" customWidth="1"/>
    <col min="6" max="6" width="7.109375" style="998" customWidth="1"/>
    <col min="7" max="7" width="7.44140625" style="998" customWidth="1"/>
    <col min="8" max="8" width="9.109375" style="1750" customWidth="1"/>
    <col min="9" max="9" width="5.77734375" style="1750" customWidth="1"/>
    <col min="10" max="16384" width="8.88671875" style="1750"/>
  </cols>
  <sheetData>
    <row r="1" spans="1:10" ht="37.5" customHeight="1">
      <c r="C1" s="1746" t="s">
        <v>1714</v>
      </c>
      <c r="D1" s="1747" t="s">
        <v>4598</v>
      </c>
      <c r="E1" s="1747" t="s">
        <v>4232</v>
      </c>
      <c r="F1" s="1747" t="s">
        <v>5161</v>
      </c>
      <c r="G1" s="1747" t="s">
        <v>4200</v>
      </c>
      <c r="H1" s="1746" t="s">
        <v>4199</v>
      </c>
      <c r="I1" s="1750" t="s">
        <v>4599</v>
      </c>
    </row>
    <row r="2" spans="1:10" ht="25.9" customHeight="1">
      <c r="A2" s="1750" t="s">
        <v>512</v>
      </c>
      <c r="B2" s="1748" t="str">
        <f>'NT-VT'!A6</f>
        <v>tr501</v>
      </c>
      <c r="C2" s="1751">
        <f>SUM($I$2:I2)</f>
        <v>1</v>
      </c>
      <c r="D2" s="2481" t="str">
        <f t="shared" ref="D2:D24" si="0">VLOOKUP(B2,DonGia,3,0)</f>
        <v>Máy biến áp 12,7/0,23-0,46kV 50kVA</v>
      </c>
      <c r="E2" s="1749" t="str">
        <f>'NT-VT'!D6</f>
        <v>máy</v>
      </c>
      <c r="F2" s="1749">
        <f t="shared" ref="F2:F24" ca="1" si="1">SUMIF(KhoiLuong,B2,DuToan)</f>
        <v>3</v>
      </c>
      <c r="G2" s="1749">
        <f t="shared" ref="G2:G24" ca="1" si="2">SUMIF(KhoiLuong,B2,ThiCong)</f>
        <v>3</v>
      </c>
      <c r="H2" s="1744"/>
      <c r="I2" s="1750">
        <f>IF(A2&lt;&gt;0,1,0)</f>
        <v>1</v>
      </c>
    </row>
    <row r="3" spans="1:10" ht="21.75" customHeight="1">
      <c r="B3" s="1748" t="str">
        <f>'NT-VT'!A7</f>
        <v>T12</v>
      </c>
      <c r="C3" s="1751">
        <f>SUM($I$2:I3)</f>
        <v>1</v>
      </c>
      <c r="D3" s="2481" t="str">
        <f t="shared" si="0"/>
        <v>Trụ BTLT 12m F350 dự ứng lực</v>
      </c>
      <c r="E3" s="1749" t="str">
        <f>'NT-VT'!D7</f>
        <v>trụ</v>
      </c>
      <c r="F3" s="1749">
        <f t="shared" ca="1" si="1"/>
        <v>25</v>
      </c>
      <c r="G3" s="1749">
        <f t="shared" ca="1" si="2"/>
        <v>25</v>
      </c>
      <c r="H3" s="1744"/>
      <c r="I3" s="1750">
        <f t="shared" ref="I3:I24" si="3">IF(A3&lt;&gt;0,1,0)</f>
        <v>0</v>
      </c>
    </row>
    <row r="4" spans="1:10" ht="21.75" customHeight="1">
      <c r="A4" s="1750" t="s">
        <v>512</v>
      </c>
      <c r="B4" s="1748" t="str">
        <f>'NT-VT'!A8</f>
        <v>FCO100-22</v>
      </c>
      <c r="C4" s="1751">
        <f>SUM($I$2:I4)</f>
        <v>2</v>
      </c>
      <c r="D4" s="2481" t="str">
        <f t="shared" si="0"/>
        <v>FCO 27kV - 100A</v>
      </c>
      <c r="E4" s="1749" t="str">
        <f>'NT-VT'!D8</f>
        <v>cái</v>
      </c>
      <c r="F4" s="1749">
        <f t="shared" ca="1" si="1"/>
        <v>6</v>
      </c>
      <c r="G4" s="1749">
        <f t="shared" ca="1" si="2"/>
        <v>6</v>
      </c>
      <c r="H4" s="1744"/>
      <c r="I4" s="1750">
        <f t="shared" si="3"/>
        <v>1</v>
      </c>
    </row>
    <row r="5" spans="1:10" ht="21.75" customHeight="1">
      <c r="A5" s="1750" t="s">
        <v>512</v>
      </c>
      <c r="B5" s="1748" t="str">
        <f>'NT-VT'!A9</f>
        <v>LA18</v>
      </c>
      <c r="C5" s="1751">
        <f>SUM($I$2:I5)</f>
        <v>3</v>
      </c>
      <c r="D5" s="2481" t="str">
        <f t="shared" si="0"/>
        <v>Chống sét van LA-18KV-10KA</v>
      </c>
      <c r="E5" s="1749" t="str">
        <f>'NT-VT'!D9</f>
        <v>cái</v>
      </c>
      <c r="F5" s="1749">
        <f t="shared" ca="1" si="1"/>
        <v>3</v>
      </c>
      <c r="G5" s="1749">
        <f t="shared" ca="1" si="2"/>
        <v>3</v>
      </c>
      <c r="H5" s="1744"/>
      <c r="I5" s="1750">
        <f t="shared" si="3"/>
        <v>1</v>
      </c>
    </row>
    <row r="6" spans="1:10" ht="21.75" customHeight="1">
      <c r="A6" s="1750" t="s">
        <v>512</v>
      </c>
      <c r="B6" s="1748" t="str">
        <f>'NT-VT'!A10</f>
        <v>atm200</v>
      </c>
      <c r="C6" s="1751">
        <f>SUM($I$2:I6)</f>
        <v>4</v>
      </c>
      <c r="D6" s="2481" t="str">
        <f t="shared" si="0"/>
        <v>MCCB 3 cực 400V -200A - 35KA</v>
      </c>
      <c r="E6" s="1749" t="str">
        <f>'NT-VT'!D10</f>
        <v>cái</v>
      </c>
      <c r="F6" s="1749">
        <f t="shared" ca="1" si="1"/>
        <v>1</v>
      </c>
      <c r="G6" s="1749">
        <f t="shared" ca="1" si="2"/>
        <v>1</v>
      </c>
      <c r="H6" s="1744"/>
      <c r="I6" s="1750">
        <f t="shared" si="3"/>
        <v>1</v>
      </c>
    </row>
    <row r="7" spans="1:10" ht="21.75" customHeight="1">
      <c r="B7" s="1748" t="str">
        <f>'NT-VT'!A11</f>
        <v>SD</v>
      </c>
      <c r="C7" s="1751">
        <f>SUM($I$2:I7)</f>
        <v>4</v>
      </c>
      <c r="D7" s="2481" t="str">
        <f t="shared" si="0"/>
        <v xml:space="preserve">Sứ đứng 24KV </v>
      </c>
      <c r="E7" s="1749" t="str">
        <f>'NT-VT'!D11</f>
        <v>cái</v>
      </c>
      <c r="F7" s="1749">
        <f t="shared" ca="1" si="1"/>
        <v>69</v>
      </c>
      <c r="G7" s="1749">
        <f t="shared" ca="1" si="2"/>
        <v>69</v>
      </c>
      <c r="H7" s="1744"/>
      <c r="I7" s="1750">
        <f t="shared" si="3"/>
        <v>0</v>
      </c>
    </row>
    <row r="8" spans="1:10" ht="21.75" customHeight="1">
      <c r="B8" s="1748" t="str">
        <f>'NT-VT'!A12</f>
        <v>Stply</v>
      </c>
      <c r="C8" s="1751">
        <f>SUM($I$2:I8)</f>
        <v>4</v>
      </c>
      <c r="D8" s="2481" t="str">
        <f t="shared" si="0"/>
        <v>Sứ treo polymer</v>
      </c>
      <c r="E8" s="1749" t="str">
        <f>'NT-VT'!D12</f>
        <v>chuỗi</v>
      </c>
      <c r="F8" s="1749">
        <f t="shared" ca="1" si="1"/>
        <v>24</v>
      </c>
      <c r="G8" s="1749">
        <f t="shared" ca="1" si="2"/>
        <v>24</v>
      </c>
      <c r="H8" s="1744"/>
      <c r="I8" s="1750">
        <f t="shared" si="3"/>
        <v>0</v>
      </c>
    </row>
    <row r="9" spans="1:10" ht="21.75" customHeight="1">
      <c r="A9" s="1750" t="s">
        <v>512</v>
      </c>
      <c r="B9" s="1748" t="str">
        <f>'NT-VT'!A13</f>
        <v>cv95</v>
      </c>
      <c r="C9" s="1751">
        <f>SUM($I$2:I9)</f>
        <v>5</v>
      </c>
      <c r="D9" s="2481" t="str">
        <f t="shared" si="0"/>
        <v>Cáp đồng bọc CV95</v>
      </c>
      <c r="E9" s="1749" t="str">
        <f>'NT-VT'!D13</f>
        <v>mét</v>
      </c>
      <c r="F9" s="1749">
        <f t="shared" ca="1" si="1"/>
        <v>30</v>
      </c>
      <c r="G9" s="1749">
        <f t="shared" ca="1" si="2"/>
        <v>30</v>
      </c>
      <c r="H9" s="1744"/>
      <c r="I9" s="1750">
        <f t="shared" si="3"/>
        <v>1</v>
      </c>
    </row>
    <row r="10" spans="1:10" ht="21.75" customHeight="1">
      <c r="A10" s="1750" t="s">
        <v>512</v>
      </c>
      <c r="B10" s="1748" t="str">
        <f>'NT-VT'!A14</f>
        <v>cv11</v>
      </c>
      <c r="C10" s="1751">
        <f>SUM($I$2:I10)</f>
        <v>6</v>
      </c>
      <c r="D10" s="2481" t="str">
        <f t="shared" si="0"/>
        <v>Cáp đồng bọc CV11</v>
      </c>
      <c r="E10" s="1749" t="str">
        <f>'NT-VT'!D14</f>
        <v>mét</v>
      </c>
      <c r="F10" s="1749">
        <f t="shared" ca="1" si="1"/>
        <v>5</v>
      </c>
      <c r="G10" s="1749">
        <f t="shared" ca="1" si="2"/>
        <v>5</v>
      </c>
      <c r="H10" s="1744"/>
      <c r="I10" s="1750">
        <f t="shared" si="3"/>
        <v>1</v>
      </c>
    </row>
    <row r="11" spans="1:10" ht="21.75" customHeight="1">
      <c r="A11" s="1750" t="s">
        <v>512</v>
      </c>
      <c r="B11" s="1748" t="str">
        <f>'NT-VT'!A15</f>
        <v>CVV4X4</v>
      </c>
      <c r="C11" s="1751">
        <f>SUM($I$2:I11)</f>
        <v>7</v>
      </c>
      <c r="D11" s="2481" t="str">
        <f t="shared" si="0"/>
        <v xml:space="preserve">Cáp CVV 4x4mm2  </v>
      </c>
      <c r="E11" s="1749" t="str">
        <f>'NT-VT'!D15</f>
        <v>mét</v>
      </c>
      <c r="F11" s="1749">
        <f t="shared" ca="1" si="1"/>
        <v>2.5</v>
      </c>
      <c r="G11" s="1749">
        <f t="shared" ca="1" si="2"/>
        <v>2.5</v>
      </c>
      <c r="H11" s="1744"/>
      <c r="I11" s="1750">
        <f t="shared" si="3"/>
        <v>1</v>
      </c>
    </row>
    <row r="12" spans="1:10">
      <c r="B12" s="1748" t="str">
        <f>'NT-VT'!A16</f>
        <v>XLPE25</v>
      </c>
      <c r="C12" s="1751">
        <f>SUM($I$2:I12)</f>
        <v>7</v>
      </c>
      <c r="D12" s="2481" t="str">
        <f t="shared" si="0"/>
        <v>Cáp 24KV CX-25mm2</v>
      </c>
      <c r="E12" s="1749" t="str">
        <f>'NT-VT'!D16</f>
        <v>mét</v>
      </c>
      <c r="F12" s="1749">
        <f t="shared" ca="1" si="1"/>
        <v>21</v>
      </c>
      <c r="G12" s="1749">
        <f t="shared" ca="1" si="2"/>
        <v>21</v>
      </c>
      <c r="H12" s="1744"/>
      <c r="I12" s="1750">
        <f t="shared" si="3"/>
        <v>0</v>
      </c>
    </row>
    <row r="13" spans="1:10">
      <c r="B13" s="1748" t="str">
        <f>'NT-VT'!A17</f>
        <v>ACXV50</v>
      </c>
      <c r="C13" s="1751">
        <f>SUM($I$2:I13)</f>
        <v>7</v>
      </c>
      <c r="D13" s="2481" t="str">
        <f t="shared" si="0"/>
        <v>Cáp 24KV ACX 50mm2</v>
      </c>
      <c r="E13" s="1749" t="str">
        <f>'NT-VT'!D17</f>
        <v>mét</v>
      </c>
      <c r="F13" s="1749">
        <f t="shared" ca="1" si="1"/>
        <v>2313.36</v>
      </c>
      <c r="G13" s="1749">
        <f t="shared" ca="1" si="2"/>
        <v>2313.36</v>
      </c>
      <c r="H13" s="1744"/>
      <c r="I13" s="1750">
        <f t="shared" si="3"/>
        <v>0</v>
      </c>
      <c r="J13" s="1451"/>
    </row>
    <row r="14" spans="1:10">
      <c r="B14" s="1748" t="str">
        <f>'NT-VT'!A18</f>
        <v>m25</v>
      </c>
      <c r="C14" s="1751">
        <f>SUM($I$2:I14)</f>
        <v>7</v>
      </c>
      <c r="D14" s="2481" t="str">
        <f t="shared" si="0"/>
        <v>Cáp đồng trần M25mm2</v>
      </c>
      <c r="E14" s="1749" t="str">
        <f>'NT-VT'!D18</f>
        <v>kg</v>
      </c>
      <c r="F14" s="1749">
        <f t="shared" ca="1" si="1"/>
        <v>21.740000000000002</v>
      </c>
      <c r="G14" s="1749">
        <f t="shared" ca="1" si="2"/>
        <v>21.740000000000002</v>
      </c>
      <c r="H14" s="1744"/>
      <c r="I14" s="1750">
        <f t="shared" si="3"/>
        <v>0</v>
      </c>
    </row>
    <row r="15" spans="1:10">
      <c r="B15" s="1748" t="str">
        <f>'NT-VT'!A19</f>
        <v>AC50</v>
      </c>
      <c r="C15" s="1751">
        <f>SUM($I$2:I15)</f>
        <v>7</v>
      </c>
      <c r="D15" s="2481" t="str">
        <f t="shared" si="0"/>
        <v>Cáp nhôm lõi thép AC-50/8</v>
      </c>
      <c r="E15" s="1749" t="str">
        <f>'NT-VT'!D19</f>
        <v>kg</v>
      </c>
      <c r="F15" s="1749">
        <f t="shared" ca="1" si="1"/>
        <v>150.31</v>
      </c>
      <c r="G15" s="1749">
        <f t="shared" ca="1" si="2"/>
        <v>150.31</v>
      </c>
      <c r="H15" s="1744"/>
      <c r="I15" s="1750">
        <f t="shared" si="3"/>
        <v>0</v>
      </c>
    </row>
    <row r="16" spans="1:10">
      <c r="B16" s="1748" t="str">
        <f>'NT-VT'!A20</f>
        <v>C5/8m</v>
      </c>
      <c r="C16" s="1751">
        <f>SUM($I$2:I16)</f>
        <v>7</v>
      </c>
      <c r="D16" s="2481" t="str">
        <f t="shared" si="0"/>
        <v>Cáp thép 5/8"</v>
      </c>
      <c r="E16" s="1749" t="str">
        <f>'NT-VT'!D20</f>
        <v>mét</v>
      </c>
      <c r="F16" s="1749">
        <f t="shared" ca="1" si="1"/>
        <v>14</v>
      </c>
      <c r="G16" s="1749">
        <f t="shared" ca="1" si="2"/>
        <v>14</v>
      </c>
      <c r="H16" s="1744"/>
      <c r="I16" s="1750">
        <f t="shared" si="3"/>
        <v>0</v>
      </c>
    </row>
    <row r="17" spans="1:10" ht="33">
      <c r="B17" s="1748" t="str">
        <f>'NT-VT'!A21</f>
        <v>B16150</v>
      </c>
      <c r="C17" s="1751">
        <f>SUM($I$2:I17)</f>
        <v>7</v>
      </c>
      <c r="D17" s="2481" t="str">
        <f t="shared" si="0"/>
        <v>Boulon 16x150+ 2 long đền vuông D18-50x50x3/Zn</v>
      </c>
      <c r="E17" s="1749" t="str">
        <f>'NT-VT'!D21</f>
        <v>bộ</v>
      </c>
      <c r="F17" s="1749">
        <f t="shared" ca="1" si="1"/>
        <v>4</v>
      </c>
      <c r="G17" s="1749">
        <f t="shared" ca="1" si="2"/>
        <v>4</v>
      </c>
      <c r="H17" s="1744"/>
      <c r="I17" s="1750">
        <f t="shared" si="3"/>
        <v>0</v>
      </c>
    </row>
    <row r="18" spans="1:10" ht="33">
      <c r="B18" s="1748" t="str">
        <f>'NT-VT'!A22</f>
        <v>B16250</v>
      </c>
      <c r="C18" s="1751">
        <f>SUM($I$2:I18)</f>
        <v>7</v>
      </c>
      <c r="D18" s="2481" t="str">
        <f t="shared" si="0"/>
        <v>Boulon 16x250+ 2 long đền vuông D18-50x50x3/Zn</v>
      </c>
      <c r="E18" s="1749" t="str">
        <f>'NT-VT'!D22</f>
        <v>bộ</v>
      </c>
      <c r="F18" s="1749">
        <f t="shared" ca="1" si="1"/>
        <v>2</v>
      </c>
      <c r="G18" s="1749">
        <f t="shared" ca="1" si="2"/>
        <v>2</v>
      </c>
      <c r="H18" s="1744"/>
      <c r="I18" s="1750">
        <f t="shared" si="3"/>
        <v>0</v>
      </c>
      <c r="J18" s="1451"/>
    </row>
    <row r="19" spans="1:10" ht="33">
      <c r="B19" s="1748" t="str">
        <f>'NT-VT'!A23</f>
        <v>B16300</v>
      </c>
      <c r="C19" s="1751">
        <f>SUM($I$2:I19)</f>
        <v>7</v>
      </c>
      <c r="D19" s="2481" t="str">
        <f t="shared" si="0"/>
        <v>Boulon 16x300+ 2 long đền vuông D18-50x50x3/Zn</v>
      </c>
      <c r="E19" s="1749" t="str">
        <f>'NT-VT'!D23</f>
        <v>bộ</v>
      </c>
      <c r="F19" s="1749">
        <f t="shared" ca="1" si="1"/>
        <v>56</v>
      </c>
      <c r="G19" s="1749">
        <f t="shared" ca="1" si="2"/>
        <v>56</v>
      </c>
      <c r="H19" s="1744"/>
      <c r="I19" s="1750">
        <f t="shared" si="3"/>
        <v>0</v>
      </c>
    </row>
    <row r="20" spans="1:10" ht="33">
      <c r="B20" s="1748" t="str">
        <f>'NT-VT'!A24</f>
        <v>B16300v</v>
      </c>
      <c r="C20" s="1751">
        <f>SUM($I$2:I20)</f>
        <v>7</v>
      </c>
      <c r="D20" s="2481" t="str">
        <f t="shared" si="0"/>
        <v>Boulon 16x300VRS+ 4 long đền vuông D18-50x50x3/Zn</v>
      </c>
      <c r="E20" s="1749" t="str">
        <f>'NT-VT'!D24</f>
        <v>bộ</v>
      </c>
      <c r="F20" s="1749">
        <f t="shared" ca="1" si="1"/>
        <v>19</v>
      </c>
      <c r="G20" s="1749">
        <f t="shared" ca="1" si="2"/>
        <v>19</v>
      </c>
      <c r="H20" s="1744"/>
      <c r="I20" s="1750">
        <f t="shared" si="3"/>
        <v>0</v>
      </c>
    </row>
    <row r="21" spans="1:10">
      <c r="A21" s="1750" t="s">
        <v>512</v>
      </c>
      <c r="B21" s="1748" t="s">
        <v>617</v>
      </c>
      <c r="C21" s="1751">
        <f>SUM($I$2:I21)</f>
        <v>8</v>
      </c>
      <c r="D21" s="2481" t="str">
        <f t="shared" si="0"/>
        <v>Vỏ tủ + khóa tủ</v>
      </c>
      <c r="E21" s="1749" t="str">
        <f>'NT-VT'!D25</f>
        <v>bộ</v>
      </c>
      <c r="F21" s="1749">
        <f t="shared" ca="1" si="1"/>
        <v>1</v>
      </c>
      <c r="G21" s="1749">
        <f t="shared" ca="1" si="2"/>
        <v>1</v>
      </c>
      <c r="H21" s="1473"/>
      <c r="I21" s="1750">
        <f t="shared" si="3"/>
        <v>1</v>
      </c>
    </row>
    <row r="22" spans="1:10">
      <c r="A22" s="1750" t="s">
        <v>512</v>
      </c>
      <c r="B22" s="1750" t="s">
        <v>1043</v>
      </c>
      <c r="C22" s="1751">
        <f>SUM($I$2:I22)</f>
        <v>9</v>
      </c>
      <c r="D22" s="2481" t="str">
        <f t="shared" si="0"/>
        <v>Giá chùm treo máy biến áp 3x50</v>
      </c>
      <c r="E22" s="1749" t="str">
        <f>'NT-VT'!D26</f>
        <v>bộ</v>
      </c>
      <c r="F22" s="1749">
        <f t="shared" ca="1" si="1"/>
        <v>1</v>
      </c>
      <c r="G22" s="1749">
        <f t="shared" ca="1" si="2"/>
        <v>1</v>
      </c>
      <c r="H22" s="1473"/>
      <c r="I22" s="1750">
        <f t="shared" si="3"/>
        <v>1</v>
      </c>
      <c r="J22" s="1451"/>
    </row>
    <row r="23" spans="1:10">
      <c r="B23" s="1748"/>
      <c r="C23" s="1751">
        <f>SUM($I$2:I23)</f>
        <v>9</v>
      </c>
      <c r="D23" s="2481" t="e">
        <f t="shared" si="0"/>
        <v>#N/A</v>
      </c>
      <c r="E23" s="1749" t="str">
        <f>'NT-VT'!D27</f>
        <v>bộ</v>
      </c>
      <c r="F23" s="1749">
        <f t="shared" ca="1" si="1"/>
        <v>68165.600000000006</v>
      </c>
      <c r="G23" s="1749">
        <f t="shared" ca="1" si="2"/>
        <v>62833</v>
      </c>
      <c r="H23" s="1473"/>
      <c r="I23" s="1750">
        <f t="shared" si="3"/>
        <v>0</v>
      </c>
      <c r="J23" s="1623"/>
    </row>
    <row r="24" spans="1:10">
      <c r="B24" s="1748"/>
      <c r="C24" s="1751">
        <f>SUM($I$2:I24)</f>
        <v>9</v>
      </c>
      <c r="D24" s="2481" t="e">
        <f t="shared" si="0"/>
        <v>#N/A</v>
      </c>
      <c r="E24" s="1749" t="str">
        <f>'NT-VT'!D28</f>
        <v>bộ</v>
      </c>
      <c r="F24" s="1749">
        <f t="shared" ca="1" si="1"/>
        <v>68165.600000000006</v>
      </c>
      <c r="G24" s="1749">
        <f t="shared" ca="1" si="2"/>
        <v>62833</v>
      </c>
      <c r="H24" s="1473"/>
      <c r="I24" s="1750">
        <f t="shared" si="3"/>
        <v>0</v>
      </c>
      <c r="J24" s="1623"/>
    </row>
    <row r="25" spans="1:10">
      <c r="C25" s="1451"/>
      <c r="E25" s="1493"/>
      <c r="F25" s="1493"/>
      <c r="G25" s="1749">
        <f>VLOOKUP(B25,Solieu!G:L,6,0)</f>
        <v>0</v>
      </c>
      <c r="H25" s="1451"/>
    </row>
    <row r="26" spans="1:10">
      <c r="G26" s="1749">
        <f>VLOOKUP(B26,Solieu!G:L,6,0)</f>
        <v>0</v>
      </c>
    </row>
  </sheetData>
  <autoFilter ref="B1:I26"/>
  <conditionalFormatting sqref="I1:I1048576">
    <cfRule type="cellIs" dxfId="15" priority="1" operator="greater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4"/>
  <sheetViews>
    <sheetView topLeftCell="C1" workbookViewId="0">
      <selection activeCell="D19" sqref="D19"/>
    </sheetView>
  </sheetViews>
  <sheetFormatPr defaultColWidth="8.88671875" defaultRowHeight="16.5"/>
  <cols>
    <col min="1" max="1" width="8.88671875" style="1452"/>
    <col min="2" max="2" width="14.44140625" style="1288" customWidth="1"/>
    <col min="3" max="3" width="5.33203125" style="1452" customWidth="1"/>
    <col min="4" max="4" width="61.6640625" style="1452" customWidth="1"/>
    <col min="5" max="5" width="11.5546875" style="1452" hidden="1" customWidth="1"/>
    <col min="6" max="6" width="9.5546875" style="1452" hidden="1" customWidth="1"/>
    <col min="7" max="7" width="10.5546875" style="1452" customWidth="1"/>
    <col min="8" max="8" width="35.33203125" style="1452" customWidth="1"/>
    <col min="9" max="16384" width="8.88671875" style="1452"/>
  </cols>
  <sheetData>
    <row r="3" spans="2:11">
      <c r="G3" s="1452" t="s">
        <v>1962</v>
      </c>
    </row>
    <row r="4" spans="2:11">
      <c r="D4" s="2739" t="str">
        <f>"- Tiếp địa TBA tại vị trí trụ số:"&amp;F4&amp;"."</f>
        <v>- Tiếp địa TBA tại vị trí trụ số:015/002.</v>
      </c>
      <c r="E4" s="2739"/>
      <c r="F4" s="1452" t="s">
        <v>4597</v>
      </c>
    </row>
    <row r="5" spans="2:11">
      <c r="D5" s="2739" t="str">
        <f>"- Tiếp địa lặp lại đường dây trung thế tại vị trí trụ số: "&amp;F5&amp;"."</f>
        <v>- Tiếp địa lặp lại đường dây trung thế tại vị trí trụ số: 015.</v>
      </c>
      <c r="E5" s="2739"/>
      <c r="F5" s="1742" t="s">
        <v>4591</v>
      </c>
    </row>
    <row r="6" spans="2:11">
      <c r="D6" s="2739" t="str">
        <f>"- Tiếp địa lặp lại đường dây trung thế tại vị trí trụ số: "&amp;F6&amp;"."</f>
        <v>- Tiếp địa lặp lại đường dây trung thế tại vị trí trụ số: .</v>
      </c>
      <c r="E6" s="2739"/>
      <c r="G6" s="1452" t="s">
        <v>512</v>
      </c>
    </row>
    <row r="8" spans="2:11" ht="36.6" customHeight="1">
      <c r="C8" s="2213" t="s">
        <v>1714</v>
      </c>
      <c r="D8" s="2213" t="s">
        <v>4231</v>
      </c>
      <c r="E8" s="1999" t="s">
        <v>4233</v>
      </c>
      <c r="F8" s="1999" t="s">
        <v>4234</v>
      </c>
      <c r="G8" s="1461" t="s">
        <v>1962</v>
      </c>
    </row>
    <row r="9" spans="2:11" ht="24.95" hidden="1" customHeight="1">
      <c r="C9" s="2083"/>
      <c r="D9" s="2249" t="str">
        <f>H9&amp;": "&amp;ROUND(J9,1)&amp;" "&amp;I9</f>
        <v>Tiếp địa lặp lại (trụ 10,5m): 1 Bộ</v>
      </c>
      <c r="E9" s="2246" t="str">
        <f>Solieu!B1</f>
        <v>Số bản vẽ</v>
      </c>
      <c r="F9" s="2309" t="s">
        <v>4217</v>
      </c>
      <c r="G9" s="1452" t="str">
        <f>IF(SUM(G10:G16)&gt;0,1,"")</f>
        <v/>
      </c>
      <c r="H9" s="1952" t="str">
        <f>'Hoan cong VL-NC-MTC'!E37</f>
        <v>Tiếp địa lặp lại (trụ 10,5m)</v>
      </c>
      <c r="I9" s="1466" t="str">
        <f>'Hoan cong VL-NC-MTC'!F37</f>
        <v>Bộ</v>
      </c>
      <c r="J9" s="1466">
        <f>'Hoan cong VL-NC-MTC'!G37</f>
        <v>1</v>
      </c>
      <c r="K9" s="1466">
        <f>'Hoan cong VL-NC-MTC'!H37</f>
        <v>1</v>
      </c>
    </row>
    <row r="10" spans="2:11" ht="24.95" hidden="1" customHeight="1">
      <c r="C10" s="2250"/>
      <c r="D10" s="2251" t="str">
        <f>" - "&amp;H10&amp;": "&amp;ROUND(J10,1)&amp;" "&amp;I10</f>
        <v xml:space="preserve"> - : 0 </v>
      </c>
      <c r="E10" s="2246"/>
      <c r="F10" s="2309"/>
      <c r="G10" s="1452" t="str">
        <f>IF(K10&gt;0,1,"")</f>
        <v/>
      </c>
      <c r="H10" s="1949"/>
      <c r="I10" s="1466"/>
      <c r="J10" s="1466"/>
      <c r="K10" s="2091"/>
    </row>
    <row r="11" spans="2:11" ht="24.95" hidden="1" customHeight="1">
      <c r="B11" s="1752"/>
      <c r="C11" s="2250"/>
      <c r="D11" s="2251" t="str">
        <f t="shared" ref="D11:D17" si="0">" - "&amp;H11&amp;": "&amp;ROUND(J11,1)&amp;" "&amp;I11</f>
        <v xml:space="preserve"> - : 0 </v>
      </c>
      <c r="E11" s="2246"/>
      <c r="F11" s="2309"/>
      <c r="G11" s="1452" t="str">
        <f t="shared" ref="G11" si="1">IF(K11&gt;0,1,"")</f>
        <v/>
      </c>
      <c r="H11" s="1949"/>
      <c r="I11" s="1466"/>
      <c r="J11" s="1466"/>
      <c r="K11" s="2091"/>
    </row>
    <row r="12" spans="2:11" ht="24.95" hidden="1" customHeight="1">
      <c r="C12" s="2250"/>
      <c r="D12" s="2251" t="str">
        <f t="shared" si="0"/>
        <v xml:space="preserve"> - : 0 </v>
      </c>
      <c r="E12" s="2246"/>
      <c r="F12" s="2309"/>
      <c r="G12" s="1452" t="str">
        <f>IF(K12&gt;0,1,"")</f>
        <v/>
      </c>
      <c r="H12" s="1949"/>
      <c r="I12" s="1466"/>
      <c r="J12" s="1466"/>
      <c r="K12" s="2091"/>
    </row>
    <row r="13" spans="2:11" ht="24.95" hidden="1" customHeight="1">
      <c r="C13" s="2250"/>
      <c r="D13" s="2251" t="str">
        <f t="shared" si="0"/>
        <v xml:space="preserve"> - : 0 </v>
      </c>
      <c r="E13" s="2147"/>
      <c r="F13" s="2092"/>
      <c r="G13" s="1452" t="str">
        <f t="shared" ref="G13:G15" si="2">IF(K13&gt;0,1,"")</f>
        <v/>
      </c>
      <c r="H13" s="1949"/>
      <c r="I13" s="1466"/>
      <c r="J13" s="1466"/>
      <c r="K13" s="1466"/>
    </row>
    <row r="14" spans="2:11" ht="24.95" hidden="1" customHeight="1">
      <c r="C14" s="2250"/>
      <c r="D14" s="2251" t="str">
        <f t="shared" si="0"/>
        <v xml:space="preserve"> - : 0 </v>
      </c>
      <c r="E14" s="2147"/>
      <c r="F14" s="2092"/>
      <c r="G14" s="1452" t="str">
        <f t="shared" si="2"/>
        <v/>
      </c>
      <c r="H14" s="1949"/>
      <c r="I14" s="1466"/>
      <c r="J14" s="1466"/>
      <c r="K14" s="1466"/>
    </row>
    <row r="15" spans="2:11" ht="24.95" hidden="1" customHeight="1">
      <c r="C15" s="2250"/>
      <c r="D15" s="2251" t="str">
        <f t="shared" si="0"/>
        <v xml:space="preserve"> - : 0 </v>
      </c>
      <c r="E15" s="2147"/>
      <c r="F15" s="2092"/>
      <c r="G15" s="1452" t="str">
        <f t="shared" si="2"/>
        <v/>
      </c>
      <c r="H15" s="1949"/>
      <c r="I15" s="1466"/>
      <c r="J15" s="1466"/>
      <c r="K15" s="1466"/>
    </row>
    <row r="16" spans="2:11" ht="24.95" hidden="1" customHeight="1">
      <c r="C16" s="2250"/>
      <c r="D16" s="2251" t="str">
        <f t="shared" si="0"/>
        <v xml:space="preserve"> - : 0 </v>
      </c>
      <c r="E16" s="2147"/>
      <c r="F16" s="2092"/>
      <c r="G16" s="1452" t="str">
        <f>IF(K16&gt;0,1,"")</f>
        <v/>
      </c>
      <c r="H16" s="1949"/>
      <c r="I16" s="1466"/>
      <c r="J16" s="1466"/>
      <c r="K16" s="1466"/>
    </row>
    <row r="17" spans="2:11" ht="24.95" hidden="1" customHeight="1">
      <c r="C17" s="2083"/>
      <c r="D17" s="2251" t="str">
        <f t="shared" si="0"/>
        <v xml:space="preserve"> - Độ chôn sâu đầu cọc đến mặt đất: 0.5 mét</v>
      </c>
      <c r="E17" s="2247"/>
      <c r="F17" s="2148"/>
      <c r="G17" s="1452" t="str">
        <f>G9</f>
        <v/>
      </c>
      <c r="H17" s="2161" t="s">
        <v>4848</v>
      </c>
      <c r="I17" s="2252" t="s">
        <v>2541</v>
      </c>
      <c r="J17" s="2252">
        <v>0.5</v>
      </c>
      <c r="K17" s="2252" t="s">
        <v>1018</v>
      </c>
    </row>
    <row r="18" spans="2:11" ht="24.95" customHeight="1">
      <c r="C18" s="2083"/>
      <c r="D18" s="2249" t="str">
        <f>H18&amp;": "&amp;ROUND(J18,1)&amp;" "&amp;I18</f>
        <v>Tiếp địa lặp lại trụ 12m: 4 Bộ</v>
      </c>
      <c r="E18" s="2246">
        <f>Solieu!B9</f>
        <v>2</v>
      </c>
      <c r="F18" s="2135" t="s">
        <v>4217</v>
      </c>
      <c r="G18" s="1452">
        <f>IF(SUM(G19:G27)&gt;0,1,"")</f>
        <v>1</v>
      </c>
      <c r="H18" s="1952" t="str">
        <f>chitiet!F622</f>
        <v>Tiếp địa lặp lại trụ 12m</v>
      </c>
      <c r="I18" s="1466" t="str">
        <f>chitiet!G622</f>
        <v>Bộ</v>
      </c>
      <c r="J18" s="1466">
        <f>chitiet!H622</f>
        <v>4</v>
      </c>
      <c r="K18" s="1466">
        <f>chitiet!P622</f>
        <v>4</v>
      </c>
    </row>
    <row r="19" spans="2:11" ht="24.95" customHeight="1">
      <c r="C19" s="2250"/>
      <c r="D19" s="2251" t="str">
        <f>" - "&amp;H19&amp;": "&amp;ROUND(J19,1)&amp;" "&amp;I19</f>
        <v xml:space="preserve"> - Cáp đồng trần M25mm2: 9.8 kg</v>
      </c>
      <c r="E19" s="2246"/>
      <c r="F19" s="2135"/>
      <c r="G19" s="1452">
        <f>IF(K19&gt;0,1,"")</f>
        <v>1</v>
      </c>
      <c r="H19" s="1949" t="str">
        <f>chitiet!F623</f>
        <v>Cáp đồng trần M25mm2</v>
      </c>
      <c r="I19" s="1466" t="str">
        <f>chitiet!G623</f>
        <v>kg</v>
      </c>
      <c r="J19" s="1466">
        <f>chitiet!H623</f>
        <v>9.84</v>
      </c>
      <c r="K19" s="2091">
        <f>chitiet!P623</f>
        <v>9.84</v>
      </c>
    </row>
    <row r="20" spans="2:11" ht="24.95" customHeight="1">
      <c r="B20" s="1752"/>
      <c r="C20" s="2250"/>
      <c r="D20" s="2251" t="str">
        <f t="shared" ref="D20:D28" si="3">" - "&amp;H20&amp;": "&amp;ROUND(J20,1)&amp;" "&amp;I20</f>
        <v xml:space="preserve"> - Cọc tiếp đất Þ 16- 2,4m + kẹp cọc mạ đồng: 4 bộ</v>
      </c>
      <c r="E20" s="2246"/>
      <c r="F20" s="2135"/>
      <c r="G20" s="1452">
        <f t="shared" ref="G20" si="4">IF(K20&gt;0,1,"")</f>
        <v>1</v>
      </c>
      <c r="H20" s="1949" t="str">
        <f>chitiet!F624</f>
        <v>Cọc tiếp đất Þ 16- 2,4m + kẹp cọc mạ đồng</v>
      </c>
      <c r="I20" s="1466" t="str">
        <f>chitiet!G624</f>
        <v>bộ</v>
      </c>
      <c r="J20" s="1466">
        <f>chitiet!H624</f>
        <v>4</v>
      </c>
      <c r="K20" s="2091">
        <f>chitiet!P624</f>
        <v>4</v>
      </c>
    </row>
    <row r="21" spans="2:11" ht="24.95" customHeight="1">
      <c r="C21" s="2250"/>
      <c r="D21" s="2251" t="str">
        <f t="shared" si="3"/>
        <v xml:space="preserve"> - Kẹp ép WR cỡ dây 50mm2: 8 cái</v>
      </c>
      <c r="E21" s="2246"/>
      <c r="F21" s="2135"/>
      <c r="G21" s="1452">
        <f>IF(K21&gt;0,1,"")</f>
        <v>1</v>
      </c>
      <c r="H21" s="1949" t="str">
        <f>chitiet!F625</f>
        <v>Kẹp ép WR cỡ dây 50mm2</v>
      </c>
      <c r="I21" s="1466" t="str">
        <f>chitiet!G625</f>
        <v>cái</v>
      </c>
      <c r="J21" s="1466">
        <f>chitiet!H625</f>
        <v>8</v>
      </c>
      <c r="K21" s="2091">
        <f>chitiet!P625</f>
        <v>8</v>
      </c>
    </row>
    <row r="22" spans="2:11" ht="24.95" customHeight="1">
      <c r="C22" s="2250"/>
      <c r="D22" s="2251" t="str">
        <f t="shared" si="3"/>
        <v xml:space="preserve"> - Ốc siết cáp cỡ 25mm2: 8 cái</v>
      </c>
      <c r="E22" s="2147"/>
      <c r="F22" s="2092"/>
      <c r="G22" s="1452">
        <f t="shared" ref="G22:G26" si="5">IF(K22&gt;0,1,"")</f>
        <v>1</v>
      </c>
      <c r="H22" s="1949" t="str">
        <f>chitiet!F628</f>
        <v>Ốc siết cáp cỡ 25mm2</v>
      </c>
      <c r="I22" s="1466" t="str">
        <f>chitiet!G628</f>
        <v>cái</v>
      </c>
      <c r="J22" s="1466">
        <f>chitiet!H628</f>
        <v>8</v>
      </c>
      <c r="K22" s="1466">
        <f>chitiet!P628</f>
        <v>8</v>
      </c>
    </row>
    <row r="23" spans="2:11" ht="24.95" hidden="1" customHeight="1">
      <c r="C23" s="2250"/>
      <c r="D23" s="2251" t="str">
        <f t="shared" ref="D23:D24" si="6">" - "&amp;H23&amp;": "&amp;ROUND(J23,1)&amp;" "&amp;I23</f>
        <v xml:space="preserve"> - : 0 </v>
      </c>
      <c r="E23" s="2147"/>
      <c r="F23" s="2092"/>
      <c r="G23" s="1452" t="str">
        <f t="shared" ref="G23:G24" si="7">IF(K23&gt;0,1,"")</f>
        <v/>
      </c>
      <c r="H23" s="1949"/>
      <c r="I23" s="1466"/>
      <c r="J23" s="1466"/>
      <c r="K23" s="1466"/>
    </row>
    <row r="24" spans="2:11" ht="24.95" hidden="1" customHeight="1">
      <c r="C24" s="2250"/>
      <c r="D24" s="2251" t="str">
        <f t="shared" si="6"/>
        <v xml:space="preserve"> - : 0 </v>
      </c>
      <c r="E24" s="2147"/>
      <c r="F24" s="2092"/>
      <c r="G24" s="1452" t="str">
        <f t="shared" si="7"/>
        <v/>
      </c>
      <c r="H24" s="1949"/>
      <c r="I24" s="1466"/>
      <c r="J24" s="1466"/>
      <c r="K24" s="1466"/>
    </row>
    <row r="25" spans="2:11" ht="24.95" hidden="1" customHeight="1">
      <c r="C25" s="2250"/>
      <c r="D25" s="2251" t="str">
        <f t="shared" si="3"/>
        <v xml:space="preserve"> - : 0 </v>
      </c>
      <c r="E25" s="2147"/>
      <c r="F25" s="2092"/>
      <c r="G25" s="1452" t="str">
        <f t="shared" si="5"/>
        <v/>
      </c>
      <c r="H25" s="1949"/>
      <c r="I25" s="1466"/>
      <c r="J25" s="1466"/>
      <c r="K25" s="1466"/>
    </row>
    <row r="26" spans="2:11" ht="24.95" hidden="1" customHeight="1">
      <c r="C26" s="2250"/>
      <c r="D26" s="2251" t="str">
        <f t="shared" si="3"/>
        <v xml:space="preserve"> - : 0 </v>
      </c>
      <c r="E26" s="2147"/>
      <c r="F26" s="2092"/>
      <c r="G26" s="1452" t="str">
        <f t="shared" si="5"/>
        <v/>
      </c>
      <c r="H26" s="1949"/>
      <c r="I26" s="1466"/>
      <c r="J26" s="1466"/>
      <c r="K26" s="1466"/>
    </row>
    <row r="27" spans="2:11" ht="24.95" hidden="1" customHeight="1">
      <c r="C27" s="2250"/>
      <c r="D27" s="2251" t="str">
        <f t="shared" si="3"/>
        <v xml:space="preserve"> - : 0 </v>
      </c>
      <c r="E27" s="2147"/>
      <c r="F27" s="2092"/>
      <c r="G27" s="1452" t="str">
        <f>IF(K27&gt;0,1,"")</f>
        <v/>
      </c>
      <c r="H27" s="1949"/>
      <c r="I27" s="1466"/>
      <c r="J27" s="1466"/>
      <c r="K27" s="1466"/>
    </row>
    <row r="28" spans="2:11" ht="24.95" customHeight="1">
      <c r="C28" s="2083"/>
      <c r="D28" s="2251" t="str">
        <f t="shared" si="3"/>
        <v xml:space="preserve"> - Độ chôn sâu đầu cọc đến mặt đất: 0.5 mét</v>
      </c>
      <c r="E28" s="2247"/>
      <c r="F28" s="2148"/>
      <c r="G28" s="1452">
        <f>G18</f>
        <v>1</v>
      </c>
      <c r="H28" s="2161" t="s">
        <v>4848</v>
      </c>
      <c r="I28" s="2252" t="s">
        <v>2541</v>
      </c>
      <c r="J28" s="2252">
        <v>0.5</v>
      </c>
      <c r="K28" s="2252" t="s">
        <v>1018</v>
      </c>
    </row>
    <row r="29" spans="2:11" ht="24.95" customHeight="1">
      <c r="C29" s="2083"/>
      <c r="D29" s="2249" t="str">
        <f>H29&amp;": "&amp;ROUND(J29,1)&amp;" "&amp;I29</f>
        <v>Bộ tiếp địa Trạm biến áp: 1 Bộ</v>
      </c>
      <c r="E29" s="2246">
        <f>E18</f>
        <v>2</v>
      </c>
      <c r="F29" s="2135" t="s">
        <v>4217</v>
      </c>
      <c r="G29" s="1452">
        <f>IF(SUM(G30:G33)&gt;0,1,"")</f>
        <v>1</v>
      </c>
      <c r="H29" s="1950" t="str">
        <f>CT_tram!F1041</f>
        <v>Bộ tiếp địa Trạm biến áp</v>
      </c>
      <c r="I29" s="1953" t="str">
        <f>CT_tram!G1041</f>
        <v>Bộ</v>
      </c>
      <c r="J29" s="1953">
        <v>1</v>
      </c>
      <c r="K29" s="1953">
        <v>1</v>
      </c>
    </row>
    <row r="30" spans="2:11" ht="24.95" customHeight="1">
      <c r="C30" s="2083"/>
      <c r="D30" s="2251" t="str">
        <f>H30&amp;": "&amp;ROUND(J30,1)&amp;" "&amp;I30</f>
        <v>Cáp đồng trần M25mm2: 11.9 kg</v>
      </c>
      <c r="E30" s="2247"/>
      <c r="F30" s="2148"/>
      <c r="G30" s="1452">
        <f>IF(K30&gt;0,1,"")</f>
        <v>1</v>
      </c>
      <c r="H30" s="1951" t="str">
        <f>CT_tram!F861</f>
        <v>Cáp đồng trần M25mm2</v>
      </c>
      <c r="I30" s="1954" t="str">
        <f>CT_tram!G861</f>
        <v>kg</v>
      </c>
      <c r="J30" s="1954">
        <f>CT_tram!H861</f>
        <v>11.9</v>
      </c>
      <c r="K30" s="1954">
        <f>CT_tram!I861</f>
        <v>11.9</v>
      </c>
    </row>
    <row r="31" spans="2:11" ht="24.95" customHeight="1">
      <c r="C31" s="2083"/>
      <c r="D31" s="2251" t="str">
        <f>" - "&amp;H31&amp;": "&amp;ROUND(J31,1)&amp;" "&amp;I31</f>
        <v xml:space="preserve"> - Cáp đồng bọc CV11: 2 mét</v>
      </c>
      <c r="E31" s="2247"/>
      <c r="F31" s="2148"/>
      <c r="G31" s="1452">
        <f t="shared" ref="G31:G37" si="8">IF(K31&gt;0,1,"")</f>
        <v>1</v>
      </c>
      <c r="H31" s="1951" t="str">
        <f>CT_tram!F862</f>
        <v>Cáp đồng bọc CV11</v>
      </c>
      <c r="I31" s="1954" t="str">
        <f>CT_tram!G862</f>
        <v>mét</v>
      </c>
      <c r="J31" s="1954">
        <f>CT_tram!H862</f>
        <v>2</v>
      </c>
      <c r="K31" s="1954">
        <f>CT_tram!I862</f>
        <v>2</v>
      </c>
    </row>
    <row r="32" spans="2:11" ht="24.95" customHeight="1">
      <c r="C32" s="2083"/>
      <c r="D32" s="2251" t="str">
        <f t="shared" ref="D32:D43" si="9">" - "&amp;H32&amp;": "&amp;ROUND(J32,1)&amp;" "&amp;I32</f>
        <v xml:space="preserve"> - Cọc tiếp đất Þ 16- 2,4m + kẹp cọc mạ đồng: 10 bộ</v>
      </c>
      <c r="E32" s="2247"/>
      <c r="F32" s="2148"/>
      <c r="G32" s="1452">
        <f t="shared" si="8"/>
        <v>1</v>
      </c>
      <c r="H32" s="1951" t="str">
        <f>CT_tram!F863</f>
        <v>Cọc tiếp đất Þ 16- 2,4m + kẹp cọc mạ đồng</v>
      </c>
      <c r="I32" s="1954" t="str">
        <f>CT_tram!G863</f>
        <v>bộ</v>
      </c>
      <c r="J32" s="1954">
        <f>CT_tram!H863</f>
        <v>10</v>
      </c>
      <c r="K32" s="1954">
        <f>CT_tram!I863</f>
        <v>10</v>
      </c>
    </row>
    <row r="33" spans="3:11" ht="24.95" customHeight="1">
      <c r="C33" s="2083"/>
      <c r="D33" s="2251" t="str">
        <f t="shared" si="9"/>
        <v xml:space="preserve"> - Ốc siết cáp cỡ 25mm2: 6 cái</v>
      </c>
      <c r="E33" s="2247"/>
      <c r="F33" s="2148"/>
      <c r="G33" s="1452">
        <f t="shared" si="8"/>
        <v>1</v>
      </c>
      <c r="H33" s="1951" t="str">
        <f>CT_tram!F866</f>
        <v>Ốc siết cáp cỡ 25mm2</v>
      </c>
      <c r="I33" s="1954" t="str">
        <f>CT_tram!G866</f>
        <v>cái</v>
      </c>
      <c r="J33" s="1954">
        <f>CT_tram!H866</f>
        <v>6</v>
      </c>
      <c r="K33" s="1954">
        <f>CT_tram!I866</f>
        <v>6</v>
      </c>
    </row>
    <row r="34" spans="3:11" ht="24.95" customHeight="1">
      <c r="C34" s="2083"/>
      <c r="D34" s="2251" t="str">
        <f t="shared" si="9"/>
        <v xml:space="preserve"> - Kẹp ép cỡ dây 25mm2: 2 cái</v>
      </c>
      <c r="E34" s="2246"/>
      <c r="F34" s="2135"/>
      <c r="G34" s="1452">
        <f t="shared" si="8"/>
        <v>1</v>
      </c>
      <c r="H34" s="1951" t="str">
        <f>CT_tram!F867</f>
        <v>Kẹp ép cỡ dây 25mm2</v>
      </c>
      <c r="I34" s="1954" t="str">
        <f>CT_tram!G867</f>
        <v>cái</v>
      </c>
      <c r="J34" s="1954">
        <f>CT_tram!H867</f>
        <v>2</v>
      </c>
      <c r="K34" s="1954">
        <f>CT_tram!I867</f>
        <v>2</v>
      </c>
    </row>
    <row r="35" spans="3:11" ht="24.95" hidden="1" customHeight="1">
      <c r="C35" s="2083"/>
      <c r="D35" s="2251" t="str">
        <f t="shared" si="9"/>
        <v xml:space="preserve"> - : 0 </v>
      </c>
      <c r="E35" s="2246"/>
      <c r="F35" s="2135"/>
      <c r="G35" s="1452" t="str">
        <f t="shared" si="8"/>
        <v/>
      </c>
      <c r="H35" s="1951"/>
      <c r="I35" s="1954"/>
      <c r="J35" s="1954"/>
      <c r="K35" s="1954"/>
    </row>
    <row r="36" spans="3:11" ht="24.95" hidden="1" customHeight="1">
      <c r="C36" s="2083"/>
      <c r="D36" s="2251" t="str">
        <f t="shared" si="9"/>
        <v xml:space="preserve"> - : 0 </v>
      </c>
      <c r="E36" s="2248"/>
      <c r="F36" s="1997"/>
      <c r="G36" s="1452" t="str">
        <f t="shared" si="8"/>
        <v/>
      </c>
      <c r="H36" s="1949"/>
      <c r="I36" s="1466"/>
      <c r="J36" s="1466"/>
      <c r="K36" s="1466"/>
    </row>
    <row r="37" spans="3:11" ht="24.95" hidden="1" customHeight="1">
      <c r="C37" s="2083"/>
      <c r="D37" s="2251" t="str">
        <f t="shared" si="9"/>
        <v xml:space="preserve"> - : 0 </v>
      </c>
      <c r="E37" s="2248"/>
      <c r="F37" s="1997"/>
      <c r="G37" s="1452" t="str">
        <f t="shared" si="8"/>
        <v/>
      </c>
      <c r="H37" s="1949"/>
      <c r="I37" s="1466"/>
      <c r="J37" s="1466"/>
      <c r="K37" s="1466"/>
    </row>
    <row r="38" spans="3:11" ht="24.95" hidden="1" customHeight="1">
      <c r="C38" s="2083"/>
      <c r="D38" s="2251" t="str">
        <f t="shared" ref="D38:D41" si="10">" - "&amp;H38&amp;": "&amp;ROUND(J38,1)&amp;" "&amp;I38</f>
        <v xml:space="preserve"> - : 0 </v>
      </c>
      <c r="E38" s="2248"/>
      <c r="F38" s="1997"/>
      <c r="G38" s="1452" t="str">
        <f t="shared" ref="G38:G41" si="11">IF(K38&gt;0,1,"")</f>
        <v/>
      </c>
      <c r="H38" s="1949"/>
      <c r="I38" s="1466"/>
      <c r="J38" s="1466"/>
      <c r="K38" s="1466"/>
    </row>
    <row r="39" spans="3:11" ht="24.95" hidden="1" customHeight="1">
      <c r="C39" s="2083"/>
      <c r="D39" s="2251" t="str">
        <f t="shared" si="10"/>
        <v xml:space="preserve"> - : 0 </v>
      </c>
      <c r="E39" s="2248"/>
      <c r="F39" s="1997"/>
      <c r="G39" s="1452" t="str">
        <f t="shared" si="11"/>
        <v/>
      </c>
      <c r="H39" s="1949"/>
      <c r="I39" s="1466"/>
      <c r="J39" s="1466"/>
      <c r="K39" s="1466"/>
    </row>
    <row r="40" spans="3:11" ht="24.95" hidden="1" customHeight="1">
      <c r="C40" s="2083"/>
      <c r="D40" s="2251" t="str">
        <f t="shared" si="10"/>
        <v xml:space="preserve"> - : 0 </v>
      </c>
      <c r="E40" s="2248"/>
      <c r="F40" s="1997"/>
      <c r="G40" s="1452" t="str">
        <f t="shared" si="11"/>
        <v/>
      </c>
      <c r="H40" s="1949"/>
      <c r="I40" s="1466"/>
      <c r="J40" s="1466"/>
      <c r="K40" s="1466"/>
    </row>
    <row r="41" spans="3:11" ht="24.95" hidden="1" customHeight="1">
      <c r="C41" s="2083"/>
      <c r="D41" s="2251" t="str">
        <f t="shared" si="10"/>
        <v xml:space="preserve"> - : 0 </v>
      </c>
      <c r="E41" s="2248"/>
      <c r="F41" s="1997"/>
      <c r="G41" s="1452" t="str">
        <f t="shared" si="11"/>
        <v/>
      </c>
      <c r="H41" s="1949"/>
      <c r="I41" s="1466"/>
      <c r="J41" s="1466"/>
      <c r="K41" s="1466"/>
    </row>
    <row r="42" spans="3:11" ht="24.95" customHeight="1">
      <c r="C42" s="2083"/>
      <c r="D42" s="2251" t="str">
        <f t="shared" si="9"/>
        <v xml:space="preserve"> - Độ chôn sâu đầu cọc đến mặt đất: 0.5 mét</v>
      </c>
      <c r="E42" s="2247"/>
      <c r="F42" s="2148"/>
      <c r="G42" s="1452">
        <f>G29</f>
        <v>1</v>
      </c>
      <c r="H42" s="2161" t="s">
        <v>4848</v>
      </c>
      <c r="I42" s="2252" t="s">
        <v>2541</v>
      </c>
      <c r="J42" s="2252">
        <v>0.5</v>
      </c>
      <c r="K42" s="2252" t="s">
        <v>1018</v>
      </c>
    </row>
    <row r="43" spans="3:11" ht="24.95" customHeight="1">
      <c r="C43" s="2083"/>
      <c r="D43" s="2251" t="str">
        <f t="shared" si="9"/>
        <v xml:space="preserve"> - Khoảng cách cọc cách cọc: 3 mét</v>
      </c>
      <c r="E43" s="2247"/>
      <c r="F43" s="2148"/>
      <c r="G43" s="1452">
        <f>G29</f>
        <v>1</v>
      </c>
      <c r="H43" s="2161" t="s">
        <v>4849</v>
      </c>
      <c r="I43" s="2252" t="s">
        <v>2541</v>
      </c>
      <c r="J43" s="2252">
        <v>3</v>
      </c>
      <c r="K43" s="2252"/>
    </row>
    <row r="44" spans="3:11" ht="24.95" customHeight="1"/>
    <row r="45" spans="3:11" ht="24.95" customHeight="1"/>
    <row r="46" spans="3:11" ht="24.95" customHeight="1"/>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sheetData>
  <autoFilter ref="G8:G43">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34"/>
  <sheetViews>
    <sheetView topLeftCell="C4" workbookViewId="0">
      <selection activeCell="H18" sqref="H18"/>
    </sheetView>
  </sheetViews>
  <sheetFormatPr defaultColWidth="8.88671875" defaultRowHeight="24.95" customHeight="1"/>
  <cols>
    <col min="1" max="2" width="8.88671875" style="1285"/>
    <col min="3" max="3" width="6.21875" style="1285" customWidth="1"/>
    <col min="4" max="4" width="60.6640625" style="1451" customWidth="1"/>
    <col min="5" max="6" width="3.44140625" style="1285" customWidth="1"/>
    <col min="7" max="7" width="3.44140625" style="1971" customWidth="1"/>
    <col min="8" max="8" width="30.77734375" style="1451" customWidth="1"/>
    <col min="9" max="16384" width="8.88671875" style="1285"/>
  </cols>
  <sheetData>
    <row r="1" spans="2:11" ht="16.5"/>
    <row r="2" spans="2:11" ht="16.5">
      <c r="F2" s="2268">
        <f>72/88</f>
        <v>0.81818181818181823</v>
      </c>
      <c r="G2" s="2459">
        <f>62/88</f>
        <v>0.70454545454545459</v>
      </c>
    </row>
    <row r="3" spans="2:11" ht="16.5">
      <c r="C3" s="1994"/>
      <c r="D3" s="2255"/>
      <c r="E3" s="1994"/>
      <c r="F3" s="1994"/>
    </row>
    <row r="4" spans="2:11" ht="16.5">
      <c r="C4" s="1994"/>
      <c r="D4" s="2255"/>
      <c r="E4" s="1994"/>
      <c r="F4" s="1994"/>
    </row>
    <row r="5" spans="2:11" ht="16.5">
      <c r="C5" s="1994"/>
      <c r="D5" s="2255"/>
      <c r="E5" s="1994"/>
      <c r="F5" s="1994"/>
    </row>
    <row r="6" spans="2:11" ht="16.5">
      <c r="C6" s="2740" t="s">
        <v>4231</v>
      </c>
      <c r="D6" s="2740"/>
      <c r="E6" s="2256"/>
      <c r="F6" s="2256"/>
    </row>
    <row r="7" spans="2:11" ht="31.5" customHeight="1">
      <c r="C7" s="2257"/>
      <c r="D7" s="2211" t="s">
        <v>4238</v>
      </c>
      <c r="E7" s="2258"/>
      <c r="F7" s="2256"/>
      <c r="G7" s="2460">
        <v>1</v>
      </c>
      <c r="H7" s="2483" t="str">
        <f>chitiet!F1831</f>
        <v>Phụ kiện đấu nối đầu đường dây</v>
      </c>
      <c r="I7" s="2484">
        <f>chitiet!G1831</f>
        <v>0</v>
      </c>
      <c r="J7" s="2484">
        <f>chitiet!H1831</f>
        <v>1</v>
      </c>
      <c r="K7" s="2484">
        <f>chitiet!$P$1831</f>
        <v>1</v>
      </c>
    </row>
    <row r="8" spans="2:11" ht="24.95" customHeight="1">
      <c r="B8" s="86"/>
      <c r="C8" s="2257"/>
      <c r="D8" s="2212" t="str">
        <f>" - "&amp;H8&amp;": "&amp;K8&amp;" "&amp;I8&amp;"."</f>
        <v xml:space="preserve"> - Kẹp ép WR cỡ dây 50mm2: 18 cái.</v>
      </c>
      <c r="E8" s="2258"/>
      <c r="F8" s="2256"/>
      <c r="G8" s="2460">
        <f>IF(K8&gt;0,1,"")</f>
        <v>1</v>
      </c>
      <c r="H8" s="2264" t="str">
        <f>chitiet!F1849</f>
        <v>Kẹp ép WR cỡ dây 50mm2</v>
      </c>
      <c r="I8" s="2157" t="str">
        <f>chitiet!G1849</f>
        <v>cái</v>
      </c>
      <c r="J8" s="2157">
        <f>chitiet!H1849</f>
        <v>18</v>
      </c>
      <c r="K8" s="2157">
        <f>chitiet!$P$1849</f>
        <v>18</v>
      </c>
    </row>
    <row r="9" spans="2:11" ht="24.95" customHeight="1">
      <c r="B9" s="1593"/>
      <c r="C9" s="2257"/>
      <c r="D9" s="2212" t="str">
        <f t="shared" ref="D9:D17" si="0">" - "&amp;H9&amp;": "&amp;K9&amp;" "&amp;I9&amp;"."</f>
        <v xml:space="preserve"> - Dây buộc đầu sứ TTF cỡ dây 50mm2: 63 cái.</v>
      </c>
      <c r="E9" s="2258"/>
      <c r="F9" s="2256"/>
      <c r="G9" s="2460">
        <f t="shared" ref="G9:G34" si="1">IF(K9&gt;0,1,"")</f>
        <v>1</v>
      </c>
      <c r="H9" s="2264" t="str">
        <f>chitiet!F1868</f>
        <v>Dây buộc đầu sứ TTF cỡ dây 50mm2</v>
      </c>
      <c r="I9" s="2157" t="str">
        <f>chitiet!G1868</f>
        <v>cái</v>
      </c>
      <c r="J9" s="2157">
        <f>chitiet!H1868</f>
        <v>63</v>
      </c>
      <c r="K9" s="2157">
        <f>chitiet!P1868</f>
        <v>63</v>
      </c>
    </row>
    <row r="10" spans="2:11" ht="24.95" customHeight="1">
      <c r="C10" s="2257"/>
      <c r="D10" s="2212" t="str">
        <f t="shared" si="0"/>
        <v xml:space="preserve"> - Dây buộc cổ sứ từ tính dây 50: 6 cái.</v>
      </c>
      <c r="E10" s="2258"/>
      <c r="F10" s="2256"/>
      <c r="G10" s="2460">
        <f t="shared" si="1"/>
        <v>1</v>
      </c>
      <c r="H10" s="2264" t="str">
        <f>chitiet!F1869</f>
        <v>Dây buộc cổ sứ từ tính dây 50</v>
      </c>
      <c r="I10" s="2157" t="str">
        <f>chitiet!G1869</f>
        <v>cái</v>
      </c>
      <c r="J10" s="2157">
        <f>chitiet!H1869</f>
        <v>6</v>
      </c>
      <c r="K10" s="2157">
        <f>chitiet!P1869</f>
        <v>6</v>
      </c>
    </row>
    <row r="11" spans="2:11" ht="24.95" customHeight="1">
      <c r="B11" s="1586"/>
      <c r="C11" s="2257"/>
      <c r="D11" s="2212" t="str">
        <f t="shared" si="0"/>
        <v xml:space="preserve"> - Kẹp quai 2/0 + chụp cách điện: 6 bộ.</v>
      </c>
      <c r="E11" s="2258"/>
      <c r="F11" s="2256"/>
      <c r="G11" s="2460">
        <f t="shared" si="1"/>
        <v>1</v>
      </c>
      <c r="H11" s="2265" t="str">
        <f>chitiet!F1871</f>
        <v>Kẹp quai 2/0 + chụp cách điện</v>
      </c>
      <c r="I11" s="2157" t="str">
        <f>chitiet!G1871</f>
        <v>bộ</v>
      </c>
      <c r="J11" s="2157">
        <f>chitiet!H1871</f>
        <v>6</v>
      </c>
      <c r="K11" s="2157">
        <f>chitiet!$P$1871</f>
        <v>6</v>
      </c>
    </row>
    <row r="12" spans="2:11" ht="24.95" customHeight="1">
      <c r="C12" s="2257"/>
      <c r="D12" s="2212" t="str">
        <f t="shared" si="0"/>
        <v xml:space="preserve"> - Kẹp hotline 2/0: 6 cái.</v>
      </c>
      <c r="E12" s="2258"/>
      <c r="F12" s="2256"/>
      <c r="G12" s="2460">
        <f t="shared" si="1"/>
        <v>1</v>
      </c>
      <c r="H12" s="2264" t="str">
        <f>chitiet!F1873</f>
        <v>Kẹp hotline 2/0</v>
      </c>
      <c r="I12" s="2157" t="str">
        <f>chitiet!G1873</f>
        <v>cái</v>
      </c>
      <c r="J12" s="2157">
        <f>chitiet!H1873</f>
        <v>6</v>
      </c>
      <c r="K12" s="2157">
        <f>chitiet!$P$1873</f>
        <v>6</v>
      </c>
    </row>
    <row r="13" spans="2:11" ht="24.95" customHeight="1">
      <c r="C13" s="2257"/>
      <c r="D13" s="2212" t="str">
        <f t="shared" si="0"/>
        <v xml:space="preserve"> - Cáp 24KV CX-25mm2: 9 mét.</v>
      </c>
      <c r="E13" s="2258"/>
      <c r="F13" s="2256"/>
      <c r="G13" s="2460">
        <f t="shared" si="1"/>
        <v>1</v>
      </c>
      <c r="H13" s="2264" t="str">
        <f>chitiet!F1876</f>
        <v>Cáp 24KV CX-25mm2</v>
      </c>
      <c r="I13" s="2157" t="str">
        <f>chitiet!G1876</f>
        <v>mét</v>
      </c>
      <c r="J13" s="2157">
        <f>chitiet!H1876</f>
        <v>9</v>
      </c>
      <c r="K13" s="2157">
        <f>chitiet!$P$1876</f>
        <v>9</v>
      </c>
    </row>
    <row r="14" spans="2:11" ht="24.95" customHeight="1">
      <c r="C14" s="2257"/>
      <c r="D14" s="2212" t="str">
        <f t="shared" si="0"/>
        <v xml:space="preserve"> - Đầu cosse ép Cu-Al 50mm2: 3 cái.</v>
      </c>
      <c r="E14" s="2258"/>
      <c r="F14" s="2256"/>
      <c r="G14" s="2460">
        <f t="shared" si="1"/>
        <v>1</v>
      </c>
      <c r="H14" s="2264" t="str">
        <f>chitiet!F1878</f>
        <v>Đầu cosse ép Cu-Al 50mm2</v>
      </c>
      <c r="I14" s="2157" t="str">
        <f>chitiet!G1878</f>
        <v>cái</v>
      </c>
      <c r="J14" s="2157">
        <f>chitiet!H1878</f>
        <v>3</v>
      </c>
      <c r="K14" s="2157">
        <f>chitiet!P1878</f>
        <v>3</v>
      </c>
    </row>
    <row r="15" spans="2:11" ht="24.95" customHeight="1">
      <c r="C15" s="2257"/>
      <c r="D15" s="2212" t="str">
        <f t="shared" si="0"/>
        <v xml:space="preserve"> - Chụp đầu cực FCO (bộ 2 cái): 3 bộ.</v>
      </c>
      <c r="E15" s="2258"/>
      <c r="F15" s="2256"/>
      <c r="G15" s="2460">
        <f t="shared" si="1"/>
        <v>1</v>
      </c>
      <c r="H15" s="1451" t="str">
        <f>chitiet!F1879</f>
        <v>Chụp đầu cực FCO (bộ 2 cái)</v>
      </c>
      <c r="I15" s="1285" t="str">
        <f>chitiet!G1879</f>
        <v>bộ</v>
      </c>
      <c r="J15" s="1285">
        <f>chitiet!H1879</f>
        <v>3</v>
      </c>
      <c r="K15" s="1285">
        <f>chitiet!P1879</f>
        <v>3</v>
      </c>
    </row>
    <row r="16" spans="2:11" ht="24.95" customHeight="1">
      <c r="C16" s="2257"/>
      <c r="D16" s="2212" t="str">
        <f t="shared" si="0"/>
        <v xml:space="preserve"> - :  .</v>
      </c>
      <c r="E16" s="2258"/>
      <c r="F16" s="2256"/>
      <c r="G16" s="2460" t="str">
        <f t="shared" si="1"/>
        <v/>
      </c>
    </row>
    <row r="17" spans="2:11" ht="24.95" customHeight="1">
      <c r="C17" s="2257"/>
      <c r="D17" s="2212" t="str">
        <f t="shared" si="0"/>
        <v xml:space="preserve"> - :  .</v>
      </c>
      <c r="E17" s="2258"/>
      <c r="F17" s="2256"/>
      <c r="G17" s="2460" t="str">
        <f t="shared" si="1"/>
        <v/>
      </c>
    </row>
    <row r="18" spans="2:11" ht="24.95" customHeight="1">
      <c r="C18" s="2257"/>
      <c r="D18" s="2212"/>
      <c r="E18" s="2258"/>
      <c r="F18" s="2256"/>
      <c r="G18" s="2460" t="str">
        <f t="shared" si="1"/>
        <v/>
      </c>
    </row>
    <row r="19" spans="2:11" ht="24.95" customHeight="1">
      <c r="C19" s="2257"/>
      <c r="D19" s="2212"/>
      <c r="E19" s="2258"/>
      <c r="F19" s="2256"/>
      <c r="G19" s="2460" t="str">
        <f t="shared" si="1"/>
        <v/>
      </c>
    </row>
    <row r="20" spans="2:11" ht="24.95" customHeight="1">
      <c r="B20" s="1586"/>
      <c r="C20" s="2259"/>
      <c r="D20" s="2211" t="s">
        <v>4589</v>
      </c>
      <c r="E20" s="2258"/>
      <c r="F20" s="2260"/>
      <c r="G20" s="2460">
        <f>IF(SUM(G21:G29)&gt;0,1,0)</f>
        <v>0</v>
      </c>
      <c r="H20" s="2090"/>
      <c r="I20" s="2090"/>
      <c r="J20" s="2090"/>
      <c r="K20" s="2090"/>
    </row>
    <row r="21" spans="2:11" ht="24.95" customHeight="1">
      <c r="B21" s="1586"/>
      <c r="C21" s="2259"/>
      <c r="D21" s="2212" t="str">
        <f>" - "&amp;H21&amp;": "&amp;K21&amp;" "&amp;I21&amp;"."</f>
        <v xml:space="preserve"> - :  .</v>
      </c>
      <c r="E21" s="2258"/>
      <c r="F21" s="2260"/>
      <c r="G21" s="2460" t="str">
        <f t="shared" si="1"/>
        <v/>
      </c>
    </row>
    <row r="22" spans="2:11" ht="24.95" customHeight="1">
      <c r="B22" s="1586"/>
      <c r="C22" s="2259"/>
      <c r="D22" s="2212" t="str">
        <f t="shared" ref="D22:D34" si="2">" - "&amp;H22&amp;": "&amp;K22&amp;" "&amp;I22&amp;"."</f>
        <v xml:space="preserve"> - :  .</v>
      </c>
      <c r="E22" s="2258"/>
      <c r="F22" s="2260"/>
      <c r="G22" s="2460" t="str">
        <f t="shared" si="1"/>
        <v/>
      </c>
    </row>
    <row r="23" spans="2:11" ht="24.95" customHeight="1">
      <c r="B23" s="1743"/>
      <c r="C23" s="2259"/>
      <c r="D23" s="2212" t="str">
        <f t="shared" si="2"/>
        <v xml:space="preserve"> - :  .</v>
      </c>
      <c r="E23" s="2258"/>
      <c r="F23" s="2260"/>
      <c r="G23" s="2460" t="str">
        <f t="shared" si="1"/>
        <v/>
      </c>
    </row>
    <row r="24" spans="2:11" ht="24.95" customHeight="1">
      <c r="C24" s="1994"/>
      <c r="D24" s="2212" t="str">
        <f t="shared" si="2"/>
        <v xml:space="preserve"> - :  .</v>
      </c>
      <c r="E24" s="1994"/>
      <c r="F24" s="1994"/>
      <c r="G24" s="2460" t="str">
        <f t="shared" si="1"/>
        <v/>
      </c>
    </row>
    <row r="25" spans="2:11" ht="24.95" customHeight="1">
      <c r="C25" s="1994"/>
      <c r="D25" s="2212" t="str">
        <f t="shared" si="2"/>
        <v xml:space="preserve"> - :  .</v>
      </c>
      <c r="E25" s="1994"/>
      <c r="F25" s="1994"/>
      <c r="G25" s="2460" t="str">
        <f t="shared" si="1"/>
        <v/>
      </c>
    </row>
    <row r="26" spans="2:11" ht="24.95" customHeight="1">
      <c r="C26" s="1994"/>
      <c r="D26" s="2212" t="str">
        <f t="shared" si="2"/>
        <v xml:space="preserve"> - :  .</v>
      </c>
      <c r="E26" s="1994"/>
      <c r="F26" s="1994"/>
      <c r="G26" s="2460" t="str">
        <f t="shared" si="1"/>
        <v/>
      </c>
    </row>
    <row r="27" spans="2:11" ht="24.95" customHeight="1">
      <c r="D27" s="2212" t="str">
        <f t="shared" si="2"/>
        <v xml:space="preserve"> - :  .</v>
      </c>
      <c r="G27" s="2460" t="str">
        <f t="shared" si="1"/>
        <v/>
      </c>
    </row>
    <row r="28" spans="2:11" ht="24.95" customHeight="1">
      <c r="D28" s="2212" t="str">
        <f t="shared" si="2"/>
        <v xml:space="preserve"> - :  .</v>
      </c>
      <c r="G28" s="2460" t="str">
        <f t="shared" si="1"/>
        <v/>
      </c>
    </row>
    <row r="29" spans="2:11" ht="24.95" customHeight="1">
      <c r="D29" s="2212" t="str">
        <f t="shared" si="2"/>
        <v xml:space="preserve"> - :  .</v>
      </c>
      <c r="G29" s="2460" t="str">
        <f t="shared" si="1"/>
        <v/>
      </c>
    </row>
    <row r="30" spans="2:11" ht="24.95" customHeight="1">
      <c r="D30" s="2212" t="str">
        <f t="shared" si="2"/>
        <v xml:space="preserve"> - :  .</v>
      </c>
      <c r="G30" s="1971" t="str">
        <f t="shared" si="1"/>
        <v/>
      </c>
    </row>
    <row r="31" spans="2:11" ht="24.95" customHeight="1">
      <c r="D31" s="2212" t="str">
        <f>" - "&amp;H31&amp;": "&amp;K31&amp;" "&amp;I31&amp;"."</f>
        <v xml:space="preserve"> - :  .</v>
      </c>
      <c r="G31" s="1971" t="str">
        <f t="shared" si="1"/>
        <v/>
      </c>
    </row>
    <row r="32" spans="2:11" ht="24.95" customHeight="1">
      <c r="D32" s="2212" t="str">
        <f t="shared" si="2"/>
        <v xml:space="preserve"> - :  .</v>
      </c>
      <c r="G32" s="1971" t="str">
        <f t="shared" si="1"/>
        <v/>
      </c>
    </row>
    <row r="33" spans="4:7" ht="24.95" customHeight="1">
      <c r="D33" s="2212" t="str">
        <f t="shared" si="2"/>
        <v xml:space="preserve"> - :  .</v>
      </c>
      <c r="G33" s="1971" t="str">
        <f t="shared" si="1"/>
        <v/>
      </c>
    </row>
    <row r="34" spans="4:7" ht="24.95" customHeight="1">
      <c r="D34" s="2212" t="str">
        <f t="shared" si="2"/>
        <v xml:space="preserve"> - :  .</v>
      </c>
      <c r="G34" s="1971" t="str">
        <f t="shared" si="1"/>
        <v/>
      </c>
    </row>
  </sheetData>
  <autoFilter ref="G6:G34"/>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94" customWidth="1"/>
    <col min="3" max="3" width="48.5546875" style="1493" customWidth="1"/>
    <col min="4" max="4" width="7.77734375" customWidth="1"/>
    <col min="5" max="5" width="8.21875" customWidth="1"/>
    <col min="6" max="6" width="10.44140625" customWidth="1"/>
    <col min="7" max="7" width="50.109375" style="1504" customWidth="1"/>
  </cols>
  <sheetData>
    <row r="2" spans="2:7">
      <c r="B2" s="1516" t="s">
        <v>4214</v>
      </c>
      <c r="C2" s="1517" t="s">
        <v>4522</v>
      </c>
      <c r="D2" s="1518" t="s">
        <v>1416</v>
      </c>
      <c r="E2" s="1519"/>
      <c r="F2" s="1285" t="s">
        <v>4214</v>
      </c>
    </row>
    <row r="3" spans="2:7">
      <c r="B3" s="1520">
        <v>43874</v>
      </c>
      <c r="C3" s="1521" t="s">
        <v>4520</v>
      </c>
      <c r="D3" s="1522" t="s">
        <v>512</v>
      </c>
      <c r="E3" s="1523"/>
      <c r="F3" s="1494"/>
      <c r="G3" s="1510" t="s">
        <v>4171</v>
      </c>
    </row>
    <row r="4" spans="2:7">
      <c r="B4" s="1520"/>
      <c r="C4" s="1521" t="s">
        <v>4521</v>
      </c>
      <c r="D4" s="1522" t="s">
        <v>512</v>
      </c>
      <c r="E4" s="1523"/>
      <c r="F4" s="1494"/>
      <c r="G4" s="1510" t="s">
        <v>4172</v>
      </c>
    </row>
    <row r="5" spans="2:7">
      <c r="B5" s="1520"/>
      <c r="C5" s="1521" t="s">
        <v>4523</v>
      </c>
      <c r="D5" s="1522" t="s">
        <v>512</v>
      </c>
      <c r="E5" s="1523"/>
      <c r="F5" s="1494"/>
      <c r="G5" s="1510" t="s">
        <v>4173</v>
      </c>
    </row>
    <row r="6" spans="2:7" hidden="1">
      <c r="B6" s="1520"/>
      <c r="C6" s="1524" t="str">
        <f>'2Mong'!E4</f>
        <v>Móng M8</v>
      </c>
      <c r="D6" s="1525">
        <f ca="1">'2Mong'!H4</f>
        <v>0</v>
      </c>
      <c r="E6" s="1523"/>
      <c r="F6" s="1494"/>
      <c r="G6" s="1510" t="s">
        <v>4174</v>
      </c>
    </row>
    <row r="7" spans="2:7" hidden="1">
      <c r="B7" s="1520"/>
      <c r="C7" s="1524" t="str">
        <f>'2Mong'!E5</f>
        <v>Móng M8a</v>
      </c>
      <c r="D7" s="1525">
        <f ca="1">'2Mong'!H5</f>
        <v>0</v>
      </c>
      <c r="E7" s="1523"/>
      <c r="F7" s="1494"/>
      <c r="G7" s="1510" t="s">
        <v>4175</v>
      </c>
    </row>
    <row r="8" spans="2:7" hidden="1">
      <c r="B8" s="1520"/>
      <c r="C8" s="1524" t="str">
        <f>'2Mong'!E6</f>
        <v>Móng bê tông trụ đơn 8,4m</v>
      </c>
      <c r="D8" s="1525">
        <f ca="1">'2Mong'!H6</f>
        <v>0</v>
      </c>
      <c r="E8" s="1523"/>
      <c r="F8" s="1494">
        <v>42719</v>
      </c>
      <c r="G8" s="1510" t="s">
        <v>4176</v>
      </c>
    </row>
    <row r="9" spans="2:7" hidden="1">
      <c r="B9" s="1520"/>
      <c r="C9" s="1524" t="str">
        <f>'2Mong'!E7</f>
        <v>Móng M12</v>
      </c>
      <c r="D9" s="1525">
        <f ca="1">'2Mong'!H7</f>
        <v>15</v>
      </c>
      <c r="E9" s="1523"/>
      <c r="F9" s="1494">
        <v>42713</v>
      </c>
      <c r="G9" s="1510" t="s">
        <v>4177</v>
      </c>
    </row>
    <row r="10" spans="2:7" hidden="1">
      <c r="B10" s="1520"/>
      <c r="C10" s="1524" t="str">
        <f>'2Mong'!E8</f>
        <v>Móng bê tông trụ đơn 12m</v>
      </c>
      <c r="D10" s="1525">
        <f ca="1">'2Mong'!H8</f>
        <v>0</v>
      </c>
      <c r="E10" s="1523"/>
      <c r="F10" s="1494"/>
      <c r="G10" s="1510" t="s">
        <v>4178</v>
      </c>
    </row>
    <row r="11" spans="2:7" hidden="1">
      <c r="B11" s="1520"/>
      <c r="C11" s="1524" t="str">
        <f>'2Mong'!E9</f>
        <v>Móng bê tông trụ đôi 12m</v>
      </c>
      <c r="D11" s="1525">
        <f ca="1">'2Mong'!H9</f>
        <v>5</v>
      </c>
      <c r="E11" s="1523"/>
      <c r="F11" s="1494">
        <v>42719</v>
      </c>
      <c r="G11" s="1510" t="s">
        <v>4179</v>
      </c>
    </row>
    <row r="12" spans="2:7" hidden="1">
      <c r="B12" s="1520"/>
      <c r="C12" s="1524" t="str">
        <f>'2Mong'!E10</f>
        <v>Móng M14</v>
      </c>
      <c r="D12" s="1525">
        <f ca="1">'2Mong'!H10</f>
        <v>0</v>
      </c>
      <c r="E12" s="1523"/>
      <c r="F12" s="1494"/>
      <c r="G12" s="1510" t="s">
        <v>4180</v>
      </c>
    </row>
    <row r="13" spans="2:7" hidden="1">
      <c r="B13" s="1520"/>
      <c r="C13" s="1524" t="str">
        <f>'2Mong'!E11</f>
        <v>Móng bê tông trụ đơn 14m</v>
      </c>
      <c r="D13" s="1525">
        <f ca="1">'2Mong'!H11</f>
        <v>0</v>
      </c>
      <c r="E13" s="1523"/>
      <c r="F13" s="1494"/>
      <c r="G13" s="1510" t="s">
        <v>4181</v>
      </c>
    </row>
    <row r="14" spans="2:7" hidden="1">
      <c r="B14" s="1520"/>
      <c r="C14" s="1524" t="str">
        <f>'2Mong'!E12</f>
        <v>Bộ móng neo xòe cho chằng xuống: NXX</v>
      </c>
      <c r="D14" s="1525">
        <f ca="1">'2Mong'!H12</f>
        <v>0</v>
      </c>
      <c r="E14" s="1523"/>
      <c r="F14" s="1494"/>
      <c r="G14" s="1510" t="s">
        <v>4182</v>
      </c>
    </row>
    <row r="15" spans="2:7">
      <c r="B15" s="1520"/>
      <c r="C15" s="1524" t="str">
        <f>'2Mong'!E13</f>
        <v>Bộ móng neo xòe cho chằng lệch: NXL</v>
      </c>
      <c r="D15" s="1525">
        <f ca="1">'2Mong'!H13</f>
        <v>1</v>
      </c>
      <c r="E15" s="1523"/>
      <c r="F15" s="1494"/>
      <c r="G15" s="1510" t="s">
        <v>4183</v>
      </c>
    </row>
    <row r="16" spans="2:7" hidden="1">
      <c r="B16" s="1520"/>
      <c r="C16" s="1524">
        <f>'2Mong'!E14</f>
        <v>0</v>
      </c>
      <c r="D16" s="1525">
        <f>'2Mong'!H14</f>
        <v>0</v>
      </c>
      <c r="E16" s="1523"/>
      <c r="F16" s="1494"/>
      <c r="G16" s="1510" t="s">
        <v>4184</v>
      </c>
    </row>
    <row r="17" spans="2:7" hidden="1">
      <c r="B17" s="1520"/>
      <c r="C17" s="1524" t="e">
        <f>'2Mong'!#REF!</f>
        <v>#REF!</v>
      </c>
      <c r="D17" s="1525" t="e">
        <f>'2Mong'!#REF!</f>
        <v>#REF!</v>
      </c>
      <c r="E17" s="1523"/>
      <c r="F17" s="1494"/>
      <c r="G17" s="1510" t="s">
        <v>4185</v>
      </c>
    </row>
    <row r="18" spans="2:7" hidden="1">
      <c r="B18" s="1520"/>
      <c r="C18" s="1524" t="e">
        <f>'2Mong'!#REF!</f>
        <v>#REF!</v>
      </c>
      <c r="D18" s="1525" t="e">
        <f>'2Mong'!#REF!</f>
        <v>#REF!</v>
      </c>
      <c r="E18" s="1523"/>
      <c r="F18" s="1494"/>
      <c r="G18" s="1510" t="s">
        <v>4186</v>
      </c>
    </row>
    <row r="19" spans="2:7" hidden="1">
      <c r="B19" s="1520"/>
      <c r="C19" s="1524" t="e">
        <f>'2Mong'!#REF!</f>
        <v>#REF!</v>
      </c>
      <c r="D19" s="1525" t="e">
        <f>'2Mong'!#REF!</f>
        <v>#REF!</v>
      </c>
      <c r="E19" s="1523"/>
      <c r="F19" s="1494"/>
      <c r="G19" s="1510" t="s">
        <v>4187</v>
      </c>
    </row>
    <row r="20" spans="2:7" hidden="1">
      <c r="B20" s="1520"/>
      <c r="C20" s="1524" t="e">
        <f>'2Mong'!#REF!</f>
        <v>#REF!</v>
      </c>
      <c r="D20" s="1525" t="e">
        <f>'2Mong'!#REF!</f>
        <v>#REF!</v>
      </c>
      <c r="E20" s="1523"/>
      <c r="F20" s="1494"/>
      <c r="G20" s="1510" t="s">
        <v>4188</v>
      </c>
    </row>
    <row r="21" spans="2:7" hidden="1">
      <c r="B21" s="1520"/>
      <c r="C21" s="1524" t="e">
        <f>'2Mong'!#REF!</f>
        <v>#REF!</v>
      </c>
      <c r="D21" s="1525" t="e">
        <f>'2Mong'!#REF!</f>
        <v>#REF!</v>
      </c>
      <c r="E21" s="1523"/>
    </row>
    <row r="22" spans="2:7" hidden="1">
      <c r="B22" s="1520"/>
      <c r="C22" s="1524" t="e">
        <f>'2Mong'!#REF!</f>
        <v>#REF!</v>
      </c>
      <c r="D22" s="1525" t="e">
        <f>'2Mong'!#REF!</f>
        <v>#REF!</v>
      </c>
      <c r="E22" s="1523"/>
    </row>
    <row r="23" spans="2:7" hidden="1">
      <c r="B23" s="1520"/>
      <c r="C23" s="1524" t="e">
        <f>'2Mong'!#REF!</f>
        <v>#REF!</v>
      </c>
      <c r="D23" s="1525" t="e">
        <f>'2Mong'!#REF!</f>
        <v>#REF!</v>
      </c>
      <c r="E23" s="1523"/>
    </row>
    <row r="24" spans="2:7" hidden="1">
      <c r="B24" s="1520"/>
      <c r="C24" s="1524" t="e">
        <f>'2Mong'!#REF!</f>
        <v>#REF!</v>
      </c>
      <c r="D24" s="1525" t="e">
        <f>'2Mong'!#REF!</f>
        <v>#REF!</v>
      </c>
      <c r="E24" s="1523"/>
    </row>
    <row r="25" spans="2:7" hidden="1">
      <c r="B25" s="1520"/>
      <c r="C25" s="1524" t="e">
        <f>'2Mong'!#REF!</f>
        <v>#REF!</v>
      </c>
      <c r="D25" s="1525" t="e">
        <f>'2Mong'!#REF!</f>
        <v>#REF!</v>
      </c>
      <c r="E25" s="1523"/>
    </row>
    <row r="26" spans="2:7" hidden="1">
      <c r="B26" s="1520"/>
      <c r="C26" s="1524" t="e">
        <f>'2Mong'!#REF!</f>
        <v>#REF!</v>
      </c>
      <c r="D26" s="1525" t="e">
        <f>'2Mong'!#REF!</f>
        <v>#REF!</v>
      </c>
      <c r="E26" s="1523"/>
    </row>
    <row r="27" spans="2:7" hidden="1">
      <c r="B27" s="1520"/>
      <c r="C27" s="1524" t="e">
        <f>'2Mong'!#REF!</f>
        <v>#REF!</v>
      </c>
      <c r="D27" s="1525" t="e">
        <f>'2Mong'!#REF!</f>
        <v>#REF!</v>
      </c>
      <c r="E27" s="1523"/>
    </row>
    <row r="28" spans="2:7" hidden="1">
      <c r="B28" s="1520"/>
      <c r="C28" s="1524" t="e">
        <f>'2Mong'!#REF!</f>
        <v>#REF!</v>
      </c>
      <c r="D28" s="1525" t="e">
        <f>'2Mong'!#REF!</f>
        <v>#REF!</v>
      </c>
      <c r="E28" s="1523"/>
    </row>
    <row r="29" spans="2:7" hidden="1">
      <c r="B29" s="1520"/>
      <c r="C29" s="1524" t="e">
        <f>'2Mong'!#REF!</f>
        <v>#REF!</v>
      </c>
      <c r="D29" s="1525" t="e">
        <f>'2Mong'!#REF!</f>
        <v>#REF!</v>
      </c>
      <c r="E29" s="1523"/>
    </row>
    <row r="30" spans="2:7" hidden="1">
      <c r="B30" s="1520"/>
      <c r="C30" s="1524" t="e">
        <f>'2Mong'!#REF!</f>
        <v>#REF!</v>
      </c>
      <c r="D30" s="1525" t="e">
        <f>'2Mong'!#REF!</f>
        <v>#REF!</v>
      </c>
      <c r="E30" s="1523"/>
    </row>
    <row r="31" spans="2:7" hidden="1">
      <c r="B31" s="1520"/>
      <c r="C31" s="1524" t="e">
        <f>'2Mong'!#REF!</f>
        <v>#REF!</v>
      </c>
      <c r="D31" s="1525" t="e">
        <f>'2Mong'!#REF!</f>
        <v>#REF!</v>
      </c>
      <c r="E31" s="1523"/>
    </row>
    <row r="32" spans="2:7" hidden="1">
      <c r="B32" s="1520"/>
      <c r="C32" s="1524" t="e">
        <f>'2Mong'!#REF!</f>
        <v>#REF!</v>
      </c>
      <c r="D32" s="1525" t="e">
        <f>'2Mong'!#REF!</f>
        <v>#REF!</v>
      </c>
      <c r="E32" s="1523"/>
    </row>
    <row r="33" spans="2:7" hidden="1">
      <c r="B33" s="1520"/>
      <c r="C33" s="1524" t="e">
        <f>'2Mong'!#REF!</f>
        <v>#REF!</v>
      </c>
      <c r="D33" s="1525" t="e">
        <f>'2Mong'!#REF!</f>
        <v>#REF!</v>
      </c>
      <c r="E33" s="1523"/>
    </row>
    <row r="34" spans="2:7" hidden="1">
      <c r="B34" s="1520"/>
      <c r="C34" s="1524" t="e">
        <f>'2Mong'!#REF!</f>
        <v>#REF!</v>
      </c>
      <c r="D34" s="1525" t="e">
        <f>'2Mong'!#REF!</f>
        <v>#REF!</v>
      </c>
      <c r="E34" s="1523"/>
    </row>
    <row r="35" spans="2:7" hidden="1">
      <c r="B35" s="1520"/>
      <c r="C35" s="1524" t="e">
        <f>'2Mong'!#REF!</f>
        <v>#REF!</v>
      </c>
      <c r="D35" s="1525" t="e">
        <f>'2Mong'!#REF!</f>
        <v>#REF!</v>
      </c>
      <c r="E35" s="1523"/>
    </row>
    <row r="36" spans="2:7" hidden="1">
      <c r="B36" s="1520"/>
      <c r="C36" s="1524" t="e">
        <f>'2Mong'!#REF!</f>
        <v>#REF!</v>
      </c>
      <c r="D36" s="1525" t="e">
        <f>'2Mong'!#REF!</f>
        <v>#REF!</v>
      </c>
      <c r="E36" s="1523"/>
    </row>
    <row r="37" spans="2:7" hidden="1">
      <c r="B37" s="1520"/>
      <c r="C37" s="1524" t="e">
        <f>'2Mong'!#REF!</f>
        <v>#REF!</v>
      </c>
      <c r="D37" s="1525" t="e">
        <f>'2Mong'!#REF!</f>
        <v>#REF!</v>
      </c>
      <c r="E37" s="1523"/>
    </row>
    <row r="38" spans="2:7" hidden="1">
      <c r="B38" s="1520"/>
      <c r="C38" s="1524" t="e">
        <f>'2Mong'!#REF!</f>
        <v>#REF!</v>
      </c>
      <c r="D38" s="1525" t="e">
        <f>'2Mong'!#REF!</f>
        <v>#REF!</v>
      </c>
      <c r="E38" s="1523"/>
    </row>
    <row r="39" spans="2:7" hidden="1">
      <c r="B39" s="1520"/>
      <c r="C39" s="1524" t="e">
        <f>'2Mong'!#REF!</f>
        <v>#REF!</v>
      </c>
      <c r="D39" s="1525" t="e">
        <f>'2Mong'!#REF!</f>
        <v>#REF!</v>
      </c>
      <c r="E39" s="1523"/>
    </row>
    <row r="40" spans="2:7" hidden="1">
      <c r="B40" s="1520"/>
      <c r="C40" s="1524" t="e">
        <f>'2Mong'!#REF!</f>
        <v>#REF!</v>
      </c>
      <c r="D40" s="1525" t="e">
        <f>'2Mong'!#REF!</f>
        <v>#REF!</v>
      </c>
      <c r="E40" s="1523"/>
    </row>
    <row r="41" spans="2:7" hidden="1">
      <c r="B41" s="1520"/>
      <c r="C41" s="1524" t="e">
        <f>'2Mong'!#REF!</f>
        <v>#REF!</v>
      </c>
      <c r="D41" s="1525" t="e">
        <f>'2Mong'!#REF!</f>
        <v>#REF!</v>
      </c>
      <c r="E41" s="1523"/>
    </row>
    <row r="42" spans="2:7" s="1285" customFormat="1" hidden="1">
      <c r="B42" s="1520"/>
      <c r="C42" s="1524" t="e">
        <f>'2Mong'!#REF!</f>
        <v>#REF!</v>
      </c>
      <c r="D42" s="1525" t="e">
        <f>'2Mong'!#REF!</f>
        <v>#REF!</v>
      </c>
      <c r="E42" s="1523"/>
      <c r="G42" s="1504"/>
    </row>
    <row r="43" spans="2:7" s="1285" customFormat="1" hidden="1">
      <c r="B43" s="1520"/>
      <c r="C43" s="1524" t="e">
        <f>'2Mong'!#REF!</f>
        <v>#REF!</v>
      </c>
      <c r="D43" s="1525" t="e">
        <f>'2Mong'!#REF!</f>
        <v>#REF!</v>
      </c>
      <c r="E43" s="1523"/>
      <c r="G43" s="1504"/>
    </row>
    <row r="44" spans="2:7" s="1285" customFormat="1" hidden="1">
      <c r="B44" s="1520"/>
      <c r="C44" s="1524" t="e">
        <f>'2Mong'!#REF!</f>
        <v>#REF!</v>
      </c>
      <c r="D44" s="1525" t="e">
        <f>'2Mong'!#REF!</f>
        <v>#REF!</v>
      </c>
      <c r="E44" s="1523"/>
      <c r="G44" s="1504"/>
    </row>
    <row r="45" spans="2:7" s="1285" customFormat="1" hidden="1">
      <c r="B45" s="1520"/>
      <c r="C45" s="1524" t="e">
        <f>'2Mong'!#REF!</f>
        <v>#REF!</v>
      </c>
      <c r="D45" s="1525" t="e">
        <f>'2Mong'!#REF!</f>
        <v>#REF!</v>
      </c>
      <c r="E45" s="1523"/>
      <c r="G45" s="1504"/>
    </row>
    <row r="46" spans="2:7" s="1285" customFormat="1" hidden="1">
      <c r="B46" s="1520"/>
      <c r="C46" s="1524" t="e">
        <f>'2Mong'!#REF!</f>
        <v>#REF!</v>
      </c>
      <c r="D46" s="1525" t="e">
        <f>'2Mong'!#REF!</f>
        <v>#REF!</v>
      </c>
      <c r="E46" s="1523"/>
      <c r="G46" s="1504"/>
    </row>
    <row r="47" spans="2:7" s="1285" customFormat="1" hidden="1">
      <c r="B47" s="1520"/>
      <c r="C47" s="1524" t="e">
        <f>'2Mong'!#REF!</f>
        <v>#REF!</v>
      </c>
      <c r="D47" s="1525" t="e">
        <f>'2Mong'!#REF!</f>
        <v>#REF!</v>
      </c>
      <c r="E47" s="1523"/>
      <c r="G47" s="1504"/>
    </row>
    <row r="48" spans="2:7" s="1285" customFormat="1" hidden="1">
      <c r="B48" s="1520"/>
      <c r="C48" s="1524" t="e">
        <f>'2Mong'!#REF!</f>
        <v>#REF!</v>
      </c>
      <c r="D48" s="1525" t="e">
        <f>'2Mong'!#REF!</f>
        <v>#REF!</v>
      </c>
      <c r="E48" s="1523"/>
      <c r="G48" s="1504"/>
    </row>
    <row r="49" spans="2:7" s="1285" customFormat="1" hidden="1">
      <c r="B49" s="1520"/>
      <c r="C49" s="1524" t="e">
        <f>'2Mong'!#REF!</f>
        <v>#REF!</v>
      </c>
      <c r="D49" s="1525" t="e">
        <f>'2Mong'!#REF!</f>
        <v>#REF!</v>
      </c>
      <c r="E49" s="1523"/>
      <c r="G49" s="1504"/>
    </row>
    <row r="50" spans="2:7" s="1285" customFormat="1" hidden="1">
      <c r="B50" s="1520"/>
      <c r="C50" s="1524" t="e">
        <f>'2Mong'!#REF!</f>
        <v>#REF!</v>
      </c>
      <c r="D50" s="1525" t="e">
        <f>'2Mong'!#REF!</f>
        <v>#REF!</v>
      </c>
      <c r="E50" s="1523"/>
      <c r="G50" s="1504"/>
    </row>
    <row r="51" spans="2:7" s="1285" customFormat="1" hidden="1">
      <c r="B51" s="1520"/>
      <c r="C51" s="1524" t="e">
        <f>'2Mong'!#REF!</f>
        <v>#REF!</v>
      </c>
      <c r="D51" s="1525" t="e">
        <f>'2Mong'!#REF!</f>
        <v>#REF!</v>
      </c>
      <c r="E51" s="1523"/>
      <c r="G51" s="1504"/>
    </row>
    <row r="52" spans="2:7" s="1285" customFormat="1" hidden="1">
      <c r="B52" s="1520"/>
      <c r="C52" s="1524" t="e">
        <f>'2Mong'!#REF!</f>
        <v>#REF!</v>
      </c>
      <c r="D52" s="1525" t="e">
        <f>'2Mong'!#REF!</f>
        <v>#REF!</v>
      </c>
      <c r="E52" s="1523"/>
      <c r="G52" s="1504"/>
    </row>
    <row r="53" spans="2:7" s="1285" customFormat="1" hidden="1">
      <c r="B53" s="1520"/>
      <c r="C53" s="1524" t="e">
        <f>'2Mong'!#REF!</f>
        <v>#REF!</v>
      </c>
      <c r="D53" s="1525" t="e">
        <f>'2Mong'!#REF!</f>
        <v>#REF!</v>
      </c>
      <c r="E53" s="1523"/>
      <c r="G53" s="1504"/>
    </row>
    <row r="54" spans="2:7" s="1285" customFormat="1" hidden="1">
      <c r="B54" s="1520"/>
      <c r="C54" s="1524" t="e">
        <f>'2Mong'!#REF!</f>
        <v>#REF!</v>
      </c>
      <c r="D54" s="1525" t="e">
        <f>'2Mong'!#REF!</f>
        <v>#REF!</v>
      </c>
      <c r="E54" s="1523"/>
      <c r="G54" s="1504"/>
    </row>
    <row r="55" spans="2:7" s="1285" customFormat="1" hidden="1">
      <c r="B55" s="1520"/>
      <c r="C55" s="1524" t="e">
        <f>'2Mong'!#REF!</f>
        <v>#REF!</v>
      </c>
      <c r="D55" s="1525" t="e">
        <f>'2Mong'!#REF!</f>
        <v>#REF!</v>
      </c>
      <c r="E55" s="1523"/>
      <c r="G55" s="1504"/>
    </row>
    <row r="56" spans="2:7" s="1285" customFormat="1" hidden="1">
      <c r="B56" s="1520"/>
      <c r="C56" s="1524" t="e">
        <f>'2Mong'!#REF!</f>
        <v>#REF!</v>
      </c>
      <c r="D56" s="1525" t="e">
        <f>'2Mong'!#REF!</f>
        <v>#REF!</v>
      </c>
      <c r="E56" s="1523"/>
      <c r="G56" s="1504"/>
    </row>
    <row r="57" spans="2:7" s="1285" customFormat="1" hidden="1">
      <c r="B57" s="1520"/>
      <c r="C57" s="1524" t="e">
        <f>'2Mong'!#REF!</f>
        <v>#REF!</v>
      </c>
      <c r="D57" s="1525" t="e">
        <f>'2Mong'!#REF!</f>
        <v>#REF!</v>
      </c>
      <c r="E57" s="1523"/>
      <c r="G57" s="1504"/>
    </row>
    <row r="58" spans="2:7" s="1285" customFormat="1" hidden="1">
      <c r="B58" s="1520"/>
      <c r="C58" s="1524" t="e">
        <f>'2Mong'!#REF!</f>
        <v>#REF!</v>
      </c>
      <c r="D58" s="1525" t="e">
        <f>'2Mong'!#REF!</f>
        <v>#REF!</v>
      </c>
      <c r="E58" s="1523"/>
      <c r="G58" s="1504"/>
    </row>
    <row r="59" spans="2:7" s="1285" customFormat="1" hidden="1">
      <c r="B59" s="1520"/>
      <c r="C59" s="1524" t="e">
        <f>'2Mong'!#REF!</f>
        <v>#REF!</v>
      </c>
      <c r="D59" s="1525" t="e">
        <f>'2Mong'!#REF!</f>
        <v>#REF!</v>
      </c>
      <c r="E59" s="1523"/>
      <c r="G59" s="1504"/>
    </row>
    <row r="60" spans="2:7" s="1285" customFormat="1" hidden="1">
      <c r="B60" s="1520"/>
      <c r="C60" s="1524" t="e">
        <f>'2Mong'!#REF!</f>
        <v>#REF!</v>
      </c>
      <c r="D60" s="1525" t="e">
        <f>'2Mong'!#REF!</f>
        <v>#REF!</v>
      </c>
      <c r="E60" s="1523"/>
      <c r="G60" s="1504"/>
    </row>
    <row r="61" spans="2:7" s="1285" customFormat="1" hidden="1">
      <c r="B61" s="1520"/>
      <c r="C61" s="1524" t="e">
        <f>'2Mong'!#REF!</f>
        <v>#REF!</v>
      </c>
      <c r="D61" s="1525" t="e">
        <f>'2Mong'!#REF!</f>
        <v>#REF!</v>
      </c>
      <c r="E61" s="1523"/>
      <c r="G61" s="1504"/>
    </row>
    <row r="62" spans="2:7" s="1285" customFormat="1" hidden="1">
      <c r="B62" s="1520"/>
      <c r="C62" s="1524" t="e">
        <f>'2Mong'!#REF!</f>
        <v>#REF!</v>
      </c>
      <c r="D62" s="1525" t="e">
        <f>'2Mong'!#REF!</f>
        <v>#REF!</v>
      </c>
      <c r="E62" s="1523"/>
      <c r="G62" s="1504"/>
    </row>
    <row r="63" spans="2:7" s="1285" customFormat="1" hidden="1">
      <c r="B63" s="1520"/>
      <c r="C63" s="1524" t="e">
        <f>'2Mong'!#REF!</f>
        <v>#REF!</v>
      </c>
      <c r="D63" s="1525" t="e">
        <f>'2Mong'!#REF!</f>
        <v>#REF!</v>
      </c>
      <c r="E63" s="1523"/>
      <c r="G63" s="1504"/>
    </row>
    <row r="64" spans="2:7" s="1285" customFormat="1" hidden="1">
      <c r="B64" s="1520"/>
      <c r="C64" s="1524" t="e">
        <f>'2Mong'!#REF!</f>
        <v>#REF!</v>
      </c>
      <c r="D64" s="1525" t="e">
        <f>'2Mong'!#REF!</f>
        <v>#REF!</v>
      </c>
      <c r="E64" s="1523"/>
      <c r="G64" s="1504"/>
    </row>
    <row r="65" spans="2:7" s="1285" customFormat="1" hidden="1">
      <c r="B65" s="1520"/>
      <c r="C65" s="1524" t="e">
        <f>'2Mong'!#REF!</f>
        <v>#REF!</v>
      </c>
      <c r="D65" s="1525" t="e">
        <f>'2Mong'!#REF!</f>
        <v>#REF!</v>
      </c>
      <c r="E65" s="1523"/>
      <c r="G65" s="1504"/>
    </row>
    <row r="66" spans="2:7" s="1285" customFormat="1" hidden="1">
      <c r="B66" s="1520"/>
      <c r="C66" s="1524" t="e">
        <f>'2Mong'!#REF!</f>
        <v>#REF!</v>
      </c>
      <c r="D66" s="1525" t="e">
        <f>'2Mong'!#REF!</f>
        <v>#REF!</v>
      </c>
      <c r="E66" s="1523"/>
      <c r="G66" s="1504"/>
    </row>
    <row r="67" spans="2:7" s="1285" customFormat="1" hidden="1">
      <c r="B67" s="1520"/>
      <c r="C67" s="1524" t="e">
        <f>'2Mong'!#REF!</f>
        <v>#REF!</v>
      </c>
      <c r="D67" s="1525" t="e">
        <f>'2Mong'!#REF!</f>
        <v>#REF!</v>
      </c>
      <c r="E67" s="1523"/>
      <c r="G67" s="1504"/>
    </row>
    <row r="68" spans="2:7" s="1285" customFormat="1" hidden="1">
      <c r="B68" s="1520"/>
      <c r="C68" s="1524" t="e">
        <f>'2Mong'!#REF!</f>
        <v>#REF!</v>
      </c>
      <c r="D68" s="1525" t="e">
        <f>'2Mong'!#REF!</f>
        <v>#REF!</v>
      </c>
      <c r="E68" s="1523"/>
      <c r="G68" s="1504"/>
    </row>
    <row r="69" spans="2:7" s="1285" customFormat="1" hidden="1">
      <c r="B69" s="1520"/>
      <c r="C69" s="1524" t="e">
        <f>'2Mong'!#REF!</f>
        <v>#REF!</v>
      </c>
      <c r="D69" s="1525" t="e">
        <f>'2Mong'!#REF!</f>
        <v>#REF!</v>
      </c>
      <c r="E69" s="1523"/>
      <c r="G69" s="1504"/>
    </row>
    <row r="70" spans="2:7" s="1285" customFormat="1" hidden="1">
      <c r="B70" s="1520"/>
      <c r="C70" s="1524" t="e">
        <f>'2Mong'!#REF!</f>
        <v>#REF!</v>
      </c>
      <c r="D70" s="1525" t="e">
        <f>'2Mong'!#REF!</f>
        <v>#REF!</v>
      </c>
      <c r="E70" s="1523"/>
      <c r="G70" s="1504"/>
    </row>
    <row r="71" spans="2:7" s="1285" customFormat="1" hidden="1">
      <c r="B71" s="1520"/>
      <c r="C71" s="1524" t="e">
        <f>'2Mong'!#REF!</f>
        <v>#REF!</v>
      </c>
      <c r="D71" s="1525" t="e">
        <f>'2Mong'!#REF!</f>
        <v>#REF!</v>
      </c>
      <c r="E71" s="1523"/>
      <c r="G71" s="1504"/>
    </row>
    <row r="72" spans="2:7" ht="33">
      <c r="B72" s="1520"/>
      <c r="C72" s="1521" t="s">
        <v>4557</v>
      </c>
      <c r="D72" s="1522" t="s">
        <v>512</v>
      </c>
      <c r="E72" s="1523"/>
    </row>
    <row r="73" spans="2:7" ht="22.5" customHeight="1">
      <c r="B73" s="1520"/>
      <c r="C73" s="1521" t="s">
        <v>4562</v>
      </c>
      <c r="D73" s="1522" t="s">
        <v>512</v>
      </c>
      <c r="E73" s="1523"/>
    </row>
    <row r="74" spans="2:7" ht="30.75" hidden="1" customHeight="1">
      <c r="B74" s="1520">
        <f>B3</f>
        <v>43874</v>
      </c>
      <c r="C74" s="1521" t="str">
        <f>"Dựng trụ "</f>
        <v xml:space="preserve">Dựng trụ </v>
      </c>
      <c r="D74" s="1522" t="e">
        <f ca="1">SUM(D75:D84)</f>
        <v>#REF!</v>
      </c>
      <c r="E74" s="1523"/>
    </row>
    <row r="75" spans="2:7" hidden="1">
      <c r="B75" s="1520"/>
      <c r="C75" s="1524" t="str">
        <f>'3Tru'!D4</f>
        <v>Trụ bê tông ly tâm 7.5m</v>
      </c>
      <c r="D75" s="1525">
        <f ca="1">'3Tru'!G4</f>
        <v>0</v>
      </c>
      <c r="E75" s="1523"/>
    </row>
    <row r="76" spans="2:7" hidden="1">
      <c r="B76" s="1520"/>
      <c r="C76" s="1524" t="str">
        <f>'3Tru'!D5</f>
        <v>Trụ bê tông ly tâm 8.4m</v>
      </c>
      <c r="D76" s="1525">
        <f ca="1">'3Tru'!G5</f>
        <v>0</v>
      </c>
      <c r="E76" s="1523"/>
    </row>
    <row r="77" spans="2:7" hidden="1">
      <c r="B77" s="1520"/>
      <c r="C77" s="1524" t="str">
        <f>'3Tru'!D6</f>
        <v>Trụ bê tông ly tâm 8.4m có dây tiếp địa</v>
      </c>
      <c r="D77" s="1525">
        <f ca="1">'3Tru'!G6</f>
        <v>0</v>
      </c>
      <c r="E77" s="1523"/>
    </row>
    <row r="78" spans="2:7" hidden="1">
      <c r="B78" s="1520"/>
      <c r="C78" s="1524" t="str">
        <f>'3Tru'!D7</f>
        <v>Trụ bê tông ly tâm 8.4m</v>
      </c>
      <c r="D78" s="1525">
        <f ca="1">'3Tru'!G7</f>
        <v>0</v>
      </c>
      <c r="E78" s="1523"/>
    </row>
    <row r="79" spans="2:7" hidden="1">
      <c r="B79" s="1520"/>
      <c r="C79" s="1524" t="e">
        <f>'3Tru'!#REF!</f>
        <v>#REF!</v>
      </c>
      <c r="D79" s="1525" t="e">
        <f>'3Tru'!#REF!</f>
        <v>#REF!</v>
      </c>
      <c r="E79" s="1523"/>
    </row>
    <row r="80" spans="2:7" hidden="1">
      <c r="B80" s="1520"/>
      <c r="C80" s="1524" t="e">
        <f>'3Tru'!#REF!</f>
        <v>#REF!</v>
      </c>
      <c r="D80" s="1525" t="e">
        <f>'3Tru'!#REF!</f>
        <v>#REF!</v>
      </c>
      <c r="E80" s="1523"/>
    </row>
    <row r="81" spans="2:5" hidden="1">
      <c r="B81" s="1520"/>
      <c r="C81" s="1524" t="e">
        <f>'3Tru'!#REF!</f>
        <v>#REF!</v>
      </c>
      <c r="D81" s="1525" t="e">
        <f>'3Tru'!#REF!</f>
        <v>#REF!</v>
      </c>
      <c r="E81" s="1523"/>
    </row>
    <row r="82" spans="2:5" hidden="1">
      <c r="B82" s="1520"/>
      <c r="C82" s="1524" t="e">
        <f>'3Tru'!#REF!</f>
        <v>#REF!</v>
      </c>
      <c r="D82" s="1525" t="e">
        <f>'3Tru'!#REF!</f>
        <v>#REF!</v>
      </c>
      <c r="E82" s="1523"/>
    </row>
    <row r="83" spans="2:5" hidden="1">
      <c r="B83" s="1520"/>
      <c r="C83" s="1524" t="e">
        <f>'3Tru'!#REF!</f>
        <v>#REF!</v>
      </c>
      <c r="D83" s="1525" t="e">
        <f>'3Tru'!#REF!</f>
        <v>#REF!</v>
      </c>
      <c r="E83" s="1523"/>
    </row>
    <row r="84" spans="2:5" hidden="1">
      <c r="B84" s="1520"/>
      <c r="C84" s="1524" t="e">
        <f>'3Tru'!#REF!</f>
        <v>#REF!</v>
      </c>
      <c r="D84" s="1525" t="e">
        <f>'3Tru'!#REF!</f>
        <v>#REF!</v>
      </c>
      <c r="E84" s="1523"/>
    </row>
    <row r="85" spans="2:5" ht="36.75" hidden="1" customHeight="1">
      <c r="B85" s="1520">
        <f>B74+1</f>
        <v>43875</v>
      </c>
      <c r="C85" s="1521" t="s">
        <v>4525</v>
      </c>
      <c r="D85" s="1522">
        <f ca="1">SUM(D86:D92)</f>
        <v>5</v>
      </c>
      <c r="E85" s="1523"/>
    </row>
    <row r="86" spans="2:5" hidden="1">
      <c r="B86" s="1520"/>
      <c r="C86" s="1524" t="str">
        <f>'4BT'!D4</f>
        <v>Móng bê tông trụ đơn 8,4m</v>
      </c>
      <c r="D86" s="1525">
        <f ca="1">'4BT'!G4</f>
        <v>0</v>
      </c>
      <c r="E86" s="1523"/>
    </row>
    <row r="87" spans="2:5" hidden="1">
      <c r="B87" s="1520"/>
      <c r="C87" s="1524" t="str">
        <f>'4BT'!D5</f>
        <v>Móng bê tông trụ đơn 12m</v>
      </c>
      <c r="D87" s="1525">
        <f ca="1">'4BT'!G5</f>
        <v>0</v>
      </c>
      <c r="E87" s="1523"/>
    </row>
    <row r="88" spans="2:5" hidden="1">
      <c r="B88" s="1520"/>
      <c r="C88" s="1524" t="str">
        <f>'4BT'!D6</f>
        <v>Móng bê tông trụ đôi 12m</v>
      </c>
      <c r="D88" s="1525">
        <f ca="1">'4BT'!G6</f>
        <v>5</v>
      </c>
      <c r="E88" s="1523"/>
    </row>
    <row r="89" spans="2:5" hidden="1">
      <c r="B89" s="1520"/>
      <c r="C89" s="1524" t="e">
        <f>'4BT'!D7</f>
        <v>#N/A</v>
      </c>
      <c r="D89" s="1525">
        <f>'4BT'!G7</f>
        <v>0</v>
      </c>
      <c r="E89" s="1523"/>
    </row>
    <row r="90" spans="2:5" hidden="1">
      <c r="B90" s="1520"/>
      <c r="C90" s="1524" t="e">
        <f>'4BT'!D8</f>
        <v>#N/A</v>
      </c>
      <c r="D90" s="1525">
        <f>'4BT'!G8</f>
        <v>0</v>
      </c>
      <c r="E90" s="1523"/>
    </row>
    <row r="91" spans="2:5" hidden="1">
      <c r="B91" s="1520"/>
      <c r="C91" s="1524" t="e">
        <f>'4BT'!D9</f>
        <v>#N/A</v>
      </c>
      <c r="D91" s="1525">
        <f>'4BT'!G9</f>
        <v>0</v>
      </c>
      <c r="E91" s="1523"/>
    </row>
    <row r="92" spans="2:5" hidden="1">
      <c r="B92" s="1520"/>
      <c r="C92" s="1524" t="e">
        <f>'4BT'!D10</f>
        <v>#N/A</v>
      </c>
      <c r="D92" s="1525">
        <f>'4BT'!G10</f>
        <v>0</v>
      </c>
      <c r="E92" s="1523"/>
    </row>
    <row r="93" spans="2:5" ht="33.75" customHeight="1">
      <c r="B93" s="1520">
        <f>B85</f>
        <v>43875</v>
      </c>
      <c r="C93" s="1521" t="s">
        <v>4524</v>
      </c>
      <c r="D93" s="1522">
        <f>SUM(D94:D122)</f>
        <v>1</v>
      </c>
      <c r="E93" s="1523"/>
    </row>
    <row r="94" spans="2:5" hidden="1">
      <c r="B94" s="1520"/>
      <c r="C94" s="1524" t="str">
        <f>'5Neo'!D4&amp;": "&amp;D94&amp;" bộ"</f>
        <v>Bộ CODE lắp néo trung hòa: CODE th-Þ240: 0 bộ</v>
      </c>
      <c r="D94" s="1525">
        <f>'5Neo'!F4</f>
        <v>0</v>
      </c>
      <c r="E94" s="1523"/>
    </row>
    <row r="95" spans="2:5" hidden="1">
      <c r="B95" s="1520"/>
      <c r="C95" s="1524" t="str">
        <f>'5Neo'!D5&amp;": "&amp;D95&amp;" bộ"</f>
        <v>Bộ chằng xuống đơn cho trụ hạ thế: CX.ht: 0 bộ</v>
      </c>
      <c r="D95" s="1525">
        <f>'5Neo'!F5</f>
        <v>0</v>
      </c>
      <c r="E95" s="1523"/>
    </row>
    <row r="96" spans="2:5" hidden="1">
      <c r="B96" s="1520"/>
      <c r="C96" s="1524" t="str">
        <f>'5Neo'!D6&amp;": "&amp;D96&amp;" bộ"</f>
        <v>Tháo bộ chằng lệch đơn cho trụ hạ thế: CL.ht: 0 bộ</v>
      </c>
      <c r="D96" s="1525">
        <f>'5Neo'!F6</f>
        <v>0</v>
      </c>
      <c r="E96" s="1523"/>
    </row>
    <row r="97" spans="2:7" hidden="1">
      <c r="B97" s="1520"/>
      <c r="C97" s="1524" t="str">
        <f>'5Neo'!D7&amp;": "&amp;D97&amp;" bộ"</f>
        <v>Bộ chằng lệch đơn cho trụ hạ thế: CL.ht: 0 bộ</v>
      </c>
      <c r="D97" s="1525">
        <f>'5Neo'!F7</f>
        <v>0</v>
      </c>
      <c r="E97" s="1523"/>
    </row>
    <row r="98" spans="2:7" hidden="1">
      <c r="B98" s="1520"/>
      <c r="C98" s="1524" t="str">
        <f>'5Neo'!D8&amp;": "&amp;D98&amp;" bộ"</f>
        <v>Bộ chằng xuống đơn cho trụ 10,5m: CX10-B: 0 bộ</v>
      </c>
      <c r="D98" s="1525">
        <f>'5Neo'!F8</f>
        <v>0</v>
      </c>
      <c r="E98" s="1523"/>
    </row>
    <row r="99" spans="2:7" hidden="1">
      <c r="B99" s="1520"/>
      <c r="C99" s="1524" t="str">
        <f>'5Neo'!D9&amp;": "&amp;D99&amp;" bộ"</f>
        <v>Bộ chằng lệch đơn cho trụ 10,5m: CL10-B: 0 bộ</v>
      </c>
      <c r="D99" s="1525">
        <f>'5Neo'!F9</f>
        <v>0</v>
      </c>
      <c r="E99" s="1523"/>
    </row>
    <row r="100" spans="2:7" hidden="1">
      <c r="B100" s="1520"/>
      <c r="C100" s="1524" t="str">
        <f>'5Neo'!D10&amp;": "&amp;D100&amp;" bộ"</f>
        <v>Bộ chằng xuống kép cho trụ 10,5m: CXX10-B: 0 bộ</v>
      </c>
      <c r="D100" s="1525">
        <f>'5Neo'!F10</f>
        <v>0</v>
      </c>
      <c r="E100" s="1523"/>
    </row>
    <row r="101" spans="2:7" hidden="1">
      <c r="B101" s="1520"/>
      <c r="C101" s="1524" t="str">
        <f>'5Neo'!D11&amp;": "&amp;D101&amp;" bộ"</f>
        <v>Tháo bộ chằng xuống đơn cho trụ 12m: CX12-B: 0 bộ</v>
      </c>
      <c r="D101" s="1525">
        <f>'5Neo'!F11</f>
        <v>0</v>
      </c>
      <c r="E101" s="1523"/>
    </row>
    <row r="102" spans="2:7" hidden="1">
      <c r="B102" s="1520"/>
      <c r="C102" s="1524" t="str">
        <f>'5Neo'!D12&amp;": "&amp;D102&amp;" bộ"</f>
        <v>Bộ chằng xuống đơn cho trụ 12m: CX12-B: 0 bộ</v>
      </c>
      <c r="D102" s="1525">
        <f>'5Neo'!F12</f>
        <v>0</v>
      </c>
      <c r="E102" s="1523"/>
    </row>
    <row r="103" spans="2:7" hidden="1">
      <c r="B103" s="1520"/>
      <c r="C103" s="1524" t="str">
        <f>'5Neo'!D13&amp;": "&amp;D103&amp;" bộ"</f>
        <v>Tháo bộ chằng lệch đơn cho trụ 12m: CL12-B: 0 bộ</v>
      </c>
      <c r="D103" s="1525">
        <f>'5Neo'!F13</f>
        <v>0</v>
      </c>
      <c r="E103" s="1523"/>
    </row>
    <row r="104" spans="2:7">
      <c r="B104" s="1520"/>
      <c r="C104" s="1524" t="str">
        <f>'5Neo'!D14&amp;": "&amp;D104&amp;" bộ"</f>
        <v>Bộ chằng lệch đơn cho trụ 12m: CL12-B: 1 bộ</v>
      </c>
      <c r="D104" s="1525">
        <f>'5Neo'!F14</f>
        <v>1</v>
      </c>
      <c r="E104" s="1523"/>
    </row>
    <row r="105" spans="2:7" hidden="1">
      <c r="B105" s="1520"/>
      <c r="C105" s="1524" t="str">
        <f>'5Neo'!D15&amp;": "&amp;D105&amp;" bộ"</f>
        <v>Bộ chằng xuống kép cho trụ 12m: CXX12-B: 0 bộ</v>
      </c>
      <c r="D105" s="1525">
        <f>'5Neo'!F15</f>
        <v>0</v>
      </c>
      <c r="E105" s="1523"/>
    </row>
    <row r="106" spans="2:7" s="1285" customFormat="1" hidden="1">
      <c r="B106" s="1520"/>
      <c r="C106" s="1524" t="str">
        <f>'5Neo'!D16&amp;": "&amp;D106&amp;" bộ"</f>
        <v>Bộ chằng xuống đơn cho trụ 14m: CX14-B: 0 bộ</v>
      </c>
      <c r="D106" s="1525">
        <f>'5Neo'!F16</f>
        <v>0</v>
      </c>
      <c r="E106" s="1523"/>
      <c r="G106" s="1504"/>
    </row>
    <row r="107" spans="2:7" s="1285" customFormat="1" hidden="1">
      <c r="B107" s="1520"/>
      <c r="C107" s="1524" t="str">
        <f>'5Neo'!D17&amp;": "&amp;D107&amp;" bộ"</f>
        <v>Bộ chằng lệch đơn cho trụ 14m: CL14-B: 0 bộ</v>
      </c>
      <c r="D107" s="1525">
        <f>'5Neo'!F17</f>
        <v>0</v>
      </c>
      <c r="E107" s="1523"/>
      <c r="G107" s="1504"/>
    </row>
    <row r="108" spans="2:7" s="1285" customFormat="1" hidden="1">
      <c r="B108" s="1520"/>
      <c r="C108" s="1524" t="str">
        <f>'5Neo'!D18&amp;": "&amp;D108&amp;" bộ"</f>
        <v>Bộ chằng xuống kép cho trụ 14m: CXX14-B: 0 bộ</v>
      </c>
      <c r="D108" s="1525">
        <f>'5Neo'!F18</f>
        <v>0</v>
      </c>
      <c r="E108" s="1523"/>
      <c r="G108" s="1504"/>
    </row>
    <row r="109" spans="2:7" s="1285" customFormat="1" hidden="1">
      <c r="B109" s="1520"/>
      <c r="C109" s="1524" t="str">
        <f>'5Neo'!D19&amp;": "&amp;D109&amp;" bộ"</f>
        <v>Bộ chằng vượt đơn: CK-B: 0 bộ</v>
      </c>
      <c r="D109" s="1525">
        <f>'5Neo'!F19</f>
        <v>0</v>
      </c>
      <c r="E109" s="1523"/>
      <c r="G109" s="1504"/>
    </row>
    <row r="110" spans="2:7" s="1285" customFormat="1" hidden="1">
      <c r="B110" s="1520"/>
      <c r="C110" s="1524" t="str">
        <f>'5Neo'!D20&amp;": "&amp;D110&amp;" bộ"</f>
        <v>Bộ chằng vượt kép: CKK-B: 0 bộ</v>
      </c>
      <c r="D110" s="1525">
        <f>'5Neo'!F20</f>
        <v>0</v>
      </c>
      <c r="E110" s="1523"/>
      <c r="G110" s="1504"/>
    </row>
    <row r="111" spans="2:7" s="1285" customFormat="1" hidden="1">
      <c r="B111" s="1520"/>
      <c r="C111" s="1524" t="str">
        <f>'5Neo'!D21&amp;": "&amp;D111&amp;" bộ"</f>
        <v>Bộ chằng xuống đơn cho trụ 10,5m: CX10-C: 0 bộ</v>
      </c>
      <c r="D111" s="1525">
        <f>'5Neo'!F21</f>
        <v>0</v>
      </c>
      <c r="E111" s="1523"/>
      <c r="G111" s="1504"/>
    </row>
    <row r="112" spans="2:7" s="1285" customFormat="1" hidden="1">
      <c r="B112" s="1520"/>
      <c r="C112" s="1524" t="str">
        <f>'5Neo'!D22&amp;": "&amp;D112&amp;" bộ"</f>
        <v>Bộ chằng lệch đơn cho trụ 10,5m: CL10-C: 0 bộ</v>
      </c>
      <c r="D112" s="1525">
        <f>'5Neo'!F22</f>
        <v>0</v>
      </c>
      <c r="E112" s="1523"/>
      <c r="G112" s="1504"/>
    </row>
    <row r="113" spans="2:7" s="1285" customFormat="1" hidden="1">
      <c r="B113" s="1520"/>
      <c r="C113" s="1524" t="str">
        <f>'5Neo'!D23&amp;": "&amp;D113&amp;" bộ"</f>
        <v>Bộ chằng xuống kép cho trụ 10,5m: CXX10-C: 0 bộ</v>
      </c>
      <c r="D113" s="1525">
        <f>'5Neo'!F23</f>
        <v>0</v>
      </c>
      <c r="E113" s="1523"/>
      <c r="G113" s="1504"/>
    </row>
    <row r="114" spans="2:7" s="1285" customFormat="1" hidden="1">
      <c r="B114" s="1520"/>
      <c r="C114" s="1524" t="str">
        <f>'5Neo'!D24&amp;": "&amp;D114&amp;" bộ"</f>
        <v>Bộ chằng xuống đơn cho trụ 12m: CX12-C: 0 bộ</v>
      </c>
      <c r="D114" s="1525">
        <f>'5Neo'!F24</f>
        <v>0</v>
      </c>
      <c r="E114" s="1523"/>
      <c r="G114" s="1504"/>
    </row>
    <row r="115" spans="2:7" s="1285" customFormat="1" hidden="1">
      <c r="B115" s="1520"/>
      <c r="C115" s="1524" t="str">
        <f>'5Neo'!D25&amp;": "&amp;D115&amp;" bộ"</f>
        <v>Bộ chằng lệch đơn cho trụ 12m: CL12-C: 0 bộ</v>
      </c>
      <c r="D115" s="1525">
        <f>'5Neo'!F25</f>
        <v>0</v>
      </c>
      <c r="E115" s="1523"/>
      <c r="G115" s="1504"/>
    </row>
    <row r="116" spans="2:7" s="1285" customFormat="1" hidden="1">
      <c r="B116" s="1520"/>
      <c r="C116" s="1524" t="str">
        <f>'5Neo'!D26&amp;": "&amp;D116&amp;" bộ"</f>
        <v>Bộ chằng xuống kép cho trụ 12m: CXX12-C: 0 bộ</v>
      </c>
      <c r="D116" s="1525">
        <f>'5Neo'!F26</f>
        <v>0</v>
      </c>
      <c r="E116" s="1523"/>
      <c r="G116" s="1504"/>
    </row>
    <row r="117" spans="2:7" s="1285" customFormat="1" hidden="1">
      <c r="B117" s="1520"/>
      <c r="C117" s="1524" t="str">
        <f>'5Neo'!D27&amp;": "&amp;D117&amp;" bộ"</f>
        <v>Bộ chằng xuống đơn cho trụ 14m: CX14-C: 0 bộ</v>
      </c>
      <c r="D117" s="1525">
        <f>'5Neo'!F27</f>
        <v>0</v>
      </c>
      <c r="E117" s="1523"/>
      <c r="G117" s="1504"/>
    </row>
    <row r="118" spans="2:7" s="1285" customFormat="1" hidden="1">
      <c r="B118" s="1520"/>
      <c r="C118" s="1524" t="str">
        <f>'5Neo'!D28&amp;": "&amp;D118&amp;" bộ"</f>
        <v>Bộ chằng lệch đơn cho trụ 14m: CL14-C: 0 bộ</v>
      </c>
      <c r="D118" s="1525">
        <f>'5Neo'!F28</f>
        <v>0</v>
      </c>
      <c r="E118" s="1523"/>
      <c r="G118" s="1504"/>
    </row>
    <row r="119" spans="2:7" s="1285" customFormat="1" hidden="1">
      <c r="B119" s="1520"/>
      <c r="C119" s="1524" t="str">
        <f>'5Neo'!D29&amp;": "&amp;D119&amp;" bộ"</f>
        <v>Bộ chằng xuống kép cho trụ 14m: CXX14-C: 0 bộ</v>
      </c>
      <c r="D119" s="1525">
        <f>'5Neo'!F29</f>
        <v>0</v>
      </c>
      <c r="E119" s="1523"/>
      <c r="G119" s="1504"/>
    </row>
    <row r="120" spans="2:7" s="1285" customFormat="1" hidden="1">
      <c r="B120" s="1520"/>
      <c r="C120" s="1524" t="str">
        <f>'5Neo'!D30&amp;": "&amp;D120&amp;" bộ"</f>
        <v>Bộ chằng xuống đơn cho trụ 20m: CX20-C: 0 bộ</v>
      </c>
      <c r="D120" s="1525">
        <f>'5Neo'!F30</f>
        <v>0</v>
      </c>
      <c r="E120" s="1523"/>
      <c r="G120" s="1504"/>
    </row>
    <row r="121" spans="2:7" s="1285" customFormat="1" hidden="1">
      <c r="B121" s="1520"/>
      <c r="C121" s="1524" t="str">
        <f>'5Neo'!D31&amp;": "&amp;D121&amp;" bộ"</f>
        <v>Bộ chằng vượt đơn: CK-C: 0 bộ</v>
      </c>
      <c r="D121" s="1525">
        <f>'5Neo'!F31</f>
        <v>0</v>
      </c>
      <c r="E121" s="1523"/>
      <c r="G121" s="1504"/>
    </row>
    <row r="122" spans="2:7" s="1285" customFormat="1" hidden="1">
      <c r="B122" s="1520"/>
      <c r="C122" s="1524" t="str">
        <f>'5Neo'!D32&amp;": "&amp;D122&amp;" bộ"</f>
        <v>Bộ chằng vượt kép: CKK-C: 0 bộ</v>
      </c>
      <c r="D122" s="1525">
        <f>'5Neo'!F32</f>
        <v>0</v>
      </c>
      <c r="E122" s="1523"/>
      <c r="G122" s="1504"/>
    </row>
    <row r="123" spans="2:7" s="1285" customFormat="1" ht="35.25" hidden="1" customHeight="1">
      <c r="B123" s="1520"/>
      <c r="C123" s="1521" t="s">
        <v>4563</v>
      </c>
      <c r="D123" s="1526" t="e">
        <f ca="1">SUM(D74,D85,D93)</f>
        <v>#REF!</v>
      </c>
      <c r="E123" s="1523"/>
      <c r="G123" s="1504"/>
    </row>
    <row r="124" spans="2:7" ht="32.25" hidden="1" customHeight="1">
      <c r="B124" s="1520">
        <f>B3+2</f>
        <v>43876</v>
      </c>
      <c r="C124" s="1521" t="s">
        <v>4558</v>
      </c>
      <c r="D124" s="1522" t="e">
        <f ca="1">SUM(D125:D181)</f>
        <v>#REF!</v>
      </c>
      <c r="E124" s="1523"/>
    </row>
    <row r="125" spans="2:7" ht="33">
      <c r="B125" s="1520"/>
      <c r="C125" s="1524" t="str">
        <f>'6PK'!D4</f>
        <v>Bộ xà kép L75x75x8 dài 2.2m: X-22K-Đ - C810 (lắp trụ đơn)</v>
      </c>
      <c r="D125" s="1525">
        <f ca="1">'6PK'!G4</f>
        <v>4</v>
      </c>
      <c r="E125" s="2164" t="str">
        <f>'6PK'!E4</f>
        <v>Bộ</v>
      </c>
    </row>
    <row r="126" spans="2:7" ht="33" hidden="1">
      <c r="B126" s="1520"/>
      <c r="C126" s="1524" t="str">
        <f>'6PK'!D5</f>
        <v>Bộ xà kép L75x75x8 dài 2.2m: X-22K-K - C810 (lắp theo hướng trụ ghép)</v>
      </c>
      <c r="D126" s="1525">
        <f ca="1">'6PK'!G5</f>
        <v>3</v>
      </c>
      <c r="E126" s="2164" t="str">
        <f>'6PK'!E5</f>
        <v>Bộ</v>
      </c>
    </row>
    <row r="127" spans="2:7" hidden="1">
      <c r="B127" s="1520"/>
      <c r="C127" s="1524" t="str">
        <f>'6PK'!D6</f>
        <v>Bộ xà lệch đơn L75x75x8 dài 2,1m: X-21ĐL</v>
      </c>
      <c r="D127" s="1525">
        <f ca="1">'6PK'!G6</f>
        <v>15</v>
      </c>
      <c r="E127" s="2164" t="str">
        <f>'6PK'!E6</f>
        <v>Bộ</v>
      </c>
    </row>
    <row r="128" spans="2:7">
      <c r="B128" s="1520"/>
      <c r="C128" s="1524" t="str">
        <f>'6PK'!D7</f>
        <v>Bộ xà lệch kép L75x75x8 dài 2,1m: X-21KL</v>
      </c>
      <c r="D128" s="1525">
        <f ca="1">'6PK'!G7</f>
        <v>1</v>
      </c>
      <c r="E128" s="2164" t="str">
        <f>'6PK'!E7</f>
        <v>Bộ</v>
      </c>
    </row>
    <row r="129" spans="2:5" hidden="1">
      <c r="B129" s="1520"/>
      <c r="C129" s="1524" t="str">
        <f>'6PK'!D8</f>
        <v>Bộ đà composite 0,8m</v>
      </c>
      <c r="D129" s="1525">
        <f ca="1">'6PK'!G8</f>
        <v>0</v>
      </c>
      <c r="E129" s="2164" t="str">
        <f>'6PK'!E8</f>
        <v>bộ</v>
      </c>
    </row>
    <row r="130" spans="2:5" ht="18" hidden="1" customHeight="1">
      <c r="B130" s="1520"/>
      <c r="C130" s="1524" t="str">
        <f>'6PK'!D9</f>
        <v>Bộ Uclevis đỡ dây trung hòa: Đth-U</v>
      </c>
      <c r="D130" s="1525">
        <f ca="1">'6PK'!G9</f>
        <v>17</v>
      </c>
      <c r="E130" s="2164" t="str">
        <f>'6PK'!E9</f>
        <v>bộ</v>
      </c>
    </row>
    <row r="131" spans="2:5" hidden="1">
      <c r="B131" s="1520"/>
      <c r="C131" s="1524" t="str">
        <f>'6PK'!D10</f>
        <v>Bộ cách điện đứng+ty sứ : SĐU</v>
      </c>
      <c r="D131" s="1525">
        <f ca="1">'6PK'!G10</f>
        <v>69</v>
      </c>
      <c r="E131" s="2164" t="str">
        <f>'6PK'!E10</f>
        <v>bộ</v>
      </c>
    </row>
    <row r="132" spans="2:5" hidden="1">
      <c r="B132" s="1520"/>
      <c r="C132" s="1524" t="str">
        <f>'6PK'!D11</f>
        <v>Chuỗi sứ treo Polymer 25kV lắp vào xà : CĐT ply-X</v>
      </c>
      <c r="D132" s="1525">
        <f ca="1">'6PK'!G11</f>
        <v>0</v>
      </c>
      <c r="E132" s="2164" t="str">
        <f>'6PK'!E11</f>
        <v>bộ</v>
      </c>
    </row>
    <row r="133" spans="2:5" hidden="1">
      <c r="B133" s="1520"/>
      <c r="C133" s="1524" t="str">
        <f>'6PK'!D12</f>
        <v>Kẹp treo cáp ABC4x95mm2</v>
      </c>
      <c r="D133" s="1525">
        <f ca="1">'6PK'!G12</f>
        <v>0</v>
      </c>
      <c r="E133" s="2164" t="str">
        <f>'6PK'!E12</f>
        <v>cái</v>
      </c>
    </row>
    <row r="134" spans="2:5" hidden="1">
      <c r="B134" s="1520"/>
      <c r="C134" s="1524" t="str">
        <f>'6PK'!D13</f>
        <v>Kẹp ngừng cáp ABC4x95mm2</v>
      </c>
      <c r="D134" s="1525">
        <f ca="1">'6PK'!G13</f>
        <v>0</v>
      </c>
      <c r="E134" s="2164" t="str">
        <f>'6PK'!E13</f>
        <v>cái</v>
      </c>
    </row>
    <row r="135" spans="2:5" hidden="1">
      <c r="B135" s="1520"/>
      <c r="C135" s="1524" t="e">
        <f>'6PK'!#REF!</f>
        <v>#REF!</v>
      </c>
      <c r="D135" s="1525" t="e">
        <f>'6PK'!#REF!</f>
        <v>#REF!</v>
      </c>
      <c r="E135" s="2164" t="e">
        <f>'6PK'!#REF!</f>
        <v>#REF!</v>
      </c>
    </row>
    <row r="136" spans="2:5" hidden="1">
      <c r="B136" s="1520"/>
      <c r="C136" s="1524" t="e">
        <f>'6PK'!#REF!</f>
        <v>#REF!</v>
      </c>
      <c r="D136" s="1525" t="e">
        <f>'6PK'!#REF!</f>
        <v>#REF!</v>
      </c>
      <c r="E136" s="2164" t="e">
        <f>'6PK'!#REF!</f>
        <v>#REF!</v>
      </c>
    </row>
    <row r="137" spans="2:5" hidden="1">
      <c r="B137" s="1520"/>
      <c r="C137" s="1524" t="e">
        <f>'6PK'!#REF!</f>
        <v>#REF!</v>
      </c>
      <c r="D137" s="1525" t="e">
        <f>'6PK'!#REF!</f>
        <v>#REF!</v>
      </c>
      <c r="E137" s="2164" t="e">
        <f>'6PK'!#REF!</f>
        <v>#REF!</v>
      </c>
    </row>
    <row r="138" spans="2:5" hidden="1">
      <c r="B138" s="1520"/>
      <c r="C138" s="1524" t="e">
        <f>'6PK'!#REF!</f>
        <v>#REF!</v>
      </c>
      <c r="D138" s="1525" t="e">
        <f>'6PK'!#REF!</f>
        <v>#REF!</v>
      </c>
      <c r="E138" s="2164" t="e">
        <f>'6PK'!#REF!</f>
        <v>#REF!</v>
      </c>
    </row>
    <row r="139" spans="2:5">
      <c r="B139" s="1520"/>
      <c r="C139" s="1524" t="str">
        <f>'6PK'!D14</f>
        <v>Bộ xà composite 2,4m bắt FCO</v>
      </c>
      <c r="D139" s="1525">
        <f ca="1">'6PK'!G14</f>
        <v>1</v>
      </c>
      <c r="E139" s="2164" t="str">
        <f>'6PK'!E14</f>
        <v>Bộ</v>
      </c>
    </row>
    <row r="140" spans="2:5">
      <c r="B140" s="1520"/>
      <c r="C140" s="1524" t="str">
        <f>'6PK'!D15</f>
        <v>Bộ chằng lệch đơn cho trụ 12m: CL12-B</v>
      </c>
      <c r="D140" s="1525">
        <f ca="1">'6PK'!G15</f>
        <v>1</v>
      </c>
      <c r="E140" s="2164" t="str">
        <f>'6PK'!E15</f>
        <v>Bộ</v>
      </c>
    </row>
    <row r="141" spans="2:5">
      <c r="B141" s="1520"/>
      <c r="C141" s="1524" t="str">
        <f>'6PK'!D16</f>
        <v>Bộ móng neo xòe cho chằng lệch: NXL</v>
      </c>
      <c r="D141" s="1525">
        <f ca="1">'6PK'!G16</f>
        <v>1</v>
      </c>
      <c r="E141" s="2164" t="str">
        <f>'6PK'!E16</f>
        <v>Bộ</v>
      </c>
    </row>
    <row r="142" spans="2:5" hidden="1">
      <c r="B142" s="1520"/>
      <c r="C142" s="1524" t="e">
        <f>'6PK'!D17</f>
        <v>#N/A</v>
      </c>
      <c r="D142" s="1525">
        <f>'6PK'!G17</f>
        <v>0</v>
      </c>
      <c r="E142" s="2164" t="e">
        <f>'6PK'!E17</f>
        <v>#N/A</v>
      </c>
    </row>
    <row r="143" spans="2:5" hidden="1">
      <c r="B143" s="1520"/>
      <c r="C143" s="1524" t="e">
        <f>'6PK'!D18</f>
        <v>#N/A</v>
      </c>
      <c r="D143" s="1525">
        <f>'6PK'!G18</f>
        <v>0</v>
      </c>
      <c r="E143" s="2164" t="e">
        <f>'6PK'!E18</f>
        <v>#N/A</v>
      </c>
    </row>
    <row r="144" spans="2:5" hidden="1">
      <c r="B144" s="1520"/>
      <c r="C144" s="1524" t="e">
        <f>'6PK'!#REF!</f>
        <v>#REF!</v>
      </c>
      <c r="D144" s="1525" t="e">
        <f>'6PK'!#REF!</f>
        <v>#REF!</v>
      </c>
      <c r="E144" s="2164" t="e">
        <f>'6PK'!#REF!</f>
        <v>#REF!</v>
      </c>
    </row>
    <row r="145" spans="2:5">
      <c r="B145" s="1520"/>
      <c r="C145" s="1524" t="str">
        <f>'6PK'!D19</f>
        <v>Bộ khóa néo dây trung hòa vào trụ: Nth-T</v>
      </c>
      <c r="D145" s="1525">
        <f ca="1">'6PK'!G19</f>
        <v>8</v>
      </c>
      <c r="E145" s="2164" t="str">
        <f>'6PK'!E19</f>
        <v>bộ</v>
      </c>
    </row>
    <row r="146" spans="2:5" hidden="1">
      <c r="B146" s="1520"/>
      <c r="C146" s="1524" t="e">
        <f>'6PK'!#REF!</f>
        <v>#REF!</v>
      </c>
      <c r="D146" s="1525" t="e">
        <f>'6PK'!#REF!</f>
        <v>#REF!</v>
      </c>
      <c r="E146" s="2164" t="e">
        <f>'6PK'!#REF!</f>
        <v>#REF!</v>
      </c>
    </row>
    <row r="147" spans="2:5" hidden="1">
      <c r="B147" s="1520"/>
      <c r="C147" s="1524" t="str">
        <f>'6PK'!D20</f>
        <v>Chuỗi sứ treo Polymer 25kV lắp vào xà : CĐT ply-X</v>
      </c>
      <c r="D147" s="1525">
        <f ca="1">'6PK'!G20</f>
        <v>24</v>
      </c>
      <c r="E147" s="2164" t="str">
        <f>'6PK'!E20</f>
        <v>bộ</v>
      </c>
    </row>
    <row r="148" spans="2:5" hidden="1">
      <c r="B148" s="1520"/>
      <c r="C148" s="1524" t="e">
        <f>'6PK'!D21</f>
        <v>#N/A</v>
      </c>
      <c r="D148" s="1525">
        <f>'6PK'!G21</f>
        <v>0</v>
      </c>
      <c r="E148" s="2164" t="e">
        <f>'6PK'!E21</f>
        <v>#N/A</v>
      </c>
    </row>
    <row r="149" spans="2:5" hidden="1">
      <c r="B149" s="1520"/>
      <c r="C149" s="1524" t="e">
        <f>'6PK'!D22</f>
        <v>#N/A</v>
      </c>
      <c r="D149" s="1525">
        <f>'6PK'!G22</f>
        <v>0</v>
      </c>
      <c r="E149" s="2164" t="e">
        <f>'6PK'!E22</f>
        <v>#N/A</v>
      </c>
    </row>
    <row r="150" spans="2:5" hidden="1">
      <c r="B150" s="1520"/>
      <c r="C150" s="1524" t="e">
        <f>'6PK'!D23</f>
        <v>#N/A</v>
      </c>
      <c r="D150" s="1525">
        <f>'6PK'!G23</f>
        <v>0</v>
      </c>
      <c r="E150" s="2164" t="e">
        <f>'6PK'!E23</f>
        <v>#N/A</v>
      </c>
    </row>
    <row r="151" spans="2:5" hidden="1">
      <c r="B151" s="1520"/>
      <c r="C151" s="1524" t="e">
        <f>'6PK'!D26</f>
        <v>#N/A</v>
      </c>
      <c r="D151" s="1525">
        <f>'6PK'!G26</f>
        <v>0</v>
      </c>
      <c r="E151" s="2164" t="e">
        <f>'6PK'!E26</f>
        <v>#N/A</v>
      </c>
    </row>
    <row r="152" spans="2:5" hidden="1">
      <c r="B152" s="1520"/>
      <c r="C152" s="1524" t="e">
        <f>'6PK'!D27</f>
        <v>#N/A</v>
      </c>
      <c r="D152" s="1525">
        <f>'6PK'!G27</f>
        <v>0</v>
      </c>
      <c r="E152" s="2164" t="e">
        <f>'6PK'!E27</f>
        <v>#N/A</v>
      </c>
    </row>
    <row r="153" spans="2:5" hidden="1">
      <c r="B153" s="1520"/>
      <c r="C153" s="1524" t="e">
        <f>'6PK'!D28</f>
        <v>#N/A</v>
      </c>
      <c r="D153" s="1525">
        <f>'6PK'!G28</f>
        <v>0</v>
      </c>
      <c r="E153" s="2164" t="e">
        <f>'6PK'!E28</f>
        <v>#N/A</v>
      </c>
    </row>
    <row r="154" spans="2:5" hidden="1">
      <c r="B154" s="1520"/>
      <c r="C154" s="1524" t="e">
        <f>'6PK'!D29</f>
        <v>#N/A</v>
      </c>
      <c r="D154" s="1525">
        <f>'6PK'!G29</f>
        <v>0</v>
      </c>
      <c r="E154" s="2164" t="e">
        <f>'6PK'!E29</f>
        <v>#N/A</v>
      </c>
    </row>
    <row r="155" spans="2:5" hidden="1">
      <c r="B155" s="1520"/>
      <c r="C155" s="1524" t="e">
        <f>'6PK'!D30</f>
        <v>#N/A</v>
      </c>
      <c r="D155" s="1525">
        <f>'6PK'!G30</f>
        <v>0</v>
      </c>
      <c r="E155" s="2164" t="e">
        <f>'6PK'!E30</f>
        <v>#N/A</v>
      </c>
    </row>
    <row r="156" spans="2:5" hidden="1">
      <c r="B156" s="1520"/>
      <c r="C156" s="1524" t="e">
        <f>'6PK'!D31</f>
        <v>#N/A</v>
      </c>
      <c r="D156" s="1525">
        <f>'6PK'!G31</f>
        <v>0</v>
      </c>
      <c r="E156" s="2164" t="e">
        <f>'6PK'!E31</f>
        <v>#N/A</v>
      </c>
    </row>
    <row r="157" spans="2:5" hidden="1">
      <c r="B157" s="1520"/>
      <c r="C157" s="1524" t="e">
        <f>'6PK'!D32</f>
        <v>#N/A</v>
      </c>
      <c r="D157" s="1525">
        <f>'6PK'!G32</f>
        <v>0</v>
      </c>
      <c r="E157" s="2164" t="e">
        <f>'6PK'!E32</f>
        <v>#N/A</v>
      </c>
    </row>
    <row r="158" spans="2:5" hidden="1">
      <c r="B158" s="1520"/>
      <c r="C158" s="1524" t="e">
        <f>'6PK'!D33</f>
        <v>#N/A</v>
      </c>
      <c r="D158" s="1525">
        <f>'6PK'!G33</f>
        <v>0</v>
      </c>
      <c r="E158" s="2164" t="e">
        <f>'6PK'!E33</f>
        <v>#N/A</v>
      </c>
    </row>
    <row r="159" spans="2:5" hidden="1">
      <c r="B159" s="1520"/>
      <c r="C159" s="1524" t="e">
        <f>'6PK'!D34</f>
        <v>#N/A</v>
      </c>
      <c r="D159" s="1525">
        <f>'6PK'!G34</f>
        <v>0</v>
      </c>
      <c r="E159" s="2164" t="e">
        <f>'6PK'!E34</f>
        <v>#N/A</v>
      </c>
    </row>
    <row r="160" spans="2:5" hidden="1">
      <c r="B160" s="1520"/>
      <c r="C160" s="1524" t="e">
        <f>'6PK'!D35</f>
        <v>#N/A</v>
      </c>
      <c r="D160" s="1525">
        <f>'6PK'!G35</f>
        <v>0</v>
      </c>
      <c r="E160" s="2164" t="e">
        <f>'6PK'!E35</f>
        <v>#N/A</v>
      </c>
    </row>
    <row r="161" spans="2:5" hidden="1">
      <c r="B161" s="1520"/>
      <c r="C161" s="1524" t="e">
        <f>'6PK'!D36</f>
        <v>#N/A</v>
      </c>
      <c r="D161" s="1525">
        <f>'6PK'!G36</f>
        <v>0</v>
      </c>
      <c r="E161" s="2164" t="e">
        <f>'6PK'!E36</f>
        <v>#N/A</v>
      </c>
    </row>
    <row r="162" spans="2:5" hidden="1">
      <c r="B162" s="1520"/>
      <c r="C162" s="1524" t="e">
        <f>'6PK'!D37</f>
        <v>#N/A</v>
      </c>
      <c r="D162" s="1525">
        <f>'6PK'!G37</f>
        <v>0</v>
      </c>
      <c r="E162" s="2164" t="e">
        <f>'6PK'!E37</f>
        <v>#N/A</v>
      </c>
    </row>
    <row r="163" spans="2:5" hidden="1">
      <c r="B163" s="1520"/>
      <c r="C163" s="1524" t="e">
        <f>'6PK'!D38</f>
        <v>#N/A</v>
      </c>
      <c r="D163" s="1525">
        <f>'6PK'!G38</f>
        <v>0</v>
      </c>
      <c r="E163" s="2164" t="e">
        <f>'6PK'!E38</f>
        <v>#N/A</v>
      </c>
    </row>
    <row r="164" spans="2:5" hidden="1">
      <c r="B164" s="1520"/>
      <c r="C164" s="1524" t="e">
        <f>'6PK'!D39</f>
        <v>#N/A</v>
      </c>
      <c r="D164" s="1525">
        <f>'6PK'!G39</f>
        <v>0</v>
      </c>
      <c r="E164" s="2164" t="e">
        <f>'6PK'!E39</f>
        <v>#N/A</v>
      </c>
    </row>
    <row r="165" spans="2:5" hidden="1">
      <c r="B165" s="1520"/>
      <c r="C165" s="1524" t="e">
        <f>'6PK'!D40</f>
        <v>#N/A</v>
      </c>
      <c r="D165" s="1525">
        <f>'6PK'!G40</f>
        <v>0</v>
      </c>
      <c r="E165" s="2164" t="e">
        <f>'6PK'!E40</f>
        <v>#N/A</v>
      </c>
    </row>
    <row r="166" spans="2:5" hidden="1">
      <c r="B166" s="1520"/>
      <c r="C166" s="1524" t="e">
        <f>'6PK'!D41</f>
        <v>#N/A</v>
      </c>
      <c r="D166" s="1525">
        <f>'6PK'!G41</f>
        <v>0</v>
      </c>
      <c r="E166" s="2164" t="e">
        <f>'6PK'!E41</f>
        <v>#N/A</v>
      </c>
    </row>
    <row r="167" spans="2:5" hidden="1">
      <c r="B167" s="1520"/>
      <c r="C167" s="1524" t="e">
        <f>'6PK'!D42</f>
        <v>#N/A</v>
      </c>
      <c r="D167" s="1525">
        <f>'6PK'!G42</f>
        <v>0</v>
      </c>
      <c r="E167" s="2164" t="e">
        <f>'6PK'!E42</f>
        <v>#N/A</v>
      </c>
    </row>
    <row r="168" spans="2:5" hidden="1">
      <c r="B168" s="1520"/>
      <c r="C168" s="1524" t="e">
        <f>'6PK'!D43</f>
        <v>#N/A</v>
      </c>
      <c r="D168" s="1525">
        <f>'6PK'!G43</f>
        <v>0</v>
      </c>
      <c r="E168" s="2164" t="e">
        <f>'6PK'!E43</f>
        <v>#N/A</v>
      </c>
    </row>
    <row r="169" spans="2:5" hidden="1">
      <c r="B169" s="1520"/>
      <c r="C169" s="1524" t="e">
        <f>'6PK'!D44</f>
        <v>#N/A</v>
      </c>
      <c r="D169" s="1525">
        <f>'6PK'!G44</f>
        <v>0</v>
      </c>
      <c r="E169" s="2164" t="e">
        <f>'6PK'!E44</f>
        <v>#N/A</v>
      </c>
    </row>
    <row r="170" spans="2:5" hidden="1">
      <c r="B170" s="1520"/>
      <c r="C170" s="1524" t="e">
        <f>'6PK'!D45</f>
        <v>#N/A</v>
      </c>
      <c r="D170" s="1525">
        <f>'6PK'!G45</f>
        <v>0</v>
      </c>
      <c r="E170" s="2164" t="e">
        <f>'6PK'!E45</f>
        <v>#N/A</v>
      </c>
    </row>
    <row r="171" spans="2:5" hidden="1">
      <c r="B171" s="1520"/>
      <c r="C171" s="1524" t="e">
        <f>'6PK'!D46</f>
        <v>#N/A</v>
      </c>
      <c r="D171" s="1525">
        <f>'6PK'!G46</f>
        <v>0</v>
      </c>
      <c r="E171" s="2164" t="e">
        <f>'6PK'!E46</f>
        <v>#N/A</v>
      </c>
    </row>
    <row r="172" spans="2:5" hidden="1">
      <c r="B172" s="1520"/>
      <c r="C172" s="1524" t="e">
        <f>'6PK'!D47</f>
        <v>#N/A</v>
      </c>
      <c r="D172" s="1525">
        <f>'6PK'!G47</f>
        <v>0</v>
      </c>
      <c r="E172" s="2164" t="e">
        <f>'6PK'!E47</f>
        <v>#N/A</v>
      </c>
    </row>
    <row r="173" spans="2:5" hidden="1">
      <c r="B173" s="1520"/>
      <c r="C173" s="1524" t="e">
        <f>'6PK'!D48</f>
        <v>#N/A</v>
      </c>
      <c r="D173" s="1525">
        <f>'6PK'!G48</f>
        <v>0</v>
      </c>
      <c r="E173" s="2164" t="e">
        <f>'6PK'!E48</f>
        <v>#N/A</v>
      </c>
    </row>
    <row r="174" spans="2:5" hidden="1">
      <c r="B174" s="1520"/>
      <c r="C174" s="1524" t="e">
        <f>'6PK'!D49</f>
        <v>#N/A</v>
      </c>
      <c r="D174" s="1525">
        <f>'6PK'!G49</f>
        <v>0</v>
      </c>
      <c r="E174" s="2164" t="e">
        <f>'6PK'!E49</f>
        <v>#N/A</v>
      </c>
    </row>
    <row r="175" spans="2:5" hidden="1">
      <c r="B175" s="1520"/>
      <c r="C175" s="1524" t="e">
        <f>'6PK'!D50</f>
        <v>#N/A</v>
      </c>
      <c r="D175" s="1525">
        <f>'6PK'!G50</f>
        <v>0</v>
      </c>
      <c r="E175" s="2164" t="e">
        <f>'6PK'!E50</f>
        <v>#N/A</v>
      </c>
    </row>
    <row r="176" spans="2:5" hidden="1">
      <c r="B176" s="1520"/>
      <c r="C176" s="1524" t="e">
        <f>'6PK'!D51</f>
        <v>#N/A</v>
      </c>
      <c r="D176" s="1525">
        <f>'6PK'!G51</f>
        <v>0</v>
      </c>
      <c r="E176" s="2164" t="e">
        <f>'6PK'!E51</f>
        <v>#N/A</v>
      </c>
    </row>
    <row r="177" spans="2:7" hidden="1">
      <c r="B177" s="1520"/>
      <c r="C177" s="1524" t="e">
        <f>'6PK'!D52</f>
        <v>#N/A</v>
      </c>
      <c r="D177" s="1525">
        <f>'6PK'!G52</f>
        <v>0</v>
      </c>
      <c r="E177" s="2164" t="e">
        <f>'6PK'!E52</f>
        <v>#N/A</v>
      </c>
    </row>
    <row r="178" spans="2:7" hidden="1">
      <c r="B178" s="1520"/>
      <c r="C178" s="1524" t="e">
        <f>'6PK'!D53</f>
        <v>#N/A</v>
      </c>
      <c r="D178" s="1525">
        <f>'6PK'!G53</f>
        <v>0</v>
      </c>
      <c r="E178" s="2164" t="e">
        <f>'6PK'!E53</f>
        <v>#N/A</v>
      </c>
    </row>
    <row r="179" spans="2:7" hidden="1">
      <c r="B179" s="1520"/>
      <c r="C179" s="1524" t="e">
        <f>'6PK'!D54</f>
        <v>#N/A</v>
      </c>
      <c r="D179" s="1525">
        <f>'6PK'!G54</f>
        <v>0</v>
      </c>
      <c r="E179" s="2164" t="e">
        <f>'6PK'!E54</f>
        <v>#N/A</v>
      </c>
    </row>
    <row r="180" spans="2:7" hidden="1">
      <c r="B180" s="1520"/>
      <c r="C180" s="1524" t="e">
        <f>'6PK'!D55</f>
        <v>#N/A</v>
      </c>
      <c r="D180" s="1525">
        <f>'6PK'!G55</f>
        <v>0</v>
      </c>
      <c r="E180" s="2164" t="e">
        <f>'6PK'!E55</f>
        <v>#N/A</v>
      </c>
    </row>
    <row r="181" spans="2:7" hidden="1">
      <c r="B181" s="1520"/>
      <c r="C181" s="1524" t="e">
        <f>'6PK'!D56</f>
        <v>#N/A</v>
      </c>
      <c r="D181" s="1525">
        <f>'6PK'!G56</f>
        <v>0</v>
      </c>
      <c r="E181" s="2164" t="e">
        <f>'6PK'!E56</f>
        <v>#N/A</v>
      </c>
    </row>
    <row r="182" spans="2:7" s="1285" customFormat="1" hidden="1">
      <c r="B182" s="1520"/>
      <c r="C182" s="1524" t="e">
        <f>'6PK'!D57</f>
        <v>#N/A</v>
      </c>
      <c r="D182" s="1525">
        <f>'6PK'!G57</f>
        <v>0</v>
      </c>
      <c r="E182" s="2164" t="e">
        <f>'6PK'!E57</f>
        <v>#N/A</v>
      </c>
      <c r="G182" s="1504"/>
    </row>
    <row r="183" spans="2:7" s="1285" customFormat="1" hidden="1">
      <c r="B183" s="1520"/>
      <c r="C183" s="1524" t="e">
        <f>'6PK'!D58</f>
        <v>#N/A</v>
      </c>
      <c r="D183" s="1525">
        <f>'6PK'!G58</f>
        <v>0</v>
      </c>
      <c r="E183" s="2164" t="e">
        <f>'6PK'!E58</f>
        <v>#N/A</v>
      </c>
      <c r="G183" s="1504"/>
    </row>
    <row r="184" spans="2:7" s="1285" customFormat="1" hidden="1">
      <c r="B184" s="1520"/>
      <c r="C184" s="1524" t="e">
        <f>'6PK'!D59</f>
        <v>#N/A</v>
      </c>
      <c r="D184" s="1525">
        <f>'6PK'!G59</f>
        <v>0</v>
      </c>
      <c r="E184" s="2164" t="e">
        <f>'6PK'!E59</f>
        <v>#N/A</v>
      </c>
      <c r="G184" s="1504"/>
    </row>
    <row r="185" spans="2:7" s="1285" customFormat="1" hidden="1">
      <c r="B185" s="1520"/>
      <c r="C185" s="1524" t="e">
        <f>'6PK'!D60</f>
        <v>#N/A</v>
      </c>
      <c r="D185" s="1525">
        <f>'6PK'!G60</f>
        <v>0</v>
      </c>
      <c r="E185" s="2164" t="e">
        <f>'6PK'!E60</f>
        <v>#N/A</v>
      </c>
      <c r="G185" s="1504"/>
    </row>
    <row r="186" spans="2:7" s="1285" customFormat="1" hidden="1">
      <c r="B186" s="1520"/>
      <c r="C186" s="1524" t="e">
        <f>'6PK'!D61</f>
        <v>#N/A</v>
      </c>
      <c r="D186" s="1525">
        <f>'6PK'!G61</f>
        <v>0</v>
      </c>
      <c r="E186" s="2164" t="e">
        <f>'6PK'!E61</f>
        <v>#N/A</v>
      </c>
      <c r="G186" s="1504"/>
    </row>
    <row r="187" spans="2:7" s="1285" customFormat="1" hidden="1">
      <c r="B187" s="1520"/>
      <c r="C187" s="1524" t="e">
        <f>'6PK'!D62</f>
        <v>#N/A</v>
      </c>
      <c r="D187" s="1525">
        <f>'6PK'!G62</f>
        <v>0</v>
      </c>
      <c r="E187" s="2164" t="e">
        <f>'6PK'!E62</f>
        <v>#N/A</v>
      </c>
      <c r="G187" s="1504"/>
    </row>
    <row r="188" spans="2:7" s="1285" customFormat="1" hidden="1">
      <c r="B188" s="1520"/>
      <c r="C188" s="1524" t="e">
        <f>'6PK'!D63</f>
        <v>#N/A</v>
      </c>
      <c r="D188" s="1525">
        <f>'6PK'!G63</f>
        <v>0</v>
      </c>
      <c r="E188" s="2164" t="e">
        <f>'6PK'!E63</f>
        <v>#N/A</v>
      </c>
      <c r="G188" s="1504"/>
    </row>
    <row r="189" spans="2:7" s="1285" customFormat="1" hidden="1">
      <c r="B189" s="1520"/>
      <c r="C189" s="1524" t="e">
        <f>'6PK'!D64</f>
        <v>#N/A</v>
      </c>
      <c r="D189" s="1525">
        <f>'6PK'!G64</f>
        <v>0</v>
      </c>
      <c r="E189" s="2164" t="e">
        <f>'6PK'!E64</f>
        <v>#N/A</v>
      </c>
      <c r="G189" s="1504"/>
    </row>
    <row r="190" spans="2:7" s="1285" customFormat="1" hidden="1">
      <c r="B190" s="1520"/>
      <c r="C190" s="1524" t="e">
        <f>'6PK'!D65</f>
        <v>#N/A</v>
      </c>
      <c r="D190" s="1525">
        <f>'6PK'!G65</f>
        <v>0</v>
      </c>
      <c r="E190" s="2164" t="e">
        <f>'6PK'!E65</f>
        <v>#N/A</v>
      </c>
      <c r="G190" s="1504"/>
    </row>
    <row r="191" spans="2:7" s="1285" customFormat="1" hidden="1">
      <c r="B191" s="1520"/>
      <c r="C191" s="1524" t="e">
        <f>'6PK'!D66</f>
        <v>#N/A</v>
      </c>
      <c r="D191" s="1525">
        <f>'6PK'!G66</f>
        <v>0</v>
      </c>
      <c r="E191" s="2164" t="e">
        <f>'6PK'!E66</f>
        <v>#N/A</v>
      </c>
      <c r="G191" s="1504"/>
    </row>
    <row r="192" spans="2:7" s="1285" customFormat="1" hidden="1">
      <c r="B192" s="1520"/>
      <c r="C192" s="1524" t="e">
        <f>'6PK'!D75</f>
        <v>#N/A</v>
      </c>
      <c r="D192" s="1525">
        <f>'6PK'!G75</f>
        <v>0</v>
      </c>
      <c r="E192" s="2164">
        <f>'6PK'!H67</f>
        <v>4</v>
      </c>
      <c r="G192" s="1504"/>
    </row>
    <row r="193" spans="2:7" s="1285" customFormat="1" hidden="1">
      <c r="B193" s="1520"/>
      <c r="C193" s="1524" t="e">
        <f>'6PK'!D76</f>
        <v>#N/A</v>
      </c>
      <c r="D193" s="1525">
        <f>'6PK'!G76</f>
        <v>0</v>
      </c>
      <c r="E193" s="2164">
        <f>'6PK'!H68</f>
        <v>4</v>
      </c>
      <c r="G193" s="1504"/>
    </row>
    <row r="194" spans="2:7" s="1285" customFormat="1" hidden="1">
      <c r="B194" s="1520"/>
      <c r="C194" s="1524" t="e">
        <f>'6PK'!D77</f>
        <v>#N/A</v>
      </c>
      <c r="D194" s="1525">
        <f>'6PK'!G77</f>
        <v>0</v>
      </c>
      <c r="E194" s="2164">
        <f>'6PK'!H69</f>
        <v>4</v>
      </c>
      <c r="G194" s="1504"/>
    </row>
    <row r="195" spans="2:7" s="1285" customFormat="1" hidden="1">
      <c r="B195" s="1520"/>
      <c r="C195" s="1524" t="e">
        <f>'6PK'!D78</f>
        <v>#N/A</v>
      </c>
      <c r="D195" s="1525">
        <f>'6PK'!G78</f>
        <v>0</v>
      </c>
      <c r="E195" s="2164">
        <f>'6PK'!H70</f>
        <v>4</v>
      </c>
      <c r="G195" s="1504"/>
    </row>
    <row r="196" spans="2:7" s="1285" customFormat="1" hidden="1">
      <c r="B196" s="1520"/>
      <c r="C196" s="1524" t="e">
        <f>'6PK'!D79</f>
        <v>#N/A</v>
      </c>
      <c r="D196" s="1525">
        <f>'6PK'!G79</f>
        <v>0</v>
      </c>
      <c r="E196" s="2164">
        <f>'6PK'!H71</f>
        <v>4</v>
      </c>
      <c r="G196" s="1504"/>
    </row>
    <row r="197" spans="2:7" s="1285" customFormat="1" hidden="1">
      <c r="B197" s="1520"/>
      <c r="C197" s="1524">
        <f>'6PK'!D80</f>
        <v>0</v>
      </c>
      <c r="D197" s="1525">
        <f>'6PK'!G80</f>
        <v>0</v>
      </c>
      <c r="E197" s="2164">
        <f>'6PK'!H72</f>
        <v>4</v>
      </c>
      <c r="G197" s="1504"/>
    </row>
    <row r="198" spans="2:7" hidden="1">
      <c r="B198" s="1520">
        <f>B124</f>
        <v>43876</v>
      </c>
      <c r="C198" s="1524" t="str">
        <f>"Kéo, rải, căng dây trung thế:"</f>
        <v>Kéo, rải, căng dây trung thế:</v>
      </c>
      <c r="D198" s="1522" t="e">
        <f ca="1">D124</f>
        <v>#REF!</v>
      </c>
      <c r="E198" s="1523"/>
    </row>
    <row r="199" spans="2:7" s="1285" customFormat="1" ht="33" hidden="1">
      <c r="B199" s="1520"/>
      <c r="C199" s="1524" t="str">
        <f ca="1">'7day'!E5&amp;" dài "&amp;'7day'!F5&amp;" mét."</f>
        <v>Cáp 24KV ACX 50mm2 + Cáp nhôm lõi thép AC-50/8 dài 2313.36 mét.</v>
      </c>
      <c r="D199" s="1522">
        <f ca="1">'7day'!G5</f>
        <v>2313.36</v>
      </c>
      <c r="E199" s="1523"/>
      <c r="G199" s="1504"/>
    </row>
    <row r="200" spans="2:7" s="1285" customFormat="1" hidden="1">
      <c r="B200" s="1520"/>
      <c r="C200" s="1524" t="str">
        <f>'7day'!E6&amp;" dài "&amp;'7day'!F6&amp;" mét."</f>
        <v>Cáp 24kV C/XLPE/DSTA/PVC3x70+1x35mm2 dài 61 mét.</v>
      </c>
      <c r="D200" s="1522">
        <f>'7day'!G6</f>
        <v>61</v>
      </c>
      <c r="E200" s="1523"/>
      <c r="G200" s="1504"/>
    </row>
    <row r="201" spans="2:7" s="1285" customFormat="1" hidden="1">
      <c r="B201" s="1520"/>
      <c r="C201" s="1524" t="str">
        <f ca="1">'7day'!E7&amp;" dài "&amp;'7day'!F7&amp;" mét."</f>
        <v>0 dài 0 mét.</v>
      </c>
      <c r="D201" s="1522">
        <f ca="1">'7day'!G7</f>
        <v>0</v>
      </c>
      <c r="E201" s="1523"/>
      <c r="G201" s="1504"/>
    </row>
    <row r="202" spans="2:7" s="1285" customFormat="1" hidden="1">
      <c r="B202" s="1520"/>
      <c r="C202" s="1524" t="str">
        <f ca="1">'7day'!E8&amp;" dài "&amp;'7day'!F8&amp;" mét."</f>
        <v>0 dài 0 mét.</v>
      </c>
      <c r="D202" s="1522">
        <f ca="1">'7day'!G8</f>
        <v>0</v>
      </c>
      <c r="E202" s="1523"/>
      <c r="G202" s="1504"/>
    </row>
    <row r="203" spans="2:7" ht="33" hidden="1">
      <c r="B203" s="1520"/>
      <c r="C203" s="1521" t="s">
        <v>4559</v>
      </c>
      <c r="D203" s="1522" t="e">
        <f ca="1">D198+D124</f>
        <v>#REF!</v>
      </c>
      <c r="E203" s="1523"/>
    </row>
    <row r="204" spans="2:7" hidden="1">
      <c r="B204" s="1520">
        <f>B198</f>
        <v>43876</v>
      </c>
      <c r="C204" s="1521" t="str">
        <f>"Lắp đặt trạm biến áp"</f>
        <v>Lắp đặt trạm biến áp</v>
      </c>
      <c r="D204" s="1522">
        <f ca="1">'8TB'!F2</f>
        <v>3</v>
      </c>
      <c r="E204" s="1523"/>
    </row>
    <row r="205" spans="2:7" hidden="1">
      <c r="B205" s="1520"/>
      <c r="C205" s="1521" t="str">
        <f ca="1">'8TB'!D2&amp;": "&amp;'8TB'!F2&amp;" "&amp;'8TB'!E2</f>
        <v>Máy biến áp 12,7/0,23-0,46kV 50kVA: 3 máy</v>
      </c>
      <c r="D205" s="1522">
        <f ca="1">'8TB'!F3</f>
        <v>25</v>
      </c>
      <c r="E205" s="1527"/>
    </row>
    <row r="206" spans="2:7">
      <c r="B206" s="1520"/>
      <c r="C206" s="1521" t="str">
        <f ca="1">'8TB'!D3&amp;": "&amp;'8TB'!F3&amp;" "&amp;'8TB'!E3</f>
        <v>Trụ BTLT 12m F350 dự ứng lực: 25 trụ</v>
      </c>
      <c r="D206" s="1522">
        <f ca="1">'8TB'!F4</f>
        <v>6</v>
      </c>
      <c r="E206" s="1527"/>
    </row>
    <row r="207" spans="2:7" hidden="1">
      <c r="B207" s="1520"/>
      <c r="C207" s="1521" t="str">
        <f ca="1">'8TB'!D4&amp;": "&amp;'8TB'!F4&amp;" "&amp;'8TB'!E4</f>
        <v>FCO 27kV - 100A: 6 cái</v>
      </c>
      <c r="D207" s="1522">
        <f ca="1">'8TB'!F5</f>
        <v>3</v>
      </c>
      <c r="E207" s="1527"/>
    </row>
    <row r="208" spans="2:7">
      <c r="B208" s="1520"/>
      <c r="C208" s="1521" t="str">
        <f ca="1">'8TB'!D5&amp;": "&amp;'8TB'!F5&amp;" "&amp;'8TB'!E5</f>
        <v>Chống sét van LA-18KV-10KA: 3 cái</v>
      </c>
      <c r="D208" s="1522">
        <f ca="1">'8TB'!F6</f>
        <v>1</v>
      </c>
      <c r="E208" s="1527"/>
    </row>
    <row r="209" spans="2:7" hidden="1">
      <c r="B209" s="1520"/>
      <c r="C209" s="1521" t="str">
        <f ca="1">'8TB'!D6&amp;": "&amp;'8TB'!F6&amp;" "&amp;'8TB'!E6</f>
        <v>MCCB 3 cực 400V -200A - 35KA: 1 cái</v>
      </c>
      <c r="D209" s="1522">
        <f ca="1">'8TB'!F7</f>
        <v>69</v>
      </c>
      <c r="E209" s="1527"/>
    </row>
    <row r="210" spans="2:7" hidden="1">
      <c r="B210" s="1520"/>
      <c r="C210" s="1521" t="str">
        <f ca="1">'8TB'!D7&amp;": "&amp;'8TB'!F7&amp;" "&amp;'8TB'!E7</f>
        <v>Sứ đứng 24KV : 69 cái</v>
      </c>
      <c r="D210" s="1522">
        <f ca="1">'8TB'!F8</f>
        <v>24</v>
      </c>
      <c r="E210" s="1527"/>
    </row>
    <row r="211" spans="2:7" s="1285" customFormat="1">
      <c r="B211" s="1520"/>
      <c r="C211" s="1521" t="str">
        <f ca="1">'8TB'!D8&amp;": "&amp;'8TB'!F8&amp;" "&amp;'8TB'!E8</f>
        <v>Sứ treo polymer: 24 chuỗi</v>
      </c>
      <c r="D211" s="1522">
        <f ca="1">'8TB'!F9</f>
        <v>30</v>
      </c>
      <c r="E211" s="1527"/>
      <c r="G211" s="1504"/>
    </row>
    <row r="212" spans="2:7" s="1285" customFormat="1" hidden="1">
      <c r="B212" s="1520"/>
      <c r="C212" s="1521" t="str">
        <f ca="1">'8TB'!D9&amp;": "&amp;'8TB'!F9&amp;" "&amp;'8TB'!E9</f>
        <v>Cáp đồng bọc CV95: 30 mét</v>
      </c>
      <c r="D212" s="1522">
        <f ca="1">'8TB'!F10</f>
        <v>5</v>
      </c>
      <c r="E212" s="1527"/>
      <c r="G212" s="1504"/>
    </row>
    <row r="213" spans="2:7" s="1285" customFormat="1" hidden="1">
      <c r="B213" s="1520"/>
      <c r="C213" s="1521" t="str">
        <f ca="1">'8TB'!D10&amp;": "&amp;'8TB'!F10&amp;" "&amp;'8TB'!E10</f>
        <v>Cáp đồng bọc CV11: 5 mét</v>
      </c>
      <c r="D213" s="1522">
        <f ca="1">'8TB'!F11</f>
        <v>2.5</v>
      </c>
      <c r="E213" s="1527"/>
      <c r="G213" s="1504"/>
    </row>
    <row r="214" spans="2:7" s="1285" customFormat="1" hidden="1">
      <c r="B214" s="1520"/>
      <c r="C214" s="1521" t="str">
        <f ca="1">'8TB'!D11&amp;": "&amp;'8TB'!F11&amp;" "&amp;'8TB'!E11</f>
        <v>Cáp CVV 4x4mm2  : 2.5 mét</v>
      </c>
      <c r="D214" s="1522">
        <f ca="1">'8TB'!F12</f>
        <v>21</v>
      </c>
      <c r="E214" s="1527"/>
      <c r="G214" s="1504"/>
    </row>
    <row r="215" spans="2:7" s="1285" customFormat="1" hidden="1">
      <c r="B215" s="1520"/>
      <c r="C215" s="1521" t="str">
        <f ca="1">'8TB'!D12&amp;": "&amp;'8TB'!F12&amp;" "&amp;'8TB'!E12</f>
        <v>Cáp 24KV CX-25mm2: 21 mét</v>
      </c>
      <c r="D215" s="1522">
        <f ca="1">'8TB'!F13</f>
        <v>2313.36</v>
      </c>
      <c r="E215" s="1527"/>
      <c r="G215" s="1504"/>
    </row>
    <row r="216" spans="2:7" s="1285" customFormat="1" hidden="1">
      <c r="B216" s="1520"/>
      <c r="C216" s="1521" t="str">
        <f ca="1">'8TB'!D13&amp;": "&amp;'8TB'!F13&amp;" "&amp;'8TB'!E13</f>
        <v>Cáp 24KV ACX 50mm2: 2313.36 mét</v>
      </c>
      <c r="D216" s="1522">
        <f ca="1">'8TB'!F14</f>
        <v>21.740000000000002</v>
      </c>
      <c r="E216" s="1527"/>
      <c r="G216" s="1504"/>
    </row>
    <row r="217" spans="2:7" s="1285" customFormat="1" hidden="1">
      <c r="B217" s="1520"/>
      <c r="C217" s="1521" t="str">
        <f ca="1">'8TB'!D14&amp;": "&amp;'8TB'!F14&amp;" "&amp;'8TB'!E14</f>
        <v>Cáp đồng trần M25mm2: 21.74 kg</v>
      </c>
      <c r="D217" s="1522">
        <f ca="1">'8TB'!F15</f>
        <v>150.31</v>
      </c>
      <c r="E217" s="1527"/>
      <c r="G217" s="1504"/>
    </row>
    <row r="218" spans="2:7" s="1285" customFormat="1">
      <c r="B218" s="1520"/>
      <c r="C218" s="1521" t="str">
        <f ca="1">'8TB'!D15&amp;": "&amp;'8TB'!F15&amp;" "&amp;'8TB'!E15</f>
        <v>Cáp nhôm lõi thép AC-50/8: 150.31 kg</v>
      </c>
      <c r="D218" s="1522">
        <f ca="1">'8TB'!F16</f>
        <v>14</v>
      </c>
      <c r="E218" s="1527"/>
      <c r="G218" s="1504"/>
    </row>
    <row r="219" spans="2:7" s="1285" customFormat="1">
      <c r="B219" s="1520"/>
      <c r="C219" s="1521" t="str">
        <f ca="1">'8TB'!D16&amp;": "&amp;'8TB'!F16&amp;" "&amp;'8TB'!E16</f>
        <v>Cáp thép 5/8": 14 mét</v>
      </c>
      <c r="D219" s="1522">
        <f ca="1">'8TB'!F17</f>
        <v>4</v>
      </c>
      <c r="E219" s="1527"/>
      <c r="G219" s="1504"/>
    </row>
    <row r="220" spans="2:7" s="1285" customFormat="1">
      <c r="B220" s="1520"/>
      <c r="C220" s="1521" t="str">
        <f ca="1">'8TB'!D17&amp;": "&amp;'8TB'!F17&amp;" "&amp;'8TB'!E17</f>
        <v>Boulon 16x150+ 2 long đền vuông D18-50x50x3/Zn: 4 bộ</v>
      </c>
      <c r="D220" s="1522">
        <f ca="1">'8TB'!F18</f>
        <v>2</v>
      </c>
      <c r="E220" s="1527"/>
      <c r="G220" s="1504"/>
    </row>
    <row r="221" spans="2:7" s="1285" customFormat="1" hidden="1">
      <c r="B221" s="1520"/>
      <c r="C221" s="1521" t="str">
        <f ca="1">'8TB'!D18&amp;": "&amp;'8TB'!F18&amp;" "&amp;'8TB'!E18</f>
        <v>Boulon 16x250+ 2 long đền vuông D18-50x50x3/Zn: 2 bộ</v>
      </c>
      <c r="D221" s="1522">
        <f ca="1">'8TB'!F19</f>
        <v>56</v>
      </c>
      <c r="E221" s="1527"/>
      <c r="G221" s="1504"/>
    </row>
    <row r="222" spans="2:7" s="1285" customFormat="1" hidden="1">
      <c r="B222" s="1520"/>
      <c r="C222" s="1521" t="str">
        <f ca="1">'8TB'!D19&amp;": "&amp;'8TB'!F19&amp;" "&amp;'8TB'!E19</f>
        <v>Boulon 16x300+ 2 long đền vuông D18-50x50x3/Zn: 56 bộ</v>
      </c>
      <c r="D222" s="1522">
        <f ca="1">'8TB'!F20</f>
        <v>19</v>
      </c>
      <c r="E222" s="1527"/>
      <c r="G222" s="1504"/>
    </row>
    <row r="223" spans="2:7" s="1285" customFormat="1" ht="33">
      <c r="B223" s="1520"/>
      <c r="C223" s="1521" t="str">
        <f ca="1">'8TB'!D20&amp;": "&amp;'8TB'!F20&amp;" "&amp;'8TB'!E20</f>
        <v>Boulon 16x300VRS+ 4 long đền vuông D18-50x50x3/Zn: 19 bộ</v>
      </c>
      <c r="D223" s="1522">
        <f ca="1">'8TB'!F21</f>
        <v>1</v>
      </c>
      <c r="E223" s="1527"/>
      <c r="G223" s="1504"/>
    </row>
    <row r="224" spans="2:7" s="1285" customFormat="1">
      <c r="B224" s="1520"/>
      <c r="C224" s="1521" t="str">
        <f ca="1">'8TB'!D21&amp;": "&amp;'8TB'!F21&amp;" "&amp;'8TB'!E21</f>
        <v>Vỏ tủ + khóa tủ: 1 bộ</v>
      </c>
      <c r="D224" s="1522">
        <f ca="1">'8TB'!F22</f>
        <v>1</v>
      </c>
      <c r="E224" s="1527"/>
      <c r="G224" s="1504"/>
    </row>
    <row r="225" spans="2:7" s="1285" customFormat="1" hidden="1">
      <c r="B225" s="1520"/>
      <c r="C225" s="1521" t="str">
        <f ca="1">'8TB'!D22&amp;": "&amp;'8TB'!F22&amp;" "&amp;'8TB'!E22</f>
        <v>Giá chùm treo máy biến áp 3x50: 1 bộ</v>
      </c>
      <c r="D225" s="1522">
        <f ca="1">'8TB'!F23</f>
        <v>68165.600000000006</v>
      </c>
      <c r="E225" s="1527"/>
      <c r="G225" s="1504"/>
    </row>
    <row r="226" spans="2:7" s="1285" customFormat="1" hidden="1">
      <c r="B226" s="1520"/>
      <c r="C226" s="1521" t="e">
        <f ca="1">'8TB'!D23&amp;": "&amp;'8TB'!F23&amp;" "&amp;'8TB'!E23</f>
        <v>#N/A</v>
      </c>
      <c r="D226" s="1522">
        <f ca="1">'8TB'!F24</f>
        <v>68165.600000000006</v>
      </c>
      <c r="E226" s="1527"/>
      <c r="G226" s="1504"/>
    </row>
    <row r="227" spans="2:7" s="1285" customFormat="1" hidden="1">
      <c r="B227" s="1520"/>
      <c r="C227" s="1521" t="e">
        <f ca="1">'8TB'!D24&amp;": "&amp;'8TB'!F24&amp;" "&amp;'8TB'!E24</f>
        <v>#N/A</v>
      </c>
      <c r="D227" s="1522">
        <f>'8TB'!F25</f>
        <v>0</v>
      </c>
      <c r="E227" s="1527"/>
      <c r="G227" s="1504"/>
    </row>
    <row r="228" spans="2:7" s="1285" customFormat="1" hidden="1">
      <c r="B228" s="1520"/>
      <c r="C228" s="1521" t="str">
        <f>'8TB'!D25&amp;": "&amp;'8TB'!F25&amp;" "&amp;'8TB'!E25</f>
        <v xml:space="preserve">:  </v>
      </c>
      <c r="D228" s="1522">
        <f>'8TB'!F26</f>
        <v>0</v>
      </c>
      <c r="E228" s="1527"/>
      <c r="G228" s="1504"/>
    </row>
    <row r="229" spans="2:7" s="1285" customFormat="1" hidden="1">
      <c r="B229" s="1520"/>
      <c r="C229" s="1521" t="str">
        <f>'8TB'!D26&amp;": "&amp;'8TB'!F26&amp;" "&amp;'8TB'!E26</f>
        <v xml:space="preserve">:  </v>
      </c>
      <c r="D229" s="1522">
        <f>'8TB'!F27</f>
        <v>0</v>
      </c>
      <c r="E229" s="1527"/>
      <c r="G229" s="1504"/>
    </row>
    <row r="230" spans="2:7" s="1285" customFormat="1" hidden="1">
      <c r="B230" s="1520"/>
      <c r="C230" s="1521" t="str">
        <f>'8TB'!D27&amp;": "&amp;'8TB'!F27&amp;" "&amp;'8TB'!E27</f>
        <v xml:space="preserve">:  </v>
      </c>
      <c r="D230" s="1522">
        <f>'8TB'!F29</f>
        <v>0</v>
      </c>
      <c r="E230" s="1527"/>
      <c r="G230" s="1504"/>
    </row>
    <row r="231" spans="2:7" s="1285" customFormat="1" hidden="1">
      <c r="B231" s="1520"/>
      <c r="C231" s="1521" t="str">
        <f>'8TB'!D28&amp;": "&amp;'8TB'!F28&amp;" "&amp;'8TB'!E28</f>
        <v xml:space="preserve">:  </v>
      </c>
      <c r="D231" s="1522">
        <f>'8TB'!F30</f>
        <v>0</v>
      </c>
      <c r="E231" s="1527"/>
      <c r="G231" s="1504"/>
    </row>
    <row r="232" spans="2:7" s="1285" customFormat="1" hidden="1">
      <c r="B232" s="1520"/>
      <c r="C232" s="1521" t="str">
        <f>'8TB'!D29&amp;": "&amp;'8TB'!F29&amp;" "&amp;'8TB'!E29</f>
        <v xml:space="preserve">:  </v>
      </c>
      <c r="D232" s="1522">
        <f>'8TB'!F31</f>
        <v>0</v>
      </c>
      <c r="E232" s="1527"/>
      <c r="G232" s="1504"/>
    </row>
    <row r="233" spans="2:7">
      <c r="B233" s="1520">
        <f>B204</f>
        <v>43876</v>
      </c>
      <c r="C233" s="1521" t="s">
        <v>4560</v>
      </c>
      <c r="D233" s="1522" t="s">
        <v>512</v>
      </c>
      <c r="E233" s="1523"/>
    </row>
    <row r="234" spans="2:7">
      <c r="B234" s="1520"/>
      <c r="C234" s="1524" t="str">
        <f>'9TD'!D18</f>
        <v>Tiếp địa lặp lại trụ 12m: 4 Bộ</v>
      </c>
      <c r="D234" s="1522">
        <f>'9TD'!J18</f>
        <v>4</v>
      </c>
      <c r="E234" s="1523"/>
    </row>
    <row r="235" spans="2:7" hidden="1">
      <c r="B235" s="1520"/>
      <c r="C235" s="1524" t="str">
        <f>'9TD'!D19</f>
        <v xml:space="preserve"> - Cáp đồng trần M25mm2: 9.8 kg</v>
      </c>
      <c r="D235" s="1522">
        <f>'9TD'!J19</f>
        <v>9.84</v>
      </c>
      <c r="E235" s="1523"/>
    </row>
    <row r="236" spans="2:7">
      <c r="B236" s="1520"/>
      <c r="C236" s="1524" t="str">
        <f>'9TD'!D20</f>
        <v xml:space="preserve"> - Cọc tiếp đất Þ 16- 2,4m + kẹp cọc mạ đồng: 4 bộ</v>
      </c>
      <c r="D236" s="1522">
        <f>'9TD'!J20</f>
        <v>4</v>
      </c>
      <c r="E236" s="1523"/>
    </row>
    <row r="237" spans="2:7">
      <c r="B237" s="1520"/>
      <c r="C237" s="1524" t="str">
        <f>'9TD'!D21</f>
        <v xml:space="preserve"> - Kẹp ép WR cỡ dây 50mm2: 8 cái</v>
      </c>
      <c r="D237" s="1522">
        <f>'9TD'!J21</f>
        <v>8</v>
      </c>
      <c r="E237" s="1523"/>
    </row>
    <row r="238" spans="2:7">
      <c r="B238" s="1520"/>
      <c r="C238" s="1524" t="str">
        <f>'9TD'!D22</f>
        <v xml:space="preserve"> - Ốc siết cáp cỡ 25mm2: 8 cái</v>
      </c>
      <c r="D238" s="1522">
        <f>'9TD'!J22</f>
        <v>8</v>
      </c>
      <c r="E238" s="1523"/>
    </row>
    <row r="239" spans="2:7" hidden="1">
      <c r="B239" s="1520"/>
      <c r="C239" s="1524" t="str">
        <f>'9TD'!D25</f>
        <v xml:space="preserve"> - : 0 </v>
      </c>
      <c r="D239" s="1522">
        <f>'9TD'!J25</f>
        <v>0</v>
      </c>
      <c r="E239" s="1523"/>
    </row>
    <row r="240" spans="2:7" s="1285" customFormat="1" hidden="1">
      <c r="B240" s="1520"/>
      <c r="C240" s="1524" t="str">
        <f>'9TD'!D26</f>
        <v xml:space="preserve"> - : 0 </v>
      </c>
      <c r="D240" s="1522">
        <f>'9TD'!J26</f>
        <v>0</v>
      </c>
      <c r="E240" s="1523"/>
      <c r="G240" s="1504"/>
    </row>
    <row r="241" spans="2:7" s="1285" customFormat="1" hidden="1">
      <c r="B241" s="1520"/>
      <c r="C241" s="1524" t="str">
        <f>'9TD'!D27</f>
        <v xml:space="preserve"> - : 0 </v>
      </c>
      <c r="D241" s="1522">
        <f>'9TD'!J27</f>
        <v>0</v>
      </c>
      <c r="E241" s="1523"/>
      <c r="G241" s="1504"/>
    </row>
    <row r="242" spans="2:7" s="1285" customFormat="1" hidden="1">
      <c r="B242" s="1520"/>
      <c r="C242" s="1524" t="str">
        <f>'9TD'!D28</f>
        <v xml:space="preserve"> - Độ chôn sâu đầu cọc đến mặt đất: 0.5 mét</v>
      </c>
      <c r="D242" s="1522">
        <f>'9TD'!J28</f>
        <v>0.5</v>
      </c>
      <c r="E242" s="1523"/>
      <c r="G242" s="1504"/>
    </row>
    <row r="243" spans="2:7" s="1285" customFormat="1">
      <c r="B243" s="1520"/>
      <c r="C243" s="1524" t="str">
        <f>'9TD'!D29</f>
        <v>Bộ tiếp địa Trạm biến áp: 1 Bộ</v>
      </c>
      <c r="D243" s="1522">
        <f>'9TD'!J29</f>
        <v>1</v>
      </c>
      <c r="E243" s="1523"/>
      <c r="G243" s="1504"/>
    </row>
    <row r="244" spans="2:7" s="1285" customFormat="1" hidden="1">
      <c r="B244" s="1520"/>
      <c r="C244" s="1524" t="str">
        <f>'9TD'!D30</f>
        <v>Cáp đồng trần M25mm2: 11.9 kg</v>
      </c>
      <c r="D244" s="1522">
        <f>'9TD'!J30</f>
        <v>11.9</v>
      </c>
      <c r="E244" s="1523"/>
      <c r="G244" s="1504"/>
    </row>
    <row r="245" spans="2:7" s="1285" customFormat="1">
      <c r="B245" s="1520"/>
      <c r="C245" s="1524" t="str">
        <f>'9TD'!D31</f>
        <v xml:space="preserve"> - Cáp đồng bọc CV11: 2 mét</v>
      </c>
      <c r="D245" s="1522">
        <f>'9TD'!J31</f>
        <v>2</v>
      </c>
      <c r="E245" s="1523"/>
      <c r="G245" s="1504"/>
    </row>
    <row r="246" spans="2:7" s="1285" customFormat="1">
      <c r="B246" s="1520"/>
      <c r="C246" s="1524" t="str">
        <f>'9TD'!D32</f>
        <v xml:space="preserve"> - Cọc tiếp đất Þ 16- 2,4m + kẹp cọc mạ đồng: 10 bộ</v>
      </c>
      <c r="D246" s="1522">
        <f>'9TD'!J32</f>
        <v>10</v>
      </c>
      <c r="E246" s="1523"/>
      <c r="G246" s="1504"/>
    </row>
    <row r="247" spans="2:7" s="1285" customFormat="1">
      <c r="B247" s="1520"/>
      <c r="C247" s="1524" t="str">
        <f>'9TD'!D33</f>
        <v xml:space="preserve"> - Ốc siết cáp cỡ 25mm2: 6 cái</v>
      </c>
      <c r="D247" s="1522">
        <f>'9TD'!J33</f>
        <v>6</v>
      </c>
      <c r="E247" s="1523"/>
      <c r="G247" s="1504"/>
    </row>
    <row r="248" spans="2:7" s="1285" customFormat="1">
      <c r="B248" s="1520"/>
      <c r="C248" s="1524" t="str">
        <f>'9TD'!D34</f>
        <v xml:space="preserve"> - Kẹp ép cỡ dây 25mm2: 2 cái</v>
      </c>
      <c r="D248" s="1522">
        <f>'9TD'!J34</f>
        <v>2</v>
      </c>
      <c r="E248" s="1523"/>
      <c r="G248" s="1504"/>
    </row>
    <row r="249" spans="2:7" s="1285" customFormat="1" hidden="1">
      <c r="B249" s="1520"/>
      <c r="C249" s="1524" t="str">
        <f>'9TD'!D35</f>
        <v xml:space="preserve"> - : 0 </v>
      </c>
      <c r="D249" s="1522">
        <f>'9TD'!J35</f>
        <v>0</v>
      </c>
      <c r="E249" s="1523"/>
      <c r="G249" s="1504"/>
    </row>
    <row r="250" spans="2:7" s="1285" customFormat="1" hidden="1">
      <c r="B250" s="1520"/>
      <c r="C250" s="1524" t="str">
        <f>'9TD'!D36</f>
        <v xml:space="preserve"> - : 0 </v>
      </c>
      <c r="D250" s="1522">
        <f>'9TD'!J36</f>
        <v>0</v>
      </c>
      <c r="E250" s="1523"/>
      <c r="G250" s="1504"/>
    </row>
    <row r="251" spans="2:7" hidden="1">
      <c r="B251" s="1520"/>
      <c r="C251" s="1524" t="str">
        <f>'9TD'!D37</f>
        <v xml:space="preserve"> - : 0 </v>
      </c>
      <c r="D251" s="1522">
        <f>'9TD'!J37</f>
        <v>0</v>
      </c>
      <c r="E251" s="1523"/>
    </row>
    <row r="252" spans="2:7" s="1285" customFormat="1">
      <c r="B252" s="1520"/>
      <c r="C252" s="1524" t="str">
        <f>'9TD'!D42</f>
        <v xml:space="preserve"> - Độ chôn sâu đầu cọc đến mặt đất: 0.5 mét</v>
      </c>
      <c r="D252" s="1522" t="s">
        <v>512</v>
      </c>
      <c r="E252" s="1523"/>
      <c r="G252" s="1504"/>
    </row>
    <row r="253" spans="2:7" s="1285" customFormat="1">
      <c r="B253" s="1520"/>
      <c r="C253" s="1524" t="str">
        <f>'9TD'!D43</f>
        <v xml:space="preserve"> - Khoảng cách cọc cách cọc: 3 mét</v>
      </c>
      <c r="D253" s="1522" t="s">
        <v>512</v>
      </c>
      <c r="E253" s="1523"/>
      <c r="G253" s="1504"/>
    </row>
    <row r="254" spans="2:7" s="1285" customFormat="1" hidden="1">
      <c r="B254" s="1520"/>
      <c r="C254" s="1524">
        <f>'9TD'!D44</f>
        <v>0</v>
      </c>
      <c r="D254" s="1522">
        <f>'9TD'!J44</f>
        <v>0</v>
      </c>
      <c r="E254" s="1523"/>
      <c r="G254" s="1504"/>
    </row>
    <row r="255" spans="2:7" s="1285" customFormat="1" hidden="1">
      <c r="B255" s="1520"/>
      <c r="C255" s="1524">
        <f>'9TD'!D45</f>
        <v>0</v>
      </c>
      <c r="D255" s="1522">
        <f>'9TD'!J45</f>
        <v>0</v>
      </c>
      <c r="E255" s="1523"/>
      <c r="G255" s="1504"/>
    </row>
    <row r="256" spans="2:7" hidden="1">
      <c r="B256" s="1520"/>
      <c r="C256" s="1524">
        <f>'9TD'!D46</f>
        <v>0</v>
      </c>
      <c r="D256" s="1522">
        <f>'9TD'!J46</f>
        <v>0</v>
      </c>
      <c r="E256" s="1523"/>
    </row>
    <row r="257" spans="2:7" s="1285" customFormat="1" ht="33" hidden="1">
      <c r="B257" s="1520"/>
      <c r="C257" s="1521" t="s">
        <v>4564</v>
      </c>
      <c r="D257" s="1522"/>
      <c r="E257" s="1523"/>
      <c r="G257" s="1504"/>
    </row>
    <row r="258" spans="2:7">
      <c r="B258" s="1520">
        <f>B233</f>
        <v>43876</v>
      </c>
      <c r="C258" s="1521" t="s">
        <v>4561</v>
      </c>
      <c r="D258" s="1522" t="s">
        <v>512</v>
      </c>
      <c r="E258" s="1523"/>
    </row>
    <row r="259" spans="2:7">
      <c r="B259" s="1520"/>
      <c r="C259" s="1524" t="str">
        <f>'10DN'!D7</f>
        <v>Đấu nối trung thế vào đường dây trung thế hiện hữu:</v>
      </c>
      <c r="D259" s="1522">
        <f>'10DN'!K7</f>
        <v>1</v>
      </c>
      <c r="E259" s="1523"/>
    </row>
    <row r="260" spans="2:7" hidden="1">
      <c r="B260" s="1520"/>
      <c r="C260" s="1524" t="str">
        <f>'10DN'!D8</f>
        <v xml:space="preserve"> - Kẹp ép WR cỡ dây 50mm2: 18 cái.</v>
      </c>
      <c r="D260" s="1522">
        <f>'10DN'!K8</f>
        <v>18</v>
      </c>
      <c r="E260" s="1523"/>
    </row>
    <row r="261" spans="2:7" hidden="1">
      <c r="B261" s="1520"/>
      <c r="C261" s="1524" t="str">
        <f>'10DN'!D9</f>
        <v xml:space="preserve"> - Dây buộc đầu sứ TTF cỡ dây 50mm2: 63 cái.</v>
      </c>
      <c r="D261" s="1522">
        <f>'10DN'!K9</f>
        <v>63</v>
      </c>
      <c r="E261" s="1523"/>
    </row>
    <row r="262" spans="2:7">
      <c r="B262" s="1520"/>
      <c r="C262" s="1524" t="str">
        <f>'10DN'!D10</f>
        <v xml:space="preserve"> - Dây buộc cổ sứ từ tính dây 50: 6 cái.</v>
      </c>
      <c r="D262" s="1522">
        <f>'10DN'!K10</f>
        <v>6</v>
      </c>
      <c r="E262" s="1523"/>
    </row>
    <row r="263" spans="2:7">
      <c r="B263" s="1520"/>
      <c r="C263" s="1524" t="str">
        <f>'10DN'!D11</f>
        <v xml:space="preserve"> - Kẹp quai 2/0 + chụp cách điện: 6 bộ.</v>
      </c>
      <c r="D263" s="1522">
        <f>'10DN'!K11</f>
        <v>6</v>
      </c>
      <c r="E263" s="1523"/>
    </row>
    <row r="264" spans="2:7">
      <c r="B264" s="1520"/>
      <c r="C264" s="1524" t="str">
        <f>'10DN'!D12</f>
        <v xml:space="preserve"> - Kẹp hotline 2/0: 6 cái.</v>
      </c>
      <c r="D264" s="1522">
        <f>'10DN'!K12</f>
        <v>6</v>
      </c>
      <c r="E264" s="1523"/>
    </row>
    <row r="265" spans="2:7" hidden="1">
      <c r="B265" s="1520"/>
      <c r="C265" s="1524" t="str">
        <f>'10DN'!D13</f>
        <v xml:space="preserve"> - Cáp 24KV CX-25mm2: 9 mét.</v>
      </c>
      <c r="D265" s="1522">
        <f>'10DN'!K13</f>
        <v>9</v>
      </c>
      <c r="E265" s="1523"/>
    </row>
    <row r="266" spans="2:7" hidden="1">
      <c r="B266" s="1520"/>
      <c r="C266" s="1524" t="str">
        <f>'10DN'!D14</f>
        <v xml:space="preserve"> - Đầu cosse ép Cu-Al 50mm2: 3 cái.</v>
      </c>
      <c r="D266" s="1522">
        <f>'10DN'!K14</f>
        <v>3</v>
      </c>
      <c r="E266" s="1523"/>
    </row>
    <row r="267" spans="2:7" hidden="1">
      <c r="B267" s="1520"/>
      <c r="C267" s="1524" t="str">
        <f>'10DN'!D15</f>
        <v xml:space="preserve"> - Chụp đầu cực FCO (bộ 2 cái): 3 bộ.</v>
      </c>
      <c r="D267" s="1522">
        <f>'10DN'!K15</f>
        <v>3</v>
      </c>
      <c r="E267" s="1523"/>
    </row>
    <row r="268" spans="2:7" s="1285" customFormat="1" hidden="1">
      <c r="B268" s="1520"/>
      <c r="C268" s="1524" t="str">
        <f>'10DN'!D20</f>
        <v>Đấu nối hạ thế vào đường dây hạ thế hiện hữu:</v>
      </c>
      <c r="D268" s="1522">
        <f>'10DN'!K16</f>
        <v>0</v>
      </c>
      <c r="E268" s="1523"/>
      <c r="G268" s="1504"/>
    </row>
    <row r="269" spans="2:7" s="1285" customFormat="1" hidden="1">
      <c r="B269" s="1520"/>
      <c r="C269" s="1524" t="str">
        <f>'10DN'!D21</f>
        <v xml:space="preserve"> - :  .</v>
      </c>
      <c r="D269" s="1522">
        <f>'10DN'!K21</f>
        <v>0</v>
      </c>
      <c r="E269" s="1523"/>
      <c r="G269" s="1504"/>
    </row>
    <row r="270" spans="2:7" s="1285" customFormat="1" hidden="1">
      <c r="B270" s="1520"/>
      <c r="C270" s="1524" t="str">
        <f>'10DN'!D22</f>
        <v xml:space="preserve"> - :  .</v>
      </c>
      <c r="D270" s="1522">
        <f>'10DN'!K22</f>
        <v>0</v>
      </c>
      <c r="E270" s="1523"/>
      <c r="G270" s="1504"/>
    </row>
    <row r="271" spans="2:7" s="1285" customFormat="1" hidden="1">
      <c r="B271" s="1520"/>
      <c r="C271" s="1524" t="str">
        <f>'10DN'!D23</f>
        <v xml:space="preserve"> - :  .</v>
      </c>
      <c r="D271" s="1522">
        <f>'10DN'!K23</f>
        <v>0</v>
      </c>
      <c r="E271" s="1523"/>
      <c r="G271" s="1504"/>
    </row>
    <row r="272" spans="2:7" s="1285" customFormat="1" hidden="1">
      <c r="B272" s="1520"/>
      <c r="C272" s="1524" t="str">
        <f>'10DN'!D24</f>
        <v xml:space="preserve"> - :  .</v>
      </c>
      <c r="D272" s="1522">
        <f>'10DN'!K24</f>
        <v>0</v>
      </c>
      <c r="E272" s="1523"/>
      <c r="G272" s="1504"/>
    </row>
    <row r="273" spans="2:7" s="1285" customFormat="1" hidden="1">
      <c r="B273" s="1520"/>
      <c r="C273" s="1524" t="str">
        <f>'10DN'!D25</f>
        <v xml:space="preserve"> - :  .</v>
      </c>
      <c r="D273" s="1522">
        <f>'10DN'!K25</f>
        <v>0</v>
      </c>
      <c r="E273" s="1523"/>
      <c r="G273" s="1504"/>
    </row>
    <row r="274" spans="2:7" hidden="1">
      <c r="B274" s="1520"/>
      <c r="C274" s="1524" t="str">
        <f>'10DN'!D26</f>
        <v xml:space="preserve"> - :  .</v>
      </c>
      <c r="D274" s="1522">
        <f>'10DN'!K26</f>
        <v>0</v>
      </c>
      <c r="E274" s="1523"/>
    </row>
    <row r="275" spans="2:7" ht="33" hidden="1">
      <c r="B275" s="1528"/>
      <c r="C275" s="1529" t="s">
        <v>4565</v>
      </c>
      <c r="D275" s="1530"/>
      <c r="E275" s="1531"/>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D1" zoomScale="90" zoomScaleNormal="90" workbookViewId="0">
      <pane ySplit="1" topLeftCell="A11" activePane="bottomLeft" state="frozen"/>
      <selection activeCell="F8" sqref="F8"/>
      <selection pane="bottomLeft" activeCell="J19" sqref="J19"/>
    </sheetView>
  </sheetViews>
  <sheetFormatPr defaultColWidth="8.88671875" defaultRowHeight="35.1" customHeight="1" outlineLevelCol="1"/>
  <cols>
    <col min="1" max="1" width="11.33203125" style="2198" customWidth="1"/>
    <col min="2" max="2" width="15.109375" style="2198" customWidth="1"/>
    <col min="3" max="3" width="11.6640625" style="1285" customWidth="1"/>
    <col min="4" max="4" width="6.21875" style="2198" customWidth="1"/>
    <col min="5" max="5" width="16.6640625" style="2198" customWidth="1"/>
    <col min="6" max="6" width="7.33203125" style="1285" customWidth="1"/>
    <col min="7" max="7" width="17.6640625" style="1971" customWidth="1"/>
    <col min="8" max="8" width="23.33203125" style="2087" customWidth="1" outlineLevel="1"/>
    <col min="9" max="9" width="26.77734375" style="2087" customWidth="1" outlineLevel="1"/>
    <col min="10" max="10" width="14.33203125" style="2088" customWidth="1" outlineLevel="1"/>
    <col min="11" max="11" width="11.21875" style="2088" customWidth="1" outlineLevel="1"/>
    <col min="12" max="12" width="21.109375" style="2193" customWidth="1"/>
    <col min="13" max="13" width="10.77734375" style="1451" customWidth="1"/>
    <col min="14" max="14" width="10.44140625" style="1285" customWidth="1"/>
    <col min="15" max="16" width="13.33203125" style="1971" customWidth="1"/>
    <col min="17" max="17" width="8.88671875" style="2198" customWidth="1"/>
    <col min="18" max="19" width="13.88671875" style="1280" customWidth="1" outlineLevel="1"/>
    <col min="20" max="20" width="13.88671875" style="1285" customWidth="1" outlineLevel="1"/>
    <col min="21" max="21" width="13.88671875" style="1494" customWidth="1" outlineLevel="1"/>
    <col min="22" max="23" width="13.109375" style="1285" customWidth="1" outlineLevel="1"/>
    <col min="24" max="25" width="8.88671875" style="1285"/>
    <col min="26" max="26" width="27.6640625" style="1285" customWidth="1"/>
    <col min="27" max="32" width="8.88671875" style="1285"/>
    <col min="33" max="33" width="8.88671875" style="2198"/>
    <col min="34" max="34" width="45.44140625" style="2198" customWidth="1"/>
    <col min="35" max="41" width="8.88671875" style="2198"/>
    <col min="42" max="42" width="21.6640625" style="2198" customWidth="1"/>
    <col min="43" max="45" width="8.88671875" style="2198"/>
    <col min="46" max="46" width="6" style="2198" customWidth="1"/>
    <col min="47" max="47" width="31.21875" style="2198" customWidth="1"/>
    <col min="48" max="48" width="7.21875" style="2198" customWidth="1"/>
    <col min="49" max="54" width="8.88671875" style="2198"/>
    <col min="55" max="55" width="22.5546875" style="2198" bestFit="1" customWidth="1"/>
    <col min="56" max="56" width="12.5546875" style="2198" customWidth="1"/>
    <col min="57" max="62" width="8.88671875" style="2198"/>
    <col min="63" max="63" width="22.21875" style="2198" customWidth="1"/>
    <col min="64" max="64" width="20.5546875" style="2198" customWidth="1"/>
    <col min="65" max="72" width="8.88671875" style="2198"/>
    <col min="73" max="73" width="28.77734375" style="2198" customWidth="1"/>
    <col min="74" max="74" width="8.88671875" style="2198"/>
    <col min="75" max="75" width="14.21875" style="2198" customWidth="1"/>
    <col min="76" max="16384" width="8.88671875" style="2198"/>
  </cols>
  <sheetData>
    <row r="1" spans="1:26" s="2176" customFormat="1" ht="35.1" customHeight="1" thickBot="1">
      <c r="A1" s="2284" t="s">
        <v>4505</v>
      </c>
      <c r="B1" s="2285" t="s">
        <v>4514</v>
      </c>
      <c r="C1" s="2285" t="s">
        <v>4514</v>
      </c>
      <c r="D1" s="2285"/>
      <c r="E1" s="2285" t="s">
        <v>4895</v>
      </c>
      <c r="F1" s="2286"/>
      <c r="G1" s="2177" t="s">
        <v>2614</v>
      </c>
      <c r="H1" s="2178" t="s">
        <v>4208</v>
      </c>
      <c r="I1" s="2178" t="s">
        <v>4209</v>
      </c>
      <c r="J1" s="2179" t="s">
        <v>4519</v>
      </c>
      <c r="K1" s="2179" t="s">
        <v>4214</v>
      </c>
      <c r="L1" s="2180" t="s">
        <v>4517</v>
      </c>
      <c r="M1" s="2181" t="s">
        <v>4214</v>
      </c>
      <c r="N1" s="2181" t="s">
        <v>4215</v>
      </c>
      <c r="O1" s="2210" t="s">
        <v>4828</v>
      </c>
      <c r="P1" s="2254">
        <v>43959</v>
      </c>
      <c r="Q1" s="2089" t="s">
        <v>2614</v>
      </c>
      <c r="R1" s="2182" t="s">
        <v>4208</v>
      </c>
      <c r="S1" s="2182" t="s">
        <v>4209</v>
      </c>
      <c r="T1" s="2183" t="s">
        <v>4519</v>
      </c>
      <c r="U1" s="2184" t="s">
        <v>4214</v>
      </c>
      <c r="V1" s="2185" t="s">
        <v>4517</v>
      </c>
      <c r="W1" s="2186" t="s">
        <v>4214</v>
      </c>
      <c r="Z1" s="2187" t="s">
        <v>4323</v>
      </c>
    </row>
    <row r="2" spans="1:26" ht="66" customHeight="1">
      <c r="A2" s="2302" t="s">
        <v>4896</v>
      </c>
      <c r="B2" s="2303"/>
      <c r="C2" s="2304"/>
      <c r="D2" s="2303">
        <v>1</v>
      </c>
      <c r="E2" s="2305">
        <v>43936</v>
      </c>
      <c r="F2" s="2306"/>
      <c r="G2" s="2189" t="str">
        <f>'NT-VT'!A6</f>
        <v>tr501</v>
      </c>
      <c r="H2" s="2190" t="s">
        <v>4570</v>
      </c>
      <c r="I2" s="2190" t="s">
        <v>4570</v>
      </c>
      <c r="J2" s="2191"/>
      <c r="K2" s="2192">
        <v>43965</v>
      </c>
      <c r="L2" s="2266" t="str">
        <f>IF(N2&gt;0,N2&amp;O2,P2&amp;O2&amp;CHAR(10)&amp;P3&amp;O2&amp;IF(P4&lt;&gt;0,CHAR(10)&amp;P4&amp;O2,""))</f>
        <v>10970/BB-PXTN
10971/BB-PXTN
10972/BB-PXTN</v>
      </c>
      <c r="M2" s="2194">
        <v>43972</v>
      </c>
      <c r="N2" s="2090"/>
      <c r="O2" s="1971" t="s">
        <v>4517</v>
      </c>
      <c r="P2" s="2090">
        <v>10970</v>
      </c>
      <c r="Q2" s="2195" t="s">
        <v>115</v>
      </c>
      <c r="R2" s="2196" t="s">
        <v>4507</v>
      </c>
      <c r="S2" s="2196" t="s">
        <v>4507</v>
      </c>
      <c r="T2" s="1285" t="s">
        <v>4843</v>
      </c>
      <c r="U2" s="2197">
        <v>43864</v>
      </c>
      <c r="V2" s="1285" t="s">
        <v>4767</v>
      </c>
      <c r="W2" s="1494">
        <v>43462</v>
      </c>
      <c r="Z2" s="1451" t="s">
        <v>4507</v>
      </c>
    </row>
    <row r="3" spans="1:26" ht="35.1" customHeight="1">
      <c r="A3" s="2289" t="s">
        <v>3900</v>
      </c>
      <c r="B3" s="2290">
        <v>3</v>
      </c>
      <c r="C3" s="2291" t="str">
        <f>TEXT(B3,"00")</f>
        <v>03</v>
      </c>
      <c r="D3" s="2292">
        <f>IF(B3&lt;&gt;0,D2+1,D2)</f>
        <v>2</v>
      </c>
      <c r="E3" s="2287">
        <f>E2+F3</f>
        <v>43936</v>
      </c>
      <c r="F3" s="2288"/>
      <c r="G3" s="2189" t="str">
        <f>'NT-VT'!A7</f>
        <v>T12</v>
      </c>
      <c r="H3" s="2190" t="str">
        <f t="shared" ref="H3:H23" si="0">IFERROR(VLOOKUP(G3,$Q:$U,2,0),"nt")</f>
        <v>Cty Cổ phần Bê tông ly tâm Thủ Đức</v>
      </c>
      <c r="I3" s="2190" t="str">
        <f t="shared" ref="I3:I21" si="1">IFERROR(VLOOKUP(G3,$Q:$U,3,0),"nt")</f>
        <v>Cty Cổ phần Bê tông ly tâm Thủ Đức</v>
      </c>
      <c r="J3" s="2199"/>
      <c r="K3" s="2200"/>
      <c r="L3" s="2462"/>
      <c r="M3" s="2253"/>
      <c r="O3" s="1971">
        <f>VLOOKUP(G3,Q:X,8,0)</f>
        <v>0</v>
      </c>
      <c r="P3" s="2090">
        <v>10971</v>
      </c>
      <c r="Q3" s="2195" t="s">
        <v>274</v>
      </c>
      <c r="R3" s="2201" t="s">
        <v>4226</v>
      </c>
      <c r="S3" s="2201" t="s">
        <v>4226</v>
      </c>
      <c r="T3" s="2191" t="s">
        <v>1018</v>
      </c>
      <c r="U3" s="2192" t="s">
        <v>1018</v>
      </c>
      <c r="X3" s="1285" t="s">
        <v>4830</v>
      </c>
      <c r="Z3" s="2202" t="s">
        <v>4554</v>
      </c>
    </row>
    <row r="4" spans="1:26" ht="35.1" customHeight="1">
      <c r="A4" s="2289" t="s">
        <v>2285</v>
      </c>
      <c r="B4" s="2290">
        <v>3</v>
      </c>
      <c r="C4" s="2291" t="str">
        <f t="shared" ref="C4:C8" si="2">TEXT(B4,"00")</f>
        <v>03</v>
      </c>
      <c r="D4" s="2292">
        <f t="shared" ref="D4:D8" si="3">IF(B4&lt;&gt;0,D3+1,D3)</f>
        <v>3</v>
      </c>
      <c r="E4" s="2287">
        <f t="shared" ref="E4:E8" si="4">E3+F4</f>
        <v>43940</v>
      </c>
      <c r="F4" s="2288">
        <v>4</v>
      </c>
      <c r="G4" s="2189" t="str">
        <f>'NT-VT'!A8</f>
        <v>FCO100-22</v>
      </c>
      <c r="H4" s="2190" t="s">
        <v>5217</v>
      </c>
      <c r="I4" s="2190" t="s">
        <v>5217</v>
      </c>
      <c r="J4" s="2199" t="s">
        <v>5218</v>
      </c>
      <c r="K4" s="2200">
        <v>43955</v>
      </c>
      <c r="L4" s="2462" t="str">
        <f>N4&amp;"/BB-PXTN"</f>
        <v>9992/BB-PXTN</v>
      </c>
      <c r="M4" s="2253">
        <v>43959</v>
      </c>
      <c r="N4" s="1285">
        <v>9992</v>
      </c>
      <c r="O4" s="1971" t="str">
        <f>VLOOKUP(G4,Q:X,8,0)</f>
        <v>/BB-FCO</v>
      </c>
      <c r="P4" s="2090">
        <v>10972</v>
      </c>
      <c r="Q4" s="2195" t="s">
        <v>1015</v>
      </c>
      <c r="R4" s="2201" t="s">
        <v>4226</v>
      </c>
      <c r="S4" s="2201" t="s">
        <v>4226</v>
      </c>
      <c r="T4" s="2203" t="s">
        <v>4668</v>
      </c>
      <c r="U4" s="2197">
        <v>43525</v>
      </c>
      <c r="X4" s="1285" t="s">
        <v>4830</v>
      </c>
      <c r="Z4" s="2202" t="s">
        <v>4216</v>
      </c>
    </row>
    <row r="5" spans="1:26" ht="35.1" customHeight="1">
      <c r="A5" s="2289" t="s">
        <v>4506</v>
      </c>
      <c r="B5" s="2290">
        <v>3</v>
      </c>
      <c r="C5" s="2291" t="str">
        <f t="shared" si="2"/>
        <v>03</v>
      </c>
      <c r="D5" s="2292">
        <f t="shared" si="3"/>
        <v>4</v>
      </c>
      <c r="E5" s="2287">
        <f t="shared" si="4"/>
        <v>43940</v>
      </c>
      <c r="F5" s="2288"/>
      <c r="G5" s="2189" t="str">
        <f>'NT-VT'!A9</f>
        <v>LA18</v>
      </c>
      <c r="H5" s="2190" t="str">
        <f t="shared" si="0"/>
        <v>Cooper</v>
      </c>
      <c r="I5" s="2190"/>
      <c r="J5" s="2199"/>
      <c r="K5" s="2200"/>
      <c r="L5" s="2462" t="str">
        <f t="shared" ref="L5:L18" si="5">N5&amp;"/BB-PXTN"</f>
        <v>9993/BB-PXTN</v>
      </c>
      <c r="M5" s="2253">
        <v>43959</v>
      </c>
      <c r="N5" s="1285">
        <v>9993</v>
      </c>
      <c r="O5" s="2463" t="s">
        <v>4841</v>
      </c>
      <c r="Q5" s="2195" t="s">
        <v>699</v>
      </c>
      <c r="R5" s="2201" t="s">
        <v>4226</v>
      </c>
      <c r="S5" s="2201" t="s">
        <v>4226</v>
      </c>
      <c r="T5" s="2203" t="s">
        <v>4666</v>
      </c>
      <c r="U5" s="2197">
        <v>43494</v>
      </c>
      <c r="X5" s="1285" t="s">
        <v>4831</v>
      </c>
      <c r="Z5" s="2202" t="s">
        <v>4219</v>
      </c>
    </row>
    <row r="6" spans="1:26" ht="35.1" customHeight="1">
      <c r="A6" s="2293" t="s">
        <v>4508</v>
      </c>
      <c r="B6" s="2290"/>
      <c r="C6" s="2291" t="str">
        <f t="shared" si="2"/>
        <v>00</v>
      </c>
      <c r="D6" s="2292">
        <f t="shared" si="3"/>
        <v>4</v>
      </c>
      <c r="E6" s="2287">
        <f t="shared" si="4"/>
        <v>43940</v>
      </c>
      <c r="F6" s="2288"/>
      <c r="G6" s="2189" t="str">
        <f>'NT-VT'!A10</f>
        <v>atm200</v>
      </c>
      <c r="H6" s="2190" t="s">
        <v>4221</v>
      </c>
      <c r="I6" s="2190" t="s">
        <v>4222</v>
      </c>
      <c r="J6" s="2199"/>
      <c r="K6" s="2200"/>
      <c r="L6" s="2462" t="str">
        <f t="shared" si="5"/>
        <v>9991/BB-PXTN</v>
      </c>
      <c r="M6" s="2253">
        <v>43959</v>
      </c>
      <c r="N6" s="1285">
        <v>9991</v>
      </c>
      <c r="O6" s="1971" t="e">
        <f>VLOOKUP(G6,Q:X,8,0)</f>
        <v>#N/A</v>
      </c>
      <c r="Q6" s="2195" t="s">
        <v>360</v>
      </c>
      <c r="R6" s="2201" t="s">
        <v>4226</v>
      </c>
      <c r="S6" s="2201" t="s">
        <v>4226</v>
      </c>
      <c r="T6" s="2203" t="s">
        <v>4665</v>
      </c>
      <c r="U6" s="2197">
        <v>43665</v>
      </c>
      <c r="X6" s="1285" t="s">
        <v>4831</v>
      </c>
      <c r="Z6" s="2202" t="s">
        <v>4324</v>
      </c>
    </row>
    <row r="7" spans="1:26" ht="35.1" customHeight="1">
      <c r="A7" s="2293" t="s">
        <v>4509</v>
      </c>
      <c r="B7" s="2290">
        <v>4</v>
      </c>
      <c r="C7" s="2291" t="str">
        <f t="shared" si="2"/>
        <v>04</v>
      </c>
      <c r="D7" s="2292">
        <f t="shared" si="3"/>
        <v>5</v>
      </c>
      <c r="E7" s="2287">
        <f t="shared" si="4"/>
        <v>43943</v>
      </c>
      <c r="F7" s="2288">
        <v>3</v>
      </c>
      <c r="G7" s="2189" t="str">
        <f>'NT-VT'!A11</f>
        <v>SD</v>
      </c>
      <c r="H7" s="2190" t="str">
        <f t="shared" si="0"/>
        <v>Minh Long</v>
      </c>
      <c r="I7" s="2190" t="str">
        <f t="shared" si="1"/>
        <v>Minh Long</v>
      </c>
      <c r="J7" s="2199" t="s">
        <v>5219</v>
      </c>
      <c r="K7" s="2200">
        <v>43957</v>
      </c>
      <c r="L7" s="2462" t="str">
        <f t="shared" si="5"/>
        <v>9994/BB-PXTN</v>
      </c>
      <c r="M7" s="2253">
        <v>43959</v>
      </c>
      <c r="N7" s="1285">
        <v>9994</v>
      </c>
      <c r="O7" s="1971" t="str">
        <f>VLOOKUP(G7,Q:X,8,0)</f>
        <v>/BB-SCĐ</v>
      </c>
      <c r="Q7" s="2195" t="s">
        <v>103</v>
      </c>
      <c r="R7" s="2201" t="s">
        <v>4226</v>
      </c>
      <c r="S7" s="2201" t="s">
        <v>4226</v>
      </c>
      <c r="T7" s="2203" t="s">
        <v>4664</v>
      </c>
      <c r="U7" s="2197">
        <v>43525</v>
      </c>
      <c r="V7" s="1285" t="s">
        <v>4771</v>
      </c>
      <c r="W7" s="1494">
        <v>43522</v>
      </c>
      <c r="Z7" s="2202" t="s">
        <v>4222</v>
      </c>
    </row>
    <row r="8" spans="1:26" ht="35.1" customHeight="1">
      <c r="A8" s="2289" t="s">
        <v>4903</v>
      </c>
      <c r="B8" s="2290">
        <f>B9</f>
        <v>2</v>
      </c>
      <c r="C8" s="2291" t="str">
        <f t="shared" si="2"/>
        <v>02</v>
      </c>
      <c r="D8" s="2292">
        <f t="shared" si="3"/>
        <v>6</v>
      </c>
      <c r="E8" s="2287">
        <f t="shared" si="4"/>
        <v>43943</v>
      </c>
      <c r="F8" s="2288"/>
      <c r="G8" s="2189" t="str">
        <f>'NT-VT'!A12</f>
        <v>Stply</v>
      </c>
      <c r="H8" s="2190" t="str">
        <f t="shared" si="0"/>
        <v>DTR</v>
      </c>
      <c r="I8" s="2190"/>
      <c r="J8" s="2199"/>
      <c r="K8" s="2200"/>
      <c r="L8" s="2462" t="str">
        <f t="shared" si="5"/>
        <v>10054/BB-PXTN</v>
      </c>
      <c r="M8" s="2253">
        <v>43959</v>
      </c>
      <c r="N8" s="1285">
        <v>10054</v>
      </c>
      <c r="O8" s="1971" t="str">
        <f>VLOOKUP(G8,Q:X,8,0)</f>
        <v>/BB-SCĐ</v>
      </c>
      <c r="Q8" s="2198" t="s">
        <v>2284</v>
      </c>
      <c r="R8" s="2201" t="s">
        <v>4226</v>
      </c>
      <c r="S8" s="2201" t="s">
        <v>4226</v>
      </c>
      <c r="T8" s="2203" t="s">
        <v>4667</v>
      </c>
      <c r="U8" s="2197">
        <v>43494</v>
      </c>
      <c r="X8" s="1285" t="s">
        <v>4830</v>
      </c>
      <c r="Z8" s="2202" t="s">
        <v>4228</v>
      </c>
    </row>
    <row r="9" spans="1:26" ht="35.1" customHeight="1">
      <c r="A9" s="2294" t="s">
        <v>4156</v>
      </c>
      <c r="B9" s="2290">
        <v>2</v>
      </c>
      <c r="C9" s="2291" t="str">
        <f t="shared" ref="C9:C10" si="6">TEXT(B9,"00")</f>
        <v>02</v>
      </c>
      <c r="D9" s="2292">
        <f t="shared" ref="D9:D10" si="7">IF(B9&lt;&gt;0,D8+1,D8)</f>
        <v>7</v>
      </c>
      <c r="E9" s="2287">
        <f t="shared" ref="E9:E10" si="8">E8+F9</f>
        <v>43943</v>
      </c>
      <c r="F9" s="2288"/>
      <c r="G9" s="2189" t="str">
        <f>'NT-VT'!A13</f>
        <v>cv95</v>
      </c>
      <c r="H9" s="2190" t="str">
        <f t="shared" si="0"/>
        <v>Cty TNHHSX-TM Dây &amp; Cáp Điện Tài Trường Thành</v>
      </c>
      <c r="I9" s="2190" t="str">
        <f t="shared" si="1"/>
        <v>Cty TNHHSX-TM Dây &amp; Cáp Điện Tài Trường Thành</v>
      </c>
      <c r="J9" s="2199" t="s">
        <v>5223</v>
      </c>
      <c r="K9" s="2200">
        <v>43959</v>
      </c>
      <c r="L9" s="2462" t="str">
        <f t="shared" si="5"/>
        <v>10000/BB-PXTN</v>
      </c>
      <c r="M9" s="2253">
        <v>43959</v>
      </c>
      <c r="N9" s="1285">
        <v>10000</v>
      </c>
      <c r="O9" s="1971" t="s">
        <v>4833</v>
      </c>
      <c r="Q9" s="2195" t="s">
        <v>88</v>
      </c>
      <c r="R9" s="2201" t="s">
        <v>4226</v>
      </c>
      <c r="S9" s="2201" t="s">
        <v>4226</v>
      </c>
      <c r="T9" s="2203" t="s">
        <v>4769</v>
      </c>
      <c r="U9" s="2197">
        <v>43665</v>
      </c>
      <c r="V9" s="1285" t="s">
        <v>4768</v>
      </c>
      <c r="W9" s="1494">
        <v>42387</v>
      </c>
      <c r="Z9" s="2202" t="s">
        <v>4502</v>
      </c>
    </row>
    <row r="10" spans="1:26" ht="35.1" customHeight="1">
      <c r="A10" s="2294" t="s">
        <v>4513</v>
      </c>
      <c r="B10" s="2290">
        <v>6</v>
      </c>
      <c r="C10" s="2291" t="str">
        <f t="shared" si="6"/>
        <v>06</v>
      </c>
      <c r="D10" s="2292">
        <f t="shared" si="7"/>
        <v>8</v>
      </c>
      <c r="E10" s="2287">
        <f t="shared" si="8"/>
        <v>43943</v>
      </c>
      <c r="F10" s="2288"/>
      <c r="G10" s="2189" t="str">
        <f>'NT-VT'!A14</f>
        <v>cv11</v>
      </c>
      <c r="H10" s="2190" t="str">
        <f t="shared" si="0"/>
        <v>Cty TNHHSX-TM Dây &amp; Cáp Điện Tài Trường Thành</v>
      </c>
      <c r="I10" s="2190" t="str">
        <f t="shared" si="1"/>
        <v>Cty TNHHSX-TM Dây &amp; Cáp Điện Tài Trường Thành</v>
      </c>
      <c r="J10" s="2199" t="s">
        <v>5222</v>
      </c>
      <c r="K10" s="2200">
        <v>43959</v>
      </c>
      <c r="L10" s="2462" t="str">
        <f t="shared" si="5"/>
        <v>9999/BB-PXTN</v>
      </c>
      <c r="M10" s="2253">
        <v>43965</v>
      </c>
      <c r="N10" s="1285">
        <v>9999</v>
      </c>
      <c r="O10" s="1971" t="str">
        <f>VLOOKUP(G10,Q:X,8,0)</f>
        <v>/BB-LVC</v>
      </c>
      <c r="Q10" s="2195" t="s">
        <v>1364</v>
      </c>
      <c r="R10" s="2201" t="s">
        <v>4226</v>
      </c>
      <c r="S10" s="2201" t="s">
        <v>4226</v>
      </c>
      <c r="T10" s="2203" t="s">
        <v>4663</v>
      </c>
      <c r="U10" s="2197">
        <v>43665</v>
      </c>
      <c r="V10" s="1285" t="s">
        <v>4770</v>
      </c>
      <c r="W10" s="1494">
        <v>42445</v>
      </c>
      <c r="Z10" s="2202" t="s">
        <v>4226</v>
      </c>
    </row>
    <row r="11" spans="1:26" ht="35.1" customHeight="1" thickBot="1">
      <c r="A11" s="2295" t="s">
        <v>4526</v>
      </c>
      <c r="B11" s="2296">
        <v>3</v>
      </c>
      <c r="C11" s="2297" t="str">
        <f t="shared" ref="C11" si="9">TEXT(B11,"00")</f>
        <v>03</v>
      </c>
      <c r="D11" s="2298">
        <f t="shared" ref="D11" si="10">IF(B11&lt;&gt;0,D10+1,D10)</f>
        <v>9</v>
      </c>
      <c r="E11" s="2299">
        <f t="shared" ref="E11" si="11">E10+F11</f>
        <v>43948</v>
      </c>
      <c r="F11" s="2300">
        <v>5</v>
      </c>
      <c r="G11" s="2189" t="str">
        <f>'NT-VT'!A15</f>
        <v>CVV4X4</v>
      </c>
      <c r="H11" s="2190" t="str">
        <f t="shared" si="0"/>
        <v>Cty TNHHSX-TM Dây &amp; Cáp Điện Tài Trường Thành</v>
      </c>
      <c r="I11" s="2190" t="str">
        <f t="shared" si="1"/>
        <v>Cty TNHHSX-TM Dây &amp; Cáp Điện Tài Trường Thành</v>
      </c>
      <c r="J11" s="2199"/>
      <c r="K11" s="2200"/>
      <c r="L11" s="2462" t="str">
        <f t="shared" si="5"/>
        <v>9998/BB-PXTN</v>
      </c>
      <c r="M11" s="2253">
        <v>43966</v>
      </c>
      <c r="N11" s="1285">
        <v>9998</v>
      </c>
      <c r="O11" s="1971" t="s">
        <v>4830</v>
      </c>
      <c r="Q11" s="2205" t="s">
        <v>5165</v>
      </c>
      <c r="R11" s="2201" t="s">
        <v>4219</v>
      </c>
      <c r="S11" s="2201" t="s">
        <v>4219</v>
      </c>
      <c r="T11" s="2191" t="s">
        <v>4660</v>
      </c>
      <c r="U11" s="2192">
        <v>43525</v>
      </c>
      <c r="Z11" s="2202" t="s">
        <v>4225</v>
      </c>
    </row>
    <row r="12" spans="1:26" ht="35.1" customHeight="1">
      <c r="A12"/>
      <c r="B12"/>
      <c r="C12"/>
      <c r="D12"/>
      <c r="E12"/>
      <c r="F12"/>
      <c r="G12" s="2189" t="str">
        <f>'NT-VT'!A16</f>
        <v>XLPE25</v>
      </c>
      <c r="H12" s="2190" t="str">
        <f t="shared" si="0"/>
        <v>Cty TNHHSX-TM Dây &amp; Cáp Điện Tài Trường Thành</v>
      </c>
      <c r="I12" s="2190" t="str">
        <f t="shared" si="1"/>
        <v>Cty TNHHSX-TM Dây &amp; Cáp Điện Tài Trường Thành</v>
      </c>
      <c r="J12" s="2199"/>
      <c r="K12" s="2200"/>
      <c r="L12" s="2462" t="str">
        <f t="shared" si="5"/>
        <v>9995/BB-PXTN</v>
      </c>
      <c r="M12" s="2253">
        <v>43967</v>
      </c>
      <c r="N12" s="1285">
        <v>9995</v>
      </c>
      <c r="O12" s="1971" t="str">
        <f>VLOOKUP(G12,Q:X,8,0)</f>
        <v>/BB-MVC</v>
      </c>
      <c r="Q12" s="2198" t="s">
        <v>753</v>
      </c>
      <c r="R12" s="2206" t="s">
        <v>4418</v>
      </c>
      <c r="S12" s="2206" t="s">
        <v>4418</v>
      </c>
      <c r="T12" s="1285" t="s">
        <v>1018</v>
      </c>
      <c r="U12" s="1494" t="s">
        <v>1018</v>
      </c>
      <c r="Z12" s="2202" t="s">
        <v>4223</v>
      </c>
    </row>
    <row r="13" spans="1:26" ht="35.1" customHeight="1">
      <c r="A13" s="2204"/>
      <c r="D13" s="2188"/>
      <c r="E13" s="1285"/>
      <c r="G13" s="2189" t="str">
        <f>'NT-VT'!A17</f>
        <v>ACXV50</v>
      </c>
      <c r="H13" s="2190" t="str">
        <f t="shared" si="0"/>
        <v>Cty TNHHSX-TM Dây &amp; Cáp Điện Tài Trường Thành</v>
      </c>
      <c r="I13" s="2190" t="str">
        <f t="shared" si="1"/>
        <v>Cty TNHHSX-TM Dây &amp; Cáp Điện Tài Trường Thành</v>
      </c>
      <c r="J13" s="2199" t="s">
        <v>5220</v>
      </c>
      <c r="K13" s="2200">
        <v>43959</v>
      </c>
      <c r="L13" s="2462" t="str">
        <f t="shared" si="5"/>
        <v>9996/BB-PXTN</v>
      </c>
      <c r="M13" s="2253">
        <v>43968</v>
      </c>
      <c r="N13" s="1285">
        <v>9996</v>
      </c>
      <c r="O13" s="1971" t="s">
        <v>4830</v>
      </c>
      <c r="Q13" s="2198" t="s">
        <v>4447</v>
      </c>
      <c r="R13" s="2206" t="s">
        <v>4661</v>
      </c>
      <c r="S13" s="2206" t="s">
        <v>4661</v>
      </c>
      <c r="T13" s="1285" t="s">
        <v>1018</v>
      </c>
      <c r="U13" s="1494" t="s">
        <v>1018</v>
      </c>
      <c r="Z13" s="2202" t="s">
        <v>4221</v>
      </c>
    </row>
    <row r="14" spans="1:26" ht="35.1" customHeight="1">
      <c r="A14" s="2204"/>
      <c r="D14" s="2188"/>
      <c r="E14" s="1285"/>
      <c r="G14" s="2189" t="str">
        <f>'NT-VT'!A18</f>
        <v>m25</v>
      </c>
      <c r="H14" s="2190" t="str">
        <f t="shared" si="0"/>
        <v>Cty TNHHSX-TM Dây &amp; Cáp Điện Tài Trường Thành</v>
      </c>
      <c r="I14" s="2190" t="str">
        <f t="shared" si="1"/>
        <v>Cty TNHHSX-TM Dây &amp; Cáp Điện Tài Trường Thành</v>
      </c>
      <c r="J14" s="2199" t="s">
        <v>5221</v>
      </c>
      <c r="K14" s="2200">
        <v>43959</v>
      </c>
      <c r="L14" s="2462" t="str">
        <f t="shared" si="5"/>
        <v>/BB-PXTN</v>
      </c>
      <c r="M14" s="2253">
        <v>43969</v>
      </c>
      <c r="O14" s="1971" t="s">
        <v>4830</v>
      </c>
      <c r="Q14" s="2198" t="s">
        <v>869</v>
      </c>
      <c r="R14" s="2206" t="s">
        <v>4661</v>
      </c>
      <c r="S14" s="2206" t="s">
        <v>4661</v>
      </c>
      <c r="T14" s="1285" t="s">
        <v>1018</v>
      </c>
      <c r="U14" s="1494" t="s">
        <v>1018</v>
      </c>
      <c r="Z14" s="2202" t="s">
        <v>4659</v>
      </c>
    </row>
    <row r="15" spans="1:26" ht="35.1" customHeight="1">
      <c r="A15" s="1451"/>
      <c r="D15" s="2188"/>
      <c r="E15" s="1285"/>
      <c r="G15" s="2189" t="str">
        <f>'NT-VT'!A19</f>
        <v>AC50</v>
      </c>
      <c r="H15" s="2190" t="str">
        <f t="shared" si="0"/>
        <v>Cty TNHHSX-TM Dây &amp; Cáp Điện Tài Trường Thành</v>
      </c>
      <c r="I15" s="2190" t="str">
        <f t="shared" si="1"/>
        <v>Cty TNHHSX-TM Dây &amp; Cáp Điện Tài Trường Thành</v>
      </c>
      <c r="J15" s="2199"/>
      <c r="K15" s="2200"/>
      <c r="L15" s="2462" t="str">
        <f t="shared" si="5"/>
        <v>/BB-PXTN</v>
      </c>
      <c r="M15" s="2253">
        <v>43970</v>
      </c>
      <c r="O15" s="1971">
        <f>VLOOKUP(G15,Q:X,8,0)</f>
        <v>0</v>
      </c>
      <c r="Q15" s="2198" t="s">
        <v>955</v>
      </c>
      <c r="R15" s="2201" t="s">
        <v>4221</v>
      </c>
      <c r="S15" s="2201" t="s">
        <v>4222</v>
      </c>
      <c r="T15" s="1285" t="s">
        <v>1018</v>
      </c>
      <c r="U15" s="1494">
        <v>43525</v>
      </c>
      <c r="X15" s="1285" t="s">
        <v>4832</v>
      </c>
      <c r="Z15" s="2202" t="s">
        <v>4224</v>
      </c>
    </row>
    <row r="16" spans="1:26" ht="35.1" customHeight="1">
      <c r="A16" s="1451"/>
      <c r="D16" s="2188"/>
      <c r="E16" s="1285"/>
      <c r="G16" s="2189" t="str">
        <f>'NT-VT'!A20</f>
        <v>C5/8m</v>
      </c>
      <c r="H16" s="2190" t="str">
        <f t="shared" si="0"/>
        <v>nt</v>
      </c>
      <c r="I16" s="2190" t="str">
        <f t="shared" si="1"/>
        <v>nt</v>
      </c>
      <c r="J16" s="2199"/>
      <c r="K16" s="2200"/>
      <c r="L16" s="2462" t="str">
        <f t="shared" si="5"/>
        <v>/BB-PXTN</v>
      </c>
      <c r="M16" s="2194">
        <v>43796</v>
      </c>
      <c r="O16" s="1971" t="s">
        <v>4830</v>
      </c>
      <c r="Q16" s="2198" t="s">
        <v>698</v>
      </c>
      <c r="R16" s="2201" t="s">
        <v>4224</v>
      </c>
      <c r="S16" s="2201" t="s">
        <v>4224</v>
      </c>
      <c r="T16" s="1285" t="s">
        <v>4766</v>
      </c>
      <c r="U16" s="1494">
        <v>43525</v>
      </c>
      <c r="X16" s="1285" t="s">
        <v>4833</v>
      </c>
      <c r="Z16" s="2202" t="s">
        <v>4220</v>
      </c>
    </row>
    <row r="17" spans="1:26" ht="35.1" customHeight="1">
      <c r="A17" s="2204"/>
      <c r="D17" s="2188"/>
      <c r="E17" s="2207"/>
      <c r="G17" s="2189" t="str">
        <f>'NT-VT'!A21</f>
        <v>B16150</v>
      </c>
      <c r="H17" s="2190" t="s">
        <v>5224</v>
      </c>
      <c r="I17" s="2190" t="s">
        <v>5224</v>
      </c>
      <c r="J17" s="2199" t="s">
        <v>5225</v>
      </c>
      <c r="K17" s="2200">
        <v>43954</v>
      </c>
      <c r="L17" s="2462" t="str">
        <f t="shared" si="5"/>
        <v>/BB-PXTN</v>
      </c>
      <c r="M17" s="2194">
        <v>43796</v>
      </c>
      <c r="O17" s="1971" t="e">
        <f>VLOOKUP(G17,Q:X,8,0)</f>
        <v>#N/A</v>
      </c>
      <c r="Q17" s="2198" t="s">
        <v>1224</v>
      </c>
      <c r="R17" s="2201" t="s">
        <v>4226</v>
      </c>
      <c r="S17" s="2201" t="s">
        <v>4226</v>
      </c>
      <c r="T17" s="2203" t="s">
        <v>4772</v>
      </c>
      <c r="U17" s="1494">
        <v>43626</v>
      </c>
      <c r="X17" s="1285" t="s">
        <v>4830</v>
      </c>
      <c r="Z17" s="2202" t="s">
        <v>4570</v>
      </c>
    </row>
    <row r="18" spans="1:26" ht="35.1" customHeight="1">
      <c r="A18" s="2204"/>
      <c r="D18" s="2188"/>
      <c r="G18" s="2189" t="str">
        <f>'NT-VT'!A22</f>
        <v>B16250</v>
      </c>
      <c r="H18" s="2190" t="str">
        <f t="shared" si="0"/>
        <v>nt</v>
      </c>
      <c r="I18" s="2190" t="str">
        <f t="shared" si="1"/>
        <v>nt</v>
      </c>
      <c r="J18" s="2199"/>
      <c r="K18" s="2200"/>
      <c r="L18" s="2462" t="str">
        <f t="shared" si="5"/>
        <v>/BB-PXTN</v>
      </c>
      <c r="M18" s="2194">
        <v>43796</v>
      </c>
      <c r="O18" s="1971" t="s">
        <v>4830</v>
      </c>
      <c r="Q18" s="2198" t="s">
        <v>1565</v>
      </c>
      <c r="R18" s="1280" t="s">
        <v>4221</v>
      </c>
      <c r="S18" s="1280" t="s">
        <v>4222</v>
      </c>
      <c r="T18" s="1285" t="s">
        <v>1018</v>
      </c>
      <c r="X18" s="1285" t="s">
        <v>4832</v>
      </c>
      <c r="Z18" s="2202" t="s">
        <v>4816</v>
      </c>
    </row>
    <row r="19" spans="1:26" ht="35.1" customHeight="1">
      <c r="A19" s="2204"/>
      <c r="D19" s="2188"/>
      <c r="E19" s="1285"/>
      <c r="G19" s="2189" t="str">
        <f>'NT-VT'!A23</f>
        <v>B16300</v>
      </c>
      <c r="H19" s="2190" t="str">
        <f t="shared" si="0"/>
        <v>nt</v>
      </c>
      <c r="I19" s="2190" t="str">
        <f t="shared" si="1"/>
        <v>nt</v>
      </c>
      <c r="J19" s="2199"/>
      <c r="K19" s="2200"/>
      <c r="L19" s="2193" t="s">
        <v>4425</v>
      </c>
      <c r="M19" s="2194"/>
      <c r="O19" s="1971" t="e">
        <f t="shared" ref="O19:O50" si="12">VLOOKUP(G19,Q:X,8,0)</f>
        <v>#N/A</v>
      </c>
      <c r="Q19" s="2198" t="s">
        <v>1411</v>
      </c>
      <c r="R19" s="2201" t="s">
        <v>4226</v>
      </c>
      <c r="S19" s="2201" t="s">
        <v>4226</v>
      </c>
      <c r="T19" s="1285" t="s">
        <v>4834</v>
      </c>
      <c r="U19" s="1494">
        <v>43356</v>
      </c>
      <c r="X19" s="1285" t="s">
        <v>4830</v>
      </c>
      <c r="Z19" s="2202" t="s">
        <v>4218</v>
      </c>
    </row>
    <row r="20" spans="1:26" s="1285" customFormat="1" ht="35.1" customHeight="1">
      <c r="D20" s="2188"/>
      <c r="E20" s="2198"/>
      <c r="G20" s="2189" t="str">
        <f>'NT-VT'!A24</f>
        <v>B16300v</v>
      </c>
      <c r="H20" s="2190" t="str">
        <f t="shared" si="0"/>
        <v>nt</v>
      </c>
      <c r="I20" s="2190" t="str">
        <f t="shared" si="1"/>
        <v>nt</v>
      </c>
      <c r="J20" s="2199"/>
      <c r="K20" s="2200"/>
      <c r="L20" s="2088"/>
      <c r="M20" s="1451"/>
      <c r="O20" s="1971" t="e">
        <f t="shared" si="12"/>
        <v>#N/A</v>
      </c>
      <c r="P20" s="1971"/>
      <c r="Q20" s="2198" t="s">
        <v>1511</v>
      </c>
      <c r="R20" s="2201" t="s">
        <v>4225</v>
      </c>
      <c r="S20" s="2201" t="s">
        <v>4219</v>
      </c>
      <c r="T20" s="1285" t="s">
        <v>1018</v>
      </c>
      <c r="U20" s="1494" t="s">
        <v>1018</v>
      </c>
      <c r="X20" s="1285" t="s">
        <v>4833</v>
      </c>
    </row>
    <row r="21" spans="1:26" s="1285" customFormat="1" ht="35.1" customHeight="1">
      <c r="D21" s="2188"/>
      <c r="E21" s="2198"/>
      <c r="G21" s="2189" t="str">
        <f>'NT-VT'!A25</f>
        <v>B1635</v>
      </c>
      <c r="H21" s="2190" t="str">
        <f t="shared" si="0"/>
        <v>nt</v>
      </c>
      <c r="I21" s="2190" t="str">
        <f t="shared" si="1"/>
        <v>nt</v>
      </c>
      <c r="J21" s="2199" t="str">
        <f t="shared" ref="J21:J52" si="13">IFERROR(VLOOKUP(G21,$Q:$U,4,0),"nt")</f>
        <v>nt</v>
      </c>
      <c r="K21" s="2200" t="str">
        <f t="shared" ref="K21:K52" si="14">IFERROR(VLOOKUP(G21,$Q:$U,5,0),"nt")</f>
        <v>nt</v>
      </c>
      <c r="L21" s="2088"/>
      <c r="M21" s="1451"/>
      <c r="O21" s="1971" t="e">
        <f t="shared" si="12"/>
        <v>#N/A</v>
      </c>
      <c r="P21" s="1971"/>
      <c r="Q21" s="2198" t="s">
        <v>4803</v>
      </c>
      <c r="R21" s="2201" t="s">
        <v>4226</v>
      </c>
      <c r="S21" s="2201" t="s">
        <v>4226</v>
      </c>
      <c r="T21" s="1285" t="s">
        <v>1018</v>
      </c>
      <c r="U21" s="1494" t="s">
        <v>1018</v>
      </c>
      <c r="X21" s="1285" t="s">
        <v>4830</v>
      </c>
    </row>
    <row r="22" spans="1:26" s="1285" customFormat="1" ht="35.1" customHeight="1">
      <c r="E22" s="2198"/>
      <c r="G22" s="2189" t="str">
        <f>'NT-VT'!A26</f>
        <v>B16400</v>
      </c>
      <c r="H22" s="2190" t="str">
        <f t="shared" si="0"/>
        <v>nt</v>
      </c>
      <c r="I22" s="2190" t="str">
        <f t="shared" ref="I22:I52" si="15">IFERROR(VLOOKUP(G22,$Q:$U,3,0),"nt")</f>
        <v>nt</v>
      </c>
      <c r="J22" s="2199" t="str">
        <f t="shared" si="13"/>
        <v>nt</v>
      </c>
      <c r="K22" s="2200" t="str">
        <f t="shared" si="14"/>
        <v>nt</v>
      </c>
      <c r="L22" s="2088"/>
      <c r="M22" s="1451"/>
      <c r="O22" s="1971" t="e">
        <f t="shared" si="12"/>
        <v>#N/A</v>
      </c>
      <c r="P22" s="1971"/>
      <c r="Q22" s="2198" t="s">
        <v>4820</v>
      </c>
      <c r="R22" s="2201" t="s">
        <v>4226</v>
      </c>
      <c r="S22" s="2201" t="s">
        <v>4226</v>
      </c>
      <c r="T22" s="1285" t="s">
        <v>1018</v>
      </c>
      <c r="U22" s="1494" t="s">
        <v>4821</v>
      </c>
      <c r="X22" s="1285" t="s">
        <v>4830</v>
      </c>
    </row>
    <row r="23" spans="1:26" s="1285" customFormat="1" ht="35.1" customHeight="1">
      <c r="E23" s="2198"/>
      <c r="G23" s="2189" t="str">
        <f>'NT-VT'!A27</f>
        <v>B16450V</v>
      </c>
      <c r="H23" s="2190" t="str">
        <f t="shared" si="0"/>
        <v>nt</v>
      </c>
      <c r="I23" s="2190" t="str">
        <f t="shared" si="15"/>
        <v>nt</v>
      </c>
      <c r="J23" s="2199" t="str">
        <f t="shared" si="13"/>
        <v>nt</v>
      </c>
      <c r="K23" s="2200" t="str">
        <f t="shared" si="14"/>
        <v>nt</v>
      </c>
      <c r="L23" s="2088"/>
      <c r="M23" s="1451"/>
      <c r="O23" s="1971" t="e">
        <f t="shared" si="12"/>
        <v>#N/A</v>
      </c>
      <c r="P23" s="1971"/>
      <c r="Q23" s="2198" t="s">
        <v>4835</v>
      </c>
      <c r="R23" s="2201" t="s">
        <v>4226</v>
      </c>
      <c r="S23" s="2201" t="s">
        <v>4226</v>
      </c>
      <c r="T23" s="1285" t="s">
        <v>4836</v>
      </c>
      <c r="U23" s="1494">
        <v>43721</v>
      </c>
      <c r="X23" s="1285" t="s">
        <v>4830</v>
      </c>
    </row>
    <row r="24" spans="1:26" s="1285" customFormat="1" ht="35.1" customHeight="1">
      <c r="E24" s="2198"/>
      <c r="G24" s="2189" t="str">
        <f>'NT-VT'!A28</f>
        <v>B1650</v>
      </c>
      <c r="H24" s="2190" t="str">
        <f t="shared" ref="H24:H52" si="16">IFERROR(VLOOKUP(G24,$Q:$U,2,0),"nt")</f>
        <v>nt</v>
      </c>
      <c r="I24" s="2190" t="str">
        <f t="shared" si="15"/>
        <v>nt</v>
      </c>
      <c r="J24" s="2199" t="str">
        <f t="shared" si="13"/>
        <v>nt</v>
      </c>
      <c r="K24" s="2200" t="str">
        <f t="shared" si="14"/>
        <v>nt</v>
      </c>
      <c r="L24" s="2088"/>
      <c r="M24" s="1451"/>
      <c r="O24" s="1971" t="e">
        <f t="shared" si="12"/>
        <v>#N/A</v>
      </c>
      <c r="P24" s="1971"/>
      <c r="Q24" s="2198" t="s">
        <v>4552</v>
      </c>
      <c r="R24" s="2201" t="s">
        <v>4226</v>
      </c>
      <c r="S24" s="2201" t="s">
        <v>4226</v>
      </c>
      <c r="T24" s="1285" t="s">
        <v>4837</v>
      </c>
      <c r="U24" s="1494">
        <v>43805</v>
      </c>
      <c r="X24" s="1285" t="s">
        <v>4830</v>
      </c>
    </row>
    <row r="25" spans="1:26" s="1285" customFormat="1" ht="35.1" customHeight="1">
      <c r="E25" s="2198"/>
      <c r="G25" s="2189" t="str">
        <f>'NT-VT'!A29</f>
        <v>B16500</v>
      </c>
      <c r="H25" s="2190" t="str">
        <f t="shared" si="16"/>
        <v>nt</v>
      </c>
      <c r="I25" s="2190" t="str">
        <f t="shared" si="15"/>
        <v>nt</v>
      </c>
      <c r="J25" s="2199" t="str">
        <f t="shared" si="13"/>
        <v>nt</v>
      </c>
      <c r="K25" s="2200" t="str">
        <f t="shared" si="14"/>
        <v>nt</v>
      </c>
      <c r="L25" s="2088"/>
      <c r="M25" s="1451"/>
      <c r="O25" s="1971" t="e">
        <f t="shared" si="12"/>
        <v>#N/A</v>
      </c>
      <c r="P25" s="1971"/>
      <c r="Q25" s="2198" t="s">
        <v>4838</v>
      </c>
      <c r="R25" s="2201" t="s">
        <v>4226</v>
      </c>
      <c r="S25" s="2201" t="s">
        <v>4226</v>
      </c>
      <c r="T25" s="1285" t="s">
        <v>4839</v>
      </c>
      <c r="U25" s="1494">
        <v>43668</v>
      </c>
      <c r="X25" s="1285" t="s">
        <v>4830</v>
      </c>
    </row>
    <row r="26" spans="1:26" s="1285" customFormat="1" ht="35.1" customHeight="1">
      <c r="E26" s="2198"/>
      <c r="G26" s="2189" t="str">
        <f>'NT-VT'!A30</f>
        <v>B16550v</v>
      </c>
      <c r="H26" s="2190" t="str">
        <f t="shared" si="16"/>
        <v>nt</v>
      </c>
      <c r="I26" s="2190" t="str">
        <f t="shared" si="15"/>
        <v>nt</v>
      </c>
      <c r="J26" s="2199" t="str">
        <f t="shared" si="13"/>
        <v>nt</v>
      </c>
      <c r="K26" s="2200" t="str">
        <f t="shared" si="14"/>
        <v>nt</v>
      </c>
      <c r="L26" s="2088"/>
      <c r="M26" s="1451"/>
      <c r="O26" s="1971" t="e">
        <f t="shared" si="12"/>
        <v>#N/A</v>
      </c>
      <c r="P26" s="1971"/>
      <c r="Q26" s="2198" t="s">
        <v>32</v>
      </c>
      <c r="R26" s="2201" t="s">
        <v>4226</v>
      </c>
      <c r="S26" s="2201" t="s">
        <v>4226</v>
      </c>
      <c r="T26" s="1285" t="s">
        <v>4840</v>
      </c>
      <c r="U26" s="1494">
        <v>43356</v>
      </c>
      <c r="X26" s="1285" t="s">
        <v>4830</v>
      </c>
    </row>
    <row r="27" spans="1:26" s="1285" customFormat="1" ht="35.1" customHeight="1">
      <c r="E27" s="2198"/>
      <c r="G27" s="2189" t="str">
        <f>'NT-VT'!A31</f>
        <v>B16600</v>
      </c>
      <c r="H27" s="2190" t="str">
        <f t="shared" si="16"/>
        <v>nt</v>
      </c>
      <c r="I27" s="2190" t="str">
        <f t="shared" si="15"/>
        <v>nt</v>
      </c>
      <c r="J27" s="2199" t="str">
        <f t="shared" si="13"/>
        <v>nt</v>
      </c>
      <c r="K27" s="2200" t="str">
        <f t="shared" si="14"/>
        <v>nt</v>
      </c>
      <c r="L27" s="2088"/>
      <c r="M27" s="1451"/>
      <c r="O27" s="1971" t="e">
        <f t="shared" si="12"/>
        <v>#N/A</v>
      </c>
      <c r="P27" s="1971"/>
      <c r="Q27" s="2198" t="s">
        <v>107</v>
      </c>
      <c r="R27" s="1280" t="s">
        <v>4507</v>
      </c>
      <c r="S27" s="1280" t="s">
        <v>4507</v>
      </c>
      <c r="T27" s="1285" t="s">
        <v>4829</v>
      </c>
      <c r="U27" s="1494">
        <v>43525</v>
      </c>
    </row>
    <row r="28" spans="1:26" s="1285" customFormat="1" ht="35.1" customHeight="1">
      <c r="E28" s="2198"/>
      <c r="G28" s="2189" t="str">
        <f>'NT-VT'!A32</f>
        <v>B16600v</v>
      </c>
      <c r="H28" s="2190" t="str">
        <f t="shared" si="16"/>
        <v>nt</v>
      </c>
      <c r="I28" s="2190" t="str">
        <f t="shared" si="15"/>
        <v>nt</v>
      </c>
      <c r="J28" s="2199" t="str">
        <f t="shared" si="13"/>
        <v>nt</v>
      </c>
      <c r="K28" s="2200" t="str">
        <f t="shared" si="14"/>
        <v>nt</v>
      </c>
      <c r="L28" s="2088"/>
      <c r="M28" s="1451"/>
      <c r="O28" s="1971" t="e">
        <f t="shared" si="12"/>
        <v>#N/A</v>
      </c>
      <c r="P28" s="1971"/>
      <c r="Q28" s="2198" t="s">
        <v>1657</v>
      </c>
      <c r="R28" s="2190" t="s">
        <v>4218</v>
      </c>
      <c r="S28" s="1280" t="s">
        <v>4219</v>
      </c>
      <c r="T28" s="1285" t="s">
        <v>1018</v>
      </c>
      <c r="U28" s="1494" t="s">
        <v>1018</v>
      </c>
      <c r="X28" s="1285" t="s">
        <v>4841</v>
      </c>
    </row>
    <row r="29" spans="1:26" s="1285" customFormat="1" ht="35.1" customHeight="1">
      <c r="E29" s="2198"/>
      <c r="G29" s="2189" t="str">
        <f>'NT-VT'!A33</f>
        <v>BAKE</v>
      </c>
      <c r="H29" s="2190" t="str">
        <f t="shared" si="16"/>
        <v>nt</v>
      </c>
      <c r="I29" s="2190" t="str">
        <f t="shared" si="15"/>
        <v>nt</v>
      </c>
      <c r="J29" s="2199" t="str">
        <f t="shared" si="13"/>
        <v>nt</v>
      </c>
      <c r="K29" s="2200" t="str">
        <f t="shared" si="14"/>
        <v>nt</v>
      </c>
      <c r="L29" s="2088"/>
      <c r="M29" s="1451"/>
      <c r="O29" s="1971" t="e">
        <f t="shared" si="12"/>
        <v>#N/A</v>
      </c>
      <c r="P29" s="1971"/>
      <c r="Q29" s="2198" t="s">
        <v>1378</v>
      </c>
      <c r="R29" s="2190" t="s">
        <v>4659</v>
      </c>
      <c r="S29" s="1280" t="s">
        <v>4219</v>
      </c>
      <c r="T29" s="1285" t="s">
        <v>1018</v>
      </c>
      <c r="U29" s="1494" t="s">
        <v>1018</v>
      </c>
      <c r="X29" s="1285" t="s">
        <v>4842</v>
      </c>
    </row>
    <row r="30" spans="1:26" s="1285" customFormat="1" ht="35.1" customHeight="1">
      <c r="E30" s="2198"/>
      <c r="G30" s="2189" t="str">
        <f>'NT-VT'!A34</f>
        <v>BANG</v>
      </c>
      <c r="H30" s="2190" t="str">
        <f t="shared" si="16"/>
        <v>nt</v>
      </c>
      <c r="I30" s="2190" t="str">
        <f t="shared" si="15"/>
        <v>nt</v>
      </c>
      <c r="J30" s="2199" t="str">
        <f t="shared" si="13"/>
        <v>nt</v>
      </c>
      <c r="K30" s="2200" t="str">
        <f t="shared" si="14"/>
        <v>nt</v>
      </c>
      <c r="L30" s="2088"/>
      <c r="M30" s="1451"/>
      <c r="O30" s="1971" t="e">
        <f t="shared" si="12"/>
        <v>#N/A</v>
      </c>
      <c r="P30" s="1971"/>
      <c r="Q30" s="2198" t="s">
        <v>1424</v>
      </c>
      <c r="R30" s="2201" t="s">
        <v>4221</v>
      </c>
      <c r="S30" s="2201" t="s">
        <v>4222</v>
      </c>
      <c r="T30" s="1285" t="s">
        <v>1018</v>
      </c>
      <c r="U30" s="1494">
        <v>43525</v>
      </c>
      <c r="X30" s="1285" t="s">
        <v>4832</v>
      </c>
    </row>
    <row r="31" spans="1:26" s="1285" customFormat="1" ht="35.1" customHeight="1">
      <c r="E31" s="2198"/>
      <c r="G31" s="2189" t="str">
        <f>'NT-VT'!A35</f>
        <v>BANGKEO</v>
      </c>
      <c r="H31" s="2190" t="str">
        <f t="shared" si="16"/>
        <v>nt</v>
      </c>
      <c r="I31" s="2190" t="str">
        <f t="shared" si="15"/>
        <v>nt</v>
      </c>
      <c r="J31" s="2199" t="str">
        <f t="shared" si="13"/>
        <v>nt</v>
      </c>
      <c r="K31" s="2200" t="str">
        <f t="shared" si="14"/>
        <v>nt</v>
      </c>
      <c r="L31" s="2088"/>
      <c r="M31" s="1451"/>
      <c r="O31" s="1971" t="e">
        <f t="shared" si="12"/>
        <v>#N/A</v>
      </c>
      <c r="P31" s="1971"/>
      <c r="Q31" s="2198" t="s">
        <v>237</v>
      </c>
      <c r="R31" s="2201" t="s">
        <v>4226</v>
      </c>
      <c r="S31" s="2201" t="s">
        <v>4226</v>
      </c>
      <c r="T31" s="1285" t="s">
        <v>4844</v>
      </c>
      <c r="U31" s="1494">
        <v>43805</v>
      </c>
      <c r="X31" s="1285" t="s">
        <v>4830</v>
      </c>
    </row>
    <row r="32" spans="1:26" s="1285" customFormat="1" ht="35.1" customHeight="1">
      <c r="E32" s="2198"/>
      <c r="G32" s="2189" t="str">
        <f>'NT-VT'!A36</f>
        <v>batLL</v>
      </c>
      <c r="H32" s="2190" t="str">
        <f t="shared" si="16"/>
        <v>nt</v>
      </c>
      <c r="I32" s="2190" t="str">
        <f t="shared" si="15"/>
        <v>nt</v>
      </c>
      <c r="J32" s="2199" t="str">
        <f t="shared" si="13"/>
        <v>nt</v>
      </c>
      <c r="K32" s="2200" t="str">
        <f t="shared" si="14"/>
        <v>nt</v>
      </c>
      <c r="L32" s="2088"/>
      <c r="M32" s="1451"/>
      <c r="O32" s="1971" t="e">
        <f t="shared" si="12"/>
        <v>#N/A</v>
      </c>
      <c r="P32" s="1971"/>
      <c r="Q32" s="2198" t="s">
        <v>1464</v>
      </c>
      <c r="R32" s="2201" t="s">
        <v>4221</v>
      </c>
      <c r="S32" s="2201" t="s">
        <v>4222</v>
      </c>
      <c r="T32" s="1285" t="s">
        <v>1018</v>
      </c>
      <c r="U32" s="1494">
        <v>43525</v>
      </c>
      <c r="X32" s="1285" t="s">
        <v>4832</v>
      </c>
    </row>
    <row r="33" spans="5:21" s="1285" customFormat="1" ht="35.1" customHeight="1">
      <c r="E33" s="2198"/>
      <c r="G33" s="2189" t="str">
        <f>'NT-VT'!A37</f>
        <v>BM16300</v>
      </c>
      <c r="H33" s="2190" t="str">
        <f t="shared" si="16"/>
        <v>nt</v>
      </c>
      <c r="I33" s="2190" t="str">
        <f t="shared" si="15"/>
        <v>nt</v>
      </c>
      <c r="J33" s="2199" t="str">
        <f t="shared" si="13"/>
        <v>nt</v>
      </c>
      <c r="K33" s="2200" t="str">
        <f t="shared" si="14"/>
        <v>nt</v>
      </c>
      <c r="L33" s="2088"/>
      <c r="M33" s="1451"/>
      <c r="O33" s="1971" t="e">
        <f t="shared" si="12"/>
        <v>#N/A</v>
      </c>
      <c r="P33" s="1971"/>
      <c r="Q33" s="2198"/>
      <c r="R33" s="1280"/>
      <c r="S33" s="1280"/>
      <c r="U33" s="1494"/>
    </row>
    <row r="34" spans="5:21" s="1285" customFormat="1" ht="35.1" customHeight="1">
      <c r="E34" s="2198"/>
      <c r="G34" s="2189" t="str">
        <f>'NT-VT'!A38</f>
        <v>bnh</v>
      </c>
      <c r="H34" s="2190" t="str">
        <f t="shared" si="16"/>
        <v>nt</v>
      </c>
      <c r="I34" s="2190" t="str">
        <f t="shared" si="15"/>
        <v>nt</v>
      </c>
      <c r="J34" s="2199" t="str">
        <f t="shared" si="13"/>
        <v>nt</v>
      </c>
      <c r="K34" s="2200" t="str">
        <f t="shared" si="14"/>
        <v>nt</v>
      </c>
      <c r="L34" s="2088"/>
      <c r="M34" s="1451"/>
      <c r="O34" s="1971" t="e">
        <f t="shared" si="12"/>
        <v>#N/A</v>
      </c>
      <c r="P34" s="1971"/>
      <c r="Q34" s="2198"/>
      <c r="R34" s="1280"/>
      <c r="S34" s="1280"/>
      <c r="U34" s="1494"/>
    </row>
    <row r="35" spans="5:21" s="1285" customFormat="1" ht="35.1" customHeight="1">
      <c r="E35" s="2198"/>
      <c r="G35" s="2189" t="str">
        <f>'NT-VT'!A39</f>
        <v>cd114</v>
      </c>
      <c r="H35" s="2190" t="str">
        <f t="shared" si="16"/>
        <v>nt</v>
      </c>
      <c r="I35" s="2190" t="str">
        <f t="shared" si="15"/>
        <v>nt</v>
      </c>
      <c r="J35" s="2199" t="str">
        <f t="shared" si="13"/>
        <v>nt</v>
      </c>
      <c r="K35" s="2200" t="str">
        <f t="shared" si="14"/>
        <v>nt</v>
      </c>
      <c r="L35" s="2088"/>
      <c r="M35" s="1451"/>
      <c r="O35" s="1971" t="e">
        <f t="shared" si="12"/>
        <v>#N/A</v>
      </c>
      <c r="P35" s="1971"/>
      <c r="Q35" s="2198"/>
      <c r="R35" s="1280"/>
      <c r="S35" s="1280"/>
      <c r="U35" s="1494"/>
    </row>
    <row r="36" spans="5:21" s="1285" customFormat="1" ht="35.1" customHeight="1">
      <c r="E36" s="2198"/>
      <c r="G36" s="2189" t="str">
        <f>'NT-VT'!A40</f>
        <v>CD320</v>
      </c>
      <c r="H36" s="2190" t="str">
        <f t="shared" si="16"/>
        <v>nt</v>
      </c>
      <c r="I36" s="2190" t="str">
        <f t="shared" si="15"/>
        <v>nt</v>
      </c>
      <c r="J36" s="2199" t="str">
        <f t="shared" si="13"/>
        <v>nt</v>
      </c>
      <c r="K36" s="2200" t="str">
        <f t="shared" si="14"/>
        <v>nt</v>
      </c>
      <c r="L36" s="2088"/>
      <c r="M36" s="1451"/>
      <c r="O36" s="1971" t="e">
        <f t="shared" si="12"/>
        <v>#N/A</v>
      </c>
      <c r="P36" s="1971"/>
      <c r="Q36" s="2198"/>
      <c r="R36" s="1280"/>
      <c r="S36" s="1280"/>
      <c r="U36" s="1494"/>
    </row>
    <row r="37" spans="5:21" s="1285" customFormat="1" ht="35.1" customHeight="1">
      <c r="E37" s="2198"/>
      <c r="G37" s="2189" t="str">
        <f>'NT-VT'!A41</f>
        <v>chcos150</v>
      </c>
      <c r="H37" s="2190" t="str">
        <f t="shared" si="16"/>
        <v>nt</v>
      </c>
      <c r="I37" s="2190" t="str">
        <f t="shared" si="15"/>
        <v>nt</v>
      </c>
      <c r="J37" s="2199" t="str">
        <f t="shared" si="13"/>
        <v>nt</v>
      </c>
      <c r="K37" s="2200" t="str">
        <f t="shared" si="14"/>
        <v>nt</v>
      </c>
      <c r="L37" s="2088"/>
      <c r="M37" s="1451"/>
      <c r="O37" s="1971" t="e">
        <f t="shared" si="12"/>
        <v>#N/A</v>
      </c>
      <c r="P37" s="1971"/>
      <c r="Q37" s="2198"/>
      <c r="R37" s="1280"/>
      <c r="S37" s="1280"/>
      <c r="U37" s="1494"/>
    </row>
    <row r="38" spans="5:21" s="1285" customFormat="1" ht="35.1" customHeight="1">
      <c r="E38" s="2198"/>
      <c r="G38" s="2189" t="str">
        <f>'NT-VT'!A42</f>
        <v>chcos95</v>
      </c>
      <c r="H38" s="2190" t="str">
        <f t="shared" si="16"/>
        <v>nt</v>
      </c>
      <c r="I38" s="2190" t="str">
        <f t="shared" si="15"/>
        <v>nt</v>
      </c>
      <c r="J38" s="2199" t="str">
        <f t="shared" si="13"/>
        <v>nt</v>
      </c>
      <c r="K38" s="2200" t="str">
        <f t="shared" si="14"/>
        <v>nt</v>
      </c>
      <c r="L38" s="2088"/>
      <c r="M38" s="1451"/>
      <c r="O38" s="1971" t="e">
        <f t="shared" si="12"/>
        <v>#N/A</v>
      </c>
      <c r="P38" s="1971"/>
      <c r="Q38" s="2198"/>
      <c r="R38" s="1280"/>
      <c r="S38" s="1280"/>
      <c r="U38" s="1494"/>
    </row>
    <row r="39" spans="5:21" s="1285" customFormat="1" ht="35.1" customHeight="1">
      <c r="E39" s="2198"/>
      <c r="G39" s="2189" t="str">
        <f>'NT-VT'!A43</f>
        <v>CHFCO</v>
      </c>
      <c r="H39" s="2190" t="str">
        <f t="shared" si="16"/>
        <v>nt</v>
      </c>
      <c r="I39" s="2190" t="str">
        <f t="shared" si="15"/>
        <v>nt</v>
      </c>
      <c r="J39" s="2199" t="str">
        <f t="shared" si="13"/>
        <v>nt</v>
      </c>
      <c r="K39" s="2200" t="str">
        <f t="shared" si="14"/>
        <v>nt</v>
      </c>
      <c r="L39" s="2088"/>
      <c r="M39" s="1451"/>
      <c r="O39" s="1971" t="e">
        <f t="shared" si="12"/>
        <v>#N/A</v>
      </c>
      <c r="P39" s="1971"/>
      <c r="Q39" s="2198"/>
      <c r="R39" s="1280"/>
      <c r="S39" s="1280"/>
      <c r="U39" s="1494"/>
    </row>
    <row r="40" spans="5:21" s="1285" customFormat="1" ht="35.1" customHeight="1">
      <c r="E40" s="2198"/>
      <c r="G40" s="2189" t="str">
        <f>'NT-VT'!A44</f>
        <v>chi6k</v>
      </c>
      <c r="H40" s="2190" t="str">
        <f t="shared" si="16"/>
        <v>nt</v>
      </c>
      <c r="I40" s="2190" t="str">
        <f t="shared" si="15"/>
        <v>nt</v>
      </c>
      <c r="J40" s="2199" t="str">
        <f t="shared" si="13"/>
        <v>nt</v>
      </c>
      <c r="K40" s="2200" t="str">
        <f t="shared" si="14"/>
        <v>nt</v>
      </c>
      <c r="L40" s="2088"/>
      <c r="M40" s="1451"/>
      <c r="O40" s="1971" t="e">
        <f t="shared" si="12"/>
        <v>#N/A</v>
      </c>
      <c r="P40" s="1971"/>
      <c r="Q40" s="2198"/>
      <c r="R40" s="1280"/>
      <c r="S40" s="1280"/>
      <c r="U40" s="1494"/>
    </row>
    <row r="41" spans="5:21" s="1285" customFormat="1" ht="35.1" customHeight="1">
      <c r="E41" s="2198"/>
      <c r="G41" s="2189" t="str">
        <f>'NT-VT'!A45</f>
        <v>chi8k</v>
      </c>
      <c r="H41" s="2190" t="str">
        <f t="shared" si="16"/>
        <v>nt</v>
      </c>
      <c r="I41" s="2190" t="str">
        <f t="shared" si="15"/>
        <v>nt</v>
      </c>
      <c r="J41" s="2199" t="str">
        <f t="shared" si="13"/>
        <v>nt</v>
      </c>
      <c r="K41" s="2200" t="str">
        <f t="shared" si="14"/>
        <v>nt</v>
      </c>
      <c r="L41" s="2088"/>
      <c r="M41" s="1451"/>
      <c r="O41" s="1971" t="e">
        <f t="shared" si="12"/>
        <v>#N/A</v>
      </c>
      <c r="P41" s="1971"/>
      <c r="Q41" s="2198"/>
      <c r="R41" s="1280"/>
      <c r="S41" s="1280"/>
      <c r="U41" s="1494"/>
    </row>
    <row r="42" spans="5:21" s="1285" customFormat="1" ht="35.1" customHeight="1">
      <c r="E42" s="2198"/>
      <c r="G42" s="2189" t="str">
        <f>'NT-VT'!A46</f>
        <v>chla</v>
      </c>
      <c r="H42" s="2190" t="str">
        <f t="shared" si="16"/>
        <v>nt</v>
      </c>
      <c r="I42" s="2190" t="str">
        <f t="shared" si="15"/>
        <v>nt</v>
      </c>
      <c r="J42" s="2199" t="str">
        <f t="shared" si="13"/>
        <v>nt</v>
      </c>
      <c r="K42" s="2200" t="str">
        <f t="shared" si="14"/>
        <v>nt</v>
      </c>
      <c r="L42" s="2088"/>
      <c r="M42" s="1451"/>
      <c r="O42" s="1971" t="e">
        <f t="shared" si="12"/>
        <v>#N/A</v>
      </c>
      <c r="P42" s="1971"/>
      <c r="Q42" s="2198"/>
      <c r="R42" s="1280"/>
      <c r="S42" s="1280"/>
      <c r="U42" s="1494"/>
    </row>
    <row r="43" spans="5:21" s="1285" customFormat="1" ht="35.1" customHeight="1">
      <c r="E43" s="2198"/>
      <c r="G43" s="2189" t="str">
        <f>'NT-VT'!A47</f>
        <v>chmba</v>
      </c>
      <c r="H43" s="2190" t="str">
        <f t="shared" si="16"/>
        <v>nt</v>
      </c>
      <c r="I43" s="2190" t="str">
        <f t="shared" si="15"/>
        <v>nt</v>
      </c>
      <c r="J43" s="2199" t="str">
        <f t="shared" si="13"/>
        <v>nt</v>
      </c>
      <c r="K43" s="2200" t="str">
        <f t="shared" si="14"/>
        <v>nt</v>
      </c>
      <c r="L43" s="2088"/>
      <c r="M43" s="1451"/>
      <c r="O43" s="1971" t="e">
        <f t="shared" si="12"/>
        <v>#N/A</v>
      </c>
      <c r="P43" s="1971"/>
      <c r="Q43" s="2198"/>
      <c r="R43" s="1280"/>
      <c r="S43" s="1280"/>
      <c r="U43" s="1494"/>
    </row>
    <row r="44" spans="5:21" s="1285" customFormat="1" ht="35.1" customHeight="1">
      <c r="E44" s="2198"/>
      <c r="G44" s="2189" t="str">
        <f>'NT-VT'!A48</f>
        <v>CL</v>
      </c>
      <c r="H44" s="2190" t="str">
        <f t="shared" si="16"/>
        <v>nt</v>
      </c>
      <c r="I44" s="2190" t="str">
        <f t="shared" si="15"/>
        <v>nt</v>
      </c>
      <c r="J44" s="2199" t="str">
        <f t="shared" si="13"/>
        <v>nt</v>
      </c>
      <c r="K44" s="2200" t="str">
        <f t="shared" si="14"/>
        <v>nt</v>
      </c>
      <c r="L44" s="2088"/>
      <c r="M44" s="2208"/>
      <c r="O44" s="1971" t="e">
        <f t="shared" si="12"/>
        <v>#N/A</v>
      </c>
      <c r="P44" s="1971"/>
      <c r="Q44" s="2198"/>
      <c r="R44" s="1280"/>
      <c r="S44" s="1280"/>
      <c r="U44" s="1494"/>
    </row>
    <row r="45" spans="5:21" s="1285" customFormat="1" ht="35.1" customHeight="1">
      <c r="E45" s="2198"/>
      <c r="G45" s="2189" t="str">
        <f>'NT-VT'!A49</f>
        <v>COM110x800x5-2,4</v>
      </c>
      <c r="H45" s="2190" t="str">
        <f t="shared" si="16"/>
        <v>nt</v>
      </c>
      <c r="I45" s="2190" t="str">
        <f t="shared" si="15"/>
        <v>nt</v>
      </c>
      <c r="J45" s="2199" t="str">
        <f t="shared" si="13"/>
        <v>nt</v>
      </c>
      <c r="K45" s="2200" t="str">
        <f t="shared" si="14"/>
        <v>nt</v>
      </c>
      <c r="L45" s="2088"/>
      <c r="M45" s="2194"/>
      <c r="O45" s="1971" t="e">
        <f t="shared" si="12"/>
        <v>#N/A</v>
      </c>
      <c r="P45" s="1971"/>
      <c r="Q45" s="2198"/>
      <c r="R45" s="1280"/>
      <c r="S45" s="1280"/>
      <c r="U45" s="1494"/>
    </row>
    <row r="46" spans="5:21" s="1285" customFormat="1" ht="35.1" customHeight="1">
      <c r="E46" s="2198"/>
      <c r="G46" s="2189" t="str">
        <f>'NT-VT'!A50</f>
        <v>com40x10x920</v>
      </c>
      <c r="H46" s="2190" t="str">
        <f t="shared" si="16"/>
        <v>nt</v>
      </c>
      <c r="I46" s="2190" t="str">
        <f t="shared" si="15"/>
        <v>nt</v>
      </c>
      <c r="J46" s="2199" t="str">
        <f t="shared" si="13"/>
        <v>nt</v>
      </c>
      <c r="K46" s="2200" t="str">
        <f t="shared" si="14"/>
        <v>nt</v>
      </c>
      <c r="L46" s="2088"/>
      <c r="M46" s="2194"/>
      <c r="O46" s="1971" t="e">
        <f t="shared" si="12"/>
        <v>#N/A</v>
      </c>
      <c r="P46" s="1971"/>
      <c r="Q46" s="2198"/>
      <c r="R46" s="1280"/>
      <c r="S46" s="1280"/>
      <c r="U46" s="1494"/>
    </row>
    <row r="47" spans="5:21" s="1285" customFormat="1" ht="35.1" customHeight="1">
      <c r="E47" s="2198"/>
      <c r="G47" s="2189" t="str">
        <f>'NT-VT'!A51</f>
        <v>cos150</v>
      </c>
      <c r="H47" s="2190" t="str">
        <f t="shared" si="16"/>
        <v>nt</v>
      </c>
      <c r="I47" s="2190" t="str">
        <f t="shared" si="15"/>
        <v>nt</v>
      </c>
      <c r="J47" s="2199" t="str">
        <f t="shared" si="13"/>
        <v>nt</v>
      </c>
      <c r="K47" s="2200" t="str">
        <f t="shared" si="14"/>
        <v>nt</v>
      </c>
      <c r="L47" s="2088"/>
      <c r="M47" s="2194"/>
      <c r="O47" s="1971" t="e">
        <f t="shared" si="12"/>
        <v>#N/A</v>
      </c>
      <c r="P47" s="1971"/>
      <c r="Q47" s="2198"/>
      <c r="R47" s="1280"/>
      <c r="S47" s="1280"/>
      <c r="U47" s="1494"/>
    </row>
    <row r="48" spans="5:21" ht="35.1" customHeight="1">
      <c r="G48" s="2189" t="str">
        <f>'NT-VT'!A52</f>
        <v>cos5</v>
      </c>
      <c r="H48" s="2190" t="str">
        <f t="shared" si="16"/>
        <v>nt</v>
      </c>
      <c r="I48" s="2190" t="str">
        <f t="shared" si="15"/>
        <v>nt</v>
      </c>
      <c r="J48" s="2199" t="str">
        <f t="shared" si="13"/>
        <v>nt</v>
      </c>
      <c r="K48" s="2200" t="str">
        <f t="shared" si="14"/>
        <v>nt</v>
      </c>
      <c r="L48" s="2088"/>
      <c r="M48" s="2209"/>
      <c r="O48" s="1971" t="e">
        <f t="shared" si="12"/>
        <v>#N/A</v>
      </c>
    </row>
    <row r="49" spans="5:21" ht="35.1" customHeight="1">
      <c r="G49" s="2189" t="str">
        <f>'NT-VT'!A53</f>
        <v>cos95</v>
      </c>
      <c r="H49" s="2190" t="str">
        <f t="shared" si="16"/>
        <v>nt</v>
      </c>
      <c r="I49" s="2190" t="str">
        <f t="shared" si="15"/>
        <v>nt</v>
      </c>
      <c r="J49" s="2199" t="str">
        <f t="shared" si="13"/>
        <v>nt</v>
      </c>
      <c r="K49" s="2200" t="str">
        <f t="shared" si="14"/>
        <v>nt</v>
      </c>
      <c r="L49" s="2088"/>
      <c r="M49" s="2209"/>
      <c r="O49" s="1971" t="e">
        <f t="shared" si="12"/>
        <v>#N/A</v>
      </c>
    </row>
    <row r="50" spans="5:21" s="1285" customFormat="1" ht="35.1" customHeight="1">
      <c r="E50" s="2198"/>
      <c r="G50" s="2189" t="str">
        <f>'NT-VT'!A54</f>
        <v>cose50</v>
      </c>
      <c r="H50" s="2190" t="str">
        <f t="shared" si="16"/>
        <v>nt</v>
      </c>
      <c r="I50" s="2190" t="str">
        <f t="shared" si="15"/>
        <v>nt</v>
      </c>
      <c r="J50" s="2199" t="str">
        <f t="shared" si="13"/>
        <v>nt</v>
      </c>
      <c r="K50" s="2200" t="str">
        <f t="shared" si="14"/>
        <v>nt</v>
      </c>
      <c r="L50" s="2088"/>
      <c r="M50" s="2209"/>
      <c r="O50" s="1971" t="e">
        <f t="shared" si="12"/>
        <v>#N/A</v>
      </c>
      <c r="P50" s="1971"/>
      <c r="Q50" s="2198"/>
      <c r="R50" s="1280"/>
      <c r="S50" s="1280"/>
      <c r="U50" s="1494"/>
    </row>
    <row r="51" spans="5:21" s="1285" customFormat="1" ht="35.1" customHeight="1">
      <c r="E51" s="2198"/>
      <c r="G51" s="2189" t="str">
        <f>'NT-VT'!A55</f>
        <v>CSD</v>
      </c>
      <c r="H51" s="2190" t="str">
        <f t="shared" si="16"/>
        <v>nt</v>
      </c>
      <c r="I51" s="2190" t="str">
        <f t="shared" si="15"/>
        <v>nt</v>
      </c>
      <c r="J51" s="2199" t="str">
        <f t="shared" si="13"/>
        <v>nt</v>
      </c>
      <c r="K51" s="2200" t="str">
        <f t="shared" si="14"/>
        <v>nt</v>
      </c>
      <c r="L51" s="2088" t="s">
        <v>5174</v>
      </c>
      <c r="M51" s="2208"/>
      <c r="O51" s="1971" t="e">
        <f t="shared" ref="O51:O82" si="17">VLOOKUP(G51,Q:X,8,0)</f>
        <v>#N/A</v>
      </c>
      <c r="P51" s="1971"/>
      <c r="Q51" s="2198"/>
      <c r="R51" s="1280"/>
      <c r="S51" s="1280"/>
      <c r="U51" s="1494"/>
    </row>
    <row r="52" spans="5:21" s="1285" customFormat="1" ht="35.1" customHeight="1">
      <c r="E52" s="2198"/>
      <c r="G52" s="2189" t="str">
        <f>'NT-VT'!A56</f>
        <v>CTD+K</v>
      </c>
      <c r="H52" s="2190" t="str">
        <f t="shared" si="16"/>
        <v>nt</v>
      </c>
      <c r="I52" s="2190" t="str">
        <f t="shared" si="15"/>
        <v>nt</v>
      </c>
      <c r="J52" s="2199" t="str">
        <f t="shared" si="13"/>
        <v>nt</v>
      </c>
      <c r="K52" s="2200" t="str">
        <f t="shared" si="14"/>
        <v>nt</v>
      </c>
      <c r="L52" s="2193"/>
      <c r="M52" s="2194"/>
      <c r="O52" s="1971" t="e">
        <f t="shared" si="17"/>
        <v>#N/A</v>
      </c>
      <c r="P52" s="1971"/>
      <c r="Q52" s="2198"/>
      <c r="R52" s="1280"/>
      <c r="S52" s="1280"/>
      <c r="U52" s="1494"/>
    </row>
    <row r="53" spans="5:21" s="1285" customFormat="1" ht="35.1" customHeight="1">
      <c r="E53" s="2198"/>
      <c r="G53" s="2189" t="str">
        <f>'NT-VT'!A57</f>
        <v>cut114l</v>
      </c>
      <c r="H53" s="2190" t="str">
        <f t="shared" ref="H53:H84" si="18">IFERROR(VLOOKUP(G53,$Q:$U,2,0),"nt")</f>
        <v>nt</v>
      </c>
      <c r="I53" s="2190" t="str">
        <f t="shared" ref="I53:I89" si="19">IFERROR(VLOOKUP(G53,$Q:$U,3,0),"nt")</f>
        <v>nt</v>
      </c>
      <c r="J53" s="2199" t="str">
        <f t="shared" ref="J53:J89" si="20">IFERROR(VLOOKUP(G53,$Q:$U,4,0),"nt")</f>
        <v>nt</v>
      </c>
      <c r="K53" s="2200" t="str">
        <f t="shared" ref="K53:K89" si="21">IFERROR(VLOOKUP(G53,$Q:$U,5,0),"nt")</f>
        <v>nt</v>
      </c>
      <c r="L53" s="2088"/>
      <c r="M53" s="2194"/>
      <c r="O53" s="1971" t="e">
        <f t="shared" si="17"/>
        <v>#N/A</v>
      </c>
      <c r="P53" s="1971"/>
      <c r="Q53" s="2198"/>
      <c r="R53" s="1280"/>
      <c r="S53" s="1280"/>
      <c r="U53" s="1494"/>
    </row>
    <row r="54" spans="5:21" s="1285" customFormat="1" ht="35.1" customHeight="1">
      <c r="E54" s="2198"/>
      <c r="G54" s="2189" t="str">
        <f>'NT-VT'!A58</f>
        <v>cut114t</v>
      </c>
      <c r="H54" s="2190" t="str">
        <f t="shared" si="18"/>
        <v>nt</v>
      </c>
      <c r="I54" s="2190" t="str">
        <f t="shared" si="19"/>
        <v>nt</v>
      </c>
      <c r="J54" s="2199" t="str">
        <f t="shared" si="20"/>
        <v>nt</v>
      </c>
      <c r="K54" s="2200" t="str">
        <f t="shared" si="21"/>
        <v>nt</v>
      </c>
      <c r="L54" s="2088"/>
      <c r="M54" s="2208"/>
      <c r="O54" s="1971" t="e">
        <f t="shared" si="17"/>
        <v>#N/A</v>
      </c>
      <c r="P54" s="1971"/>
      <c r="Q54" s="2198"/>
      <c r="R54" s="1280"/>
      <c r="S54" s="1280"/>
      <c r="U54" s="1494"/>
    </row>
    <row r="55" spans="5:21" s="1285" customFormat="1" ht="35.1" customHeight="1">
      <c r="E55" s="2198"/>
      <c r="G55" s="2189" t="str">
        <f>'NT-VT'!A59</f>
        <v>dinh</v>
      </c>
      <c r="H55" s="2190" t="str">
        <f t="shared" si="18"/>
        <v>nt</v>
      </c>
      <c r="I55" s="2190" t="str">
        <f t="shared" si="19"/>
        <v>nt</v>
      </c>
      <c r="J55" s="2199" t="str">
        <f t="shared" si="20"/>
        <v>nt</v>
      </c>
      <c r="K55" s="2200" t="str">
        <f t="shared" si="21"/>
        <v>nt</v>
      </c>
      <c r="L55" s="2088"/>
      <c r="M55" s="2208"/>
      <c r="O55" s="1971" t="e">
        <f t="shared" si="17"/>
        <v>#N/A</v>
      </c>
      <c r="P55" s="1971"/>
      <c r="Q55" s="2198"/>
      <c r="R55" s="1280"/>
      <c r="S55" s="1280"/>
      <c r="U55" s="1494"/>
    </row>
    <row r="56" spans="5:21" s="1285" customFormat="1" ht="35.1" customHeight="1">
      <c r="E56" s="2198"/>
      <c r="G56" s="2189" t="str">
        <f>'NT-VT'!A60</f>
        <v>gniu</v>
      </c>
      <c r="H56" s="2190" t="str">
        <f t="shared" si="18"/>
        <v>nt</v>
      </c>
      <c r="I56" s="2190" t="str">
        <f t="shared" si="19"/>
        <v>nt</v>
      </c>
      <c r="J56" s="2199" t="str">
        <f t="shared" si="20"/>
        <v>nt</v>
      </c>
      <c r="K56" s="2200" t="str">
        <f t="shared" si="21"/>
        <v>nt</v>
      </c>
      <c r="L56" s="2088"/>
      <c r="M56" s="2208"/>
      <c r="O56" s="1971" t="e">
        <f t="shared" si="17"/>
        <v>#N/A</v>
      </c>
      <c r="P56" s="1971"/>
      <c r="Q56" s="2198"/>
      <c r="R56" s="1280"/>
      <c r="S56" s="1280"/>
      <c r="U56" s="1494"/>
    </row>
    <row r="57" spans="5:21" s="1285" customFormat="1" ht="35.1" customHeight="1">
      <c r="E57" s="2198"/>
      <c r="G57" s="2189" t="str">
        <f>'NT-VT'!A61</f>
        <v>GTMBA</v>
      </c>
      <c r="H57" s="2190" t="str">
        <f t="shared" si="18"/>
        <v>nt</v>
      </c>
      <c r="I57" s="2190" t="str">
        <f t="shared" si="19"/>
        <v>nt</v>
      </c>
      <c r="J57" s="2199" t="str">
        <f t="shared" si="20"/>
        <v>nt</v>
      </c>
      <c r="K57" s="2200" t="str">
        <f t="shared" si="21"/>
        <v>nt</v>
      </c>
      <c r="L57" s="2088"/>
      <c r="M57" s="2208"/>
      <c r="O57" s="1971" t="e">
        <f t="shared" si="17"/>
        <v>#N/A</v>
      </c>
      <c r="P57" s="1971"/>
      <c r="Q57" s="2198"/>
      <c r="R57" s="1280"/>
      <c r="S57" s="1280"/>
      <c r="U57" s="1494"/>
    </row>
    <row r="58" spans="5:21" s="1285" customFormat="1" ht="35.1" customHeight="1">
      <c r="E58" s="2198"/>
      <c r="G58" s="2189" t="str">
        <f>'NT-VT'!A62</f>
        <v>K3B</v>
      </c>
      <c r="H58" s="2190" t="str">
        <f t="shared" si="18"/>
        <v>nt</v>
      </c>
      <c r="I58" s="2190" t="str">
        <f t="shared" si="19"/>
        <v>nt</v>
      </c>
      <c r="J58" s="2199" t="str">
        <f t="shared" si="20"/>
        <v>nt</v>
      </c>
      <c r="K58" s="2200" t="str">
        <f t="shared" si="21"/>
        <v>nt</v>
      </c>
      <c r="L58" s="2088"/>
      <c r="M58" s="1451"/>
      <c r="O58" s="1971" t="e">
        <f t="shared" si="17"/>
        <v>#N/A</v>
      </c>
      <c r="P58" s="1971"/>
      <c r="Q58" s="2198"/>
      <c r="R58" s="1280"/>
      <c r="S58" s="1280"/>
      <c r="U58" s="1494"/>
    </row>
    <row r="59" spans="5:21" s="1285" customFormat="1" ht="35.1" customHeight="1">
      <c r="E59" s="2198"/>
      <c r="G59" s="2189" t="str">
        <f>'NT-VT'!A63</f>
        <v>ke150</v>
      </c>
      <c r="H59" s="2190" t="str">
        <f t="shared" si="18"/>
        <v>nt</v>
      </c>
      <c r="I59" s="2190" t="str">
        <f t="shared" si="19"/>
        <v>nt</v>
      </c>
      <c r="J59" s="2199" t="str">
        <f t="shared" si="20"/>
        <v>nt</v>
      </c>
      <c r="K59" s="2200" t="str">
        <f t="shared" si="21"/>
        <v>nt</v>
      </c>
      <c r="L59" s="2088"/>
      <c r="M59" s="1451"/>
      <c r="O59" s="1971" t="e">
        <f t="shared" si="17"/>
        <v>#N/A</v>
      </c>
      <c r="P59" s="1971"/>
      <c r="Q59" s="2198"/>
      <c r="R59" s="1280"/>
      <c r="S59" s="1280"/>
      <c r="U59" s="1494"/>
    </row>
    <row r="60" spans="5:21" s="1285" customFormat="1" ht="35.1" customHeight="1">
      <c r="E60" s="2198"/>
      <c r="G60" s="2189" t="str">
        <f>'NT-VT'!A64</f>
        <v>KE25</v>
      </c>
      <c r="H60" s="2190" t="str">
        <f t="shared" si="18"/>
        <v>nt</v>
      </c>
      <c r="I60" s="2190" t="str">
        <f t="shared" si="19"/>
        <v>nt</v>
      </c>
      <c r="J60" s="2199" t="str">
        <f t="shared" si="20"/>
        <v>nt</v>
      </c>
      <c r="K60" s="2200" t="str">
        <f t="shared" si="21"/>
        <v>nt</v>
      </c>
      <c r="L60" s="2088"/>
      <c r="M60" s="1451"/>
      <c r="O60" s="1971" t="e">
        <f t="shared" si="17"/>
        <v>#N/A</v>
      </c>
      <c r="P60" s="1971"/>
      <c r="Q60" s="2198"/>
      <c r="R60" s="1280"/>
      <c r="S60" s="1280"/>
      <c r="U60" s="1494"/>
    </row>
    <row r="61" spans="5:21" s="1285" customFormat="1" ht="35.1" customHeight="1">
      <c r="E61" s="2198"/>
      <c r="G61" s="2189" t="str">
        <f>'NT-VT'!A65</f>
        <v>Ke50</v>
      </c>
      <c r="H61" s="2190" t="str">
        <f t="shared" si="18"/>
        <v>nt</v>
      </c>
      <c r="I61" s="2190" t="str">
        <f t="shared" si="19"/>
        <v>nt</v>
      </c>
      <c r="J61" s="2199" t="str">
        <f t="shared" si="20"/>
        <v>nt</v>
      </c>
      <c r="K61" s="2200" t="str">
        <f t="shared" si="21"/>
        <v>nt</v>
      </c>
      <c r="L61" s="2088"/>
      <c r="M61" s="1451"/>
      <c r="O61" s="1971" t="e">
        <f t="shared" si="17"/>
        <v>#N/A</v>
      </c>
      <c r="P61" s="1971"/>
      <c r="Q61" s="2198"/>
      <c r="R61" s="1280"/>
      <c r="S61" s="1280"/>
      <c r="U61" s="1494"/>
    </row>
    <row r="62" spans="5:21" s="1285" customFormat="1" ht="35.1" customHeight="1">
      <c r="E62" s="2198"/>
      <c r="G62" s="2189" t="str">
        <f>'NT-VT'!A66</f>
        <v>KEObit</v>
      </c>
      <c r="H62" s="2190" t="str">
        <f t="shared" si="18"/>
        <v>nt</v>
      </c>
      <c r="I62" s="2190" t="str">
        <f t="shared" si="19"/>
        <v>nt</v>
      </c>
      <c r="J62" s="2199" t="str">
        <f t="shared" si="20"/>
        <v>nt</v>
      </c>
      <c r="K62" s="2200" t="str">
        <f t="shared" si="21"/>
        <v>nt</v>
      </c>
      <c r="L62" s="2088"/>
      <c r="M62" s="1451"/>
      <c r="O62" s="1971" t="e">
        <f t="shared" si="17"/>
        <v>#N/A</v>
      </c>
      <c r="P62" s="1971"/>
      <c r="Q62" s="2198"/>
      <c r="R62" s="1280"/>
      <c r="S62" s="1280"/>
      <c r="U62" s="1494"/>
    </row>
    <row r="63" spans="5:21" s="1285" customFormat="1" ht="35.1" customHeight="1">
      <c r="E63" s="2198"/>
      <c r="G63" s="2189" t="str">
        <f>'NT-VT'!A67</f>
        <v>KEODAN</v>
      </c>
      <c r="H63" s="2190" t="str">
        <f t="shared" si="18"/>
        <v>nt</v>
      </c>
      <c r="I63" s="2190" t="str">
        <f t="shared" si="19"/>
        <v>nt</v>
      </c>
      <c r="J63" s="2199" t="str">
        <f t="shared" si="20"/>
        <v>nt</v>
      </c>
      <c r="K63" s="2200" t="str">
        <f t="shared" si="21"/>
        <v>nt</v>
      </c>
      <c r="L63" s="2088"/>
      <c r="M63" s="1451"/>
      <c r="O63" s="1971" t="e">
        <f t="shared" si="17"/>
        <v>#N/A</v>
      </c>
      <c r="P63" s="1971"/>
      <c r="Q63" s="2198"/>
      <c r="R63" s="1280"/>
      <c r="S63" s="1280"/>
      <c r="U63" s="1494"/>
    </row>
    <row r="64" spans="5:21" s="1285" customFormat="1" ht="35.1" customHeight="1">
      <c r="E64" s="2198"/>
      <c r="G64" s="2189" t="str">
        <f>'NT-VT'!A68</f>
        <v>KH2/0</v>
      </c>
      <c r="H64" s="2190" t="str">
        <f t="shared" si="18"/>
        <v>nt</v>
      </c>
      <c r="I64" s="2190" t="str">
        <f t="shared" si="19"/>
        <v>nt</v>
      </c>
      <c r="J64" s="2199" t="str">
        <f t="shared" si="20"/>
        <v>nt</v>
      </c>
      <c r="K64" s="2200" t="str">
        <f t="shared" si="21"/>
        <v>nt</v>
      </c>
      <c r="L64" s="2088"/>
      <c r="M64" s="1451"/>
      <c r="O64" s="1971" t="e">
        <f t="shared" si="17"/>
        <v>#N/A</v>
      </c>
      <c r="P64" s="1971"/>
      <c r="Q64" s="2198"/>
      <c r="R64" s="1280"/>
      <c r="S64" s="1280"/>
      <c r="U64" s="1494"/>
    </row>
    <row r="65" spans="5:21" s="1285" customFormat="1" ht="35.1" customHeight="1">
      <c r="E65" s="2198"/>
      <c r="G65" s="2189" t="str">
        <f>'NT-VT'!A69</f>
        <v>kn50</v>
      </c>
      <c r="H65" s="2190" t="str">
        <f t="shared" si="18"/>
        <v>nt</v>
      </c>
      <c r="I65" s="2190" t="str">
        <f t="shared" si="19"/>
        <v>nt</v>
      </c>
      <c r="J65" s="2199" t="str">
        <f t="shared" si="20"/>
        <v>nt</v>
      </c>
      <c r="K65" s="2200" t="str">
        <f t="shared" si="21"/>
        <v>nt</v>
      </c>
      <c r="L65" s="2088"/>
      <c r="M65" s="1451"/>
      <c r="O65" s="1971" t="e">
        <f t="shared" si="17"/>
        <v>#N/A</v>
      </c>
      <c r="P65" s="1971"/>
      <c r="Q65" s="2198"/>
      <c r="R65" s="1280"/>
      <c r="S65" s="1280"/>
      <c r="U65" s="1494"/>
    </row>
    <row r="66" spans="5:21" s="1285" customFormat="1" ht="35.1" customHeight="1">
      <c r="E66" s="2198"/>
      <c r="G66" s="2189" t="str">
        <f>'NT-VT'!A70</f>
        <v>KQ2/0</v>
      </c>
      <c r="H66" s="2190" t="str">
        <f t="shared" si="18"/>
        <v>nt</v>
      </c>
      <c r="I66" s="2190" t="str">
        <f t="shared" si="19"/>
        <v>nt</v>
      </c>
      <c r="J66" s="2199" t="str">
        <f t="shared" si="20"/>
        <v>nt</v>
      </c>
      <c r="K66" s="2200" t="str">
        <f t="shared" si="21"/>
        <v>nt</v>
      </c>
      <c r="L66" s="2088"/>
      <c r="M66" s="1451"/>
      <c r="O66" s="1971" t="e">
        <f t="shared" si="17"/>
        <v>#N/A</v>
      </c>
      <c r="P66" s="1971"/>
      <c r="Q66" s="2198"/>
      <c r="R66" s="1280"/>
      <c r="S66" s="1280"/>
      <c r="U66" s="1494"/>
    </row>
    <row r="67" spans="5:21" s="1285" customFormat="1" ht="35.1" customHeight="1">
      <c r="E67" s="2198"/>
      <c r="G67" s="2189" t="str">
        <f>'NT-VT'!A71</f>
        <v xml:space="preserve">KQ2/0 </v>
      </c>
      <c r="H67" s="2190" t="str">
        <f t="shared" si="18"/>
        <v>nt</v>
      </c>
      <c r="I67" s="2190" t="str">
        <f t="shared" si="19"/>
        <v>nt</v>
      </c>
      <c r="J67" s="2199" t="str">
        <f t="shared" si="20"/>
        <v>nt</v>
      </c>
      <c r="K67" s="2200" t="str">
        <f t="shared" si="21"/>
        <v>nt</v>
      </c>
      <c r="L67" s="2088"/>
      <c r="M67" s="1451"/>
      <c r="O67" s="1971" t="e">
        <f t="shared" si="17"/>
        <v>#N/A</v>
      </c>
      <c r="P67" s="1971"/>
      <c r="Q67" s="2198"/>
      <c r="R67" s="1280"/>
      <c r="S67" s="1280"/>
      <c r="U67" s="1494"/>
    </row>
    <row r="68" spans="5:21" s="1285" customFormat="1" ht="35.1" customHeight="1">
      <c r="E68" s="2198"/>
      <c r="G68" s="2189" t="str">
        <f>'NT-VT'!A72</f>
        <v>KVRN114</v>
      </c>
      <c r="H68" s="2190" t="str">
        <f t="shared" si="18"/>
        <v>nt</v>
      </c>
      <c r="I68" s="2190" t="str">
        <f t="shared" si="19"/>
        <v>nt</v>
      </c>
      <c r="J68" s="2199" t="str">
        <f t="shared" si="20"/>
        <v>nt</v>
      </c>
      <c r="K68" s="2200" t="str">
        <f t="shared" si="21"/>
        <v>nt</v>
      </c>
      <c r="L68" s="2088"/>
      <c r="M68" s="1451"/>
      <c r="O68" s="1971" t="e">
        <f t="shared" si="17"/>
        <v>#N/A</v>
      </c>
      <c r="P68" s="1971"/>
      <c r="Q68" s="2198"/>
      <c r="R68" s="1280"/>
      <c r="S68" s="1280"/>
      <c r="U68" s="1494"/>
    </row>
    <row r="69" spans="5:21" s="1285" customFormat="1" ht="35.1" customHeight="1">
      <c r="E69" s="2198"/>
      <c r="G69" s="2189" t="str">
        <f>'NT-VT'!A73</f>
        <v>KVRT114</v>
      </c>
      <c r="H69" s="2190" t="str">
        <f t="shared" si="18"/>
        <v>nt</v>
      </c>
      <c r="I69" s="2190" t="str">
        <f t="shared" si="19"/>
        <v>nt</v>
      </c>
      <c r="J69" s="2199" t="str">
        <f t="shared" si="20"/>
        <v>nt</v>
      </c>
      <c r="K69" s="2200" t="str">
        <f t="shared" si="21"/>
        <v>nt</v>
      </c>
      <c r="L69" s="2088"/>
      <c r="M69" s="1451"/>
      <c r="O69" s="1971" t="e">
        <f t="shared" si="17"/>
        <v>#N/A</v>
      </c>
      <c r="P69" s="1971"/>
      <c r="Q69" s="2198"/>
      <c r="R69" s="1280"/>
      <c r="S69" s="1280"/>
      <c r="U69" s="1494"/>
    </row>
    <row r="70" spans="5:21" s="1285" customFormat="1" ht="35.1" customHeight="1">
      <c r="E70" s="2198"/>
      <c r="G70" s="2189" t="str">
        <f>'NT-VT'!A74</f>
        <v>MANG</v>
      </c>
      <c r="H70" s="2190" t="str">
        <f t="shared" si="18"/>
        <v>nt</v>
      </c>
      <c r="I70" s="2190" t="str">
        <f t="shared" si="19"/>
        <v>nt</v>
      </c>
      <c r="J70" s="2199" t="str">
        <f t="shared" si="20"/>
        <v>nt</v>
      </c>
      <c r="K70" s="2200" t="str">
        <f t="shared" si="21"/>
        <v>nt</v>
      </c>
      <c r="L70" s="2088"/>
      <c r="M70" s="1451"/>
      <c r="O70" s="1971" t="e">
        <f t="shared" si="17"/>
        <v>#N/A</v>
      </c>
      <c r="P70" s="1971"/>
      <c r="Q70" s="2198"/>
      <c r="R70" s="1280"/>
      <c r="S70" s="1280"/>
      <c r="U70" s="1494"/>
    </row>
    <row r="71" spans="5:21" s="1285" customFormat="1" ht="35.1" customHeight="1">
      <c r="E71" s="2198"/>
      <c r="G71" s="2189" t="str">
        <f>'NT-VT'!A75</f>
        <v>MT</v>
      </c>
      <c r="H71" s="2190" t="str">
        <f t="shared" si="18"/>
        <v>nt</v>
      </c>
      <c r="I71" s="2190" t="str">
        <f t="shared" si="19"/>
        <v>nt</v>
      </c>
      <c r="J71" s="2199" t="str">
        <f t="shared" si="20"/>
        <v>nt</v>
      </c>
      <c r="K71" s="2200" t="str">
        <f t="shared" si="21"/>
        <v>nt</v>
      </c>
      <c r="L71" s="2088"/>
      <c r="M71" s="1451"/>
      <c r="O71" s="1971" t="e">
        <f t="shared" si="17"/>
        <v>#N/A</v>
      </c>
      <c r="P71" s="1971"/>
      <c r="Q71" s="2198"/>
      <c r="R71" s="1280"/>
      <c r="S71" s="1280"/>
      <c r="U71" s="1494"/>
    </row>
    <row r="72" spans="5:21" s="1285" customFormat="1" ht="35.1" customHeight="1">
      <c r="E72" s="2198"/>
      <c r="G72" s="2189" t="str">
        <f>'NT-VT'!A76</f>
        <v>NX</v>
      </c>
      <c r="H72" s="2190" t="str">
        <f t="shared" si="18"/>
        <v>nt</v>
      </c>
      <c r="I72" s="2190" t="str">
        <f t="shared" si="19"/>
        <v>nt</v>
      </c>
      <c r="J72" s="2199" t="str">
        <f t="shared" si="20"/>
        <v>nt</v>
      </c>
      <c r="K72" s="2200" t="str">
        <f t="shared" si="21"/>
        <v>nt</v>
      </c>
      <c r="L72" s="2088"/>
      <c r="M72" s="1451"/>
      <c r="O72" s="1971" t="e">
        <f t="shared" si="17"/>
        <v>#N/A</v>
      </c>
      <c r="P72" s="1971"/>
      <c r="Q72" s="2198"/>
      <c r="R72" s="1280"/>
      <c r="S72" s="1280"/>
      <c r="U72" s="1494"/>
    </row>
    <row r="73" spans="5:21" s="1285" customFormat="1" ht="35.1" customHeight="1">
      <c r="E73" s="2198"/>
      <c r="G73" s="2189" t="str">
        <f>'NT-VT'!A77</f>
        <v>OXC25</v>
      </c>
      <c r="H73" s="2190" t="str">
        <f t="shared" si="18"/>
        <v>nt</v>
      </c>
      <c r="I73" s="2190" t="str">
        <f t="shared" si="19"/>
        <v>nt</v>
      </c>
      <c r="J73" s="2199" t="str">
        <f t="shared" si="20"/>
        <v>nt</v>
      </c>
      <c r="K73" s="2200" t="str">
        <f t="shared" si="21"/>
        <v>nt</v>
      </c>
      <c r="L73" s="2088"/>
      <c r="M73" s="1451"/>
      <c r="O73" s="1971" t="e">
        <f t="shared" si="17"/>
        <v>#N/A</v>
      </c>
      <c r="P73" s="1971"/>
      <c r="Q73" s="2198"/>
      <c r="R73" s="1280"/>
      <c r="S73" s="1280"/>
      <c r="U73" s="1494"/>
    </row>
    <row r="74" spans="5:21" s="1285" customFormat="1" ht="35.1" customHeight="1">
      <c r="E74" s="2198"/>
      <c r="G74" s="2189" t="str">
        <f>'NT-VT'!A78</f>
        <v>PVC114</v>
      </c>
      <c r="H74" s="2190" t="str">
        <f t="shared" si="18"/>
        <v>nt</v>
      </c>
      <c r="I74" s="2190" t="str">
        <f t="shared" si="19"/>
        <v>nt</v>
      </c>
      <c r="J74" s="2199" t="str">
        <f t="shared" si="20"/>
        <v>nt</v>
      </c>
      <c r="K74" s="2200" t="str">
        <f t="shared" si="21"/>
        <v>nt</v>
      </c>
      <c r="L74" s="2088"/>
      <c r="M74" s="1451"/>
      <c r="O74" s="1971" t="e">
        <f t="shared" si="17"/>
        <v>#N/A</v>
      </c>
      <c r="P74" s="1971"/>
      <c r="Q74" s="2198"/>
      <c r="R74" s="1280"/>
      <c r="S74" s="1280"/>
      <c r="U74" s="1494"/>
    </row>
    <row r="75" spans="5:21" s="1285" customFormat="1" ht="35.1" customHeight="1">
      <c r="E75" s="2198"/>
      <c r="G75" s="2189" t="str">
        <f>'NT-VT'!A79</f>
        <v>R1</v>
      </c>
      <c r="H75" s="2190" t="str">
        <f t="shared" si="18"/>
        <v>nt</v>
      </c>
      <c r="I75" s="2190" t="str">
        <f t="shared" si="19"/>
        <v>nt</v>
      </c>
      <c r="J75" s="2199" t="str">
        <f t="shared" si="20"/>
        <v>nt</v>
      </c>
      <c r="K75" s="2200" t="str">
        <f t="shared" si="21"/>
        <v>nt</v>
      </c>
      <c r="L75" s="2088"/>
      <c r="M75" s="1451"/>
      <c r="O75" s="1971" t="e">
        <f t="shared" si="17"/>
        <v>#N/A</v>
      </c>
      <c r="P75" s="1971"/>
      <c r="Q75" s="2198"/>
      <c r="R75" s="1280"/>
      <c r="S75" s="1280"/>
      <c r="U75" s="1494"/>
    </row>
    <row r="76" spans="5:21" s="1285" customFormat="1" ht="35.1" customHeight="1">
      <c r="E76" s="2198"/>
      <c r="G76" s="2189" t="str">
        <f>'NT-VT'!A80</f>
        <v>SL50-1190</v>
      </c>
      <c r="H76" s="2190" t="str">
        <f t="shared" si="18"/>
        <v>nt</v>
      </c>
      <c r="I76" s="2190" t="str">
        <f t="shared" si="19"/>
        <v>nt</v>
      </c>
      <c r="J76" s="2199" t="str">
        <f t="shared" si="20"/>
        <v>nt</v>
      </c>
      <c r="K76" s="2200" t="str">
        <f t="shared" si="21"/>
        <v>nt</v>
      </c>
      <c r="L76" s="2088"/>
      <c r="M76" s="1451"/>
      <c r="O76" s="1971" t="e">
        <f t="shared" si="17"/>
        <v>#N/A</v>
      </c>
      <c r="P76" s="1971"/>
      <c r="Q76" s="2198"/>
      <c r="R76" s="1280"/>
      <c r="S76" s="1280"/>
      <c r="U76" s="1494"/>
    </row>
    <row r="77" spans="5:21" s="1285" customFormat="1" ht="35.1" customHeight="1">
      <c r="E77" s="2198"/>
      <c r="G77" s="2189" t="str">
        <f>'NT-VT'!A81</f>
        <v>SL50-810</v>
      </c>
      <c r="H77" s="2190" t="str">
        <f t="shared" si="18"/>
        <v>nt</v>
      </c>
      <c r="I77" s="2190" t="str">
        <f t="shared" si="19"/>
        <v>nt</v>
      </c>
      <c r="J77" s="2199" t="str">
        <f t="shared" si="20"/>
        <v>nt</v>
      </c>
      <c r="K77" s="2200" t="str">
        <f t="shared" si="21"/>
        <v>nt</v>
      </c>
      <c r="L77" s="2088"/>
      <c r="M77" s="1451"/>
      <c r="O77" s="1971" t="e">
        <f t="shared" si="17"/>
        <v>#N/A</v>
      </c>
      <c r="P77" s="1971"/>
      <c r="Q77" s="2198"/>
      <c r="R77" s="1280"/>
      <c r="S77" s="1280"/>
      <c r="U77" s="1494"/>
    </row>
    <row r="78" spans="5:21" s="1285" customFormat="1" ht="35.1" customHeight="1">
      <c r="E78" s="2198"/>
      <c r="G78" s="2189" t="str">
        <f>'NT-VT'!A82</f>
        <v>SL75-2100</v>
      </c>
      <c r="H78" s="2190" t="str">
        <f t="shared" si="18"/>
        <v>nt</v>
      </c>
      <c r="I78" s="2190" t="str">
        <f t="shared" si="19"/>
        <v>nt</v>
      </c>
      <c r="J78" s="2199" t="str">
        <f t="shared" si="20"/>
        <v>nt</v>
      </c>
      <c r="K78" s="2200" t="str">
        <f t="shared" si="21"/>
        <v>nt</v>
      </c>
      <c r="L78" s="2088"/>
      <c r="M78" s="1451"/>
      <c r="O78" s="1971" t="e">
        <f t="shared" si="17"/>
        <v>#N/A</v>
      </c>
      <c r="P78" s="1971"/>
      <c r="Q78" s="2198"/>
      <c r="R78" s="1280"/>
      <c r="S78" s="1280"/>
      <c r="U78" s="1494"/>
    </row>
    <row r="79" spans="5:21" s="1285" customFormat="1" ht="35.1" customHeight="1">
      <c r="E79" s="2198"/>
      <c r="G79" s="2189" t="str">
        <f>'NT-VT'!A83</f>
        <v>SL75-2200</v>
      </c>
      <c r="H79" s="2190" t="str">
        <f t="shared" si="18"/>
        <v>nt</v>
      </c>
      <c r="I79" s="2190" t="str">
        <f t="shared" si="19"/>
        <v>nt</v>
      </c>
      <c r="J79" s="2199" t="str">
        <f t="shared" si="20"/>
        <v>nt</v>
      </c>
      <c r="K79" s="2200" t="str">
        <f t="shared" si="21"/>
        <v>nt</v>
      </c>
      <c r="L79" s="2088"/>
      <c r="M79" s="1451"/>
      <c r="O79" s="1971" t="e">
        <f t="shared" si="17"/>
        <v>#N/A</v>
      </c>
      <c r="P79" s="1971"/>
      <c r="Q79" s="2198"/>
      <c r="R79" s="1280"/>
      <c r="S79" s="1280"/>
      <c r="U79" s="1494"/>
    </row>
    <row r="80" spans="5:21" s="1285" customFormat="1" ht="35.1" customHeight="1">
      <c r="E80" s="2198"/>
      <c r="G80" s="2189" t="str">
        <f>'NT-VT'!A84</f>
        <v>SN</v>
      </c>
      <c r="H80" s="2190" t="str">
        <f t="shared" si="18"/>
        <v>nt</v>
      </c>
      <c r="I80" s="2190" t="str">
        <f t="shared" si="19"/>
        <v>nt</v>
      </c>
      <c r="J80" s="2199" t="str">
        <f t="shared" si="20"/>
        <v>nt</v>
      </c>
      <c r="K80" s="2200" t="str">
        <f t="shared" si="21"/>
        <v>nt</v>
      </c>
      <c r="L80" s="2088"/>
      <c r="M80" s="1451"/>
      <c r="O80" s="1971" t="e">
        <f t="shared" si="17"/>
        <v>#N/A</v>
      </c>
      <c r="P80" s="1971"/>
      <c r="Q80" s="2198"/>
      <c r="R80" s="1280"/>
      <c r="S80" s="1280"/>
      <c r="U80" s="1494"/>
    </row>
    <row r="81" spans="5:21" s="1285" customFormat="1" ht="35.1" customHeight="1">
      <c r="E81" s="2198"/>
      <c r="G81" s="2189" t="str">
        <f>'NT-VT'!A85</f>
        <v>ssf50</v>
      </c>
      <c r="H81" s="2190" t="str">
        <f t="shared" si="18"/>
        <v>nt</v>
      </c>
      <c r="I81" s="2190" t="str">
        <f t="shared" si="19"/>
        <v>nt</v>
      </c>
      <c r="J81" s="2199" t="str">
        <f t="shared" si="20"/>
        <v>nt</v>
      </c>
      <c r="K81" s="2200" t="str">
        <f t="shared" si="21"/>
        <v>nt</v>
      </c>
      <c r="L81" s="2088"/>
      <c r="M81" s="1451"/>
      <c r="O81" s="1971" t="e">
        <f t="shared" si="17"/>
        <v>#N/A</v>
      </c>
      <c r="P81" s="1971"/>
      <c r="Q81" s="2198"/>
      <c r="R81" s="1280"/>
      <c r="S81" s="1280"/>
      <c r="U81" s="1494"/>
    </row>
    <row r="82" spans="5:21" s="1285" customFormat="1" ht="35.1" customHeight="1">
      <c r="E82" s="2198"/>
      <c r="G82" s="2189" t="str">
        <f>'NT-VT'!A86</f>
        <v>TN2224</v>
      </c>
      <c r="H82" s="2190" t="str">
        <f t="shared" si="18"/>
        <v>nt</v>
      </c>
      <c r="I82" s="2190" t="str">
        <f t="shared" si="19"/>
        <v>nt</v>
      </c>
      <c r="J82" s="2199" t="str">
        <f t="shared" si="20"/>
        <v>nt</v>
      </c>
      <c r="K82" s="2200" t="str">
        <f t="shared" si="21"/>
        <v>nt</v>
      </c>
      <c r="L82" s="2088"/>
      <c r="M82" s="1451"/>
      <c r="O82" s="1971" t="e">
        <f t="shared" si="17"/>
        <v>#N/A</v>
      </c>
      <c r="P82" s="1971"/>
      <c r="Q82" s="2198"/>
      <c r="R82" s="1280"/>
      <c r="S82" s="1280"/>
      <c r="U82" s="1494"/>
    </row>
    <row r="83" spans="5:21" s="1285" customFormat="1" ht="35.1" customHeight="1">
      <c r="E83" s="2198"/>
      <c r="G83" s="2189" t="str">
        <f>'NT-VT'!A87</f>
        <v>ttf50</v>
      </c>
      <c r="H83" s="2190" t="str">
        <f t="shared" si="18"/>
        <v>nt</v>
      </c>
      <c r="I83" s="2190" t="str">
        <f t="shared" si="19"/>
        <v>nt</v>
      </c>
      <c r="J83" s="2199" t="str">
        <f t="shared" si="20"/>
        <v>nt</v>
      </c>
      <c r="K83" s="2200" t="str">
        <f t="shared" si="21"/>
        <v>nt</v>
      </c>
      <c r="L83" s="2088"/>
      <c r="M83" s="1451"/>
      <c r="O83" s="1971"/>
      <c r="P83" s="1971"/>
      <c r="Q83" s="2198"/>
      <c r="R83" s="1280"/>
      <c r="S83" s="1280"/>
      <c r="U83" s="1494"/>
    </row>
    <row r="84" spans="5:21" s="1285" customFormat="1" ht="35.1" customHeight="1">
      <c r="E84" s="2198"/>
      <c r="G84" s="2189" t="str">
        <f>'NT-VT'!A88</f>
        <v>tuap3</v>
      </c>
      <c r="H84" s="2190" t="str">
        <f t="shared" si="18"/>
        <v>nt</v>
      </c>
      <c r="I84" s="2190" t="str">
        <f t="shared" si="19"/>
        <v>nt</v>
      </c>
      <c r="J84" s="2199" t="str">
        <f t="shared" si="20"/>
        <v>nt</v>
      </c>
      <c r="K84" s="2200" t="str">
        <f t="shared" si="21"/>
        <v>nt</v>
      </c>
      <c r="L84" s="2088"/>
      <c r="M84" s="1451"/>
      <c r="O84" s="1971"/>
      <c r="P84" s="1971"/>
      <c r="Q84" s="2198"/>
      <c r="R84" s="1280"/>
      <c r="S84" s="1280"/>
      <c r="U84" s="1494"/>
    </row>
    <row r="85" spans="5:21" s="1285" customFormat="1" ht="35.1" customHeight="1">
      <c r="E85" s="2198"/>
      <c r="G85" s="2189" t="str">
        <f>'NT-VT'!A89</f>
        <v>YC</v>
      </c>
      <c r="H85" s="2190" t="str">
        <f t="shared" ref="H85:H89" si="22">IFERROR(VLOOKUP(G85,$Q:$U,2,0),"nt")</f>
        <v>nt</v>
      </c>
      <c r="I85" s="2190" t="str">
        <f t="shared" si="19"/>
        <v>nt</v>
      </c>
      <c r="J85" s="2199" t="str">
        <f t="shared" si="20"/>
        <v>nt</v>
      </c>
      <c r="K85" s="2200" t="str">
        <f t="shared" si="21"/>
        <v>nt</v>
      </c>
      <c r="L85" s="2088"/>
      <c r="M85" s="1451"/>
      <c r="O85" s="1971"/>
      <c r="P85" s="1971"/>
      <c r="Q85" s="2198"/>
      <c r="R85" s="1280"/>
      <c r="S85" s="1280"/>
      <c r="U85" s="1494"/>
    </row>
    <row r="86" spans="5:21" s="1285" customFormat="1" ht="35.1" customHeight="1">
      <c r="E86" s="2198"/>
      <c r="G86" s="2189" t="str">
        <f>'NT-VT'!A90</f>
        <v>GO-CH</v>
      </c>
      <c r="H86" s="2190" t="str">
        <f t="shared" si="22"/>
        <v>nt</v>
      </c>
      <c r="I86" s="2190" t="str">
        <f t="shared" si="19"/>
        <v>nt</v>
      </c>
      <c r="J86" s="2199" t="str">
        <f t="shared" si="20"/>
        <v>nt</v>
      </c>
      <c r="K86" s="2200" t="str">
        <f t="shared" si="21"/>
        <v>nt</v>
      </c>
      <c r="L86" s="2088"/>
      <c r="M86" s="1451"/>
      <c r="O86" s="1971"/>
      <c r="P86" s="1971"/>
      <c r="Q86" s="2198"/>
      <c r="R86" s="1280"/>
      <c r="S86" s="1280"/>
      <c r="U86" s="1494"/>
    </row>
    <row r="87" spans="5:21" s="1285" customFormat="1" ht="35.1" customHeight="1">
      <c r="E87" s="2198"/>
      <c r="G87" s="2189" t="str">
        <f>'NT-VT'!A91</f>
        <v>GO-DN</v>
      </c>
      <c r="H87" s="2190" t="str">
        <f t="shared" si="22"/>
        <v>nt</v>
      </c>
      <c r="I87" s="2190" t="str">
        <f t="shared" si="19"/>
        <v>nt</v>
      </c>
      <c r="J87" s="2199" t="str">
        <f t="shared" si="20"/>
        <v>nt</v>
      </c>
      <c r="K87" s="2200" t="str">
        <f t="shared" si="21"/>
        <v>nt</v>
      </c>
      <c r="L87" s="2088"/>
      <c r="M87" s="1451"/>
      <c r="O87" s="1971"/>
      <c r="P87" s="1971"/>
      <c r="Q87" s="2198"/>
      <c r="R87" s="1280"/>
      <c r="S87" s="1280"/>
      <c r="U87" s="1494"/>
    </row>
    <row r="88" spans="5:21" s="1285" customFormat="1" ht="35.1" customHeight="1">
      <c r="E88" s="2198"/>
      <c r="G88" s="2189" t="str">
        <f>'NT-VT'!A92</f>
        <v>GO-V</v>
      </c>
      <c r="H88" s="2190" t="str">
        <f t="shared" si="22"/>
        <v>nt</v>
      </c>
      <c r="I88" s="2190" t="str">
        <f t="shared" si="19"/>
        <v>nt</v>
      </c>
      <c r="J88" s="2199" t="str">
        <f t="shared" si="20"/>
        <v>nt</v>
      </c>
      <c r="K88" s="2200" t="str">
        <f t="shared" si="21"/>
        <v>nt</v>
      </c>
      <c r="L88" s="2088"/>
      <c r="M88" s="1451"/>
      <c r="O88" s="1971"/>
      <c r="P88" s="1971"/>
      <c r="Q88" s="2198"/>
      <c r="R88" s="1280"/>
      <c r="S88" s="1280"/>
      <c r="U88" s="1494"/>
    </row>
    <row r="89" spans="5:21" s="1285" customFormat="1" ht="35.1" customHeight="1">
      <c r="E89" s="2198"/>
      <c r="G89" s="2189" t="str">
        <f>'NT-VT'!A93</f>
        <v>XM</v>
      </c>
      <c r="H89" s="2190" t="str">
        <f t="shared" si="22"/>
        <v>Địa phương</v>
      </c>
      <c r="I89" s="2190" t="str">
        <f t="shared" si="19"/>
        <v>Địa phương</v>
      </c>
      <c r="J89" s="2199" t="str">
        <f t="shared" si="20"/>
        <v xml:space="preserve"> </v>
      </c>
      <c r="K89" s="2200" t="str">
        <f t="shared" si="21"/>
        <v xml:space="preserve"> </v>
      </c>
      <c r="L89" s="2088"/>
      <c r="M89" s="1451"/>
      <c r="O89" s="1971"/>
      <c r="P89" s="1971"/>
      <c r="Q89" s="2198"/>
      <c r="R89" s="1280"/>
      <c r="S89" s="1280"/>
      <c r="U89" s="1494"/>
    </row>
    <row r="90" spans="5:21" s="1285" customFormat="1" ht="35.1" customHeight="1">
      <c r="E90" s="2198"/>
      <c r="G90" s="2189" t="str">
        <f>'NT-VT'!A94</f>
        <v>Cat</v>
      </c>
      <c r="H90" s="2190" t="str">
        <f t="shared" ref="H90:H134" si="23">IFERROR(VLOOKUP(G90,$Q:$U,2,0),"nt")</f>
        <v>nt</v>
      </c>
      <c r="I90" s="2190" t="str">
        <f t="shared" ref="I90:I134" si="24">IFERROR(VLOOKUP(G90,$Q:$U,3,0),"nt")</f>
        <v>nt</v>
      </c>
      <c r="J90" s="2199" t="str">
        <f t="shared" ref="J90:J134" si="25">IFERROR(VLOOKUP(G90,$Q:$U,4,0),"nt")</f>
        <v xml:space="preserve"> </v>
      </c>
      <c r="K90" s="2200" t="str">
        <f t="shared" ref="K90:K134" si="26">IFERROR(VLOOKUP(G90,$Q:$U,5,0),"nt")</f>
        <v xml:space="preserve"> </v>
      </c>
      <c r="L90" s="2088"/>
      <c r="M90" s="1451"/>
      <c r="O90" s="1971"/>
      <c r="P90" s="1971"/>
      <c r="Q90" s="2198"/>
      <c r="R90" s="1280"/>
      <c r="S90" s="1280"/>
      <c r="U90" s="1494"/>
    </row>
    <row r="91" spans="5:21" s="1285" customFormat="1" ht="35.1" customHeight="1">
      <c r="E91" s="2198"/>
      <c r="G91" s="2189" t="str">
        <f>'NT-VT'!A95</f>
        <v>D1X2</v>
      </c>
      <c r="H91" s="2190" t="str">
        <f t="shared" si="23"/>
        <v>nt</v>
      </c>
      <c r="I91" s="2190" t="str">
        <f t="shared" si="24"/>
        <v>nt</v>
      </c>
      <c r="J91" s="2199" t="str">
        <f t="shared" si="25"/>
        <v xml:space="preserve"> </v>
      </c>
      <c r="K91" s="2200" t="str">
        <f t="shared" si="26"/>
        <v xml:space="preserve"> </v>
      </c>
      <c r="L91" s="2088"/>
      <c r="M91" s="1451"/>
      <c r="O91" s="1971"/>
      <c r="P91" s="1971"/>
      <c r="Q91" s="2198"/>
      <c r="R91" s="1280"/>
      <c r="S91" s="1280"/>
      <c r="U91" s="1494"/>
    </row>
    <row r="92" spans="5:21" s="1285" customFormat="1" ht="35.1" customHeight="1">
      <c r="E92" s="2198"/>
      <c r="G92" s="2189" t="e">
        <f>'NT-VT'!A96</f>
        <v>#N/A</v>
      </c>
      <c r="H92" s="2190" t="str">
        <f t="shared" si="23"/>
        <v>nt</v>
      </c>
      <c r="I92" s="2190" t="str">
        <f t="shared" si="24"/>
        <v>nt</v>
      </c>
      <c r="J92" s="2199" t="str">
        <f t="shared" si="25"/>
        <v>nt</v>
      </c>
      <c r="K92" s="2200" t="str">
        <f t="shared" si="26"/>
        <v>nt</v>
      </c>
      <c r="L92" s="2088"/>
      <c r="M92" s="1451"/>
      <c r="O92" s="1971"/>
      <c r="P92" s="1971"/>
      <c r="Q92" s="2198"/>
      <c r="R92" s="1280"/>
      <c r="S92" s="1280"/>
      <c r="U92" s="1494"/>
    </row>
    <row r="93" spans="5:21" s="1285" customFormat="1" ht="35.1" customHeight="1">
      <c r="E93" s="2198"/>
      <c r="G93" s="2189" t="e">
        <f>'NT-VT'!A97</f>
        <v>#N/A</v>
      </c>
      <c r="H93" s="2190" t="str">
        <f t="shared" si="23"/>
        <v>nt</v>
      </c>
      <c r="I93" s="2190" t="str">
        <f t="shared" si="24"/>
        <v>nt</v>
      </c>
      <c r="J93" s="2199" t="str">
        <f t="shared" si="25"/>
        <v>nt</v>
      </c>
      <c r="K93" s="2200" t="str">
        <f t="shared" si="26"/>
        <v>nt</v>
      </c>
      <c r="L93" s="2088"/>
      <c r="M93" s="1451"/>
      <c r="O93" s="1971"/>
      <c r="P93" s="1971"/>
      <c r="Q93" s="2198"/>
      <c r="R93" s="1280"/>
      <c r="S93" s="1280"/>
      <c r="U93" s="1494"/>
    </row>
    <row r="94" spans="5:21" s="1285" customFormat="1" ht="35.1" customHeight="1">
      <c r="E94" s="2198"/>
      <c r="G94" s="2189" t="e">
        <f>'NT-VT'!A98</f>
        <v>#N/A</v>
      </c>
      <c r="H94" s="2190" t="str">
        <f t="shared" si="23"/>
        <v>nt</v>
      </c>
      <c r="I94" s="2190" t="str">
        <f t="shared" si="24"/>
        <v>nt</v>
      </c>
      <c r="J94" s="2199" t="str">
        <f t="shared" si="25"/>
        <v>nt</v>
      </c>
      <c r="K94" s="2200" t="str">
        <f t="shared" si="26"/>
        <v>nt</v>
      </c>
      <c r="L94" s="2088"/>
      <c r="M94" s="1451"/>
      <c r="O94" s="1971"/>
      <c r="P94" s="1971"/>
      <c r="Q94" s="2198"/>
      <c r="R94" s="1280"/>
      <c r="S94" s="1280"/>
      <c r="U94" s="1494"/>
    </row>
    <row r="95" spans="5:21" s="1285" customFormat="1" ht="35.1" customHeight="1">
      <c r="E95" s="2198"/>
      <c r="G95" s="2189" t="e">
        <f>'NT-VT'!A99</f>
        <v>#N/A</v>
      </c>
      <c r="H95" s="2190" t="str">
        <f t="shared" si="23"/>
        <v>nt</v>
      </c>
      <c r="I95" s="2190" t="str">
        <f t="shared" si="24"/>
        <v>nt</v>
      </c>
      <c r="J95" s="2199" t="str">
        <f t="shared" si="25"/>
        <v>nt</v>
      </c>
      <c r="K95" s="2200" t="str">
        <f t="shared" si="26"/>
        <v>nt</v>
      </c>
      <c r="L95" s="2088"/>
      <c r="M95" s="1451"/>
      <c r="O95" s="1971"/>
      <c r="P95" s="1971"/>
      <c r="Q95" s="2198"/>
      <c r="R95" s="1280"/>
      <c r="S95" s="1280"/>
      <c r="U95" s="1494"/>
    </row>
    <row r="96" spans="5:21" s="1285" customFormat="1" ht="35.1" customHeight="1">
      <c r="E96" s="2198"/>
      <c r="G96" s="2189" t="e">
        <f>'NT-VT'!A100</f>
        <v>#N/A</v>
      </c>
      <c r="H96" s="2190" t="str">
        <f t="shared" si="23"/>
        <v>nt</v>
      </c>
      <c r="I96" s="2190" t="str">
        <f t="shared" si="24"/>
        <v>nt</v>
      </c>
      <c r="J96" s="2199" t="str">
        <f t="shared" si="25"/>
        <v>nt</v>
      </c>
      <c r="K96" s="2200" t="str">
        <f t="shared" si="26"/>
        <v>nt</v>
      </c>
      <c r="L96" s="2088"/>
      <c r="M96" s="1451"/>
      <c r="O96" s="1971"/>
      <c r="P96" s="1971"/>
      <c r="Q96" s="2198"/>
      <c r="R96" s="1280"/>
      <c r="S96" s="1280"/>
      <c r="U96" s="1494"/>
    </row>
    <row r="97" spans="5:21" s="1285" customFormat="1" ht="35.1" customHeight="1">
      <c r="E97" s="2198"/>
      <c r="G97" s="2189" t="e">
        <f>'NT-VT'!A101</f>
        <v>#N/A</v>
      </c>
      <c r="H97" s="2190" t="str">
        <f t="shared" si="23"/>
        <v>nt</v>
      </c>
      <c r="I97" s="2190" t="str">
        <f t="shared" si="24"/>
        <v>nt</v>
      </c>
      <c r="J97" s="2199" t="str">
        <f t="shared" si="25"/>
        <v>nt</v>
      </c>
      <c r="K97" s="2200" t="str">
        <f t="shared" si="26"/>
        <v>nt</v>
      </c>
      <c r="L97" s="2088"/>
      <c r="M97" s="1451"/>
      <c r="O97" s="1971"/>
      <c r="P97" s="1971"/>
      <c r="Q97" s="2198"/>
      <c r="R97" s="1280"/>
      <c r="S97" s="1280"/>
      <c r="U97" s="1494"/>
    </row>
    <row r="98" spans="5:21" s="1285" customFormat="1" ht="35.1" customHeight="1">
      <c r="E98" s="2198"/>
      <c r="G98" s="2189" t="e">
        <f>'NT-VT'!A102</f>
        <v>#N/A</v>
      </c>
      <c r="H98" s="2190" t="str">
        <f t="shared" si="23"/>
        <v>nt</v>
      </c>
      <c r="I98" s="2190" t="str">
        <f t="shared" si="24"/>
        <v>nt</v>
      </c>
      <c r="J98" s="2199" t="str">
        <f t="shared" si="25"/>
        <v>nt</v>
      </c>
      <c r="K98" s="2200" t="str">
        <f t="shared" si="26"/>
        <v>nt</v>
      </c>
      <c r="L98" s="2088"/>
      <c r="M98" s="1451"/>
      <c r="O98" s="1971"/>
      <c r="P98" s="1971"/>
      <c r="Q98" s="2198"/>
      <c r="R98" s="1280"/>
      <c r="S98" s="1280"/>
      <c r="U98" s="1494"/>
    </row>
    <row r="99" spans="5:21" s="1285" customFormat="1" ht="35.1" customHeight="1">
      <c r="E99" s="2198"/>
      <c r="G99" s="2189" t="e">
        <f>'NT-VT'!A103</f>
        <v>#N/A</v>
      </c>
      <c r="H99" s="2190" t="str">
        <f t="shared" si="23"/>
        <v>nt</v>
      </c>
      <c r="I99" s="2190" t="str">
        <f t="shared" si="24"/>
        <v>nt</v>
      </c>
      <c r="J99" s="2199" t="str">
        <f t="shared" si="25"/>
        <v>nt</v>
      </c>
      <c r="K99" s="2200" t="str">
        <f t="shared" si="26"/>
        <v>nt</v>
      </c>
      <c r="L99" s="2088"/>
      <c r="M99" s="1451"/>
      <c r="O99" s="1971"/>
      <c r="P99" s="1971"/>
      <c r="Q99" s="2198"/>
      <c r="R99" s="1280"/>
      <c r="S99" s="1280"/>
      <c r="U99" s="1494"/>
    </row>
    <row r="100" spans="5:21" s="1285" customFormat="1" ht="35.1" customHeight="1">
      <c r="E100" s="2198"/>
      <c r="G100" s="2189" t="e">
        <f>'NT-VT'!A104</f>
        <v>#N/A</v>
      </c>
      <c r="H100" s="2190" t="str">
        <f t="shared" si="23"/>
        <v>nt</v>
      </c>
      <c r="I100" s="2190" t="str">
        <f t="shared" si="24"/>
        <v>nt</v>
      </c>
      <c r="J100" s="2199" t="str">
        <f t="shared" si="25"/>
        <v>nt</v>
      </c>
      <c r="K100" s="2200" t="str">
        <f t="shared" si="26"/>
        <v>nt</v>
      </c>
      <c r="L100" s="2088"/>
      <c r="M100" s="1451"/>
      <c r="O100" s="1971"/>
      <c r="P100" s="1971"/>
      <c r="Q100" s="2198"/>
      <c r="R100" s="1280"/>
      <c r="S100" s="1280"/>
      <c r="U100" s="1494"/>
    </row>
    <row r="101" spans="5:21" s="1285" customFormat="1" ht="35.1" customHeight="1">
      <c r="E101" s="2198"/>
      <c r="G101" s="2189" t="e">
        <f>'NT-VT'!A105</f>
        <v>#N/A</v>
      </c>
      <c r="H101" s="2190" t="str">
        <f t="shared" si="23"/>
        <v>nt</v>
      </c>
      <c r="I101" s="2190" t="str">
        <f t="shared" si="24"/>
        <v>nt</v>
      </c>
      <c r="J101" s="2199" t="str">
        <f t="shared" si="25"/>
        <v>nt</v>
      </c>
      <c r="K101" s="2200" t="str">
        <f t="shared" si="26"/>
        <v>nt</v>
      </c>
      <c r="L101" s="2088"/>
      <c r="M101" s="1451"/>
      <c r="O101" s="1971"/>
      <c r="P101" s="1971"/>
      <c r="Q101" s="2198"/>
      <c r="R101" s="1280"/>
      <c r="S101" s="1280"/>
      <c r="U101" s="1494"/>
    </row>
    <row r="102" spans="5:21" s="1285" customFormat="1" ht="35.1" customHeight="1">
      <c r="E102" s="2198"/>
      <c r="G102" s="2189" t="e">
        <f>'NT-VT'!A106</f>
        <v>#N/A</v>
      </c>
      <c r="H102" s="2190" t="str">
        <f t="shared" si="23"/>
        <v>nt</v>
      </c>
      <c r="I102" s="2190" t="str">
        <f t="shared" si="24"/>
        <v>nt</v>
      </c>
      <c r="J102" s="2199" t="str">
        <f t="shared" si="25"/>
        <v>nt</v>
      </c>
      <c r="K102" s="2200" t="str">
        <f t="shared" si="26"/>
        <v>nt</v>
      </c>
      <c r="L102" s="2088"/>
      <c r="M102" s="1451"/>
      <c r="O102" s="1971"/>
      <c r="P102" s="1971"/>
      <c r="Q102" s="2198"/>
      <c r="R102" s="1280"/>
      <c r="S102" s="1280"/>
      <c r="U102" s="1494"/>
    </row>
    <row r="103" spans="5:21" s="1285" customFormat="1" ht="35.1" customHeight="1">
      <c r="E103" s="2198"/>
      <c r="G103" s="2189" t="e">
        <f>'NT-VT'!A107</f>
        <v>#N/A</v>
      </c>
      <c r="H103" s="2190" t="str">
        <f t="shared" si="23"/>
        <v>nt</v>
      </c>
      <c r="I103" s="2190" t="str">
        <f t="shared" si="24"/>
        <v>nt</v>
      </c>
      <c r="J103" s="2199" t="str">
        <f t="shared" si="25"/>
        <v>nt</v>
      </c>
      <c r="K103" s="2200" t="str">
        <f t="shared" si="26"/>
        <v>nt</v>
      </c>
      <c r="L103" s="2088"/>
      <c r="M103" s="1451"/>
      <c r="O103" s="1971"/>
      <c r="P103" s="1971"/>
      <c r="Q103" s="2198"/>
      <c r="R103" s="1280"/>
      <c r="S103" s="1280"/>
      <c r="U103" s="1494"/>
    </row>
    <row r="104" spans="5:21" s="1285" customFormat="1" ht="35.1" customHeight="1">
      <c r="E104" s="2198"/>
      <c r="G104" s="2189" t="e">
        <f>'NT-VT'!A108</f>
        <v>#N/A</v>
      </c>
      <c r="H104" s="2190" t="str">
        <f t="shared" si="23"/>
        <v>nt</v>
      </c>
      <c r="I104" s="2190" t="str">
        <f t="shared" si="24"/>
        <v>nt</v>
      </c>
      <c r="J104" s="2199" t="str">
        <f t="shared" si="25"/>
        <v>nt</v>
      </c>
      <c r="K104" s="2200" t="str">
        <f t="shared" si="26"/>
        <v>nt</v>
      </c>
      <c r="L104" s="2088"/>
      <c r="M104" s="1451"/>
      <c r="O104" s="1971"/>
      <c r="P104" s="1971"/>
      <c r="Q104" s="2198"/>
      <c r="R104" s="1280"/>
      <c r="S104" s="1280"/>
      <c r="U104" s="1494"/>
    </row>
    <row r="105" spans="5:21" s="1285" customFormat="1" ht="35.1" customHeight="1">
      <c r="E105" s="2198"/>
      <c r="G105" s="2189" t="e">
        <f>'NT-VT'!A109</f>
        <v>#N/A</v>
      </c>
      <c r="H105" s="2190" t="str">
        <f t="shared" si="23"/>
        <v>nt</v>
      </c>
      <c r="I105" s="2190" t="str">
        <f t="shared" si="24"/>
        <v>nt</v>
      </c>
      <c r="J105" s="2199" t="str">
        <f t="shared" si="25"/>
        <v>nt</v>
      </c>
      <c r="K105" s="2200" t="str">
        <f t="shared" si="26"/>
        <v>nt</v>
      </c>
      <c r="L105" s="2088"/>
      <c r="M105" s="1451"/>
      <c r="O105" s="1971"/>
      <c r="P105" s="1971"/>
      <c r="Q105" s="2198"/>
      <c r="R105" s="1280"/>
      <c r="S105" s="1280"/>
      <c r="U105" s="1494"/>
    </row>
    <row r="106" spans="5:21" s="1285" customFormat="1" ht="35.1" customHeight="1">
      <c r="E106" s="2198"/>
      <c r="G106" s="2189" t="e">
        <f>'NT-VT'!A110</f>
        <v>#N/A</v>
      </c>
      <c r="H106" s="2190" t="str">
        <f t="shared" si="23"/>
        <v>nt</v>
      </c>
      <c r="I106" s="2190" t="str">
        <f t="shared" si="24"/>
        <v>nt</v>
      </c>
      <c r="J106" s="2199" t="str">
        <f t="shared" si="25"/>
        <v>nt</v>
      </c>
      <c r="K106" s="2200" t="str">
        <f t="shared" si="26"/>
        <v>nt</v>
      </c>
      <c r="L106" s="2088"/>
      <c r="M106" s="1451"/>
      <c r="O106" s="1971"/>
      <c r="P106" s="1971"/>
      <c r="Q106" s="2198"/>
      <c r="R106" s="1280"/>
      <c r="S106" s="1280"/>
      <c r="U106" s="1494"/>
    </row>
    <row r="107" spans="5:21" s="1285" customFormat="1" ht="35.1" customHeight="1">
      <c r="E107" s="2198"/>
      <c r="G107" s="2189" t="e">
        <f>'NT-VT'!A111</f>
        <v>#N/A</v>
      </c>
      <c r="H107" s="2190" t="str">
        <f t="shared" si="23"/>
        <v>nt</v>
      </c>
      <c r="I107" s="2190" t="str">
        <f t="shared" si="24"/>
        <v>nt</v>
      </c>
      <c r="J107" s="2199" t="str">
        <f t="shared" si="25"/>
        <v>nt</v>
      </c>
      <c r="K107" s="2200" t="str">
        <f t="shared" si="26"/>
        <v>nt</v>
      </c>
      <c r="L107" s="2088"/>
      <c r="M107" s="1451"/>
      <c r="O107" s="1971"/>
      <c r="P107" s="1971"/>
      <c r="Q107" s="2198"/>
      <c r="R107" s="1280"/>
      <c r="S107" s="1280"/>
      <c r="U107" s="1494"/>
    </row>
    <row r="108" spans="5:21" s="1285" customFormat="1" ht="35.1" customHeight="1">
      <c r="E108" s="2198"/>
      <c r="G108" s="2189" t="e">
        <f>'NT-VT'!A112</f>
        <v>#N/A</v>
      </c>
      <c r="H108" s="2190" t="str">
        <f t="shared" si="23"/>
        <v>nt</v>
      </c>
      <c r="I108" s="2190" t="str">
        <f t="shared" si="24"/>
        <v>nt</v>
      </c>
      <c r="J108" s="2199" t="str">
        <f t="shared" si="25"/>
        <v>nt</v>
      </c>
      <c r="K108" s="2200" t="str">
        <f t="shared" si="26"/>
        <v>nt</v>
      </c>
      <c r="L108" s="2088"/>
      <c r="M108" s="1451"/>
      <c r="O108" s="1971"/>
      <c r="P108" s="1971"/>
      <c r="Q108" s="2198"/>
      <c r="R108" s="1280"/>
      <c r="S108" s="1280"/>
      <c r="U108" s="1494"/>
    </row>
    <row r="109" spans="5:21" s="1285" customFormat="1" ht="35.1" customHeight="1">
      <c r="E109" s="2198"/>
      <c r="G109" s="2189" t="e">
        <f>'NT-VT'!A113</f>
        <v>#N/A</v>
      </c>
      <c r="H109" s="2190" t="str">
        <f t="shared" si="23"/>
        <v>nt</v>
      </c>
      <c r="I109" s="2190" t="str">
        <f t="shared" si="24"/>
        <v>nt</v>
      </c>
      <c r="J109" s="2199" t="str">
        <f t="shared" si="25"/>
        <v>nt</v>
      </c>
      <c r="K109" s="2200" t="str">
        <f t="shared" si="26"/>
        <v>nt</v>
      </c>
      <c r="L109" s="2088"/>
      <c r="M109" s="1451"/>
      <c r="O109" s="1971"/>
      <c r="P109" s="1971"/>
      <c r="Q109" s="2198"/>
      <c r="R109" s="1280"/>
      <c r="S109" s="1280"/>
      <c r="U109" s="1494"/>
    </row>
    <row r="110" spans="5:21" s="1285" customFormat="1" ht="35.1" customHeight="1">
      <c r="E110" s="2198"/>
      <c r="G110" s="2189" t="e">
        <f>'NT-VT'!A114</f>
        <v>#N/A</v>
      </c>
      <c r="H110" s="2190" t="str">
        <f t="shared" si="23"/>
        <v>nt</v>
      </c>
      <c r="I110" s="2190" t="str">
        <f t="shared" si="24"/>
        <v>nt</v>
      </c>
      <c r="J110" s="2199" t="str">
        <f t="shared" si="25"/>
        <v>nt</v>
      </c>
      <c r="K110" s="2200" t="str">
        <f t="shared" si="26"/>
        <v>nt</v>
      </c>
      <c r="L110" s="2088"/>
      <c r="M110" s="1451"/>
      <c r="O110" s="1971"/>
      <c r="P110" s="1971"/>
      <c r="Q110" s="2198"/>
      <c r="R110" s="1280"/>
      <c r="S110" s="1280"/>
      <c r="U110" s="1494"/>
    </row>
    <row r="111" spans="5:21" s="1285" customFormat="1" ht="35.1" customHeight="1">
      <c r="E111" s="2198"/>
      <c r="G111" s="2189" t="e">
        <f>'NT-VT'!A115</f>
        <v>#N/A</v>
      </c>
      <c r="H111" s="2190" t="str">
        <f t="shared" si="23"/>
        <v>nt</v>
      </c>
      <c r="I111" s="2190" t="str">
        <f t="shared" si="24"/>
        <v>nt</v>
      </c>
      <c r="J111" s="2199" t="str">
        <f t="shared" si="25"/>
        <v>nt</v>
      </c>
      <c r="K111" s="2200" t="str">
        <f t="shared" si="26"/>
        <v>nt</v>
      </c>
      <c r="L111" s="2088"/>
      <c r="M111" s="1451"/>
      <c r="O111" s="1971"/>
      <c r="P111" s="1971"/>
      <c r="Q111" s="2198"/>
      <c r="R111" s="1280"/>
      <c r="S111" s="1280"/>
      <c r="U111" s="1494"/>
    </row>
    <row r="112" spans="5:21" s="1285" customFormat="1" ht="35.1" customHeight="1">
      <c r="E112" s="2198"/>
      <c r="G112" s="2189" t="e">
        <f>'NT-VT'!A116</f>
        <v>#N/A</v>
      </c>
      <c r="H112" s="2190" t="str">
        <f t="shared" si="23"/>
        <v>nt</v>
      </c>
      <c r="I112" s="2190" t="str">
        <f t="shared" si="24"/>
        <v>nt</v>
      </c>
      <c r="J112" s="2199" t="str">
        <f t="shared" si="25"/>
        <v>nt</v>
      </c>
      <c r="K112" s="2200" t="str">
        <f t="shared" si="26"/>
        <v>nt</v>
      </c>
      <c r="L112" s="2088"/>
      <c r="M112" s="1451"/>
      <c r="O112" s="1971"/>
      <c r="P112" s="1971"/>
      <c r="Q112" s="2198"/>
      <c r="R112" s="1280"/>
      <c r="S112" s="1280"/>
      <c r="U112" s="1494"/>
    </row>
    <row r="113" spans="5:21" s="1285" customFormat="1" ht="35.1" customHeight="1">
      <c r="E113" s="2198"/>
      <c r="G113" s="2189" t="e">
        <f>'NT-VT'!A117</f>
        <v>#N/A</v>
      </c>
      <c r="H113" s="2190" t="str">
        <f t="shared" si="23"/>
        <v>nt</v>
      </c>
      <c r="I113" s="2190" t="str">
        <f t="shared" si="24"/>
        <v>nt</v>
      </c>
      <c r="J113" s="2199" t="str">
        <f t="shared" si="25"/>
        <v>nt</v>
      </c>
      <c r="K113" s="2200" t="str">
        <f t="shared" si="26"/>
        <v>nt</v>
      </c>
      <c r="L113" s="2088"/>
      <c r="M113" s="1451"/>
      <c r="O113" s="1971"/>
      <c r="P113" s="1971"/>
      <c r="Q113" s="2198"/>
      <c r="R113" s="1280"/>
      <c r="S113" s="1280"/>
      <c r="U113" s="1494"/>
    </row>
    <row r="114" spans="5:21" s="1285" customFormat="1" ht="35.1" customHeight="1">
      <c r="E114" s="2198"/>
      <c r="G114" s="2189" t="e">
        <f>'NT-VT'!A118</f>
        <v>#N/A</v>
      </c>
      <c r="H114" s="2190" t="str">
        <f t="shared" si="23"/>
        <v>nt</v>
      </c>
      <c r="I114" s="2190" t="str">
        <f t="shared" si="24"/>
        <v>nt</v>
      </c>
      <c r="J114" s="2199" t="str">
        <f t="shared" si="25"/>
        <v>nt</v>
      </c>
      <c r="K114" s="2200" t="str">
        <f t="shared" si="26"/>
        <v>nt</v>
      </c>
      <c r="L114" s="2088"/>
      <c r="M114" s="1451"/>
      <c r="O114" s="1971"/>
      <c r="P114" s="1971"/>
      <c r="Q114" s="2198"/>
      <c r="R114" s="1280"/>
      <c r="S114" s="1280"/>
      <c r="U114" s="1494"/>
    </row>
    <row r="115" spans="5:21" s="1285" customFormat="1" ht="35.1" customHeight="1">
      <c r="E115" s="2198"/>
      <c r="G115" s="2189" t="e">
        <f>'NT-VT'!A119</f>
        <v>#N/A</v>
      </c>
      <c r="H115" s="2190" t="str">
        <f t="shared" si="23"/>
        <v>nt</v>
      </c>
      <c r="I115" s="2190" t="str">
        <f t="shared" si="24"/>
        <v>nt</v>
      </c>
      <c r="J115" s="2199" t="str">
        <f t="shared" si="25"/>
        <v>nt</v>
      </c>
      <c r="K115" s="2200" t="str">
        <f t="shared" si="26"/>
        <v>nt</v>
      </c>
      <c r="L115" s="2088"/>
      <c r="M115" s="1451"/>
      <c r="O115" s="1971"/>
      <c r="P115" s="1971"/>
      <c r="Q115" s="2198"/>
      <c r="R115" s="1280"/>
      <c r="S115" s="1280"/>
      <c r="U115" s="1494"/>
    </row>
    <row r="116" spans="5:21" s="1285" customFormat="1" ht="35.1" customHeight="1">
      <c r="E116" s="2198"/>
      <c r="G116" s="2189" t="e">
        <f>'NT-VT'!A120</f>
        <v>#N/A</v>
      </c>
      <c r="H116" s="2190" t="str">
        <f t="shared" si="23"/>
        <v>nt</v>
      </c>
      <c r="I116" s="2190" t="str">
        <f t="shared" si="24"/>
        <v>nt</v>
      </c>
      <c r="J116" s="2199" t="str">
        <f t="shared" si="25"/>
        <v>nt</v>
      </c>
      <c r="K116" s="2200" t="str">
        <f t="shared" si="26"/>
        <v>nt</v>
      </c>
      <c r="L116" s="2088"/>
      <c r="M116" s="1451"/>
      <c r="O116" s="1971"/>
      <c r="P116" s="1971"/>
      <c r="Q116" s="2198"/>
      <c r="R116" s="1280"/>
      <c r="S116" s="1280"/>
      <c r="U116" s="1494"/>
    </row>
    <row r="117" spans="5:21" s="1285" customFormat="1" ht="35.1" customHeight="1">
      <c r="E117" s="2198"/>
      <c r="G117" s="2189" t="e">
        <f>'NT-VT'!A121</f>
        <v>#N/A</v>
      </c>
      <c r="H117" s="2190" t="str">
        <f t="shared" si="23"/>
        <v>nt</v>
      </c>
      <c r="I117" s="2190" t="str">
        <f t="shared" si="24"/>
        <v>nt</v>
      </c>
      <c r="J117" s="2199" t="str">
        <f t="shared" si="25"/>
        <v>nt</v>
      </c>
      <c r="K117" s="2200" t="str">
        <f t="shared" si="26"/>
        <v>nt</v>
      </c>
      <c r="L117" s="2088"/>
      <c r="M117" s="1451"/>
      <c r="O117" s="1971"/>
      <c r="P117" s="1971"/>
      <c r="Q117" s="2198"/>
      <c r="R117" s="1280"/>
      <c r="S117" s="1280"/>
      <c r="U117" s="1494"/>
    </row>
    <row r="118" spans="5:21" s="1285" customFormat="1" ht="35.1" customHeight="1">
      <c r="E118" s="2198"/>
      <c r="G118" s="2189" t="e">
        <f>'NT-VT'!A122</f>
        <v>#N/A</v>
      </c>
      <c r="H118" s="2190" t="str">
        <f t="shared" si="23"/>
        <v>nt</v>
      </c>
      <c r="I118" s="2190" t="str">
        <f t="shared" si="24"/>
        <v>nt</v>
      </c>
      <c r="J118" s="2199" t="str">
        <f t="shared" si="25"/>
        <v>nt</v>
      </c>
      <c r="K118" s="2200" t="str">
        <f t="shared" si="26"/>
        <v>nt</v>
      </c>
      <c r="L118" s="2088"/>
      <c r="M118" s="1451"/>
      <c r="O118" s="1971"/>
      <c r="P118" s="1971"/>
      <c r="Q118" s="2198"/>
      <c r="R118" s="1280"/>
      <c r="S118" s="1280"/>
      <c r="U118" s="1494"/>
    </row>
    <row r="119" spans="5:21" s="1285" customFormat="1" ht="35.1" customHeight="1">
      <c r="E119" s="2198"/>
      <c r="G119" s="2189" t="e">
        <f>'NT-VT'!A123</f>
        <v>#N/A</v>
      </c>
      <c r="H119" s="2190" t="str">
        <f t="shared" si="23"/>
        <v>nt</v>
      </c>
      <c r="I119" s="2190" t="str">
        <f t="shared" si="24"/>
        <v>nt</v>
      </c>
      <c r="J119" s="2199" t="str">
        <f t="shared" si="25"/>
        <v>nt</v>
      </c>
      <c r="K119" s="2200" t="str">
        <f t="shared" si="26"/>
        <v>nt</v>
      </c>
      <c r="L119" s="2088"/>
      <c r="M119" s="1451"/>
      <c r="O119" s="1971"/>
      <c r="P119" s="1971"/>
      <c r="Q119" s="2198"/>
      <c r="R119" s="1280"/>
      <c r="S119" s="1280"/>
      <c r="U119" s="1494"/>
    </row>
    <row r="120" spans="5:21" s="1285" customFormat="1" ht="35.1" customHeight="1">
      <c r="E120" s="2198"/>
      <c r="G120" s="2189" t="e">
        <f>'NT-VT'!A124</f>
        <v>#N/A</v>
      </c>
      <c r="H120" s="2190" t="str">
        <f t="shared" si="23"/>
        <v>nt</v>
      </c>
      <c r="I120" s="2190" t="str">
        <f t="shared" si="24"/>
        <v>nt</v>
      </c>
      <c r="J120" s="2199" t="str">
        <f t="shared" si="25"/>
        <v>nt</v>
      </c>
      <c r="K120" s="2200" t="str">
        <f t="shared" si="26"/>
        <v>nt</v>
      </c>
      <c r="L120" s="2088"/>
      <c r="M120" s="1451"/>
      <c r="O120" s="1971"/>
      <c r="P120" s="1971"/>
      <c r="Q120" s="2198"/>
      <c r="R120" s="1280"/>
      <c r="S120" s="1280"/>
      <c r="U120" s="1494"/>
    </row>
    <row r="121" spans="5:21" s="1285" customFormat="1" ht="35.1" customHeight="1">
      <c r="E121" s="2198"/>
      <c r="G121" s="2189" t="e">
        <f>'NT-VT'!A125</f>
        <v>#N/A</v>
      </c>
      <c r="H121" s="2190" t="str">
        <f t="shared" si="23"/>
        <v>nt</v>
      </c>
      <c r="I121" s="2190" t="str">
        <f t="shared" si="24"/>
        <v>nt</v>
      </c>
      <c r="J121" s="2199" t="str">
        <f t="shared" si="25"/>
        <v>nt</v>
      </c>
      <c r="K121" s="2200" t="str">
        <f t="shared" si="26"/>
        <v>nt</v>
      </c>
      <c r="L121" s="2088"/>
      <c r="M121" s="1451"/>
      <c r="O121" s="1971"/>
      <c r="P121" s="1971"/>
      <c r="Q121" s="2198"/>
      <c r="R121" s="1280"/>
      <c r="S121" s="1280"/>
      <c r="U121" s="1494"/>
    </row>
    <row r="122" spans="5:21" s="1285" customFormat="1" ht="35.1" customHeight="1">
      <c r="E122" s="2198"/>
      <c r="G122" s="2189" t="e">
        <f>'NT-VT'!A126</f>
        <v>#N/A</v>
      </c>
      <c r="H122" s="2190" t="str">
        <f t="shared" si="23"/>
        <v>nt</v>
      </c>
      <c r="I122" s="2190" t="str">
        <f t="shared" si="24"/>
        <v>nt</v>
      </c>
      <c r="J122" s="2199" t="str">
        <f t="shared" si="25"/>
        <v>nt</v>
      </c>
      <c r="K122" s="2200" t="str">
        <f t="shared" si="26"/>
        <v>nt</v>
      </c>
      <c r="L122" s="2088"/>
      <c r="M122" s="1451"/>
      <c r="O122" s="1971"/>
      <c r="P122" s="1971"/>
      <c r="Q122" s="2198"/>
      <c r="R122" s="1280"/>
      <c r="S122" s="1280"/>
      <c r="U122" s="1494"/>
    </row>
    <row r="123" spans="5:21" s="1285" customFormat="1" ht="35.1" customHeight="1">
      <c r="E123" s="2198"/>
      <c r="G123" s="2189" t="e">
        <f>'NT-VT'!A127</f>
        <v>#N/A</v>
      </c>
      <c r="H123" s="2190" t="str">
        <f t="shared" si="23"/>
        <v>nt</v>
      </c>
      <c r="I123" s="2190" t="str">
        <f t="shared" si="24"/>
        <v>nt</v>
      </c>
      <c r="J123" s="2199" t="str">
        <f t="shared" si="25"/>
        <v>nt</v>
      </c>
      <c r="K123" s="2200" t="str">
        <f t="shared" si="26"/>
        <v>nt</v>
      </c>
      <c r="L123" s="2088"/>
      <c r="M123" s="1451"/>
      <c r="O123" s="1971"/>
      <c r="P123" s="1971"/>
      <c r="Q123" s="2198"/>
      <c r="R123" s="1280"/>
      <c r="S123" s="1280"/>
      <c r="U123" s="1494"/>
    </row>
    <row r="124" spans="5:21" s="1285" customFormat="1" ht="35.1" customHeight="1">
      <c r="E124" s="2198"/>
      <c r="G124" s="2189">
        <f>'NT-VT'!A128</f>
        <v>0</v>
      </c>
      <c r="H124" s="2190" t="str">
        <f t="shared" si="23"/>
        <v>nt</v>
      </c>
      <c r="I124" s="2190" t="str">
        <f t="shared" si="24"/>
        <v>nt</v>
      </c>
      <c r="J124" s="2199" t="str">
        <f t="shared" si="25"/>
        <v>nt</v>
      </c>
      <c r="K124" s="2200" t="str">
        <f t="shared" si="26"/>
        <v>nt</v>
      </c>
      <c r="L124" s="2088"/>
      <c r="M124" s="1451"/>
      <c r="O124" s="1971"/>
      <c r="P124" s="1971"/>
      <c r="Q124" s="2198"/>
      <c r="R124" s="1280"/>
      <c r="S124" s="1280"/>
      <c r="U124" s="1494"/>
    </row>
    <row r="125" spans="5:21" s="1285" customFormat="1" ht="35.1" customHeight="1">
      <c r="E125" s="2198"/>
      <c r="G125" s="2189">
        <f>'NT-VT'!A129</f>
        <v>0</v>
      </c>
      <c r="H125" s="2190" t="str">
        <f t="shared" si="23"/>
        <v>nt</v>
      </c>
      <c r="I125" s="2190" t="str">
        <f t="shared" si="24"/>
        <v>nt</v>
      </c>
      <c r="J125" s="2199" t="str">
        <f t="shared" si="25"/>
        <v>nt</v>
      </c>
      <c r="K125" s="2200" t="str">
        <f t="shared" si="26"/>
        <v>nt</v>
      </c>
      <c r="L125" s="2088"/>
      <c r="M125" s="1451"/>
      <c r="O125" s="1971"/>
      <c r="P125" s="1971"/>
      <c r="Q125" s="2198"/>
      <c r="R125" s="1280"/>
      <c r="S125" s="1280"/>
      <c r="U125" s="1494"/>
    </row>
    <row r="126" spans="5:21" s="1285" customFormat="1" ht="35.1" customHeight="1">
      <c r="E126" s="2198"/>
      <c r="G126" s="2189">
        <f>'NT-VT'!A130</f>
        <v>0</v>
      </c>
      <c r="H126" s="2190" t="str">
        <f t="shared" si="23"/>
        <v>nt</v>
      </c>
      <c r="I126" s="2190" t="str">
        <f t="shared" si="24"/>
        <v>nt</v>
      </c>
      <c r="J126" s="2199" t="str">
        <f t="shared" si="25"/>
        <v>nt</v>
      </c>
      <c r="K126" s="2200" t="str">
        <f t="shared" si="26"/>
        <v>nt</v>
      </c>
      <c r="L126" s="2088"/>
      <c r="M126" s="1451"/>
      <c r="O126" s="1971"/>
      <c r="P126" s="1971"/>
      <c r="Q126" s="2198"/>
      <c r="R126" s="1280"/>
      <c r="S126" s="1280"/>
      <c r="U126" s="1494"/>
    </row>
    <row r="127" spans="5:21" s="1285" customFormat="1" ht="35.1" customHeight="1">
      <c r="E127" s="2198"/>
      <c r="G127" s="2189">
        <f>'NT-VT'!A131</f>
        <v>0</v>
      </c>
      <c r="H127" s="2190" t="str">
        <f t="shared" si="23"/>
        <v>nt</v>
      </c>
      <c r="I127" s="2190" t="str">
        <f t="shared" si="24"/>
        <v>nt</v>
      </c>
      <c r="J127" s="2199" t="str">
        <f t="shared" si="25"/>
        <v>nt</v>
      </c>
      <c r="K127" s="2200" t="str">
        <f t="shared" si="26"/>
        <v>nt</v>
      </c>
      <c r="L127" s="2088"/>
      <c r="M127" s="1451"/>
      <c r="O127" s="1971"/>
      <c r="P127" s="1971"/>
      <c r="Q127" s="2198"/>
      <c r="R127" s="1280"/>
      <c r="S127" s="1280"/>
      <c r="U127" s="1494"/>
    </row>
    <row r="128" spans="5:21" s="1285" customFormat="1" ht="35.1" customHeight="1">
      <c r="E128" s="2198"/>
      <c r="G128" s="2189">
        <f>'NT-VT'!A132</f>
        <v>0</v>
      </c>
      <c r="H128" s="2190" t="str">
        <f t="shared" si="23"/>
        <v>nt</v>
      </c>
      <c r="I128" s="2190" t="str">
        <f t="shared" si="24"/>
        <v>nt</v>
      </c>
      <c r="J128" s="2199" t="str">
        <f t="shared" si="25"/>
        <v>nt</v>
      </c>
      <c r="K128" s="2200" t="str">
        <f t="shared" si="26"/>
        <v>nt</v>
      </c>
      <c r="L128" s="2088"/>
      <c r="M128" s="1451"/>
      <c r="O128" s="1971"/>
      <c r="P128" s="1971"/>
      <c r="Q128" s="2198"/>
      <c r="R128" s="1280"/>
      <c r="S128" s="1280"/>
      <c r="U128" s="1494"/>
    </row>
    <row r="129" spans="5:21" s="1285" customFormat="1" ht="35.1" customHeight="1">
      <c r="E129" s="2198"/>
      <c r="G129" s="2189">
        <f>'NT-VT'!A133</f>
        <v>0</v>
      </c>
      <c r="H129" s="2190" t="str">
        <f t="shared" si="23"/>
        <v>nt</v>
      </c>
      <c r="I129" s="2190" t="str">
        <f t="shared" si="24"/>
        <v>nt</v>
      </c>
      <c r="J129" s="2199" t="str">
        <f t="shared" si="25"/>
        <v>nt</v>
      </c>
      <c r="K129" s="2200" t="str">
        <f t="shared" si="26"/>
        <v>nt</v>
      </c>
      <c r="L129" s="2088"/>
      <c r="M129" s="1451"/>
      <c r="O129" s="1971"/>
      <c r="P129" s="1971"/>
      <c r="Q129" s="2198"/>
      <c r="R129" s="1280"/>
      <c r="S129" s="1280"/>
      <c r="U129" s="1494"/>
    </row>
    <row r="130" spans="5:21" s="1285" customFormat="1" ht="35.1" customHeight="1">
      <c r="E130" s="2198"/>
      <c r="G130" s="2189">
        <f>'NT-VT'!A134</f>
        <v>0</v>
      </c>
      <c r="H130" s="2190" t="str">
        <f t="shared" si="23"/>
        <v>nt</v>
      </c>
      <c r="I130" s="2190" t="str">
        <f t="shared" si="24"/>
        <v>nt</v>
      </c>
      <c r="J130" s="2199" t="str">
        <f t="shared" si="25"/>
        <v>nt</v>
      </c>
      <c r="K130" s="2200" t="str">
        <f t="shared" si="26"/>
        <v>nt</v>
      </c>
      <c r="L130" s="2088"/>
      <c r="M130" s="1451"/>
      <c r="O130" s="1971"/>
      <c r="P130" s="1971"/>
      <c r="Q130" s="2198"/>
      <c r="R130" s="1280"/>
      <c r="S130" s="1280"/>
      <c r="U130" s="1494"/>
    </row>
    <row r="131" spans="5:21" s="1285" customFormat="1" ht="35.1" customHeight="1">
      <c r="E131" s="2198"/>
      <c r="G131" s="2189">
        <f>'NT-VT'!A135</f>
        <v>0</v>
      </c>
      <c r="H131" s="2190" t="str">
        <f t="shared" si="23"/>
        <v>nt</v>
      </c>
      <c r="I131" s="2190" t="str">
        <f t="shared" si="24"/>
        <v>nt</v>
      </c>
      <c r="J131" s="2199" t="str">
        <f t="shared" si="25"/>
        <v>nt</v>
      </c>
      <c r="K131" s="2200" t="str">
        <f t="shared" si="26"/>
        <v>nt</v>
      </c>
      <c r="L131" s="2088"/>
      <c r="M131" s="1451"/>
      <c r="O131" s="1971"/>
      <c r="P131" s="1971"/>
      <c r="Q131" s="2198"/>
      <c r="R131" s="1280"/>
      <c r="S131" s="1280"/>
      <c r="U131" s="1494"/>
    </row>
    <row r="132" spans="5:21" s="1285" customFormat="1" ht="35.1" customHeight="1">
      <c r="E132" s="2198"/>
      <c r="G132" s="2189">
        <f>'NT-VT'!A136</f>
        <v>0</v>
      </c>
      <c r="H132" s="2190" t="str">
        <f t="shared" si="23"/>
        <v>nt</v>
      </c>
      <c r="I132" s="2190" t="str">
        <f t="shared" si="24"/>
        <v>nt</v>
      </c>
      <c r="J132" s="2199" t="str">
        <f t="shared" si="25"/>
        <v>nt</v>
      </c>
      <c r="K132" s="2200" t="str">
        <f t="shared" si="26"/>
        <v>nt</v>
      </c>
      <c r="L132" s="2088"/>
      <c r="M132" s="1451"/>
      <c r="O132" s="1971"/>
      <c r="P132" s="1971"/>
      <c r="Q132" s="2198"/>
      <c r="R132" s="1280"/>
      <c r="S132" s="1280"/>
      <c r="U132" s="1494"/>
    </row>
    <row r="133" spans="5:21" s="1285" customFormat="1" ht="35.1" customHeight="1">
      <c r="E133" s="2198"/>
      <c r="G133" s="2189">
        <f>'NT-VT'!A137</f>
        <v>0</v>
      </c>
      <c r="H133" s="2190" t="str">
        <f t="shared" si="23"/>
        <v>nt</v>
      </c>
      <c r="I133" s="2190" t="str">
        <f t="shared" si="24"/>
        <v>nt</v>
      </c>
      <c r="J133" s="2199" t="str">
        <f t="shared" si="25"/>
        <v>nt</v>
      </c>
      <c r="K133" s="2200" t="str">
        <f t="shared" si="26"/>
        <v>nt</v>
      </c>
      <c r="L133" s="2088"/>
      <c r="M133" s="1451"/>
      <c r="O133" s="1971"/>
      <c r="P133" s="1971"/>
      <c r="Q133" s="2198"/>
      <c r="R133" s="1280"/>
      <c r="S133" s="1280"/>
      <c r="U133" s="1494"/>
    </row>
    <row r="134" spans="5:21" s="1285" customFormat="1" ht="35.1" customHeight="1">
      <c r="E134" s="2198"/>
      <c r="G134" s="2189">
        <f>'NT-VT'!A138</f>
        <v>0</v>
      </c>
      <c r="H134" s="2190" t="str">
        <f t="shared" si="23"/>
        <v>nt</v>
      </c>
      <c r="I134" s="2190" t="str">
        <f t="shared" si="24"/>
        <v>nt</v>
      </c>
      <c r="J134" s="2199" t="str">
        <f t="shared" si="25"/>
        <v>nt</v>
      </c>
      <c r="K134" s="2200" t="str">
        <f t="shared" si="26"/>
        <v>nt</v>
      </c>
      <c r="L134" s="2088"/>
      <c r="M134" s="1451"/>
      <c r="O134" s="1971"/>
      <c r="P134" s="1971"/>
      <c r="Q134" s="2198"/>
      <c r="R134" s="1280"/>
      <c r="S134" s="1280"/>
      <c r="U134" s="1494"/>
    </row>
    <row r="135" spans="5:21" s="1285" customFormat="1" ht="35.1" customHeight="1">
      <c r="E135" s="2198"/>
      <c r="G135" s="1971"/>
      <c r="H135" s="2087"/>
      <c r="I135" s="2087"/>
      <c r="J135" s="2088"/>
      <c r="K135" s="2088"/>
      <c r="L135" s="2088"/>
      <c r="M135" s="1451"/>
      <c r="O135" s="1971"/>
      <c r="P135" s="1971"/>
      <c r="Q135" s="2198"/>
      <c r="R135" s="1280"/>
      <c r="S135" s="1280"/>
      <c r="U135" s="1494"/>
    </row>
    <row r="136" spans="5:21" s="1285" customFormat="1" ht="35.1" customHeight="1">
      <c r="E136" s="2198"/>
      <c r="G136" s="1971"/>
      <c r="H136" s="2087"/>
      <c r="I136" s="2087"/>
      <c r="J136" s="2088"/>
      <c r="K136" s="2088"/>
      <c r="L136" s="2088"/>
      <c r="M136" s="1451"/>
      <c r="O136" s="1971"/>
      <c r="P136" s="1971"/>
      <c r="Q136" s="2198"/>
      <c r="R136" s="1280"/>
      <c r="S136" s="1280"/>
      <c r="U136" s="1494"/>
    </row>
    <row r="137" spans="5:21" s="1285" customFormat="1" ht="35.1" customHeight="1">
      <c r="E137" s="2198"/>
      <c r="G137" s="1971"/>
      <c r="H137" s="2087"/>
      <c r="I137" s="2087"/>
      <c r="J137" s="2088"/>
      <c r="K137" s="2088"/>
      <c r="L137" s="2088"/>
      <c r="M137" s="1451"/>
      <c r="O137" s="1971"/>
      <c r="P137" s="1971"/>
      <c r="Q137" s="2198"/>
      <c r="R137" s="1280"/>
      <c r="S137" s="1280"/>
      <c r="U137" s="1494"/>
    </row>
    <row r="138" spans="5:21" s="1285" customFormat="1" ht="35.1" customHeight="1">
      <c r="E138" s="2198"/>
      <c r="G138" s="1971"/>
      <c r="H138" s="2087"/>
      <c r="I138" s="2087"/>
      <c r="J138" s="2088"/>
      <c r="K138" s="2088"/>
      <c r="L138" s="2088"/>
      <c r="M138" s="1451"/>
      <c r="O138" s="1971"/>
      <c r="P138" s="1971"/>
      <c r="Q138" s="2198"/>
      <c r="R138" s="1280"/>
      <c r="S138" s="1280"/>
      <c r="U138" s="1494"/>
    </row>
    <row r="139" spans="5:21" s="1285" customFormat="1" ht="35.1" customHeight="1">
      <c r="E139" s="2198"/>
      <c r="G139" s="1971"/>
      <c r="H139" s="2087"/>
      <c r="I139" s="2087"/>
      <c r="J139" s="2088"/>
      <c r="K139" s="2088"/>
      <c r="L139" s="2088"/>
      <c r="M139" s="1451"/>
      <c r="O139" s="1971"/>
      <c r="P139" s="1971"/>
      <c r="Q139" s="2198"/>
      <c r="R139" s="1280"/>
      <c r="S139" s="1280"/>
      <c r="U139" s="1494"/>
    </row>
    <row r="140" spans="5:21" s="1285" customFormat="1" ht="35.1" customHeight="1">
      <c r="E140" s="2198"/>
      <c r="G140" s="1971"/>
      <c r="H140" s="2087"/>
      <c r="I140" s="2087"/>
      <c r="J140" s="2088"/>
      <c r="K140" s="2088"/>
      <c r="L140" s="2088"/>
      <c r="M140" s="1451"/>
      <c r="O140" s="1971"/>
      <c r="P140" s="1971"/>
      <c r="Q140" s="2198"/>
      <c r="R140" s="1280"/>
      <c r="S140" s="1280"/>
      <c r="U140" s="1494"/>
    </row>
    <row r="141" spans="5:21" s="1285" customFormat="1" ht="35.1" customHeight="1">
      <c r="E141" s="2198"/>
      <c r="G141" s="1971"/>
      <c r="H141" s="2087"/>
      <c r="I141" s="2087"/>
      <c r="J141" s="2088"/>
      <c r="K141" s="2088"/>
      <c r="L141" s="2088"/>
      <c r="M141" s="1451"/>
      <c r="O141" s="1971"/>
      <c r="P141" s="1971"/>
      <c r="Q141" s="2198"/>
      <c r="R141" s="1280"/>
      <c r="S141" s="1280"/>
      <c r="U141" s="1494"/>
    </row>
    <row r="142" spans="5:21" s="1285" customFormat="1" ht="35.1" customHeight="1">
      <c r="E142" s="2198"/>
      <c r="G142" s="1971"/>
      <c r="H142" s="2087"/>
      <c r="I142" s="2087"/>
      <c r="J142" s="2088"/>
      <c r="K142" s="2088"/>
      <c r="L142" s="2088"/>
      <c r="M142" s="1451"/>
      <c r="O142" s="1971"/>
      <c r="P142" s="1971"/>
      <c r="Q142" s="2198"/>
      <c r="R142" s="1280"/>
      <c r="S142" s="1280"/>
      <c r="U142" s="1494"/>
    </row>
    <row r="143" spans="5:21" s="1285" customFormat="1" ht="35.1" customHeight="1">
      <c r="E143" s="2198"/>
      <c r="G143" s="1971"/>
      <c r="H143" s="2087"/>
      <c r="I143" s="2087"/>
      <c r="J143" s="2088"/>
      <c r="K143" s="2088"/>
      <c r="L143" s="2088"/>
      <c r="M143" s="1451"/>
      <c r="O143" s="1971"/>
      <c r="P143" s="1971"/>
      <c r="Q143" s="2198"/>
      <c r="R143" s="1280"/>
      <c r="S143" s="1280"/>
      <c r="U143" s="1494"/>
    </row>
    <row r="144" spans="5:21" s="1285" customFormat="1" ht="35.1" customHeight="1">
      <c r="E144" s="2198"/>
      <c r="G144" s="1971"/>
      <c r="H144" s="2087"/>
      <c r="I144" s="2087"/>
      <c r="J144" s="2088"/>
      <c r="K144" s="2088"/>
      <c r="L144" s="2088"/>
      <c r="M144" s="1451"/>
      <c r="O144" s="1971"/>
      <c r="P144" s="1971"/>
      <c r="Q144" s="2198"/>
      <c r="R144" s="1280"/>
      <c r="S144" s="1280"/>
      <c r="U144" s="1494"/>
    </row>
    <row r="145" spans="5:68" s="1285" customFormat="1" ht="35.1" customHeight="1">
      <c r="E145" s="2198"/>
      <c r="G145" s="1971"/>
      <c r="H145" s="2087"/>
      <c r="I145" s="2087"/>
      <c r="J145" s="2088"/>
      <c r="K145" s="2088"/>
      <c r="L145" s="2088"/>
      <c r="M145" s="1451"/>
      <c r="O145" s="1971"/>
      <c r="P145" s="1971"/>
      <c r="Q145" s="2198"/>
      <c r="R145" s="1280"/>
      <c r="S145" s="1280"/>
      <c r="U145" s="1494"/>
    </row>
    <row r="146" spans="5:68" s="1285" customFormat="1" ht="35.1" customHeight="1">
      <c r="E146" s="2198"/>
      <c r="G146" s="1971"/>
      <c r="H146" s="1971"/>
      <c r="I146" s="1971"/>
      <c r="J146" s="2088"/>
      <c r="K146" s="2088"/>
      <c r="L146" s="2088"/>
      <c r="M146" s="1451"/>
      <c r="O146" s="1971"/>
      <c r="P146" s="1971"/>
      <c r="Q146" s="2198"/>
      <c r="R146" s="1280"/>
      <c r="S146" s="1280"/>
      <c r="U146" s="1494"/>
    </row>
    <row r="147" spans="5:68" s="1285" customFormat="1" ht="35.1" customHeight="1">
      <c r="E147" s="2198"/>
      <c r="G147" s="1971"/>
      <c r="H147" s="1971"/>
      <c r="I147" s="1971"/>
      <c r="J147" s="2088"/>
      <c r="K147" s="2088"/>
      <c r="L147" s="2088"/>
      <c r="M147" s="1451"/>
      <c r="O147" s="1971"/>
      <c r="P147" s="1971"/>
      <c r="Q147" s="2198"/>
      <c r="R147" s="1280"/>
      <c r="S147" s="1280"/>
      <c r="U147" s="1494"/>
    </row>
    <row r="148" spans="5:68" s="1285" customFormat="1" ht="35.1" customHeight="1">
      <c r="E148" s="2198"/>
      <c r="G148" s="1971"/>
      <c r="H148" s="1971"/>
      <c r="I148" s="1971"/>
      <c r="J148" s="2088"/>
      <c r="K148" s="2088"/>
      <c r="L148" s="2088"/>
      <c r="M148" s="1451"/>
      <c r="O148" s="1971"/>
      <c r="P148" s="1971"/>
      <c r="Q148" s="2198"/>
      <c r="R148" s="1280"/>
      <c r="S148" s="1280"/>
      <c r="U148" s="1494"/>
    </row>
    <row r="149" spans="5:68" s="1285" customFormat="1" ht="35.1" customHeight="1">
      <c r="E149" s="2198"/>
      <c r="G149" s="1971"/>
      <c r="H149" s="2087"/>
      <c r="I149" s="2087"/>
      <c r="J149" s="2088"/>
      <c r="K149" s="2088"/>
      <c r="L149" s="2088"/>
      <c r="M149" s="1451"/>
      <c r="O149" s="1971"/>
      <c r="P149" s="1971"/>
      <c r="Q149" s="2198"/>
      <c r="R149" s="1280"/>
      <c r="S149" s="1280"/>
      <c r="U149" s="1494"/>
    </row>
    <row r="150" spans="5:68" ht="35.1" customHeight="1">
      <c r="BJ150" s="1008"/>
      <c r="BK150" s="1453" t="s">
        <v>4425</v>
      </c>
      <c r="BL150" s="1454"/>
      <c r="BM150" s="1008"/>
      <c r="BN150" s="1010"/>
      <c r="BP150" s="2188"/>
    </row>
    <row r="151" spans="5:68" ht="35.1" customHeight="1">
      <c r="BJ151" s="1003">
        <v>6</v>
      </c>
      <c r="BK151" s="1453" t="s">
        <v>4237</v>
      </c>
      <c r="BL151" s="1454"/>
      <c r="BM151" s="1003"/>
      <c r="BN151" s="988" t="s">
        <v>4217</v>
      </c>
      <c r="BP151" s="2188"/>
    </row>
    <row r="152" spans="5:68" ht="35.1" customHeight="1">
      <c r="BJ152" s="1005"/>
      <c r="BK152" s="1453" t="s">
        <v>4426</v>
      </c>
      <c r="BL152" s="1454"/>
      <c r="BM152" s="1005"/>
      <c r="BN152" s="1007"/>
      <c r="BP152" s="2188"/>
    </row>
    <row r="153" spans="5:68" ht="35.1" customHeight="1">
      <c r="BJ153" s="1005"/>
      <c r="BK153" s="1453" t="s">
        <v>4427</v>
      </c>
      <c r="BL153" s="1454"/>
      <c r="BM153" s="1005"/>
      <c r="BN153" s="1007"/>
      <c r="BP153" s="2188"/>
    </row>
    <row r="154" spans="5:68" ht="35.1" customHeight="1">
      <c r="BJ154" s="1005"/>
      <c r="BK154" s="1453" t="s">
        <v>4428</v>
      </c>
      <c r="BL154" s="1454"/>
      <c r="BM154" s="1005"/>
      <c r="BN154" s="1007"/>
      <c r="BP154" s="2188"/>
    </row>
    <row r="155" spans="5:68" ht="35.1" customHeight="1">
      <c r="BJ155" s="1008"/>
      <c r="BK155" s="1453" t="s">
        <v>4429</v>
      </c>
      <c r="BL155" s="1454"/>
      <c r="BM155" s="1008"/>
      <c r="BN155" s="1010"/>
      <c r="BP155" s="2188"/>
    </row>
    <row r="156" spans="5:68" ht="35.1" customHeight="1">
      <c r="BJ156" s="996" t="s">
        <v>501</v>
      </c>
      <c r="BK156" s="1455" t="s">
        <v>4430</v>
      </c>
      <c r="BL156" s="1456"/>
      <c r="BM156" s="887" t="e">
        <v>#N/A</v>
      </c>
      <c r="BN156" s="892"/>
      <c r="BP156" s="2188"/>
    </row>
    <row r="157" spans="5:68" ht="35.1" customHeight="1">
      <c r="BJ157" s="1003">
        <v>1</v>
      </c>
      <c r="BK157" s="1453" t="s">
        <v>4425</v>
      </c>
      <c r="BL157" s="1454"/>
      <c r="BM157" s="1004"/>
      <c r="BN157" s="988" t="s">
        <v>4217</v>
      </c>
      <c r="BP157" s="2188"/>
    </row>
    <row r="158" spans="5:68" ht="35.1" customHeight="1">
      <c r="BJ158" s="1005"/>
      <c r="BK158" s="1453" t="s">
        <v>4425</v>
      </c>
      <c r="BL158" s="1454"/>
      <c r="BM158" s="1006"/>
      <c r="BN158" s="1007"/>
      <c r="BP158" s="2188"/>
    </row>
    <row r="159" spans="5:68" ht="35.1" customHeight="1">
      <c r="BJ159" s="1005"/>
      <c r="BK159" s="1453" t="s">
        <v>4425</v>
      </c>
      <c r="BL159" s="1454"/>
      <c r="BM159" s="1006"/>
      <c r="BN159" s="1007"/>
      <c r="BP159" s="2188"/>
    </row>
    <row r="160" spans="5:68" ht="35.1" customHeight="1">
      <c r="BJ160" s="1005"/>
      <c r="BK160" s="1453" t="s">
        <v>4425</v>
      </c>
      <c r="BL160" s="1454"/>
      <c r="BM160" s="1006"/>
      <c r="BN160" s="1007"/>
      <c r="BP160" s="2188"/>
    </row>
    <row r="161" spans="62:68" ht="35.1" customHeight="1">
      <c r="BJ161" s="1005"/>
      <c r="BK161" s="1453" t="s">
        <v>4425</v>
      </c>
      <c r="BL161" s="1454"/>
      <c r="BM161" s="1006"/>
      <c r="BN161" s="1007"/>
      <c r="BP161" s="2188"/>
    </row>
    <row r="162" spans="62:68" ht="35.1" customHeight="1">
      <c r="BJ162" s="1005"/>
      <c r="BK162" s="1453" t="s">
        <v>4425</v>
      </c>
      <c r="BL162" s="1454"/>
      <c r="BM162" s="1006"/>
      <c r="BN162" s="1007"/>
      <c r="BP162" s="2188"/>
    </row>
    <row r="163" spans="62:68" ht="35.1" customHeight="1">
      <c r="BJ163" s="1008"/>
      <c r="BK163" s="1453" t="s">
        <v>4425</v>
      </c>
      <c r="BL163" s="1454"/>
      <c r="BM163" s="1009"/>
      <c r="BN163" s="1010"/>
      <c r="BP163" s="2188"/>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19:S26 R28:R29 R30:S32 R2:S11 H2:I134">
      <formula1>$Z$2:$Z$19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7" zoomScale="85" zoomScaleNormal="85" workbookViewId="0">
      <selection activeCell="F11" sqref="F11"/>
    </sheetView>
  </sheetViews>
  <sheetFormatPr defaultColWidth="8.88671875" defaultRowHeight="24.95" customHeight="1"/>
  <cols>
    <col min="1" max="1" width="12.88671875" style="856" customWidth="1"/>
    <col min="2" max="2" width="4.21875" style="860" customWidth="1"/>
    <col min="3" max="3" width="22.77734375" style="878" customWidth="1"/>
    <col min="4" max="4" width="5.77734375" style="878" customWidth="1"/>
    <col min="5" max="5" width="7.21875" style="860" customWidth="1"/>
    <col min="6" max="6" width="24.33203125" style="860" customWidth="1"/>
    <col min="7" max="7" width="23.77734375" style="860" customWidth="1"/>
    <col min="8" max="8" width="18.33203125" style="860" hidden="1" customWidth="1"/>
    <col min="9" max="9" width="1" style="860" hidden="1" customWidth="1"/>
    <col min="10" max="10" width="16.6640625" style="860" customWidth="1"/>
    <col min="11" max="11" width="10.33203125" style="879" customWidth="1"/>
    <col min="12" max="12" width="12" style="860" customWidth="1"/>
    <col min="13" max="13" width="9.88671875" style="880" customWidth="1"/>
    <col min="14" max="14" width="6.77734375" style="860" customWidth="1"/>
    <col min="15" max="15" width="8.88671875" style="860"/>
    <col min="16" max="16" width="12.77734375" style="875" customWidth="1"/>
    <col min="17" max="17" width="12.77734375" style="1437" customWidth="1"/>
    <col min="18" max="18" width="10.77734375" style="861" customWidth="1"/>
    <col min="19" max="19" width="5.33203125" style="861" customWidth="1"/>
    <col min="20" max="20" width="54.33203125" style="861" customWidth="1"/>
    <col min="21" max="27" width="8.88671875" style="861"/>
    <col min="28" max="16384" width="8.88671875" style="848"/>
  </cols>
  <sheetData>
    <row r="1" spans="1:27" s="854" customFormat="1" ht="27" customHeight="1">
      <c r="A1" s="2143"/>
      <c r="B1" s="2742" t="s">
        <v>4203</v>
      </c>
      <c r="C1" s="2742"/>
      <c r="D1" s="2742"/>
      <c r="E1" s="2742"/>
      <c r="F1" s="2742"/>
      <c r="G1" s="2742"/>
      <c r="H1" s="2742"/>
      <c r="I1" s="2742"/>
      <c r="J1" s="2742"/>
      <c r="K1" s="2743"/>
      <c r="L1" s="2742"/>
      <c r="M1" s="2742"/>
      <c r="N1" s="2742"/>
      <c r="O1" s="1271"/>
      <c r="P1" s="1488"/>
      <c r="Q1" s="1489" t="s">
        <v>4204</v>
      </c>
      <c r="R1" s="1273">
        <v>42358</v>
      </c>
      <c r="S1" s="1274"/>
      <c r="T1" s="1274"/>
      <c r="U1" s="1274"/>
      <c r="V1" s="1274"/>
      <c r="W1" s="1274"/>
      <c r="X1" s="1274"/>
      <c r="Y1" s="1274"/>
      <c r="Z1" s="1274"/>
      <c r="AA1" s="1274"/>
    </row>
    <row r="2" spans="1:27" s="854" customFormat="1" ht="20.25" customHeight="1">
      <c r="A2" s="2143"/>
      <c r="B2" s="1271"/>
      <c r="C2" s="1272" t="str">
        <f>chitiet!E7</f>
        <v>Công trình: Đường dây trung thế &amp; TBA Suối Lá, ấp Gia Ui, xã Xuân Tâm</v>
      </c>
      <c r="D2" s="1272"/>
      <c r="E2" s="1272"/>
      <c r="F2" s="1272"/>
      <c r="G2" s="1272"/>
      <c r="H2" s="1490"/>
      <c r="I2" s="1490"/>
      <c r="J2" s="1272"/>
      <c r="K2" s="1272"/>
      <c r="L2" s="1272"/>
      <c r="M2" s="1272"/>
      <c r="N2" s="1275"/>
      <c r="O2" s="1271"/>
      <c r="P2" s="1271"/>
      <c r="Q2" s="1491"/>
      <c r="R2" s="1276">
        <v>42362</v>
      </c>
      <c r="S2" s="1274"/>
      <c r="T2" s="1274"/>
      <c r="U2" s="1274"/>
      <c r="V2" s="1274"/>
      <c r="W2" s="1274"/>
      <c r="X2" s="1274"/>
      <c r="Y2" s="1274"/>
      <c r="Z2" s="1274"/>
      <c r="AA2" s="1274"/>
    </row>
    <row r="3" spans="1:27" s="1278" customFormat="1" ht="22.5" customHeight="1">
      <c r="A3" s="2144"/>
      <c r="B3" s="2744" t="str">
        <f>WORD!Z2&amp;", ngày            tháng           năm 2019"</f>
        <v>Xuân Tâm, ngày            tháng           năm 2019</v>
      </c>
      <c r="C3" s="2744"/>
      <c r="D3" s="2744"/>
      <c r="E3" s="2744"/>
      <c r="F3" s="2744"/>
      <c r="G3" s="2744"/>
      <c r="H3" s="2745"/>
      <c r="I3" s="2745"/>
      <c r="J3" s="2744"/>
      <c r="K3" s="2746"/>
      <c r="L3" s="2744"/>
      <c r="M3" s="2744"/>
      <c r="N3" s="2744"/>
      <c r="O3" s="987"/>
      <c r="P3" s="987"/>
      <c r="Q3" s="1492"/>
      <c r="R3" s="1277"/>
      <c r="S3" s="1277"/>
      <c r="T3" s="1277"/>
      <c r="U3" s="1277"/>
      <c r="V3" s="1277"/>
      <c r="W3" s="1277"/>
      <c r="X3" s="1277"/>
      <c r="Y3" s="1277"/>
      <c r="Z3" s="1277"/>
      <c r="AA3" s="1277"/>
    </row>
    <row r="4" spans="1:27" s="863" customFormat="1" ht="44.25" customHeight="1">
      <c r="A4" s="1479"/>
      <c r="B4" s="2741" t="s">
        <v>1714</v>
      </c>
      <c r="C4" s="2741" t="s">
        <v>4205</v>
      </c>
      <c r="D4" s="2741" t="s">
        <v>4206</v>
      </c>
      <c r="E4" s="2741" t="s">
        <v>4207</v>
      </c>
      <c r="F4" s="2741" t="s">
        <v>4208</v>
      </c>
      <c r="G4" s="2741" t="s">
        <v>4209</v>
      </c>
      <c r="H4" s="2741" t="s">
        <v>4518</v>
      </c>
      <c r="I4" s="2741"/>
      <c r="J4" s="2741" t="s">
        <v>4210</v>
      </c>
      <c r="K4" s="2747"/>
      <c r="L4" s="2741" t="s">
        <v>4211</v>
      </c>
      <c r="M4" s="2741"/>
      <c r="N4" s="1475" t="s">
        <v>4212</v>
      </c>
      <c r="O4" s="1481"/>
      <c r="P4" s="1439" t="s">
        <v>4504</v>
      </c>
      <c r="Q4" s="1440"/>
      <c r="R4" s="1480"/>
      <c r="S4" s="862"/>
      <c r="T4" s="862"/>
      <c r="U4" s="862"/>
      <c r="V4" s="862"/>
      <c r="W4" s="862"/>
      <c r="X4" s="862"/>
      <c r="Y4" s="862"/>
      <c r="Z4" s="862"/>
      <c r="AA4" s="862"/>
    </row>
    <row r="5" spans="1:27" s="863" customFormat="1" ht="24.95" customHeight="1">
      <c r="A5" s="1479"/>
      <c r="B5" s="2741"/>
      <c r="C5" s="2741"/>
      <c r="D5" s="2741"/>
      <c r="E5" s="2741"/>
      <c r="F5" s="2741"/>
      <c r="G5" s="2741"/>
      <c r="H5" s="1268" t="s">
        <v>4213</v>
      </c>
      <c r="I5" s="1268" t="s">
        <v>4214</v>
      </c>
      <c r="J5" s="1475" t="s">
        <v>4213</v>
      </c>
      <c r="K5" s="1477" t="s">
        <v>4214</v>
      </c>
      <c r="L5" s="1475" t="s">
        <v>4215</v>
      </c>
      <c r="M5" s="1436" t="s">
        <v>4214</v>
      </c>
      <c r="N5" s="1268"/>
      <c r="O5" s="1269">
        <v>1</v>
      </c>
      <c r="P5" s="1442"/>
      <c r="Q5" s="1438"/>
      <c r="R5" s="1480"/>
      <c r="S5" s="862"/>
      <c r="T5" s="862"/>
      <c r="U5" s="862"/>
      <c r="V5" s="862"/>
      <c r="W5" s="862"/>
      <c r="X5" s="862"/>
      <c r="Y5" s="862"/>
      <c r="Z5" s="862"/>
      <c r="AA5" s="862"/>
    </row>
    <row r="6" spans="1:27" s="863" customFormat="1" ht="51" customHeight="1">
      <c r="A6" s="2174" t="str">
        <f>VLOOKUP(ROW()-ROW($A$5),TongHopKL!A:B,2,0)</f>
        <v>tr501</v>
      </c>
      <c r="B6" s="1735">
        <f>SUM($O$6:O6)</f>
        <v>1</v>
      </c>
      <c r="C6" s="1736" t="str">
        <f>(VLOOKUP(A6,TongHopKL!B:F,5,0))</f>
        <v>Máy biến áp 12,7/0,23-0,46kV 50kVA</v>
      </c>
      <c r="D6" s="1737" t="str">
        <f>IFERROR(VLOOKUP(A6,DG!A:D,4,0),0)</f>
        <v>máy</v>
      </c>
      <c r="E6" s="1738">
        <f>SUMIF(TongHopKL!B:B,'NT-VT'!A6,TongHopKL!H:H)</f>
        <v>3</v>
      </c>
      <c r="F6" s="1735" t="str">
        <f>IFERROR(VLOOKUP(A6,Solieu!G:M,2,0),"")</f>
        <v>Shihlin</v>
      </c>
      <c r="G6" s="1735" t="str">
        <f>IFERROR(VLOOKUP(A6,Solieu!G:M,3,0),"")</f>
        <v>Shihlin</v>
      </c>
      <c r="H6" s="1735"/>
      <c r="I6" s="1739"/>
      <c r="J6" s="1740">
        <f>IFERROR(VLOOKUP(A6,Solieu!G:M,4,0),"")</f>
        <v>0</v>
      </c>
      <c r="K6" s="1741">
        <f>IFERROR(VLOOKUP(A6,Solieu!G:M,5,0),"")</f>
        <v>43965</v>
      </c>
      <c r="L6" s="1955" t="str">
        <f>IFERROR(VLOOKUP(A6,Solieu!G:M,6,0),"")</f>
        <v>10970/BB-PXTN
10971/BB-PXTN
10972/BB-PXTN</v>
      </c>
      <c r="M6" s="1739">
        <f>IFERROR(VLOOKUP(A6,Solieu!G:M,7,0),"")</f>
        <v>43972</v>
      </c>
      <c r="N6" s="1268" t="s">
        <v>4217</v>
      </c>
      <c r="O6" s="1482">
        <f>IF(ISERROR(C6),"",1)</f>
        <v>1</v>
      </c>
      <c r="P6" s="52" t="e">
        <f ca="1">VLOOKUP(A6,TongHopKL!D:M,8,0)</f>
        <v>#N/A</v>
      </c>
      <c r="Q6" s="1441"/>
      <c r="R6" s="1483"/>
      <c r="S6" s="864"/>
      <c r="T6" s="864"/>
      <c r="U6" s="862"/>
      <c r="V6" s="862"/>
      <c r="W6" s="862"/>
      <c r="X6" s="862"/>
      <c r="Y6" s="862"/>
      <c r="Z6" s="862"/>
      <c r="AA6" s="862"/>
    </row>
    <row r="7" spans="1:27" s="863" customFormat="1" ht="35.1" customHeight="1">
      <c r="A7" s="2174" t="str">
        <f>VLOOKUP(ROW()-ROW($A$5),TongHopKL!A:B,2,0)</f>
        <v>T12</v>
      </c>
      <c r="B7" s="1735">
        <f>SUM($O$6:O7)</f>
        <v>2</v>
      </c>
      <c r="C7" s="1736" t="str">
        <f>(VLOOKUP(A7,TongHopKL!B:F,5,0))</f>
        <v>Trụ BTLT 12m F350 dự ứng lực</v>
      </c>
      <c r="D7" s="1737" t="str">
        <f>IFERROR(VLOOKUP(A7,DG!A:D,4,0),0)</f>
        <v>trụ</v>
      </c>
      <c r="E7" s="1738">
        <f>SUMIF(TongHopKL!B:B,'NT-VT'!A7,TongHopKL!H:H)</f>
        <v>25</v>
      </c>
      <c r="F7" s="1735" t="str">
        <f>IFERROR(VLOOKUP(A7,Solieu!G:M,2,0),"")</f>
        <v>Cty Cổ phần Bê tông ly tâm Thủ Đức</v>
      </c>
      <c r="G7" s="1735" t="str">
        <f>IFERROR(VLOOKUP(A7,Solieu!G:M,3,0),"")</f>
        <v>Cty Cổ phần Bê tông ly tâm Thủ Đức</v>
      </c>
      <c r="H7" s="1735"/>
      <c r="I7" s="1739"/>
      <c r="J7" s="1740">
        <f>IFERROR(VLOOKUP(A7,Solieu!G:M,4,0),"")</f>
        <v>0</v>
      </c>
      <c r="K7" s="1741">
        <f>IFERROR(VLOOKUP(A7,Solieu!G:M,5,0),"")</f>
        <v>0</v>
      </c>
      <c r="L7" s="1955">
        <f>IFERROR(VLOOKUP(A7,Solieu!G:M,6,0),"")</f>
        <v>0</v>
      </c>
      <c r="M7" s="1739">
        <f>IFERROR(VLOOKUP(A7,Solieu!G:M,7,0),"")</f>
        <v>0</v>
      </c>
      <c r="N7" s="1268" t="s">
        <v>4217</v>
      </c>
      <c r="O7" s="1482">
        <f t="shared" ref="O7:O70" si="0">IF(ISERROR(C7),"",1)</f>
        <v>1</v>
      </c>
      <c r="P7" s="52" t="e">
        <f ca="1">VLOOKUP(A7,TongHopKL!D:M,8,0)</f>
        <v>#N/A</v>
      </c>
      <c r="Q7" s="1441"/>
      <c r="R7" s="1483"/>
      <c r="S7" s="864"/>
      <c r="T7" s="865"/>
      <c r="U7" s="862"/>
      <c r="V7" s="862"/>
      <c r="W7" s="862"/>
      <c r="X7" s="862"/>
      <c r="Y7" s="862"/>
      <c r="Z7" s="862"/>
      <c r="AA7" s="862"/>
    </row>
    <row r="8" spans="1:27" s="863" customFormat="1" ht="35.1" customHeight="1">
      <c r="A8" s="2174" t="str">
        <f>VLOOKUP(ROW()-ROW($A$5),TongHopKL!A:B,2,0)</f>
        <v>FCO100-22</v>
      </c>
      <c r="B8" s="1735">
        <f>SUM($O$6:O8)</f>
        <v>3</v>
      </c>
      <c r="C8" s="1736" t="str">
        <f>(VLOOKUP(A8,TongHopKL!B:F,5,0))</f>
        <v>FCO 27kV - 100A</v>
      </c>
      <c r="D8" s="1737" t="str">
        <f>IFERROR(VLOOKUP(A8,DG!A:D,4,0),0)</f>
        <v>cái</v>
      </c>
      <c r="E8" s="1738">
        <f>SUMIF(TongHopKL!B:B,'NT-VT'!A8,TongHopKL!H:H)</f>
        <v>6</v>
      </c>
      <c r="F8" s="1735" t="str">
        <f>IFERROR(VLOOKUP(A8,Solieu!G:M,2,0),"")</f>
        <v>Tuấn Ân</v>
      </c>
      <c r="G8" s="1735" t="str">
        <f>IFERROR(VLOOKUP(A8,Solieu!G:M,3,0),"")</f>
        <v>Tuấn Ân</v>
      </c>
      <c r="H8" s="1735"/>
      <c r="I8" s="1739"/>
      <c r="J8" s="1740" t="str">
        <f>IFERROR(VLOOKUP(A8,Solieu!G:M,4,0),"")</f>
        <v>13FCO/XXTA</v>
      </c>
      <c r="K8" s="1741">
        <f>IFERROR(VLOOKUP(A8,Solieu!G:M,5,0),"")</f>
        <v>43955</v>
      </c>
      <c r="L8" s="1955" t="str">
        <f>IFERROR(VLOOKUP(A8,Solieu!G:M,6,0),"")</f>
        <v>9992/BB-PXTN</v>
      </c>
      <c r="M8" s="1739">
        <f>IFERROR(VLOOKUP(A8,Solieu!G:M,7,0),"")</f>
        <v>43959</v>
      </c>
      <c r="N8" s="1268" t="s">
        <v>4217</v>
      </c>
      <c r="O8" s="1482">
        <f t="shared" si="0"/>
        <v>1</v>
      </c>
      <c r="P8" s="52" t="e">
        <f ca="1">VLOOKUP(A8,TongHopKL!D:M,8,0)</f>
        <v>#N/A</v>
      </c>
      <c r="Q8" s="1441"/>
      <c r="R8" s="1483"/>
      <c r="S8" s="864"/>
      <c r="T8" s="865"/>
      <c r="U8" s="862"/>
      <c r="V8" s="862"/>
      <c r="W8" s="862"/>
      <c r="X8" s="862"/>
      <c r="Y8" s="862"/>
      <c r="Z8" s="862"/>
      <c r="AA8" s="862"/>
    </row>
    <row r="9" spans="1:27" s="863" customFormat="1" ht="35.1" customHeight="1">
      <c r="A9" s="2174" t="str">
        <f>VLOOKUP(ROW()-ROW($A$5),TongHopKL!A:B,2,0)</f>
        <v>LA18</v>
      </c>
      <c r="B9" s="1735">
        <f>SUM($O$6:O9)</f>
        <v>4</v>
      </c>
      <c r="C9" s="1736" t="str">
        <f>(VLOOKUP(A9,TongHopKL!B:F,5,0))</f>
        <v>Chống sét van LA-18KV-10KA</v>
      </c>
      <c r="D9" s="1737" t="str">
        <f>IFERROR(VLOOKUP(A9,DG!A:D,4,0),0)</f>
        <v>cái</v>
      </c>
      <c r="E9" s="1738">
        <f>SUMIF(TongHopKL!B:B,'NT-VT'!A9,TongHopKL!H:H)</f>
        <v>3</v>
      </c>
      <c r="F9" s="1735" t="str">
        <f>IFERROR(VLOOKUP(A9,Solieu!G:M,2,0),"")</f>
        <v>Cooper</v>
      </c>
      <c r="G9" s="1735">
        <f>IFERROR(VLOOKUP(A9,Solieu!G:M,3,0),"")</f>
        <v>0</v>
      </c>
      <c r="H9" s="1735"/>
      <c r="I9" s="1739"/>
      <c r="J9" s="1740">
        <f>IFERROR(VLOOKUP(A9,Solieu!G:M,4,0),"")</f>
        <v>0</v>
      </c>
      <c r="K9" s="1741">
        <f>IFERROR(VLOOKUP(A9,Solieu!G:M,5,0),"")</f>
        <v>0</v>
      </c>
      <c r="L9" s="1955" t="str">
        <f>IFERROR(VLOOKUP(A9,Solieu!G:M,6,0),"")</f>
        <v>9993/BB-PXTN</v>
      </c>
      <c r="M9" s="1739">
        <f>IFERROR(VLOOKUP(A9,Solieu!G:M,7,0),"")</f>
        <v>43959</v>
      </c>
      <c r="N9" s="1268" t="s">
        <v>4217</v>
      </c>
      <c r="O9" s="1482">
        <f t="shared" si="0"/>
        <v>1</v>
      </c>
      <c r="P9" s="52" t="e">
        <f ca="1">VLOOKUP(A9,TongHopKL!D:M,8,0)</f>
        <v>#N/A</v>
      </c>
      <c r="Q9" s="1441"/>
      <c r="R9" s="1480"/>
      <c r="S9" s="862"/>
      <c r="T9" s="865"/>
      <c r="U9" s="862"/>
      <c r="V9" s="862"/>
      <c r="W9" s="862"/>
      <c r="X9" s="862"/>
      <c r="Y9" s="862"/>
      <c r="Z9" s="862"/>
      <c r="AA9" s="862"/>
    </row>
    <row r="10" spans="1:27" s="863" customFormat="1" ht="35.1" customHeight="1">
      <c r="A10" s="2174" t="str">
        <f>VLOOKUP(ROW()-ROW($A$5),TongHopKL!A:B,2,0)</f>
        <v>atm200</v>
      </c>
      <c r="B10" s="1735">
        <f>SUM($O$6:O10)</f>
        <v>5</v>
      </c>
      <c r="C10" s="1736" t="str">
        <f>(VLOOKUP(A10,TongHopKL!B:F,5,0))</f>
        <v>MCCB 3 cực 400V -200A - 35KA</v>
      </c>
      <c r="D10" s="1737" t="str">
        <f>IFERROR(VLOOKUP(A10,DG!A:D,4,0),0)</f>
        <v>cái</v>
      </c>
      <c r="E10" s="1738">
        <f>SUMIF(TongHopKL!B:B,'NT-VT'!A10,TongHopKL!H:H)</f>
        <v>1</v>
      </c>
      <c r="F10" s="1735" t="str">
        <f>IFERROR(VLOOKUP(A10,Solieu!G:M,2,0),"")</f>
        <v>LS</v>
      </c>
      <c r="G10" s="1735" t="str">
        <f>IFERROR(VLOOKUP(A10,Solieu!G:M,3,0),"")</f>
        <v>Cty TNHH thương mại Thái Sơn Nam</v>
      </c>
      <c r="H10" s="1735"/>
      <c r="I10" s="1739"/>
      <c r="J10" s="1740">
        <f>IFERROR(VLOOKUP(A10,Solieu!G:M,4,0),"")</f>
        <v>0</v>
      </c>
      <c r="K10" s="1741">
        <f>IFERROR(VLOOKUP(A10,Solieu!G:M,5,0),"")</f>
        <v>0</v>
      </c>
      <c r="L10" s="1955" t="str">
        <f>IFERROR(VLOOKUP(A10,Solieu!G:M,6,0),"")</f>
        <v>9991/BB-PXTN</v>
      </c>
      <c r="M10" s="1739">
        <f>IFERROR(VLOOKUP(A10,Solieu!G:M,7,0),"")</f>
        <v>43959</v>
      </c>
      <c r="N10" s="1268" t="s">
        <v>4217</v>
      </c>
      <c r="O10" s="1482">
        <f t="shared" si="0"/>
        <v>1</v>
      </c>
      <c r="P10" s="52" t="e">
        <f ca="1">VLOOKUP(A10,TongHopKL!D:M,8,0)</f>
        <v>#N/A</v>
      </c>
      <c r="Q10" s="1441"/>
      <c r="R10" s="1480"/>
      <c r="S10" s="862"/>
      <c r="T10" s="865"/>
      <c r="U10" s="862"/>
      <c r="V10" s="862"/>
      <c r="W10" s="862"/>
      <c r="X10" s="862"/>
      <c r="Y10" s="862"/>
      <c r="Z10" s="862"/>
      <c r="AA10" s="862"/>
    </row>
    <row r="11" spans="1:27" s="1267" customFormat="1" ht="35.1" customHeight="1">
      <c r="A11" s="2174" t="str">
        <f>VLOOKUP(ROW()-ROW($A$5),TongHopKL!A:B,2,0)</f>
        <v>SD</v>
      </c>
      <c r="B11" s="1735">
        <f>SUM($O$6:O11)</f>
        <v>6</v>
      </c>
      <c r="C11" s="1736" t="str">
        <f>(VLOOKUP(A11,TongHopKL!B:F,5,0))</f>
        <v xml:space="preserve">Sứ đứng 24KV </v>
      </c>
      <c r="D11" s="1737" t="str">
        <f>IFERROR(VLOOKUP(A11,DG!A:D,4,0),0)</f>
        <v>cái</v>
      </c>
      <c r="E11" s="1738">
        <f>SUMIF(TongHopKL!B:B,'NT-VT'!A11,TongHopKL!H:H)</f>
        <v>69</v>
      </c>
      <c r="F11" s="1735" t="str">
        <f>IFERROR(VLOOKUP(A11,Solieu!G:M,2,0),"")</f>
        <v>Minh Long</v>
      </c>
      <c r="G11" s="1735" t="str">
        <f>IFERROR(VLOOKUP(A11,Solieu!G:M,3,0),"")</f>
        <v>Minh Long</v>
      </c>
      <c r="H11" s="1735"/>
      <c r="I11" s="1739"/>
      <c r="J11" s="1740" t="str">
        <f>IFERROR(VLOOKUP(A11,Solieu!G:M,4,0),"")</f>
        <v>0213.XLDQA.20</v>
      </c>
      <c r="K11" s="1741">
        <f>IFERROR(VLOOKUP(A11,Solieu!G:M,5,0),"")</f>
        <v>43957</v>
      </c>
      <c r="L11" s="1955" t="str">
        <f>IFERROR(VLOOKUP(A11,Solieu!G:M,6,0),"")</f>
        <v>9994/BB-PXTN</v>
      </c>
      <c r="M11" s="1739">
        <f>IFERROR(VLOOKUP(A11,Solieu!G:M,7,0),"")</f>
        <v>43959</v>
      </c>
      <c r="N11" s="1268" t="s">
        <v>4217</v>
      </c>
      <c r="O11" s="1482">
        <f t="shared" si="0"/>
        <v>1</v>
      </c>
      <c r="P11" s="52" t="e">
        <f ca="1">VLOOKUP(A11,TongHopKL!D:M,8,0)</f>
        <v>#N/A</v>
      </c>
      <c r="Q11" s="1441"/>
      <c r="R11" s="1266"/>
      <c r="S11" s="1265"/>
      <c r="T11" s="1265"/>
      <c r="U11" s="1265"/>
      <c r="V11" s="1265"/>
      <c r="W11" s="1265"/>
      <c r="X11" s="1265"/>
      <c r="Y11" s="1265"/>
      <c r="Z11" s="1265"/>
      <c r="AA11" s="1265"/>
    </row>
    <row r="12" spans="1:27" s="1267" customFormat="1" ht="35.1" customHeight="1">
      <c r="A12" s="2174" t="str">
        <f>VLOOKUP(ROW()-ROW($A$5),TongHopKL!A:B,2,0)</f>
        <v>Stply</v>
      </c>
      <c r="B12" s="1735">
        <f>SUM($O$6:O12)</f>
        <v>7</v>
      </c>
      <c r="C12" s="1736" t="str">
        <f>(VLOOKUP(A12,TongHopKL!B:F,5,0))</f>
        <v>Sứ treo polymer</v>
      </c>
      <c r="D12" s="1737" t="str">
        <f>IFERROR(VLOOKUP(A12,DG!A:D,4,0),0)</f>
        <v>chuỗi</v>
      </c>
      <c r="E12" s="1738">
        <f>SUMIF(TongHopKL!B:B,'NT-VT'!A12,TongHopKL!H:H)</f>
        <v>24</v>
      </c>
      <c r="F12" s="1735" t="str">
        <f>IFERROR(VLOOKUP(A12,Solieu!G:M,2,0),"")</f>
        <v>DTR</v>
      </c>
      <c r="G12" s="1735">
        <f>IFERROR(VLOOKUP(A12,Solieu!G:M,3,0),"")</f>
        <v>0</v>
      </c>
      <c r="H12" s="1735"/>
      <c r="I12" s="1739"/>
      <c r="J12" s="1740">
        <f>IFERROR(VLOOKUP(A12,Solieu!G:M,4,0),"")</f>
        <v>0</v>
      </c>
      <c r="K12" s="1741">
        <f>IFERROR(VLOOKUP(A12,Solieu!G:M,5,0),"")</f>
        <v>0</v>
      </c>
      <c r="L12" s="1955" t="str">
        <f>IFERROR(VLOOKUP(A12,Solieu!G:M,6,0),"")</f>
        <v>10054/BB-PXTN</v>
      </c>
      <c r="M12" s="1739">
        <f>IFERROR(VLOOKUP(A12,Solieu!G:M,7,0),"")</f>
        <v>43959</v>
      </c>
      <c r="N12" s="1268" t="s">
        <v>4217</v>
      </c>
      <c r="O12" s="1482">
        <f t="shared" si="0"/>
        <v>1</v>
      </c>
      <c r="P12" s="52" t="e">
        <f ca="1">VLOOKUP(A12,TongHopKL!D:M,8,0)</f>
        <v>#N/A</v>
      </c>
      <c r="Q12" s="1441"/>
      <c r="R12" s="1266"/>
      <c r="S12" s="1265"/>
      <c r="T12" s="1265"/>
      <c r="U12" s="1265"/>
      <c r="V12" s="1265"/>
      <c r="W12" s="1265"/>
      <c r="X12" s="1265"/>
      <c r="Y12" s="1265"/>
      <c r="Z12" s="1265"/>
      <c r="AA12" s="1265"/>
    </row>
    <row r="13" spans="1:27" s="1267" customFormat="1" ht="35.1" customHeight="1">
      <c r="A13" s="2174" t="str">
        <f>VLOOKUP(ROW()-ROW($A$5),TongHopKL!A:B,2,0)</f>
        <v>cv95</v>
      </c>
      <c r="B13" s="1735">
        <f>SUM($O$6:O13)</f>
        <v>8</v>
      </c>
      <c r="C13" s="1736" t="str">
        <f>(VLOOKUP(A13,TongHopKL!B:F,5,0))</f>
        <v>Cáp đồng bọc CV95</v>
      </c>
      <c r="D13" s="1737" t="str">
        <f>IFERROR(VLOOKUP(A13,DG!A:D,4,0),0)</f>
        <v>mét</v>
      </c>
      <c r="E13" s="1738">
        <f>SUMIF(TongHopKL!B:B,'NT-VT'!A13,TongHopKL!H:H)</f>
        <v>30</v>
      </c>
      <c r="F13" s="1735" t="str">
        <f>IFERROR(VLOOKUP(A13,Solieu!G:M,2,0),"")</f>
        <v>Cty TNHHSX-TM Dây &amp; Cáp Điện Tài Trường Thành</v>
      </c>
      <c r="G13" s="1735" t="str">
        <f>IFERROR(VLOOKUP(A13,Solieu!G:M,3,0),"")</f>
        <v>Cty TNHHSX-TM Dây &amp; Cáp Điện Tài Trường Thành</v>
      </c>
      <c r="H13" s="1735"/>
      <c r="I13" s="1739"/>
      <c r="J13" s="1740" t="str">
        <f>IFERROR(VLOOKUP(A13,Solieu!G:M,4,0),"")</f>
        <v>TTT-084LA.KCS0420/06</v>
      </c>
      <c r="K13" s="1741">
        <f>IFERROR(VLOOKUP(A13,Solieu!G:M,5,0),"")</f>
        <v>43959</v>
      </c>
      <c r="L13" s="1955" t="str">
        <f>IFERROR(VLOOKUP(A13,Solieu!G:M,6,0),"")</f>
        <v>10000/BB-PXTN</v>
      </c>
      <c r="M13" s="1739">
        <f>IFERROR(VLOOKUP(A13,Solieu!G:M,7,0),"")</f>
        <v>43959</v>
      </c>
      <c r="N13" s="1268" t="s">
        <v>4217</v>
      </c>
      <c r="O13" s="1482">
        <f t="shared" si="0"/>
        <v>1</v>
      </c>
      <c r="P13" s="52" t="e">
        <f ca="1">VLOOKUP(A13,TongHopKL!D:M,8,0)</f>
        <v>#N/A</v>
      </c>
      <c r="Q13" s="1441"/>
      <c r="R13" s="1442"/>
      <c r="S13" s="1442"/>
      <c r="T13" s="1270"/>
      <c r="U13" s="1265"/>
      <c r="V13" s="1265"/>
      <c r="W13" s="1265"/>
      <c r="X13" s="1265"/>
      <c r="Y13" s="1265"/>
      <c r="Z13" s="1265"/>
      <c r="AA13" s="1265"/>
    </row>
    <row r="14" spans="1:27" s="863" customFormat="1" ht="35.1" customHeight="1">
      <c r="A14" s="2174" t="str">
        <f>VLOOKUP(ROW()-ROW($A$5),TongHopKL!A:B,2,0)</f>
        <v>cv11</v>
      </c>
      <c r="B14" s="1735">
        <f>SUM($O$6:O14)</f>
        <v>9</v>
      </c>
      <c r="C14" s="1736" t="str">
        <f>(VLOOKUP(A14,TongHopKL!B:F,5,0))</f>
        <v>Cáp đồng bọc CV11</v>
      </c>
      <c r="D14" s="1737" t="str">
        <f>IFERROR(VLOOKUP(A14,DG!A:D,4,0),0)</f>
        <v>mét</v>
      </c>
      <c r="E14" s="1738">
        <f>SUMIF(TongHopKL!B:B,'NT-VT'!A14,TongHopKL!H:H)</f>
        <v>5</v>
      </c>
      <c r="F14" s="1735" t="str">
        <f>IFERROR(VLOOKUP(A14,Solieu!G:M,2,0),"")</f>
        <v>Cty TNHHSX-TM Dây &amp; Cáp Điện Tài Trường Thành</v>
      </c>
      <c r="G14" s="1735" t="str">
        <f>IFERROR(VLOOKUP(A14,Solieu!G:M,3,0),"")</f>
        <v>Cty TNHHSX-TM Dây &amp; Cáp Điện Tài Trường Thành</v>
      </c>
      <c r="H14" s="1735"/>
      <c r="I14" s="1739"/>
      <c r="J14" s="1740" t="str">
        <f>IFERROR(VLOOKUP(A14,Solieu!G:M,4,0),"")</f>
        <v>TTT-030KCS0220/11</v>
      </c>
      <c r="K14" s="1741">
        <f>IFERROR(VLOOKUP(A14,Solieu!G:M,5,0),"")</f>
        <v>43959</v>
      </c>
      <c r="L14" s="1955" t="str">
        <f>IFERROR(VLOOKUP(A14,Solieu!G:M,6,0),"")</f>
        <v>9999/BB-PXTN</v>
      </c>
      <c r="M14" s="1739">
        <f>IFERROR(VLOOKUP(A14,Solieu!G:M,7,0),"")</f>
        <v>43965</v>
      </c>
      <c r="N14" s="1268" t="s">
        <v>4217</v>
      </c>
      <c r="O14" s="1482">
        <f t="shared" si="0"/>
        <v>1</v>
      </c>
      <c r="P14" s="52" t="e">
        <f ca="1">VLOOKUP(A14,TongHopKL!D:M,8,0)</f>
        <v>#N/A</v>
      </c>
      <c r="Q14" s="1441"/>
      <c r="R14" s="1483"/>
      <c r="S14" s="864"/>
      <c r="T14" s="865"/>
      <c r="U14" s="862"/>
      <c r="V14" s="862"/>
      <c r="W14" s="862"/>
      <c r="X14" s="862"/>
      <c r="Y14" s="862"/>
      <c r="Z14" s="862"/>
      <c r="AA14" s="862"/>
    </row>
    <row r="15" spans="1:27" s="863" customFormat="1" ht="35.1" customHeight="1">
      <c r="A15" s="2174" t="str">
        <f>VLOOKUP(ROW()-ROW($A$5),TongHopKL!A:B,2,0)</f>
        <v>CVV4X4</v>
      </c>
      <c r="B15" s="1735">
        <f>SUM($O$6:O15)</f>
        <v>10</v>
      </c>
      <c r="C15" s="1736" t="str">
        <f>(VLOOKUP(A15,TongHopKL!B:F,5,0))</f>
        <v xml:space="preserve">Cáp CVV 4x4mm2  </v>
      </c>
      <c r="D15" s="1737" t="str">
        <f>IFERROR(VLOOKUP(A15,DG!A:D,4,0),0)</f>
        <v>mét</v>
      </c>
      <c r="E15" s="2175">
        <f>SUMIF(TongHopKL!B:B,'NT-VT'!A15,TongHopKL!H:H)</f>
        <v>2.5</v>
      </c>
      <c r="F15" s="1735" t="str">
        <f>IFERROR(VLOOKUP(A15,Solieu!G:M,2,0),"")</f>
        <v>Cty TNHHSX-TM Dây &amp; Cáp Điện Tài Trường Thành</v>
      </c>
      <c r="G15" s="1735" t="str">
        <f>IFERROR(VLOOKUP(A15,Solieu!G:M,3,0),"")</f>
        <v>Cty TNHHSX-TM Dây &amp; Cáp Điện Tài Trường Thành</v>
      </c>
      <c r="H15" s="1735"/>
      <c r="I15" s="1739"/>
      <c r="J15" s="1740">
        <f>IFERROR(VLOOKUP(A15,Solieu!G:M,4,0),"")</f>
        <v>0</v>
      </c>
      <c r="K15" s="1741">
        <f>IFERROR(VLOOKUP(A15,Solieu!G:M,5,0),"")</f>
        <v>0</v>
      </c>
      <c r="L15" s="1955" t="str">
        <f>IFERROR(VLOOKUP(A15,Solieu!G:M,6,0),"")</f>
        <v>9998/BB-PXTN</v>
      </c>
      <c r="M15" s="1739">
        <f>IFERROR(VLOOKUP(A15,Solieu!G:M,7,0),"")</f>
        <v>43966</v>
      </c>
      <c r="N15" s="1268" t="s">
        <v>4217</v>
      </c>
      <c r="O15" s="1482">
        <f t="shared" si="0"/>
        <v>1</v>
      </c>
      <c r="P15" s="52" t="e">
        <f ca="1">VLOOKUP(A15,TongHopKL!D:M,8,0)</f>
        <v>#N/A</v>
      </c>
      <c r="Q15" s="1441"/>
      <c r="R15" s="1442"/>
      <c r="S15" s="1443"/>
      <c r="T15" s="862"/>
      <c r="U15" s="862"/>
      <c r="V15" s="862"/>
      <c r="W15" s="862"/>
      <c r="X15" s="862"/>
      <c r="Y15" s="862"/>
      <c r="Z15" s="862"/>
      <c r="AA15" s="862"/>
    </row>
    <row r="16" spans="1:27" s="863" customFormat="1" ht="35.1" customHeight="1">
      <c r="A16" s="2174" t="str">
        <f>VLOOKUP(ROW()-ROW($A$5),TongHopKL!A:B,2,0)</f>
        <v>XLPE25</v>
      </c>
      <c r="B16" s="1735">
        <f>SUM($O$6:O16)</f>
        <v>11</v>
      </c>
      <c r="C16" s="1736" t="str">
        <f>(VLOOKUP(A16,TongHopKL!B:F,5,0))</f>
        <v>Cáp 24KV CX-25mm2</v>
      </c>
      <c r="D16" s="1737" t="str">
        <f>IFERROR(VLOOKUP(A16,DG!A:D,4,0),0)</f>
        <v>mét</v>
      </c>
      <c r="E16" s="2175">
        <f>SUMIF(TongHopKL!B:B,'NT-VT'!A16,TongHopKL!H:H)</f>
        <v>21</v>
      </c>
      <c r="F16" s="1735" t="str">
        <f>IFERROR(VLOOKUP(A16,Solieu!G:M,2,0),"")</f>
        <v>Cty TNHHSX-TM Dây &amp; Cáp Điện Tài Trường Thành</v>
      </c>
      <c r="G16" s="1735" t="str">
        <f>IFERROR(VLOOKUP(A16,Solieu!G:M,3,0),"")</f>
        <v>Cty TNHHSX-TM Dây &amp; Cáp Điện Tài Trường Thành</v>
      </c>
      <c r="H16" s="1735"/>
      <c r="I16" s="1739"/>
      <c r="J16" s="1740">
        <f>IFERROR(VLOOKUP(A16,Solieu!G:M,4,0),"")</f>
        <v>0</v>
      </c>
      <c r="K16" s="1741">
        <f>IFERROR(VLOOKUP(A16,Solieu!G:M,5,0),"")</f>
        <v>0</v>
      </c>
      <c r="L16" s="1955" t="str">
        <f>IFERROR(VLOOKUP(A16,Solieu!G:M,6,0),"")</f>
        <v>9995/BB-PXTN</v>
      </c>
      <c r="M16" s="1739">
        <f>IFERROR(VLOOKUP(A16,Solieu!G:M,7,0),"")</f>
        <v>43967</v>
      </c>
      <c r="N16" s="1268" t="s">
        <v>4217</v>
      </c>
      <c r="O16" s="1482">
        <f t="shared" si="0"/>
        <v>1</v>
      </c>
      <c r="P16" s="52" t="e">
        <f ca="1">VLOOKUP(A16,TongHopKL!D:M,8,0)</f>
        <v>#N/A</v>
      </c>
      <c r="Q16" s="1441"/>
      <c r="R16" s="1483"/>
      <c r="S16" s="862"/>
      <c r="T16" s="862"/>
      <c r="U16" s="862"/>
      <c r="V16" s="862"/>
      <c r="W16" s="862"/>
      <c r="X16" s="862"/>
      <c r="Y16" s="862"/>
      <c r="Z16" s="862"/>
      <c r="AA16" s="862"/>
    </row>
    <row r="17" spans="1:27" s="863" customFormat="1" ht="35.1" customHeight="1">
      <c r="A17" s="2174" t="str">
        <f>VLOOKUP(ROW()-ROW($A$5),TongHopKL!A:B,2,0)</f>
        <v>ACXV50</v>
      </c>
      <c r="B17" s="1735">
        <f>SUM($O$6:O17)</f>
        <v>12</v>
      </c>
      <c r="C17" s="1736" t="str">
        <f>(VLOOKUP(A17,TongHopKL!B:F,5,0))</f>
        <v>Cáp 24KV ACX 50mm2</v>
      </c>
      <c r="D17" s="1737" t="str">
        <f>IFERROR(VLOOKUP(A17,DG!A:D,4,0),0)</f>
        <v>mét</v>
      </c>
      <c r="E17" s="2476">
        <f>SUMIF(TongHopKL!B:B,'NT-VT'!A17,TongHopKL!H:H)</f>
        <v>2313.36</v>
      </c>
      <c r="F17" s="1735" t="str">
        <f>IFERROR(VLOOKUP(A17,Solieu!G:M,2,0),"")</f>
        <v>Cty TNHHSX-TM Dây &amp; Cáp Điện Tài Trường Thành</v>
      </c>
      <c r="G17" s="1735" t="str">
        <f>IFERROR(VLOOKUP(A17,Solieu!G:M,3,0),"")</f>
        <v>Cty TNHHSX-TM Dây &amp; Cáp Điện Tài Trường Thành</v>
      </c>
      <c r="H17" s="1735"/>
      <c r="I17" s="1739"/>
      <c r="J17" s="1740" t="str">
        <f>IFERROR(VLOOKUP(A17,Solieu!G:M,4,0),"")</f>
        <v>TTT-014LAKCS0520/03</v>
      </c>
      <c r="K17" s="1741">
        <f>IFERROR(VLOOKUP(A17,Solieu!G:M,5,0),"")</f>
        <v>43959</v>
      </c>
      <c r="L17" s="1955" t="str">
        <f>IFERROR(VLOOKUP(A17,Solieu!G:M,6,0),"")</f>
        <v>9996/BB-PXTN</v>
      </c>
      <c r="M17" s="1739">
        <f>IFERROR(VLOOKUP(A17,Solieu!G:M,7,0),"")</f>
        <v>43968</v>
      </c>
      <c r="N17" s="1268" t="s">
        <v>4217</v>
      </c>
      <c r="O17" s="1482">
        <f t="shared" si="0"/>
        <v>1</v>
      </c>
      <c r="P17" s="52" t="e">
        <f ca="1">VLOOKUP(A17,TongHopKL!D:M,8,0)</f>
        <v>#N/A</v>
      </c>
      <c r="Q17" s="1438"/>
      <c r="R17" s="1483"/>
      <c r="S17" s="862"/>
      <c r="T17" s="862"/>
      <c r="U17" s="862"/>
      <c r="V17" s="862"/>
      <c r="W17" s="862"/>
      <c r="X17" s="862"/>
      <c r="Y17" s="862"/>
      <c r="Z17" s="862"/>
      <c r="AA17" s="862"/>
    </row>
    <row r="18" spans="1:27" s="863" customFormat="1" ht="35.1" customHeight="1">
      <c r="A18" s="2174" t="str">
        <f>VLOOKUP(ROW()-ROW($A$5),TongHopKL!A:B,2,0)</f>
        <v>m25</v>
      </c>
      <c r="B18" s="1735">
        <f>SUM($O$6:O18)</f>
        <v>13</v>
      </c>
      <c r="C18" s="1736" t="str">
        <f>(VLOOKUP(A18,TongHopKL!B:F,5,0))</f>
        <v>Cáp đồng trần M25mm2</v>
      </c>
      <c r="D18" s="1737" t="str">
        <f>IFERROR(VLOOKUP(A18,DG!A:D,4,0),0)</f>
        <v>kg</v>
      </c>
      <c r="E18" s="2175">
        <f>SUMIF(TongHopKL!B:B,'NT-VT'!A18,TongHopKL!H:H)</f>
        <v>21.740000000000002</v>
      </c>
      <c r="F18" s="1735" t="str">
        <f>IFERROR(VLOOKUP(A18,Solieu!G:M,2,0),"")</f>
        <v>Cty TNHHSX-TM Dây &amp; Cáp Điện Tài Trường Thành</v>
      </c>
      <c r="G18" s="1735" t="str">
        <f>IFERROR(VLOOKUP(A18,Solieu!G:M,3,0),"")</f>
        <v>Cty TNHHSX-TM Dây &amp; Cáp Điện Tài Trường Thành</v>
      </c>
      <c r="H18" s="1735"/>
      <c r="I18" s="1739"/>
      <c r="J18" s="1740" t="str">
        <f>IFERROR(VLOOKUP(A18,Solieu!G:M,4,0),"")</f>
        <v>TTT-021KCS0320/63</v>
      </c>
      <c r="K18" s="1741">
        <f>IFERROR(VLOOKUP(A18,Solieu!G:M,5,0),"")</f>
        <v>43959</v>
      </c>
      <c r="L18" s="1955" t="str">
        <f>IFERROR(VLOOKUP(A18,Solieu!G:M,6,0),"")</f>
        <v>/BB-PXTN</v>
      </c>
      <c r="M18" s="1739">
        <f>IFERROR(VLOOKUP(A18,Solieu!G:M,7,0),"")</f>
        <v>43969</v>
      </c>
      <c r="N18" s="1268" t="s">
        <v>4217</v>
      </c>
      <c r="O18" s="1482">
        <f t="shared" si="0"/>
        <v>1</v>
      </c>
      <c r="P18" s="52" t="e">
        <f ca="1">VLOOKUP(A18,TongHopKL!D:M,8,0)</f>
        <v>#N/A</v>
      </c>
      <c r="Q18" s="1438"/>
      <c r="R18" s="1483"/>
      <c r="S18" s="862"/>
      <c r="T18" s="862"/>
      <c r="U18" s="862"/>
      <c r="V18" s="862"/>
      <c r="W18" s="862"/>
      <c r="X18" s="862"/>
      <c r="Y18" s="862"/>
      <c r="Z18" s="862"/>
      <c r="AA18" s="862"/>
    </row>
    <row r="19" spans="1:27" s="863" customFormat="1" ht="35.1" customHeight="1">
      <c r="A19" s="2174" t="str">
        <f>VLOOKUP(ROW()-ROW($A$5),TongHopKL!A:B,2,0)</f>
        <v>AC50</v>
      </c>
      <c r="B19" s="1735">
        <f>SUM($O$6:O19)</f>
        <v>14</v>
      </c>
      <c r="C19" s="1736" t="str">
        <f>(VLOOKUP(A19,TongHopKL!B:F,5,0))</f>
        <v>Cáp nhôm lõi thép AC-50/8</v>
      </c>
      <c r="D19" s="1737" t="str">
        <f>IFERROR(VLOOKUP(A19,DG!A:D,4,0),0)</f>
        <v>kg</v>
      </c>
      <c r="E19" s="1738">
        <f>SUMIF(TongHopKL!B:B,'NT-VT'!A19,TongHopKL!H:H)</f>
        <v>150.31</v>
      </c>
      <c r="F19" s="1735" t="str">
        <f>IFERROR(VLOOKUP(A19,Solieu!G:M,2,0),"")</f>
        <v>Cty TNHHSX-TM Dây &amp; Cáp Điện Tài Trường Thành</v>
      </c>
      <c r="G19" s="1735" t="str">
        <f>IFERROR(VLOOKUP(A19,Solieu!G:M,3,0),"")</f>
        <v>Cty TNHHSX-TM Dây &amp; Cáp Điện Tài Trường Thành</v>
      </c>
      <c r="H19" s="1735"/>
      <c r="I19" s="1739"/>
      <c r="J19" s="1740">
        <f>IFERROR(VLOOKUP(A19,Solieu!G:M,4,0),"")</f>
        <v>0</v>
      </c>
      <c r="K19" s="1741">
        <f>IFERROR(VLOOKUP(A19,Solieu!G:M,5,0),"")</f>
        <v>0</v>
      </c>
      <c r="L19" s="1955" t="str">
        <f>IFERROR(VLOOKUP(A19,Solieu!G:M,6,0),"")</f>
        <v>/BB-PXTN</v>
      </c>
      <c r="M19" s="1739">
        <f>IFERROR(VLOOKUP(A19,Solieu!G:M,7,0),"")</f>
        <v>43970</v>
      </c>
      <c r="N19" s="1268" t="s">
        <v>4217</v>
      </c>
      <c r="O19" s="1482">
        <f t="shared" si="0"/>
        <v>1</v>
      </c>
      <c r="P19" s="52" t="e">
        <f ca="1">VLOOKUP(A19,TongHopKL!D:M,8,0)</f>
        <v>#N/A</v>
      </c>
      <c r="Q19" s="1438"/>
      <c r="R19" s="1483"/>
      <c r="S19" s="864"/>
      <c r="T19" s="864"/>
      <c r="U19" s="862"/>
      <c r="V19" s="862"/>
      <c r="W19" s="862"/>
      <c r="X19" s="862"/>
      <c r="Y19" s="862"/>
      <c r="Z19" s="862"/>
      <c r="AA19" s="862"/>
    </row>
    <row r="20" spans="1:27" s="863" customFormat="1" ht="35.1" customHeight="1">
      <c r="A20" s="2174" t="str">
        <f>VLOOKUP(ROW()-ROW($A$5),TongHopKL!A:B,2,0)</f>
        <v>C5/8m</v>
      </c>
      <c r="B20" s="1735">
        <f>SUM($O$6:O20)</f>
        <v>15</v>
      </c>
      <c r="C20" s="1736" t="str">
        <f>(VLOOKUP(A20,TongHopKL!B:F,5,0))</f>
        <v>Cáp thép 5/8"</v>
      </c>
      <c r="D20" s="1737" t="str">
        <f>IFERROR(VLOOKUP(A20,DG!A:D,4,0),0)</f>
        <v>mét</v>
      </c>
      <c r="E20" s="1738">
        <f>SUMIF(TongHopKL!B:B,'NT-VT'!A20,TongHopKL!H:H)</f>
        <v>14</v>
      </c>
      <c r="F20" s="1735" t="str">
        <f>IFERROR(VLOOKUP(A20,Solieu!G:M,2,0),"")</f>
        <v>nt</v>
      </c>
      <c r="G20" s="1735" t="str">
        <f>IFERROR(VLOOKUP(A20,Solieu!G:M,3,0),"")</f>
        <v>nt</v>
      </c>
      <c r="H20" s="1735"/>
      <c r="I20" s="1739"/>
      <c r="J20" s="1740">
        <f>IFERROR(VLOOKUP(A20,Solieu!G:M,4,0),"")</f>
        <v>0</v>
      </c>
      <c r="K20" s="1741">
        <f>IFERROR(VLOOKUP(A20,Solieu!G:M,5,0),"")</f>
        <v>0</v>
      </c>
      <c r="L20" s="1955" t="str">
        <f>IFERROR(VLOOKUP(A20,Solieu!G:M,6,0),"")</f>
        <v>/BB-PXTN</v>
      </c>
      <c r="M20" s="1739">
        <f>IFERROR(VLOOKUP(A20,Solieu!G:M,7,0),"")</f>
        <v>43796</v>
      </c>
      <c r="N20" s="1268" t="s">
        <v>4217</v>
      </c>
      <c r="O20" s="1482">
        <f t="shared" si="0"/>
        <v>1</v>
      </c>
      <c r="P20" s="1264"/>
      <c r="Q20" s="1438"/>
      <c r="R20" s="1483"/>
      <c r="S20" s="864"/>
      <c r="T20" s="865"/>
      <c r="U20" s="862"/>
      <c r="V20" s="862"/>
      <c r="W20" s="862"/>
      <c r="X20" s="862"/>
      <c r="Y20" s="862"/>
      <c r="Z20" s="862"/>
      <c r="AA20" s="862"/>
    </row>
    <row r="21" spans="1:27" s="863" customFormat="1" ht="35.1" customHeight="1">
      <c r="A21" s="2174" t="str">
        <f>VLOOKUP(ROW()-ROW($A$5),TongHopKL!A:B,2,0)</f>
        <v>B16150</v>
      </c>
      <c r="B21" s="1735">
        <f>SUM($O$6:O21)</f>
        <v>16</v>
      </c>
      <c r="C21" s="1736" t="str">
        <f>(VLOOKUP(A21,TongHopKL!B:F,5,0))</f>
        <v>Boulon 16x150+ 2 long đền vuông D18-50x50x3/Zn</v>
      </c>
      <c r="D21" s="1737" t="str">
        <f>IFERROR(VLOOKUP(A21,DG!A:D,4,0),0)</f>
        <v>bộ</v>
      </c>
      <c r="E21" s="1738">
        <f>SUMIF(TongHopKL!B:B,'NT-VT'!A21,TongHopKL!H:H)</f>
        <v>4</v>
      </c>
      <c r="F21" s="1735" t="str">
        <f>IFERROR(VLOOKUP(A21,Solieu!G:M,2,0),"")</f>
        <v>Cty TNHH TM SX &amp; TM Khanh Nguyên</v>
      </c>
      <c r="G21" s="1735" t="str">
        <f>IFERROR(VLOOKUP(A21,Solieu!G:M,3,0),"")</f>
        <v>Cty TNHH TM SX &amp; TM Khanh Nguyên</v>
      </c>
      <c r="H21" s="1735"/>
      <c r="I21" s="1739"/>
      <c r="J21" s="1740"/>
      <c r="K21" s="1741"/>
      <c r="L21" s="1955"/>
      <c r="M21" s="1739"/>
      <c r="N21" s="1268" t="s">
        <v>4217</v>
      </c>
      <c r="O21" s="1482">
        <f t="shared" si="0"/>
        <v>1</v>
      </c>
      <c r="P21" s="1264"/>
      <c r="Q21" s="1438"/>
      <c r="R21" s="1483"/>
      <c r="S21" s="862"/>
      <c r="T21" s="862"/>
      <c r="U21" s="862"/>
      <c r="V21" s="862"/>
      <c r="W21" s="862"/>
      <c r="X21" s="862"/>
      <c r="Y21" s="862"/>
      <c r="Z21" s="862"/>
      <c r="AA21" s="862"/>
    </row>
    <row r="22" spans="1:27" s="863" customFormat="1" ht="35.1" customHeight="1">
      <c r="A22" s="2174" t="str">
        <f>VLOOKUP(ROW()-ROW($A$5),TongHopKL!A:B,2,0)</f>
        <v>B16250</v>
      </c>
      <c r="B22" s="1735">
        <f>SUM($O$6:O22)</f>
        <v>17</v>
      </c>
      <c r="C22" s="1736" t="str">
        <f>(VLOOKUP(A22,TongHopKL!B:F,5,0))</f>
        <v>Boulon 16x250+ 2 long đền vuông D18-50x50x3/Zn</v>
      </c>
      <c r="D22" s="1737" t="str">
        <f>IFERROR(VLOOKUP(A22,DG!A:D,4,0),0)</f>
        <v>bộ</v>
      </c>
      <c r="E22" s="1738">
        <f>SUMIF(TongHopKL!B:B,'NT-VT'!A22,TongHopKL!H:H)</f>
        <v>2</v>
      </c>
      <c r="F22" s="1735" t="str">
        <f>IFERROR(VLOOKUP(A22,Solieu!G:M,2,0),"")</f>
        <v>nt</v>
      </c>
      <c r="G22" s="1735" t="str">
        <f>IFERROR(VLOOKUP(A22,Solieu!G:M,3,0),"")</f>
        <v>nt</v>
      </c>
      <c r="H22" s="1735"/>
      <c r="I22" s="1739"/>
      <c r="J22" s="1740"/>
      <c r="K22" s="1741"/>
      <c r="L22" s="1955"/>
      <c r="M22" s="1739"/>
      <c r="N22" s="1268" t="s">
        <v>4217</v>
      </c>
      <c r="O22" s="1482">
        <f t="shared" si="0"/>
        <v>1</v>
      </c>
      <c r="P22" s="1264"/>
      <c r="Q22" s="1438"/>
      <c r="R22" s="1483"/>
      <c r="S22" s="862"/>
      <c r="T22" s="862"/>
      <c r="U22" s="862"/>
      <c r="V22" s="862"/>
      <c r="W22" s="862"/>
      <c r="X22" s="862"/>
      <c r="Y22" s="862"/>
      <c r="Z22" s="862"/>
      <c r="AA22" s="862"/>
    </row>
    <row r="23" spans="1:27" s="863" customFormat="1" ht="35.1" customHeight="1">
      <c r="A23" s="2174" t="str">
        <f>VLOOKUP(ROW()-ROW($A$5),TongHopKL!A:B,2,0)</f>
        <v>B16300</v>
      </c>
      <c r="B23" s="1735">
        <f>SUM($O$6:O23)</f>
        <v>18</v>
      </c>
      <c r="C23" s="1736" t="str">
        <f>(VLOOKUP(A23,TongHopKL!B:F,5,0))</f>
        <v>Boulon 16x300+ 2 long đền vuông D18-50x50x3/Zn</v>
      </c>
      <c r="D23" s="1737" t="str">
        <f>IFERROR(VLOOKUP(A23,DG!A:D,4,0),0)</f>
        <v>bộ</v>
      </c>
      <c r="E23" s="1738">
        <f>SUMIF(TongHopKL!B:B,'NT-VT'!A23,TongHopKL!H:H)</f>
        <v>56</v>
      </c>
      <c r="F23" s="1735" t="str">
        <f>IFERROR(VLOOKUP(A23,Solieu!G:M,2,0),"")</f>
        <v>nt</v>
      </c>
      <c r="G23" s="1735" t="str">
        <f>IFERROR(VLOOKUP(A23,Solieu!G:M,3,0),"")</f>
        <v>nt</v>
      </c>
      <c r="H23" s="1735"/>
      <c r="I23" s="1739"/>
      <c r="J23" s="1740"/>
      <c r="K23" s="1741"/>
      <c r="L23" s="1955"/>
      <c r="M23" s="1739"/>
      <c r="N23" s="1268" t="s">
        <v>4217</v>
      </c>
      <c r="O23" s="1482">
        <f t="shared" si="0"/>
        <v>1</v>
      </c>
      <c r="P23" s="1264"/>
      <c r="Q23" s="1438"/>
      <c r="R23" s="1483"/>
      <c r="S23" s="862"/>
      <c r="T23" s="862"/>
      <c r="U23" s="862"/>
      <c r="V23" s="862"/>
      <c r="W23" s="862"/>
      <c r="X23" s="862"/>
      <c r="Y23" s="862"/>
      <c r="Z23" s="862"/>
      <c r="AA23" s="862"/>
    </row>
    <row r="24" spans="1:27" s="863" customFormat="1" ht="35.1" customHeight="1">
      <c r="A24" s="2174" t="str">
        <f>VLOOKUP(ROW()-ROW($A$5),TongHopKL!A:B,2,0)</f>
        <v>B16300v</v>
      </c>
      <c r="B24" s="1735">
        <f>SUM($O$6:O24)</f>
        <v>19</v>
      </c>
      <c r="C24" s="1736" t="str">
        <f>(VLOOKUP(A24,TongHopKL!B:F,5,0))</f>
        <v>Boulon 16x300VRS+ 4 long đền vuông D18-50x50x3/Zn</v>
      </c>
      <c r="D24" s="1737" t="str">
        <f>IFERROR(VLOOKUP(A24,DG!A:D,4,0),0)</f>
        <v>bộ</v>
      </c>
      <c r="E24" s="1738">
        <f>SUMIF(TongHopKL!B:B,'NT-VT'!A24,TongHopKL!H:H)</f>
        <v>19</v>
      </c>
      <c r="F24" s="1735" t="str">
        <f>IFERROR(VLOOKUP(A24,Solieu!G:M,2,0),"")</f>
        <v>nt</v>
      </c>
      <c r="G24" s="1735" t="str">
        <f>IFERROR(VLOOKUP(A24,Solieu!G:M,3,0),"")</f>
        <v>nt</v>
      </c>
      <c r="H24" s="1735"/>
      <c r="I24" s="1739"/>
      <c r="J24" s="1740"/>
      <c r="K24" s="1741"/>
      <c r="L24" s="1955"/>
      <c r="M24" s="1739"/>
      <c r="N24" s="1268" t="s">
        <v>4217</v>
      </c>
      <c r="O24" s="1482">
        <f t="shared" si="0"/>
        <v>1</v>
      </c>
      <c r="P24" s="1264"/>
      <c r="Q24" s="1438"/>
      <c r="R24" s="1483"/>
      <c r="S24" s="862"/>
      <c r="T24" s="862"/>
      <c r="U24" s="862"/>
      <c r="V24" s="862"/>
      <c r="W24" s="862"/>
      <c r="X24" s="862"/>
      <c r="Y24" s="862"/>
      <c r="Z24" s="862"/>
      <c r="AA24" s="862"/>
    </row>
    <row r="25" spans="1:27" s="863" customFormat="1" ht="35.1" customHeight="1">
      <c r="A25" s="2174" t="str">
        <f>VLOOKUP(ROW()-ROW($A$5),TongHopKL!A:B,2,0)</f>
        <v>B1635</v>
      </c>
      <c r="B25" s="1735">
        <f>SUM($O$6:O25)</f>
        <v>20</v>
      </c>
      <c r="C25" s="1736" t="str">
        <f>(VLOOKUP(A25,TongHopKL!B:F,5,0))</f>
        <v>Boulon 16x35+ 2 long đền vuông D18-50x50x3/Zn</v>
      </c>
      <c r="D25" s="1737" t="str">
        <f>IFERROR(VLOOKUP(A25,DG!A:D,4,0),0)</f>
        <v>bộ</v>
      </c>
      <c r="E25" s="1738">
        <f>SUMIF(TongHopKL!B:B,'NT-VT'!A25,TongHopKL!H:H)</f>
        <v>29</v>
      </c>
      <c r="F25" s="1735" t="str">
        <f>IFERROR(VLOOKUP(A25,Solieu!G:M,2,0),"")</f>
        <v>nt</v>
      </c>
      <c r="G25" s="1735" t="str">
        <f>IFERROR(VLOOKUP(A25,Solieu!G:M,3,0),"")</f>
        <v>nt</v>
      </c>
      <c r="H25" s="1735"/>
      <c r="I25" s="1739"/>
      <c r="J25" s="1740"/>
      <c r="K25" s="1741"/>
      <c r="L25" s="1955"/>
      <c r="M25" s="1739"/>
      <c r="N25" s="1268" t="s">
        <v>4217</v>
      </c>
      <c r="O25" s="1482">
        <f t="shared" si="0"/>
        <v>1</v>
      </c>
      <c r="P25" s="1264"/>
      <c r="Q25" s="1438"/>
      <c r="R25" s="1483"/>
      <c r="S25" s="862"/>
      <c r="T25" s="862"/>
      <c r="U25" s="862"/>
      <c r="V25" s="862"/>
      <c r="W25" s="862"/>
      <c r="X25" s="862"/>
      <c r="Y25" s="862"/>
      <c r="Z25" s="862"/>
      <c r="AA25" s="862"/>
    </row>
    <row r="26" spans="1:27" s="863" customFormat="1" ht="35.1" customHeight="1">
      <c r="A26" s="2174" t="str">
        <f>VLOOKUP(ROW()-ROW($A$5),TongHopKL!A:B,2,0)</f>
        <v>B16400</v>
      </c>
      <c r="B26" s="1735">
        <f>SUM($O$6:O26)</f>
        <v>21</v>
      </c>
      <c r="C26" s="1736" t="str">
        <f>(VLOOKUP(A26,TongHopKL!B:F,5,0))</f>
        <v>Boulon 16x400+ 2 long đền vuông D18-50x50x3/Zn</v>
      </c>
      <c r="D26" s="1737" t="str">
        <f>IFERROR(VLOOKUP(A26,DG!A:D,4,0),0)</f>
        <v>bộ</v>
      </c>
      <c r="E26" s="1738">
        <f>SUMIF(TongHopKL!B:B,'NT-VT'!A26,TongHopKL!H:H)</f>
        <v>3</v>
      </c>
      <c r="F26" s="1735" t="str">
        <f>IFERROR(VLOOKUP(A26,Solieu!G:M,2,0),"")</f>
        <v>nt</v>
      </c>
      <c r="G26" s="1735" t="str">
        <f>IFERROR(VLOOKUP(A26,Solieu!G:M,3,0),"")</f>
        <v>nt</v>
      </c>
      <c r="H26" s="1735"/>
      <c r="I26" s="1739"/>
      <c r="J26" s="1740" t="str">
        <f>IFERROR(VLOOKUP(A26,Solieu!G:M,4,0),"")</f>
        <v>nt</v>
      </c>
      <c r="K26" s="1741" t="str">
        <f>IFERROR(VLOOKUP(A26,Solieu!G:M,5,0),"")</f>
        <v>nt</v>
      </c>
      <c r="L26" s="1955">
        <f>IFERROR(VLOOKUP(A26,Solieu!G:M,6,0),"")</f>
        <v>0</v>
      </c>
      <c r="M26" s="1739">
        <f>IFERROR(VLOOKUP(A26,Solieu!G:M,7,0),"")</f>
        <v>0</v>
      </c>
      <c r="N26" s="1268" t="s">
        <v>4217</v>
      </c>
      <c r="O26" s="1482">
        <f t="shared" si="0"/>
        <v>1</v>
      </c>
      <c r="P26" s="1264"/>
      <c r="Q26" s="1438"/>
      <c r="R26" s="1483"/>
      <c r="S26" s="862"/>
      <c r="T26" s="862"/>
      <c r="U26" s="862"/>
      <c r="V26" s="862"/>
      <c r="W26" s="862"/>
      <c r="X26" s="862"/>
      <c r="Y26" s="862"/>
      <c r="Z26" s="862"/>
      <c r="AA26" s="862"/>
    </row>
    <row r="27" spans="1:27" s="863" customFormat="1" ht="35.1" customHeight="1">
      <c r="A27" s="2174" t="str">
        <f>VLOOKUP(ROW()-ROW($A$5),TongHopKL!A:B,2,0)</f>
        <v>B16450V</v>
      </c>
      <c r="B27" s="1735">
        <f>SUM($O$6:O27)</f>
        <v>22</v>
      </c>
      <c r="C27" s="1736" t="str">
        <f>(VLOOKUP(A27,TongHopKL!B:F,5,0))</f>
        <v>Boulon 16x450VRS+ 4 long đền vuông D18-50x50x3/Zn</v>
      </c>
      <c r="D27" s="1737" t="str">
        <f>IFERROR(VLOOKUP(A27,DG!A:D,4,0),0)</f>
        <v>bộ</v>
      </c>
      <c r="E27" s="1738">
        <f>SUMIF(TongHopKL!B:B,'NT-VT'!A27,TongHopKL!H:H)</f>
        <v>5</v>
      </c>
      <c r="F27" s="1735" t="str">
        <f>IFERROR(VLOOKUP(A27,Solieu!G:M,2,0),"")</f>
        <v>nt</v>
      </c>
      <c r="G27" s="1735" t="str">
        <f>IFERROR(VLOOKUP(A27,Solieu!G:M,3,0),"")</f>
        <v>nt</v>
      </c>
      <c r="H27" s="1735"/>
      <c r="I27" s="1739"/>
      <c r="J27" s="1740" t="str">
        <f>IFERROR(VLOOKUP(A27,Solieu!G:M,4,0),"")</f>
        <v>nt</v>
      </c>
      <c r="K27" s="1741" t="str">
        <f>IFERROR(VLOOKUP(A27,Solieu!G:M,5,0),"")</f>
        <v>nt</v>
      </c>
      <c r="L27" s="1955">
        <f>IFERROR(VLOOKUP(A27,Solieu!G:M,6,0),"")</f>
        <v>0</v>
      </c>
      <c r="M27" s="1739">
        <f>IFERROR(VLOOKUP(A27,Solieu!G:M,7,0),"")</f>
        <v>0</v>
      </c>
      <c r="N27" s="1268" t="s">
        <v>4217</v>
      </c>
      <c r="O27" s="1482">
        <f t="shared" si="0"/>
        <v>1</v>
      </c>
      <c r="P27" s="1264"/>
      <c r="Q27" s="1438"/>
      <c r="R27" s="1483"/>
      <c r="S27" s="862"/>
      <c r="T27" s="862"/>
      <c r="U27" s="862"/>
      <c r="V27" s="862"/>
      <c r="W27" s="862"/>
      <c r="X27" s="862"/>
      <c r="Y27" s="862"/>
      <c r="Z27" s="862"/>
      <c r="AA27" s="862"/>
    </row>
    <row r="28" spans="1:27" s="863" customFormat="1" ht="35.1" customHeight="1">
      <c r="A28" s="2174" t="str">
        <f>VLOOKUP(ROW()-ROW($A$5),TongHopKL!A:B,2,0)</f>
        <v>B1650</v>
      </c>
      <c r="B28" s="1735">
        <f>SUM($O$6:O28)</f>
        <v>23</v>
      </c>
      <c r="C28" s="1736" t="str">
        <f>(VLOOKUP(A28,TongHopKL!B:F,5,0))</f>
        <v>Boulon 16x50+ 2 long đền vuông D18-50x50x3/Zn</v>
      </c>
      <c r="D28" s="1737" t="str">
        <f>IFERROR(VLOOKUP(A28,DG!A:D,4,0),0)</f>
        <v>bộ</v>
      </c>
      <c r="E28" s="1738">
        <f>SUMIF(TongHopKL!B:B,'NT-VT'!A28,TongHopKL!H:H)</f>
        <v>22</v>
      </c>
      <c r="F28" s="1735" t="str">
        <f>IFERROR(VLOOKUP(A28,Solieu!G:M,2,0),"")</f>
        <v>nt</v>
      </c>
      <c r="G28" s="1735" t="str">
        <f>IFERROR(VLOOKUP(A28,Solieu!G:M,3,0),"")</f>
        <v>nt</v>
      </c>
      <c r="H28" s="1735"/>
      <c r="I28" s="1739"/>
      <c r="J28" s="1740" t="str">
        <f>IFERROR(VLOOKUP(A28,Solieu!G:M,4,0),"")</f>
        <v>nt</v>
      </c>
      <c r="K28" s="1741" t="str">
        <f>IFERROR(VLOOKUP(A28,Solieu!G:M,5,0),"")</f>
        <v>nt</v>
      </c>
      <c r="L28" s="1955">
        <f>IFERROR(VLOOKUP(A28,Solieu!G:M,6,0),"")</f>
        <v>0</v>
      </c>
      <c r="M28" s="1739">
        <f>IFERROR(VLOOKUP(A28,Solieu!G:M,7,0),"")</f>
        <v>0</v>
      </c>
      <c r="N28" s="1268" t="s">
        <v>4217</v>
      </c>
      <c r="O28" s="1482">
        <f t="shared" si="0"/>
        <v>1</v>
      </c>
      <c r="P28" s="1264"/>
      <c r="Q28" s="1438"/>
      <c r="R28" s="1483"/>
      <c r="S28" s="862"/>
      <c r="T28" s="862"/>
      <c r="U28" s="862"/>
      <c r="V28" s="862"/>
      <c r="W28" s="862"/>
      <c r="X28" s="862"/>
      <c r="Y28" s="862"/>
      <c r="Z28" s="862"/>
      <c r="AA28" s="862"/>
    </row>
    <row r="29" spans="1:27" s="863" customFormat="1" ht="35.1" customHeight="1">
      <c r="A29" s="2174" t="str">
        <f>VLOOKUP(ROW()-ROW($A$5),TongHopKL!A:B,2,0)</f>
        <v>B16500</v>
      </c>
      <c r="B29" s="1735">
        <f>SUM($O$6:O29)</f>
        <v>24</v>
      </c>
      <c r="C29" s="1736" t="str">
        <f>(VLOOKUP(A29,TongHopKL!B:F,5,0))</f>
        <v>Boulon 16x500+ 2 long đền vuông D18-50x50x3/Zn</v>
      </c>
      <c r="D29" s="1737" t="str">
        <f>IFERROR(VLOOKUP(A29,DG!A:D,4,0),0)</f>
        <v>bộ</v>
      </c>
      <c r="E29" s="1738">
        <f>SUMIF(TongHopKL!B:B,'NT-VT'!A29,TongHopKL!H:H)</f>
        <v>3</v>
      </c>
      <c r="F29" s="1735" t="str">
        <f>IFERROR(VLOOKUP(A29,Solieu!G:M,2,0),"")</f>
        <v>nt</v>
      </c>
      <c r="G29" s="1735" t="str">
        <f>IFERROR(VLOOKUP(A29,Solieu!G:M,3,0),"")</f>
        <v>nt</v>
      </c>
      <c r="H29" s="1735"/>
      <c r="I29" s="1739"/>
      <c r="J29" s="1740" t="str">
        <f>IFERROR(VLOOKUP(A29,Solieu!G:M,4,0),"")</f>
        <v>nt</v>
      </c>
      <c r="K29" s="1741" t="str">
        <f>IFERROR(VLOOKUP(A29,Solieu!G:M,5,0),"")</f>
        <v>nt</v>
      </c>
      <c r="L29" s="1955">
        <f>IFERROR(VLOOKUP(A29,Solieu!G:M,6,0),"")</f>
        <v>0</v>
      </c>
      <c r="M29" s="1739">
        <f>IFERROR(VLOOKUP(A29,Solieu!G:M,7,0),"")</f>
        <v>0</v>
      </c>
      <c r="N29" s="1268" t="s">
        <v>4217</v>
      </c>
      <c r="O29" s="1482">
        <f t="shared" si="0"/>
        <v>1</v>
      </c>
      <c r="P29" s="1264"/>
      <c r="Q29" s="1438"/>
      <c r="R29" s="1483"/>
      <c r="S29" s="862"/>
      <c r="T29" s="862"/>
      <c r="U29" s="862"/>
      <c r="V29" s="862"/>
      <c r="W29" s="862"/>
      <c r="X29" s="862"/>
      <c r="Y29" s="862"/>
      <c r="Z29" s="862"/>
      <c r="AA29" s="862"/>
    </row>
    <row r="30" spans="1:27" s="863" customFormat="1" ht="35.1" customHeight="1">
      <c r="A30" s="2174" t="str">
        <f>VLOOKUP(ROW()-ROW($A$5),TongHopKL!A:B,2,0)</f>
        <v>B16550v</v>
      </c>
      <c r="B30" s="1735">
        <f>SUM($O$6:O30)</f>
        <v>25</v>
      </c>
      <c r="C30" s="1736" t="str">
        <f>(VLOOKUP(A30,TongHopKL!B:F,5,0))</f>
        <v>Boulon 16x550VRS+ 4 long đền vuông D18-50x50x3/Zn</v>
      </c>
      <c r="D30" s="1737" t="str">
        <f>IFERROR(VLOOKUP(A30,DG!A:D,4,0),0)</f>
        <v>bộ</v>
      </c>
      <c r="E30" s="1738">
        <f>SUMIF(TongHopKL!B:B,'NT-VT'!A30,TongHopKL!H:H)</f>
        <v>11</v>
      </c>
      <c r="F30" s="1735" t="str">
        <f>IFERROR(VLOOKUP(A30,Solieu!G:M,2,0),"")</f>
        <v>nt</v>
      </c>
      <c r="G30" s="1735" t="str">
        <f>IFERROR(VLOOKUP(A30,Solieu!G:M,3,0),"")</f>
        <v>nt</v>
      </c>
      <c r="H30" s="1735"/>
      <c r="I30" s="1739"/>
      <c r="J30" s="1740" t="str">
        <f>IFERROR(VLOOKUP(A30,Solieu!G:M,4,0),"")</f>
        <v>nt</v>
      </c>
      <c r="K30" s="1741" t="str">
        <f>IFERROR(VLOOKUP(A30,Solieu!G:M,5,0),"")</f>
        <v>nt</v>
      </c>
      <c r="L30" s="1955">
        <f>IFERROR(VLOOKUP(A30,Solieu!G:M,6,0),"")</f>
        <v>0</v>
      </c>
      <c r="M30" s="1739">
        <f>IFERROR(VLOOKUP(A30,Solieu!G:M,7,0),"")</f>
        <v>0</v>
      </c>
      <c r="N30" s="1268" t="s">
        <v>4217</v>
      </c>
      <c r="O30" s="1482">
        <f t="shared" si="0"/>
        <v>1</v>
      </c>
      <c r="P30" s="1264"/>
      <c r="Q30" s="1438"/>
      <c r="R30" s="1483"/>
      <c r="S30" s="862"/>
      <c r="T30" s="862"/>
      <c r="U30" s="862"/>
      <c r="V30" s="862"/>
      <c r="W30" s="862"/>
      <c r="X30" s="862"/>
      <c r="Y30" s="862"/>
      <c r="Z30" s="862"/>
      <c r="AA30" s="862"/>
    </row>
    <row r="31" spans="1:27" s="863" customFormat="1" ht="35.1" customHeight="1">
      <c r="A31" s="2174" t="str">
        <f>VLOOKUP(ROW()-ROW($A$5),TongHopKL!A:B,2,0)</f>
        <v>B16600</v>
      </c>
      <c r="B31" s="1735">
        <f>SUM($O$6:O31)</f>
        <v>26</v>
      </c>
      <c r="C31" s="1736" t="str">
        <f>(VLOOKUP(A31,TongHopKL!B:F,5,0))</f>
        <v>Boulon 16x600+ 2 long đền vuông D18-50x50x3/Zn</v>
      </c>
      <c r="D31" s="1737" t="str">
        <f>IFERROR(VLOOKUP(A31,DG!A:D,4,0),0)</f>
        <v>bộ</v>
      </c>
      <c r="E31" s="1738">
        <f>SUMIF(TongHopKL!B:B,'NT-VT'!A31,TongHopKL!H:H)</f>
        <v>3</v>
      </c>
      <c r="F31" s="1735" t="str">
        <f>IFERROR(VLOOKUP(A31,Solieu!G:M,2,0),"")</f>
        <v>nt</v>
      </c>
      <c r="G31" s="1735" t="str">
        <f>IFERROR(VLOOKUP(A31,Solieu!G:M,3,0),"")</f>
        <v>nt</v>
      </c>
      <c r="H31" s="1735"/>
      <c r="I31" s="1739"/>
      <c r="J31" s="1740" t="str">
        <f>IFERROR(VLOOKUP(A31,Solieu!G:M,4,0),"")</f>
        <v>nt</v>
      </c>
      <c r="K31" s="1741" t="str">
        <f>IFERROR(VLOOKUP(A31,Solieu!G:M,5,0),"")</f>
        <v>nt</v>
      </c>
      <c r="L31" s="1955">
        <f>IFERROR(VLOOKUP(A31,Solieu!G:M,6,0),"")</f>
        <v>0</v>
      </c>
      <c r="M31" s="1739">
        <f>IFERROR(VLOOKUP(A31,Solieu!G:M,7,0),"")</f>
        <v>0</v>
      </c>
      <c r="N31" s="1268" t="s">
        <v>4217</v>
      </c>
      <c r="O31" s="1482">
        <f t="shared" si="0"/>
        <v>1</v>
      </c>
      <c r="P31" s="1264"/>
      <c r="Q31" s="1438"/>
      <c r="R31" s="1483"/>
      <c r="S31" s="862"/>
      <c r="T31" s="862"/>
      <c r="U31" s="862"/>
      <c r="V31" s="862"/>
      <c r="W31" s="862"/>
      <c r="X31" s="862"/>
      <c r="Y31" s="862"/>
      <c r="Z31" s="862"/>
      <c r="AA31" s="862"/>
    </row>
    <row r="32" spans="1:27" s="863" customFormat="1" ht="35.1" customHeight="1">
      <c r="A32" s="2174" t="str">
        <f>VLOOKUP(ROW()-ROW($A$5),TongHopKL!A:B,2,0)</f>
        <v>B16600v</v>
      </c>
      <c r="B32" s="1735">
        <f>SUM($O$6:O32)</f>
        <v>27</v>
      </c>
      <c r="C32" s="1736" t="str">
        <f>(VLOOKUP(A32,TongHopKL!B:F,5,0))</f>
        <v>Boulon 16x600VRS+ 4 long đền vuông D18-50x50x3/Zn</v>
      </c>
      <c r="D32" s="1737" t="str">
        <f>IFERROR(VLOOKUP(A32,DG!A:D,4,0),0)</f>
        <v>bộ</v>
      </c>
      <c r="E32" s="1738">
        <f>SUMIF(TongHopKL!B:B,'NT-VT'!A32,TongHopKL!H:H)</f>
        <v>5</v>
      </c>
      <c r="F32" s="1735" t="str">
        <f>IFERROR(VLOOKUP(A32,Solieu!G:M,2,0),"")</f>
        <v>nt</v>
      </c>
      <c r="G32" s="1735" t="str">
        <f>IFERROR(VLOOKUP(A32,Solieu!G:M,3,0),"")</f>
        <v>nt</v>
      </c>
      <c r="H32" s="1735"/>
      <c r="I32" s="1739"/>
      <c r="J32" s="1740" t="str">
        <f>IFERROR(VLOOKUP(A32,Solieu!G:M,4,0),"")</f>
        <v>nt</v>
      </c>
      <c r="K32" s="1741" t="str">
        <f>IFERROR(VLOOKUP(A32,Solieu!G:M,5,0),"")</f>
        <v>nt</v>
      </c>
      <c r="L32" s="1955">
        <f>IFERROR(VLOOKUP(A32,Solieu!G:M,6,0),"")</f>
        <v>0</v>
      </c>
      <c r="M32" s="1739">
        <f>IFERROR(VLOOKUP(A32,Solieu!G:M,7,0),"")</f>
        <v>0</v>
      </c>
      <c r="N32" s="1268" t="s">
        <v>4217</v>
      </c>
      <c r="O32" s="1482">
        <f t="shared" si="0"/>
        <v>1</v>
      </c>
      <c r="P32" s="1264"/>
      <c r="Q32" s="1438"/>
      <c r="R32" s="1483"/>
      <c r="S32" s="862"/>
      <c r="T32" s="862"/>
      <c r="U32" s="862"/>
      <c r="V32" s="862"/>
      <c r="W32" s="862"/>
      <c r="X32" s="862"/>
      <c r="Y32" s="862"/>
      <c r="Z32" s="862"/>
      <c r="AA32" s="862"/>
    </row>
    <row r="33" spans="1:27" s="863" customFormat="1" ht="35.1" customHeight="1">
      <c r="A33" s="2174" t="str">
        <f>VLOOKUP(ROW()-ROW($A$5),TongHopKL!A:B,2,0)</f>
        <v>BAKE</v>
      </c>
      <c r="B33" s="1735">
        <f>SUM($O$6:O33)</f>
        <v>28</v>
      </c>
      <c r="C33" s="1736" t="str">
        <f>(VLOOKUP(A33,TongHopKL!B:F,5,0))</f>
        <v xml:space="preserve">Bakelit 550x450 dầy 10mm </v>
      </c>
      <c r="D33" s="1737" t="str">
        <f>IFERROR(VLOOKUP(A33,DG!A:D,4,0),0)</f>
        <v>cái</v>
      </c>
      <c r="E33" s="1738">
        <f>SUMIF(TongHopKL!B:B,'NT-VT'!A33,TongHopKL!H:H)</f>
        <v>1</v>
      </c>
      <c r="F33" s="1735" t="str">
        <f>IFERROR(VLOOKUP(A33,Solieu!G:M,2,0),"")</f>
        <v>nt</v>
      </c>
      <c r="G33" s="1735" t="str">
        <f>IFERROR(VLOOKUP(A33,Solieu!G:M,3,0),"")</f>
        <v>nt</v>
      </c>
      <c r="H33" s="1735"/>
      <c r="I33" s="1739"/>
      <c r="J33" s="1740" t="str">
        <f>IFERROR(VLOOKUP(A33,Solieu!G:M,4,0),"")</f>
        <v>nt</v>
      </c>
      <c r="K33" s="1741" t="str">
        <f>IFERROR(VLOOKUP(A33,Solieu!G:M,5,0),"")</f>
        <v>nt</v>
      </c>
      <c r="L33" s="1955">
        <f>IFERROR(VLOOKUP(A33,Solieu!G:M,6,0),"")</f>
        <v>0</v>
      </c>
      <c r="M33" s="1739">
        <f>IFERROR(VLOOKUP(A33,Solieu!G:M,7,0),"")</f>
        <v>0</v>
      </c>
      <c r="N33" s="1268" t="s">
        <v>4217</v>
      </c>
      <c r="O33" s="1482">
        <f t="shared" si="0"/>
        <v>1</v>
      </c>
      <c r="P33" s="1264"/>
      <c r="Q33" s="1438"/>
      <c r="R33" s="1483"/>
      <c r="S33" s="862"/>
      <c r="T33" s="862"/>
      <c r="U33" s="862"/>
      <c r="V33" s="862"/>
      <c r="W33" s="862"/>
      <c r="X33" s="862"/>
      <c r="Y33" s="862"/>
      <c r="Z33" s="862"/>
      <c r="AA33" s="862"/>
    </row>
    <row r="34" spans="1:27" s="863" customFormat="1" ht="35.1" customHeight="1">
      <c r="A34" s="2174" t="str">
        <f>VLOOKUP(ROW()-ROW($A$5),TongHopKL!A:B,2,0)</f>
        <v>BANG</v>
      </c>
      <c r="B34" s="1735">
        <f>SUM($O$6:O34)</f>
        <v>29</v>
      </c>
      <c r="C34" s="1736" t="str">
        <f>(VLOOKUP(A34,TongHopKL!B:F,5,0))</f>
        <v>Bảng tên trạm, bảng báo nguy hiểm + đinh vít</v>
      </c>
      <c r="D34" s="1737" t="str">
        <f>IFERROR(VLOOKUP(A34,DG!A:D,4,0),0)</f>
        <v>bộ</v>
      </c>
      <c r="E34" s="1738">
        <f>SUMIF(TongHopKL!B:B,'NT-VT'!A34,TongHopKL!H:H)</f>
        <v>1</v>
      </c>
      <c r="F34" s="1735" t="str">
        <f>IFERROR(VLOOKUP(A34,Solieu!G:M,2,0),"")</f>
        <v>nt</v>
      </c>
      <c r="G34" s="1735" t="str">
        <f>IFERROR(VLOOKUP(A34,Solieu!G:M,3,0),"")</f>
        <v>nt</v>
      </c>
      <c r="H34" s="1735"/>
      <c r="I34" s="1739"/>
      <c r="J34" s="1740" t="str">
        <f>IFERROR(VLOOKUP(A34,Solieu!G:M,4,0),"")</f>
        <v>nt</v>
      </c>
      <c r="K34" s="1741" t="str">
        <f>IFERROR(VLOOKUP(A34,Solieu!G:M,5,0),"")</f>
        <v>nt</v>
      </c>
      <c r="L34" s="1955">
        <f>IFERROR(VLOOKUP(A34,Solieu!G:M,6,0),"")</f>
        <v>0</v>
      </c>
      <c r="M34" s="1739">
        <f>IFERROR(VLOOKUP(A34,Solieu!G:M,7,0),"")</f>
        <v>0</v>
      </c>
      <c r="N34" s="1268" t="s">
        <v>4217</v>
      </c>
      <c r="O34" s="1482">
        <f t="shared" si="0"/>
        <v>1</v>
      </c>
      <c r="P34" s="1264"/>
      <c r="Q34" s="1438"/>
      <c r="R34" s="1483"/>
      <c r="S34" s="862"/>
      <c r="T34" s="862"/>
      <c r="U34" s="862"/>
      <c r="V34" s="862"/>
      <c r="W34" s="862"/>
      <c r="X34" s="862"/>
      <c r="Y34" s="862"/>
      <c r="Z34" s="862"/>
      <c r="AA34" s="862"/>
    </row>
    <row r="35" spans="1:27" s="863" customFormat="1" ht="35.1" customHeight="1">
      <c r="A35" s="2174" t="str">
        <f>VLOOKUP(ROW()-ROW($A$5),TongHopKL!A:B,2,0)</f>
        <v>BANGKEO</v>
      </c>
      <c r="B35" s="1735">
        <f>SUM($O$6:O35)</f>
        <v>30</v>
      </c>
      <c r="C35" s="1736" t="str">
        <f>(VLOOKUP(A35,TongHopKL!B:F,5,0))</f>
        <v>Băng keo cách điện</v>
      </c>
      <c r="D35" s="1737" t="str">
        <f>IFERROR(VLOOKUP(A35,DG!A:D,4,0),0)</f>
        <v>cuộn</v>
      </c>
      <c r="E35" s="1738">
        <f>SUMIF(TongHopKL!B:B,'NT-VT'!A35,TongHopKL!H:H)</f>
        <v>3</v>
      </c>
      <c r="F35" s="1735" t="str">
        <f>IFERROR(VLOOKUP(A35,Solieu!G:M,2,0),"")</f>
        <v>nt</v>
      </c>
      <c r="G35" s="1735" t="str">
        <f>IFERROR(VLOOKUP(A35,Solieu!G:M,3,0),"")</f>
        <v>nt</v>
      </c>
      <c r="H35" s="1735"/>
      <c r="I35" s="1739"/>
      <c r="J35" s="1740" t="str">
        <f>IFERROR(VLOOKUP(A35,Solieu!G:M,4,0),"")</f>
        <v>nt</v>
      </c>
      <c r="K35" s="1741" t="str">
        <f>IFERROR(VLOOKUP(A35,Solieu!G:M,5,0),"")</f>
        <v>nt</v>
      </c>
      <c r="L35" s="1955">
        <f>IFERROR(VLOOKUP(A35,Solieu!G:M,6,0),"")</f>
        <v>0</v>
      </c>
      <c r="M35" s="1739">
        <f>IFERROR(VLOOKUP(A35,Solieu!G:M,7,0),"")</f>
        <v>0</v>
      </c>
      <c r="N35" s="1268" t="s">
        <v>4217</v>
      </c>
      <c r="O35" s="1482">
        <f t="shared" si="0"/>
        <v>1</v>
      </c>
      <c r="P35" s="1264"/>
      <c r="Q35" s="1438"/>
      <c r="R35" s="1483"/>
      <c r="S35" s="862"/>
      <c r="T35" s="862"/>
      <c r="U35" s="862"/>
      <c r="V35" s="862"/>
      <c r="W35" s="862"/>
      <c r="X35" s="862"/>
      <c r="Y35" s="862"/>
      <c r="Z35" s="862"/>
      <c r="AA35" s="862"/>
    </row>
    <row r="36" spans="1:27" s="863" customFormat="1" ht="35.1" customHeight="1">
      <c r="A36" s="2174" t="str">
        <f>VLOOKUP(ROW()-ROW($A$5),TongHopKL!A:B,2,0)</f>
        <v>batLL</v>
      </c>
      <c r="B36" s="1735">
        <f>SUM($O$6:O36)</f>
        <v>31</v>
      </c>
      <c r="C36" s="1736" t="str">
        <f>(VLOOKUP(A36,TongHopKL!B:F,5,0))</f>
        <v>Bass LL bắt FCO, LA</v>
      </c>
      <c r="D36" s="1737" t="str">
        <f>IFERROR(VLOOKUP(A36,DG!A:D,4,0),0)</f>
        <v>bộ</v>
      </c>
      <c r="E36" s="1738">
        <f>SUMIF(TongHopKL!B:B,'NT-VT'!A36,TongHopKL!H:H)</f>
        <v>6</v>
      </c>
      <c r="F36" s="1735" t="str">
        <f>IFERROR(VLOOKUP(A36,Solieu!G:M,2,0),"")</f>
        <v>nt</v>
      </c>
      <c r="G36" s="1735" t="str">
        <f>IFERROR(VLOOKUP(A36,Solieu!G:M,3,0),"")</f>
        <v>nt</v>
      </c>
      <c r="H36" s="1735"/>
      <c r="I36" s="1739"/>
      <c r="J36" s="1740" t="str">
        <f>IFERROR(VLOOKUP(A36,Solieu!G:M,4,0),"")</f>
        <v>nt</v>
      </c>
      <c r="K36" s="1741" t="str">
        <f>IFERROR(VLOOKUP(A36,Solieu!G:M,5,0),"")</f>
        <v>nt</v>
      </c>
      <c r="L36" s="1955">
        <f>IFERROR(VLOOKUP(A36,Solieu!G:M,6,0),"")</f>
        <v>0</v>
      </c>
      <c r="M36" s="1739">
        <f>IFERROR(VLOOKUP(A36,Solieu!G:M,7,0),"")</f>
        <v>0</v>
      </c>
      <c r="N36" s="1268" t="s">
        <v>4217</v>
      </c>
      <c r="O36" s="1482">
        <f t="shared" si="0"/>
        <v>1</v>
      </c>
      <c r="P36" s="1264"/>
      <c r="Q36" s="1438"/>
      <c r="R36" s="1483"/>
      <c r="S36" s="862"/>
      <c r="T36" s="862"/>
      <c r="U36" s="862"/>
      <c r="V36" s="862"/>
      <c r="W36" s="862"/>
      <c r="X36" s="862"/>
      <c r="Y36" s="862"/>
      <c r="Z36" s="862"/>
      <c r="AA36" s="862"/>
    </row>
    <row r="37" spans="1:27" s="863" customFormat="1" ht="35.1" customHeight="1">
      <c r="A37" s="2174" t="str">
        <f>VLOOKUP(ROW()-ROW($A$5),TongHopKL!A:B,2,0)</f>
        <v>BM16300</v>
      </c>
      <c r="B37" s="1735">
        <f>SUM($O$6:O37)</f>
        <v>32</v>
      </c>
      <c r="C37" s="1736" t="str">
        <f>(VLOOKUP(A37,TongHopKL!B:F,5,0))</f>
        <v>Boulon mắt 16x300+ 2 long đền vuông D18-50x50x3/Zn</v>
      </c>
      <c r="D37" s="1737" t="str">
        <f>IFERROR(VLOOKUP(A37,DG!A:D,4,0),0)</f>
        <v>bộ</v>
      </c>
      <c r="E37" s="1738">
        <f>SUMIF(TongHopKL!B:B,'NT-VT'!A37,TongHopKL!H:H)</f>
        <v>9</v>
      </c>
      <c r="F37" s="1735" t="str">
        <f>IFERROR(VLOOKUP(A37,Solieu!G:M,2,0),"")</f>
        <v>nt</v>
      </c>
      <c r="G37" s="1735" t="str">
        <f>IFERROR(VLOOKUP(A37,Solieu!G:M,3,0),"")</f>
        <v>nt</v>
      </c>
      <c r="H37" s="1735"/>
      <c r="I37" s="1739"/>
      <c r="J37" s="1740" t="str">
        <f>IFERROR(VLOOKUP(A37,Solieu!G:M,4,0),"")</f>
        <v>nt</v>
      </c>
      <c r="K37" s="1741" t="str">
        <f>IFERROR(VLOOKUP(A37,Solieu!G:M,5,0),"")</f>
        <v>nt</v>
      </c>
      <c r="L37" s="1955">
        <f>IFERROR(VLOOKUP(A37,Solieu!G:M,6,0),"")</f>
        <v>0</v>
      </c>
      <c r="M37" s="1739">
        <f>IFERROR(VLOOKUP(A37,Solieu!G:M,7,0),"")</f>
        <v>0</v>
      </c>
      <c r="N37" s="1268" t="s">
        <v>4217</v>
      </c>
      <c r="O37" s="1482">
        <f t="shared" si="0"/>
        <v>1</v>
      </c>
      <c r="P37" s="1264"/>
      <c r="Q37" s="1438"/>
      <c r="R37" s="1483"/>
      <c r="S37" s="862"/>
      <c r="T37" s="862"/>
      <c r="U37" s="862"/>
      <c r="V37" s="862"/>
      <c r="W37" s="862"/>
      <c r="X37" s="862"/>
      <c r="Y37" s="862"/>
      <c r="Z37" s="862"/>
      <c r="AA37" s="862"/>
    </row>
    <row r="38" spans="1:27" s="863" customFormat="1" ht="35.1" customHeight="1">
      <c r="A38" s="2174" t="str">
        <f>VLOOKUP(ROW()-ROW($A$5),TongHopKL!A:B,2,0)</f>
        <v>bnh</v>
      </c>
      <c r="B38" s="1735">
        <f>SUM($O$6:O38)</f>
        <v>33</v>
      </c>
      <c r="C38" s="1736" t="str">
        <f>(VLOOKUP(A38,TongHopKL!B:F,5,0))</f>
        <v>Biển số - Bảng nguy hiểm</v>
      </c>
      <c r="D38" s="1737" t="str">
        <f>IFERROR(VLOOKUP(A38,DG!A:D,4,0),0)</f>
        <v>cái</v>
      </c>
      <c r="E38" s="1738">
        <f>SUMIF(TongHopKL!B:B,'NT-VT'!A38,TongHopKL!H:H)</f>
        <v>0</v>
      </c>
      <c r="F38" s="1735" t="str">
        <f>IFERROR(VLOOKUP(A38,Solieu!G:M,2,0),"")</f>
        <v>nt</v>
      </c>
      <c r="G38" s="1735" t="str">
        <f>IFERROR(VLOOKUP(A38,Solieu!G:M,3,0),"")</f>
        <v>nt</v>
      </c>
      <c r="H38" s="1735"/>
      <c r="I38" s="1739"/>
      <c r="J38" s="1740" t="str">
        <f>IFERROR(VLOOKUP(A38,Solieu!G:M,4,0),"")</f>
        <v>nt</v>
      </c>
      <c r="K38" s="1741" t="str">
        <f>IFERROR(VLOOKUP(A38,Solieu!G:M,5,0),"")</f>
        <v>nt</v>
      </c>
      <c r="L38" s="1955">
        <f>IFERROR(VLOOKUP(A38,Solieu!G:M,6,0),"")</f>
        <v>0</v>
      </c>
      <c r="M38" s="1739">
        <f>IFERROR(VLOOKUP(A38,Solieu!G:M,7,0),"")</f>
        <v>0</v>
      </c>
      <c r="N38" s="1268" t="s">
        <v>4217</v>
      </c>
      <c r="O38" s="1482">
        <f t="shared" si="0"/>
        <v>1</v>
      </c>
      <c r="P38" s="1264"/>
      <c r="Q38" s="1438"/>
      <c r="R38" s="1483"/>
      <c r="S38" s="862"/>
      <c r="T38" s="862"/>
      <c r="U38" s="862"/>
      <c r="V38" s="862"/>
      <c r="W38" s="862"/>
      <c r="X38" s="862"/>
      <c r="Y38" s="862"/>
      <c r="Z38" s="862"/>
      <c r="AA38" s="862"/>
    </row>
    <row r="39" spans="1:27" s="863" customFormat="1" ht="56.25" customHeight="1">
      <c r="A39" s="2174" t="str">
        <f>VLOOKUP(ROW()-ROW($A$5),TongHopKL!A:B,2,0)</f>
        <v>cd114</v>
      </c>
      <c r="B39" s="1735">
        <f>SUM($O$6:O39)</f>
        <v>34</v>
      </c>
      <c r="C39" s="1736" t="str">
        <f>(VLOOKUP(A39,TongHopKL!B:F,5,0))</f>
        <v>Cổ dê kẹp ống PVC Ø 114 trụ đôi D280</v>
      </c>
      <c r="D39" s="1737" t="str">
        <f>IFERROR(VLOOKUP(A39,DG!A:D,4,0),0)</f>
        <v>bộ</v>
      </c>
      <c r="E39" s="1738">
        <f>SUMIF(TongHopKL!B:B,'NT-VT'!A39,TongHopKL!H:H)</f>
        <v>6</v>
      </c>
      <c r="F39" s="1735" t="str">
        <f>IFERROR(VLOOKUP(A39,Solieu!G:M,2,0),"")</f>
        <v>nt</v>
      </c>
      <c r="G39" s="1735" t="str">
        <f>IFERROR(VLOOKUP(A39,Solieu!G:M,3,0),"")</f>
        <v>nt</v>
      </c>
      <c r="H39" s="1735"/>
      <c r="I39" s="1739"/>
      <c r="J39" s="1740" t="str">
        <f>IFERROR(VLOOKUP(A39,Solieu!G:M,4,0),"")</f>
        <v>nt</v>
      </c>
      <c r="K39" s="1741" t="str">
        <f>IFERROR(VLOOKUP(A39,Solieu!G:M,5,0),"")</f>
        <v>nt</v>
      </c>
      <c r="L39" s="1955">
        <f>IFERROR(VLOOKUP(A39,Solieu!G:M,6,0),"")</f>
        <v>0</v>
      </c>
      <c r="M39" s="1739">
        <f>IFERROR(VLOOKUP(A39,Solieu!G:M,7,0),"")</f>
        <v>0</v>
      </c>
      <c r="N39" s="1268" t="s">
        <v>4217</v>
      </c>
      <c r="O39" s="1482">
        <f t="shared" si="0"/>
        <v>1</v>
      </c>
      <c r="P39" s="1264"/>
      <c r="Q39" s="1438"/>
      <c r="R39" s="1483"/>
      <c r="S39" s="862"/>
      <c r="T39" s="862"/>
      <c r="U39" s="862"/>
      <c r="V39" s="862"/>
      <c r="W39" s="862"/>
      <c r="X39" s="862"/>
      <c r="Y39" s="862"/>
      <c r="Z39" s="862"/>
      <c r="AA39" s="862"/>
    </row>
    <row r="40" spans="1:27" s="863" customFormat="1" ht="56.25" customHeight="1">
      <c r="A40" s="2174" t="str">
        <f>VLOOKUP(ROW()-ROW($A$5),TongHopKL!A:B,2,0)</f>
        <v>CD320</v>
      </c>
      <c r="B40" s="1735">
        <f>SUM($O$6:O40)</f>
        <v>35</v>
      </c>
      <c r="C40" s="1736" t="str">
        <f>(VLOOKUP(A40,TongHopKL!B:F,5,0))</f>
        <v>Cổ dê CDĐKĐT( bắt thùng điện kế)</v>
      </c>
      <c r="D40" s="1737" t="str">
        <f>IFERROR(VLOOKUP(A40,DG!A:D,4,0),0)</f>
        <v>bộ</v>
      </c>
      <c r="E40" s="1738">
        <f>SUMIF(TongHopKL!B:B,'NT-VT'!A40,TongHopKL!H:H)</f>
        <v>2</v>
      </c>
      <c r="F40" s="1735" t="str">
        <f>IFERROR(VLOOKUP(A40,Solieu!G:M,2,0),"")</f>
        <v>nt</v>
      </c>
      <c r="G40" s="1735" t="str">
        <f>IFERROR(VLOOKUP(A40,Solieu!G:M,3,0),"")</f>
        <v>nt</v>
      </c>
      <c r="H40" s="1735"/>
      <c r="I40" s="1739"/>
      <c r="J40" s="1740" t="str">
        <f>IFERROR(VLOOKUP(A40,Solieu!G:M,4,0),"")</f>
        <v>nt</v>
      </c>
      <c r="K40" s="1741" t="str">
        <f>IFERROR(VLOOKUP(A40,Solieu!G:M,5,0),"")</f>
        <v>nt</v>
      </c>
      <c r="L40" s="1955">
        <f>IFERROR(VLOOKUP(A40,Solieu!G:M,6,0),"")</f>
        <v>0</v>
      </c>
      <c r="M40" s="1739">
        <f>IFERROR(VLOOKUP(A40,Solieu!G:M,7,0),"")</f>
        <v>0</v>
      </c>
      <c r="N40" s="1268" t="s">
        <v>4217</v>
      </c>
      <c r="O40" s="1482">
        <f t="shared" si="0"/>
        <v>1</v>
      </c>
      <c r="P40" s="1264"/>
      <c r="Q40" s="1438"/>
      <c r="R40" s="1483"/>
      <c r="S40" s="862"/>
      <c r="T40" s="862"/>
      <c r="U40" s="862"/>
      <c r="V40" s="862"/>
      <c r="W40" s="862"/>
      <c r="X40" s="862"/>
      <c r="Y40" s="862"/>
      <c r="Z40" s="862"/>
      <c r="AA40" s="862"/>
    </row>
    <row r="41" spans="1:27" s="863" customFormat="1" ht="35.1" customHeight="1">
      <c r="A41" s="2174" t="str">
        <f>VLOOKUP(ROW()-ROW($A$5),TongHopKL!A:B,2,0)</f>
        <v>chcos150</v>
      </c>
      <c r="B41" s="1735">
        <f>SUM($O$6:O41)</f>
        <v>36</v>
      </c>
      <c r="C41" s="1736" t="str">
        <f>(VLOOKUP(A41,TongHopKL!B:F,5,0))</f>
        <v>Chụp đầu cosse  150mm2</v>
      </c>
      <c r="D41" s="1737" t="str">
        <f>IFERROR(VLOOKUP(A41,DG!A:D,4,0),0)</f>
        <v>cái</v>
      </c>
      <c r="E41" s="1738">
        <f>SUMIF(TongHopKL!B:B,'NT-VT'!A41,TongHopKL!H:H)</f>
        <v>0</v>
      </c>
      <c r="F41" s="1735" t="str">
        <f>IFERROR(VLOOKUP(A41,Solieu!G:M,2,0),"")</f>
        <v>nt</v>
      </c>
      <c r="G41" s="1735" t="str">
        <f>IFERROR(VLOOKUP(A41,Solieu!G:M,3,0),"")</f>
        <v>nt</v>
      </c>
      <c r="H41" s="1735"/>
      <c r="I41" s="1739"/>
      <c r="J41" s="1740" t="str">
        <f>IFERROR(VLOOKUP(A41,Solieu!G:M,4,0),"")</f>
        <v>nt</v>
      </c>
      <c r="K41" s="1741" t="str">
        <f>IFERROR(VLOOKUP(A41,Solieu!G:M,5,0),"")</f>
        <v>nt</v>
      </c>
      <c r="L41" s="1955">
        <f>IFERROR(VLOOKUP(A41,Solieu!G:M,6,0),"")</f>
        <v>0</v>
      </c>
      <c r="M41" s="1739">
        <f>IFERROR(VLOOKUP(A41,Solieu!G:M,7,0),"")</f>
        <v>0</v>
      </c>
      <c r="N41" s="1268" t="s">
        <v>4217</v>
      </c>
      <c r="O41" s="1482">
        <f t="shared" si="0"/>
        <v>1</v>
      </c>
      <c r="P41" s="1264"/>
      <c r="Q41" s="1438"/>
      <c r="R41" s="1483"/>
      <c r="S41" s="862"/>
      <c r="T41" s="862"/>
      <c r="U41" s="862"/>
      <c r="V41" s="862"/>
      <c r="W41" s="862"/>
      <c r="X41" s="862"/>
      <c r="Y41" s="862"/>
      <c r="Z41" s="862"/>
      <c r="AA41" s="862"/>
    </row>
    <row r="42" spans="1:27" s="863" customFormat="1" ht="35.1" customHeight="1">
      <c r="A42" s="2174" t="str">
        <f>VLOOKUP(ROW()-ROW($A$5),TongHopKL!A:B,2,0)</f>
        <v>chcos95</v>
      </c>
      <c r="B42" s="1735">
        <f>SUM($O$6:O42)</f>
        <v>37</v>
      </c>
      <c r="C42" s="1736" t="str">
        <f>(VLOOKUP(A42,TongHopKL!B:F,5,0))</f>
        <v>Chụp đầu cosse  95mm2</v>
      </c>
      <c r="D42" s="1737" t="str">
        <f>IFERROR(VLOOKUP(A42,DG!A:D,4,0),0)</f>
        <v>cái</v>
      </c>
      <c r="E42" s="1738">
        <f>SUMIF(TongHopKL!B:B,'NT-VT'!A42,TongHopKL!H:H)</f>
        <v>1</v>
      </c>
      <c r="F42" s="1735" t="str">
        <f>IFERROR(VLOOKUP(A42,Solieu!G:M,2,0),"")</f>
        <v>nt</v>
      </c>
      <c r="G42" s="1735" t="str">
        <f>IFERROR(VLOOKUP(A42,Solieu!G:M,3,0),"")</f>
        <v>nt</v>
      </c>
      <c r="H42" s="1735"/>
      <c r="I42" s="1739"/>
      <c r="J42" s="1740" t="str">
        <f>IFERROR(VLOOKUP(A42,Solieu!G:M,4,0),"")</f>
        <v>nt</v>
      </c>
      <c r="K42" s="1741" t="str">
        <f>IFERROR(VLOOKUP(A42,Solieu!G:M,5,0),"")</f>
        <v>nt</v>
      </c>
      <c r="L42" s="1955">
        <f>IFERROR(VLOOKUP(A42,Solieu!G:M,6,0),"")</f>
        <v>0</v>
      </c>
      <c r="M42" s="1739">
        <f>IFERROR(VLOOKUP(A42,Solieu!G:M,7,0),"")</f>
        <v>0</v>
      </c>
      <c r="N42" s="1268" t="s">
        <v>4217</v>
      </c>
      <c r="O42" s="1482">
        <f t="shared" si="0"/>
        <v>1</v>
      </c>
      <c r="P42" s="1264"/>
      <c r="Q42" s="1438"/>
      <c r="R42" s="1483"/>
      <c r="S42" s="862"/>
      <c r="T42" s="862"/>
      <c r="U42" s="862"/>
      <c r="V42" s="862"/>
      <c r="W42" s="862"/>
      <c r="X42" s="862"/>
      <c r="Y42" s="862"/>
      <c r="Z42" s="862"/>
      <c r="AA42" s="862"/>
    </row>
    <row r="43" spans="1:27" s="863" customFormat="1" ht="35.1" customHeight="1">
      <c r="A43" s="2174" t="str">
        <f>VLOOKUP(ROW()-ROW($A$5),TongHopKL!A:B,2,0)</f>
        <v>CHFCO</v>
      </c>
      <c r="B43" s="1735">
        <f>SUM($O$6:O43)</f>
        <v>38</v>
      </c>
      <c r="C43" s="1736" t="str">
        <f>(VLOOKUP(A43,TongHopKL!B:F,5,0))</f>
        <v>Chụp đầu cực FCO (bộ 2 cái)</v>
      </c>
      <c r="D43" s="1737" t="str">
        <f>IFERROR(VLOOKUP(A43,DG!A:D,4,0),0)</f>
        <v>bộ</v>
      </c>
      <c r="E43" s="1738">
        <f>SUMIF(TongHopKL!B:B,'NT-VT'!A43,TongHopKL!H:H)</f>
        <v>6</v>
      </c>
      <c r="F43" s="1735" t="str">
        <f>IFERROR(VLOOKUP(A43,Solieu!G:M,2,0),"")</f>
        <v>nt</v>
      </c>
      <c r="G43" s="1735" t="str">
        <f>IFERROR(VLOOKUP(A43,Solieu!G:M,3,0),"")</f>
        <v>nt</v>
      </c>
      <c r="H43" s="1735"/>
      <c r="I43" s="1739"/>
      <c r="J43" s="1740" t="str">
        <f>IFERROR(VLOOKUP(A43,Solieu!G:M,4,0),"")</f>
        <v>nt</v>
      </c>
      <c r="K43" s="1741" t="str">
        <f>IFERROR(VLOOKUP(A43,Solieu!G:M,5,0),"")</f>
        <v>nt</v>
      </c>
      <c r="L43" s="1955">
        <f>IFERROR(VLOOKUP(A43,Solieu!G:M,6,0),"")</f>
        <v>0</v>
      </c>
      <c r="M43" s="1739">
        <f>IFERROR(VLOOKUP(A43,Solieu!G:M,7,0),"")</f>
        <v>0</v>
      </c>
      <c r="N43" s="1268" t="s">
        <v>4217</v>
      </c>
      <c r="O43" s="1482">
        <f t="shared" si="0"/>
        <v>1</v>
      </c>
      <c r="P43" s="1264"/>
      <c r="Q43" s="1438"/>
      <c r="R43" s="1483"/>
      <c r="S43" s="862"/>
      <c r="T43" s="862"/>
      <c r="U43" s="862"/>
      <c r="V43" s="862"/>
      <c r="W43" s="862"/>
      <c r="X43" s="862"/>
      <c r="Y43" s="862"/>
      <c r="Z43" s="862"/>
      <c r="AA43" s="862"/>
    </row>
    <row r="44" spans="1:27" s="863" customFormat="1" ht="35.1" customHeight="1">
      <c r="A44" s="2174" t="str">
        <f>VLOOKUP(ROW()-ROW($A$5),TongHopKL!A:B,2,0)</f>
        <v>chi6k</v>
      </c>
      <c r="B44" s="1735">
        <f>SUM($O$6:O44)</f>
        <v>39</v>
      </c>
      <c r="C44" s="1736" t="str">
        <f>(VLOOKUP(A44,TongHopKL!B:F,5,0))</f>
        <v>Dây chảy 6K</v>
      </c>
      <c r="D44" s="1737" t="str">
        <f>IFERROR(VLOOKUP(A44,DG!A:D,4,0),0)</f>
        <v>Sợi</v>
      </c>
      <c r="E44" s="1738">
        <f>SUMIF(TongHopKL!B:B,'NT-VT'!A44,TongHopKL!H:H)</f>
        <v>3</v>
      </c>
      <c r="F44" s="1735" t="str">
        <f>IFERROR(VLOOKUP(A44,Solieu!G:M,2,0),"")</f>
        <v>nt</v>
      </c>
      <c r="G44" s="1735" t="str">
        <f>IFERROR(VLOOKUP(A44,Solieu!G:M,3,0),"")</f>
        <v>nt</v>
      </c>
      <c r="H44" s="1735"/>
      <c r="I44" s="1739"/>
      <c r="J44" s="1740" t="str">
        <f>IFERROR(VLOOKUP(A44,Solieu!G:M,4,0),"")</f>
        <v>nt</v>
      </c>
      <c r="K44" s="1741" t="str">
        <f>IFERROR(VLOOKUP(A44,Solieu!G:M,5,0),"")</f>
        <v>nt</v>
      </c>
      <c r="L44" s="1955">
        <f>IFERROR(VLOOKUP(A44,Solieu!G:M,6,0),"")</f>
        <v>0</v>
      </c>
      <c r="M44" s="1739">
        <f>IFERROR(VLOOKUP(A44,Solieu!G:M,7,0),"")</f>
        <v>0</v>
      </c>
      <c r="N44" s="1268" t="s">
        <v>4217</v>
      </c>
      <c r="O44" s="1482">
        <f t="shared" si="0"/>
        <v>1</v>
      </c>
      <c r="P44" s="1264"/>
      <c r="Q44" s="1438"/>
      <c r="R44" s="1483"/>
      <c r="S44" s="862"/>
      <c r="T44" s="862"/>
      <c r="U44" s="862"/>
      <c r="V44" s="862"/>
      <c r="W44" s="862"/>
      <c r="X44" s="862"/>
      <c r="Y44" s="862"/>
      <c r="Z44" s="862"/>
      <c r="AA44" s="862"/>
    </row>
    <row r="45" spans="1:27" s="863" customFormat="1" ht="35.1" customHeight="1">
      <c r="A45" s="2174" t="str">
        <f>VLOOKUP(ROW()-ROW($A$5),TongHopKL!A:B,2,0)</f>
        <v>chi8k</v>
      </c>
      <c r="B45" s="1735">
        <f>SUM($O$6:O45)</f>
        <v>40</v>
      </c>
      <c r="C45" s="1736" t="str">
        <f>(VLOOKUP(A45,TongHopKL!B:F,5,0))</f>
        <v>Dây chảy 8K</v>
      </c>
      <c r="D45" s="1737" t="str">
        <f>IFERROR(VLOOKUP(A45,DG!A:D,4,0),0)</f>
        <v>Sợi</v>
      </c>
      <c r="E45" s="1738">
        <f>SUMIF(TongHopKL!B:B,'NT-VT'!A45,TongHopKL!H:H)</f>
        <v>3</v>
      </c>
      <c r="F45" s="1735" t="str">
        <f>IFERROR(VLOOKUP(A45,Solieu!G:M,2,0),"")</f>
        <v>nt</v>
      </c>
      <c r="G45" s="1735" t="str">
        <f>IFERROR(VLOOKUP(A45,Solieu!G:M,3,0),"")</f>
        <v>nt</v>
      </c>
      <c r="H45" s="1735"/>
      <c r="I45" s="1739"/>
      <c r="J45" s="1740" t="str">
        <f>IFERROR(VLOOKUP(A45,Solieu!G:M,4,0),"")</f>
        <v>nt</v>
      </c>
      <c r="K45" s="1741" t="str">
        <f>IFERROR(VLOOKUP(A45,Solieu!G:M,5,0),"")</f>
        <v>nt</v>
      </c>
      <c r="L45" s="1955">
        <f>IFERROR(VLOOKUP(A45,Solieu!G:M,6,0),"")</f>
        <v>0</v>
      </c>
      <c r="M45" s="1739">
        <f>IFERROR(VLOOKUP(A45,Solieu!G:M,7,0),"")</f>
        <v>0</v>
      </c>
      <c r="N45" s="1268" t="s">
        <v>4217</v>
      </c>
      <c r="O45" s="1482">
        <f t="shared" si="0"/>
        <v>1</v>
      </c>
      <c r="P45" s="1264"/>
      <c r="Q45" s="1438"/>
      <c r="R45" s="1483"/>
      <c r="S45" s="862"/>
      <c r="T45" s="862"/>
      <c r="U45" s="862"/>
      <c r="V45" s="862"/>
      <c r="W45" s="862"/>
      <c r="X45" s="862"/>
      <c r="Y45" s="862"/>
      <c r="Z45" s="862"/>
      <c r="AA45" s="862"/>
    </row>
    <row r="46" spans="1:27" s="863" customFormat="1" ht="35.1" customHeight="1">
      <c r="A46" s="2174" t="str">
        <f>VLOOKUP(ROW()-ROW($A$5),TongHopKL!A:B,2,0)</f>
        <v>chla</v>
      </c>
      <c r="B46" s="1735">
        <f>SUM($O$6:O46)</f>
        <v>41</v>
      </c>
      <c r="C46" s="1736" t="str">
        <f>(VLOOKUP(A46,TongHopKL!B:F,5,0))</f>
        <v>Chụp đầu cực LA</v>
      </c>
      <c r="D46" s="1737" t="str">
        <f>IFERROR(VLOOKUP(A46,DG!A:D,4,0),0)</f>
        <v>cái</v>
      </c>
      <c r="E46" s="1738">
        <f>SUMIF(TongHopKL!B:B,'NT-VT'!A46,TongHopKL!H:H)</f>
        <v>3</v>
      </c>
      <c r="F46" s="1735" t="str">
        <f>IFERROR(VLOOKUP(A46,Solieu!G:M,2,0),"")</f>
        <v>nt</v>
      </c>
      <c r="G46" s="1735" t="str">
        <f>IFERROR(VLOOKUP(A46,Solieu!G:M,3,0),"")</f>
        <v>nt</v>
      </c>
      <c r="H46" s="1735"/>
      <c r="I46" s="1739"/>
      <c r="J46" s="1740" t="str">
        <f>IFERROR(VLOOKUP(A46,Solieu!G:M,4,0),"")</f>
        <v>nt</v>
      </c>
      <c r="K46" s="1741" t="str">
        <f>IFERROR(VLOOKUP(A46,Solieu!G:M,5,0),"")</f>
        <v>nt</v>
      </c>
      <c r="L46" s="1955">
        <f>IFERROR(VLOOKUP(A46,Solieu!G:M,6,0),"")</f>
        <v>0</v>
      </c>
      <c r="M46" s="1739">
        <f>IFERROR(VLOOKUP(A46,Solieu!G:M,7,0),"")</f>
        <v>0</v>
      </c>
      <c r="N46" s="1268" t="s">
        <v>4217</v>
      </c>
      <c r="O46" s="1482">
        <f t="shared" si="0"/>
        <v>1</v>
      </c>
      <c r="P46" s="1264"/>
      <c r="Q46" s="1438"/>
      <c r="R46" s="1483"/>
      <c r="S46" s="862"/>
      <c r="T46" s="862"/>
      <c r="U46" s="862"/>
      <c r="V46" s="862"/>
      <c r="W46" s="862"/>
      <c r="X46" s="862"/>
      <c r="Y46" s="862"/>
      <c r="Z46" s="862"/>
      <c r="AA46" s="862"/>
    </row>
    <row r="47" spans="1:27" s="863" customFormat="1" ht="47.45" customHeight="1">
      <c r="A47" s="2174" t="str">
        <f>VLOOKUP(ROW()-ROW($A$5),TongHopKL!A:B,2,0)</f>
        <v>chmba</v>
      </c>
      <c r="B47" s="1735">
        <f>SUM($O$6:O47)</f>
        <v>42</v>
      </c>
      <c r="C47" s="1736" t="str">
        <f>(VLOOKUP(A47,TongHopKL!B:F,5,0))</f>
        <v>Chụp đầu MBA</v>
      </c>
      <c r="D47" s="1737" t="str">
        <f>IFERROR(VLOOKUP(A47,DG!A:D,4,0),0)</f>
        <v>cái</v>
      </c>
      <c r="E47" s="1738">
        <f>SUMIF(TongHopKL!B:B,'NT-VT'!A47,TongHopKL!H:H)</f>
        <v>3</v>
      </c>
      <c r="F47" s="1735" t="str">
        <f>IFERROR(VLOOKUP(A47,Solieu!G:M,2,0),"")</f>
        <v>nt</v>
      </c>
      <c r="G47" s="1735" t="str">
        <f>IFERROR(VLOOKUP(A47,Solieu!G:M,3,0),"")</f>
        <v>nt</v>
      </c>
      <c r="H47" s="1735"/>
      <c r="I47" s="1739"/>
      <c r="J47" s="1740" t="str">
        <f>IFERROR(VLOOKUP(A47,Solieu!G:M,4,0),"")</f>
        <v>nt</v>
      </c>
      <c r="K47" s="1741" t="str">
        <f>IFERROR(VLOOKUP(A47,Solieu!G:M,5,0),"")</f>
        <v>nt</v>
      </c>
      <c r="L47" s="1955">
        <f>IFERROR(VLOOKUP(A47,Solieu!G:M,6,0),"")</f>
        <v>0</v>
      </c>
      <c r="M47" s="1739">
        <f>IFERROR(VLOOKUP(A47,Solieu!G:M,7,0),"")</f>
        <v>0</v>
      </c>
      <c r="N47" s="1268" t="s">
        <v>4217</v>
      </c>
      <c r="O47" s="1482">
        <f t="shared" si="0"/>
        <v>1</v>
      </c>
      <c r="P47" s="1264"/>
      <c r="Q47" s="1438"/>
      <c r="R47" s="1483"/>
      <c r="S47" s="862"/>
      <c r="T47" s="862"/>
      <c r="U47" s="862"/>
      <c r="V47" s="862"/>
      <c r="W47" s="862"/>
      <c r="X47" s="862"/>
      <c r="Y47" s="862"/>
      <c r="Z47" s="862"/>
      <c r="AA47" s="862"/>
    </row>
    <row r="48" spans="1:27" s="863" customFormat="1" ht="35.1" customHeight="1">
      <c r="A48" s="2174" t="str">
        <f>VLOOKUP(ROW()-ROW($A$5),TongHopKL!A:B,2,0)</f>
        <v>CL</v>
      </c>
      <c r="B48" s="1735">
        <f>SUM($O$6:O48)</f>
        <v>43</v>
      </c>
      <c r="C48" s="1736" t="str">
        <f>(VLOOKUP(A48,TongHopKL!B:F,5,0))</f>
        <v>Bộ chống chằng hẹp Ø60/50x1500+2BL12x40+BL16x250/80</v>
      </c>
      <c r="D48" s="1737" t="str">
        <f>IFERROR(VLOOKUP(A48,DG!A:D,4,0),0)</f>
        <v>bộ</v>
      </c>
      <c r="E48" s="1738">
        <f>SUMIF(TongHopKL!B:B,'NT-VT'!A48,TongHopKL!H:H)</f>
        <v>1</v>
      </c>
      <c r="F48" s="1735" t="str">
        <f>IFERROR(VLOOKUP(A48,Solieu!G:M,2,0),"")</f>
        <v>nt</v>
      </c>
      <c r="G48" s="1735" t="str">
        <f>IFERROR(VLOOKUP(A48,Solieu!G:M,3,0),"")</f>
        <v>nt</v>
      </c>
      <c r="H48" s="1735"/>
      <c r="I48" s="1739"/>
      <c r="J48" s="1740" t="str">
        <f>IFERROR(VLOOKUP(A48,Solieu!G:M,4,0),"")</f>
        <v>nt</v>
      </c>
      <c r="K48" s="1741" t="str">
        <f>IFERROR(VLOOKUP(A48,Solieu!G:M,5,0),"")</f>
        <v>nt</v>
      </c>
      <c r="L48" s="1955">
        <f>IFERROR(VLOOKUP(A48,Solieu!G:M,6,0),"")</f>
        <v>0</v>
      </c>
      <c r="M48" s="1739">
        <f>IFERROR(VLOOKUP(A48,Solieu!G:M,7,0),"")</f>
        <v>0</v>
      </c>
      <c r="N48" s="1268" t="s">
        <v>4217</v>
      </c>
      <c r="O48" s="1482">
        <f t="shared" si="0"/>
        <v>1</v>
      </c>
      <c r="P48" s="1264"/>
      <c r="Q48" s="1438"/>
      <c r="R48" s="1483"/>
      <c r="S48" s="862"/>
      <c r="T48" s="862"/>
      <c r="U48" s="862"/>
      <c r="V48" s="862"/>
      <c r="W48" s="862"/>
      <c r="X48" s="862"/>
      <c r="Y48" s="862"/>
      <c r="Z48" s="862"/>
      <c r="AA48" s="862"/>
    </row>
    <row r="49" spans="1:27" s="863" customFormat="1" ht="35.1" customHeight="1">
      <c r="A49" s="2174" t="str">
        <f>VLOOKUP(ROW()-ROW($A$5),TongHopKL!A:B,2,0)</f>
        <v>COM110x800x5-2,4</v>
      </c>
      <c r="B49" s="1735">
        <f>SUM($O$6:O49)</f>
        <v>44</v>
      </c>
      <c r="C49" s="1736" t="str">
        <f>(VLOOKUP(A49,TongHopKL!B:F,5,0))</f>
        <v>Xà composite 110x800x5 dài 2,4m</v>
      </c>
      <c r="D49" s="1737" t="str">
        <f>IFERROR(VLOOKUP(A49,DG!A:D,4,0),0)</f>
        <v>cái</v>
      </c>
      <c r="E49" s="1738">
        <f>SUMIF(TongHopKL!B:B,'NT-VT'!A49,TongHopKL!H:H)</f>
        <v>2</v>
      </c>
      <c r="F49" s="1735" t="str">
        <f>IFERROR(VLOOKUP(A49,Solieu!G:M,2,0),"")</f>
        <v>nt</v>
      </c>
      <c r="G49" s="1735" t="str">
        <f>IFERROR(VLOOKUP(A49,Solieu!G:M,3,0),"")</f>
        <v>nt</v>
      </c>
      <c r="H49" s="1735"/>
      <c r="I49" s="1739"/>
      <c r="J49" s="1740" t="str">
        <f>IFERROR(VLOOKUP(A49,Solieu!G:M,4,0),"")</f>
        <v>nt</v>
      </c>
      <c r="K49" s="1741" t="str">
        <f>IFERROR(VLOOKUP(A49,Solieu!G:M,5,0),"")</f>
        <v>nt</v>
      </c>
      <c r="L49" s="1955">
        <f>IFERROR(VLOOKUP(A49,Solieu!G:M,6,0),"")</f>
        <v>0</v>
      </c>
      <c r="M49" s="1739">
        <f>IFERROR(VLOOKUP(A49,Solieu!G:M,7,0),"")</f>
        <v>0</v>
      </c>
      <c r="N49" s="1268" t="s">
        <v>4217</v>
      </c>
      <c r="O49" s="1482">
        <f t="shared" si="0"/>
        <v>1</v>
      </c>
      <c r="P49" s="1264"/>
      <c r="Q49" s="1438"/>
      <c r="R49" s="1483"/>
      <c r="S49" s="862"/>
      <c r="T49" s="862"/>
      <c r="U49" s="862"/>
      <c r="V49" s="862"/>
      <c r="W49" s="862"/>
      <c r="X49" s="862"/>
      <c r="Y49" s="862"/>
      <c r="Z49" s="862"/>
      <c r="AA49" s="862"/>
    </row>
    <row r="50" spans="1:27" s="863" customFormat="1" ht="35.1" customHeight="1">
      <c r="A50" s="2174" t="str">
        <f>VLOOKUP(ROW()-ROW($A$5),TongHopKL!A:B,2,0)</f>
        <v>com40x10x920</v>
      </c>
      <c r="B50" s="1735">
        <f>SUM($O$6:O50)</f>
        <v>45</v>
      </c>
      <c r="C50" s="1736" t="str">
        <f>(VLOOKUP(A50,TongHopKL!B:F,5,0))</f>
        <v>Chống composite 40x10x920</v>
      </c>
      <c r="D50" s="1737" t="str">
        <f>IFERROR(VLOOKUP(A50,DG!A:D,4,0),0)</f>
        <v>cái</v>
      </c>
      <c r="E50" s="1738">
        <f>SUMIF(TongHopKL!B:B,'NT-VT'!A50,TongHopKL!H:H)</f>
        <v>4</v>
      </c>
      <c r="F50" s="1735" t="str">
        <f>IFERROR(VLOOKUP(A50,Solieu!G:M,2,0),"")</f>
        <v>nt</v>
      </c>
      <c r="G50" s="1735" t="str">
        <f>IFERROR(VLOOKUP(A50,Solieu!G:M,3,0),"")</f>
        <v>nt</v>
      </c>
      <c r="H50" s="1735"/>
      <c r="I50" s="1739"/>
      <c r="J50" s="1740" t="str">
        <f>IFERROR(VLOOKUP(A50,Solieu!G:M,4,0),"")</f>
        <v>nt</v>
      </c>
      <c r="K50" s="1741" t="str">
        <f>IFERROR(VLOOKUP(A50,Solieu!G:M,5,0),"")</f>
        <v>nt</v>
      </c>
      <c r="L50" s="1955">
        <f>IFERROR(VLOOKUP(A50,Solieu!G:M,6,0),"")</f>
        <v>0</v>
      </c>
      <c r="M50" s="1739">
        <f>IFERROR(VLOOKUP(A50,Solieu!G:M,7,0),"")</f>
        <v>0</v>
      </c>
      <c r="N50" s="1268" t="s">
        <v>4217</v>
      </c>
      <c r="O50" s="1482">
        <f t="shared" si="0"/>
        <v>1</v>
      </c>
      <c r="P50" s="1264"/>
      <c r="Q50" s="1438"/>
      <c r="R50" s="1483"/>
      <c r="S50" s="862"/>
      <c r="T50" s="862"/>
      <c r="U50" s="862"/>
      <c r="V50" s="862"/>
      <c r="W50" s="862"/>
      <c r="X50" s="862"/>
      <c r="Y50" s="862"/>
      <c r="Z50" s="862"/>
      <c r="AA50" s="862"/>
    </row>
    <row r="51" spans="1:27" s="863" customFormat="1" ht="35.1" customHeight="1">
      <c r="A51" s="2174" t="str">
        <f>VLOOKUP(ROW()-ROW($A$5),TongHopKL!A:B,2,0)</f>
        <v>cos150</v>
      </c>
      <c r="B51" s="1735">
        <f>SUM($O$6:O51)</f>
        <v>46</v>
      </c>
      <c r="C51" s="1736" t="str">
        <f>(VLOOKUP(A51,TongHopKL!B:F,5,0))</f>
        <v>Đầu cosse ép Cu 150mm2</v>
      </c>
      <c r="D51" s="1737" t="str">
        <f>IFERROR(VLOOKUP(A51,DG!A:D,4,0),0)</f>
        <v>cái</v>
      </c>
      <c r="E51" s="1738">
        <f>SUMIF(TongHopKL!B:B,'NT-VT'!A51,TongHopKL!H:H)</f>
        <v>0</v>
      </c>
      <c r="F51" s="1735" t="str">
        <f>IFERROR(VLOOKUP(A51,Solieu!G:M,2,0),"")</f>
        <v>nt</v>
      </c>
      <c r="G51" s="1735" t="str">
        <f>IFERROR(VLOOKUP(A51,Solieu!G:M,3,0),"")</f>
        <v>nt</v>
      </c>
      <c r="H51" s="1735"/>
      <c r="I51" s="1739"/>
      <c r="J51" s="1740" t="str">
        <f>IFERROR(VLOOKUP(A51,Solieu!G:M,4,0),"")</f>
        <v>nt</v>
      </c>
      <c r="K51" s="1741" t="str">
        <f>IFERROR(VLOOKUP(A51,Solieu!G:M,5,0),"")</f>
        <v>nt</v>
      </c>
      <c r="L51" s="1955">
        <f>IFERROR(VLOOKUP(A51,Solieu!G:M,6,0),"")</f>
        <v>0</v>
      </c>
      <c r="M51" s="1739">
        <f>IFERROR(VLOOKUP(A51,Solieu!G:M,7,0),"")</f>
        <v>0</v>
      </c>
      <c r="N51" s="1268" t="s">
        <v>4217</v>
      </c>
      <c r="O51" s="1482">
        <f t="shared" si="0"/>
        <v>1</v>
      </c>
      <c r="P51" s="1264"/>
      <c r="Q51" s="1438"/>
      <c r="R51" s="1483"/>
      <c r="S51" s="862"/>
      <c r="T51" s="862"/>
      <c r="U51" s="862"/>
      <c r="V51" s="862"/>
      <c r="W51" s="862"/>
      <c r="X51" s="862"/>
      <c r="Y51" s="862"/>
      <c r="Z51" s="862"/>
      <c r="AA51" s="862"/>
    </row>
    <row r="52" spans="1:27" s="863" customFormat="1" ht="35.1" customHeight="1">
      <c r="A52" s="2174" t="str">
        <f>VLOOKUP(ROW()-ROW($A$5),TongHopKL!A:B,2,0)</f>
        <v>cos5</v>
      </c>
      <c r="B52" s="1735">
        <f>SUM($O$6:O52)</f>
        <v>47</v>
      </c>
      <c r="C52" s="1736" t="str">
        <f>(VLOOKUP(A52,TongHopKL!B:F,5,0))</f>
        <v>Đầu cosse ép Cu 5mm2</v>
      </c>
      <c r="D52" s="1737" t="str">
        <f>IFERROR(VLOOKUP(A52,DG!A:D,4,0),0)</f>
        <v>cái</v>
      </c>
      <c r="E52" s="1738">
        <f>SUMIF(TongHopKL!B:B,'NT-VT'!A52,TongHopKL!H:H)</f>
        <v>6</v>
      </c>
      <c r="F52" s="1735" t="str">
        <f>IFERROR(VLOOKUP(A52,Solieu!G:M,2,0),"")</f>
        <v>nt</v>
      </c>
      <c r="G52" s="1735" t="str">
        <f>IFERROR(VLOOKUP(A52,Solieu!G:M,3,0),"")</f>
        <v>nt</v>
      </c>
      <c r="H52" s="1735"/>
      <c r="I52" s="1739"/>
      <c r="J52" s="1740" t="str">
        <f>IFERROR(VLOOKUP(A52,Solieu!G:M,4,0),"")</f>
        <v>nt</v>
      </c>
      <c r="K52" s="1741" t="str">
        <f>IFERROR(VLOOKUP(A52,Solieu!G:M,5,0),"")</f>
        <v>nt</v>
      </c>
      <c r="L52" s="1955">
        <f>IFERROR(VLOOKUP(A52,Solieu!G:M,6,0),"")</f>
        <v>0</v>
      </c>
      <c r="M52" s="1739">
        <f>IFERROR(VLOOKUP(A52,Solieu!G:M,7,0),"")</f>
        <v>0</v>
      </c>
      <c r="N52" s="1268" t="s">
        <v>4217</v>
      </c>
      <c r="O52" s="1482">
        <f t="shared" si="0"/>
        <v>1</v>
      </c>
      <c r="P52" s="1264"/>
      <c r="Q52" s="1438"/>
      <c r="R52" s="1483"/>
      <c r="S52" s="862"/>
      <c r="T52" s="862"/>
      <c r="U52" s="862"/>
      <c r="V52" s="862"/>
      <c r="W52" s="862"/>
      <c r="X52" s="862"/>
      <c r="Y52" s="862"/>
      <c r="Z52" s="862"/>
      <c r="AA52" s="862"/>
    </row>
    <row r="53" spans="1:27" s="863" customFormat="1" ht="35.1" customHeight="1">
      <c r="A53" s="2174" t="str">
        <f>VLOOKUP(ROW()-ROW($A$5),TongHopKL!A:B,2,0)</f>
        <v>cos95</v>
      </c>
      <c r="B53" s="1735">
        <f>SUM($O$6:O53)</f>
        <v>48</v>
      </c>
      <c r="C53" s="1736" t="str">
        <f>(VLOOKUP(A53,TongHopKL!B:F,5,0))</f>
        <v>Đầu cosse ép Cu 95mm2</v>
      </c>
      <c r="D53" s="1737" t="str">
        <f>IFERROR(VLOOKUP(A53,DG!A:D,4,0),0)</f>
        <v>cái</v>
      </c>
      <c r="E53" s="1738">
        <f>SUMIF(TongHopKL!B:B,'NT-VT'!A53,TongHopKL!H:H)</f>
        <v>1</v>
      </c>
      <c r="F53" s="1735" t="str">
        <f>IFERROR(VLOOKUP(A53,Solieu!G:M,2,0),"")</f>
        <v>nt</v>
      </c>
      <c r="G53" s="1735" t="str">
        <f>IFERROR(VLOOKUP(A53,Solieu!G:M,3,0),"")</f>
        <v>nt</v>
      </c>
      <c r="H53" s="1735"/>
      <c r="I53" s="1739"/>
      <c r="J53" s="1740" t="str">
        <f>IFERROR(VLOOKUP(A53,Solieu!G:M,4,0),"")</f>
        <v>nt</v>
      </c>
      <c r="K53" s="1741" t="str">
        <f>IFERROR(VLOOKUP(A53,Solieu!G:M,5,0),"")</f>
        <v>nt</v>
      </c>
      <c r="L53" s="1955">
        <f>IFERROR(VLOOKUP(A53,Solieu!G:M,6,0),"")</f>
        <v>0</v>
      </c>
      <c r="M53" s="1739">
        <f>IFERROR(VLOOKUP(A53,Solieu!G:M,7,0),"")</f>
        <v>0</v>
      </c>
      <c r="N53" s="1268" t="s">
        <v>4217</v>
      </c>
      <c r="O53" s="1482">
        <f t="shared" si="0"/>
        <v>1</v>
      </c>
      <c r="P53" s="1264"/>
      <c r="Q53" s="1438"/>
      <c r="R53" s="1483"/>
      <c r="S53" s="862"/>
      <c r="T53" s="862"/>
      <c r="U53" s="862"/>
      <c r="V53" s="862"/>
      <c r="W53" s="862"/>
      <c r="X53" s="862"/>
      <c r="Y53" s="862"/>
      <c r="Z53" s="862"/>
      <c r="AA53" s="862"/>
    </row>
    <row r="54" spans="1:27" s="863" customFormat="1" ht="35.1" customHeight="1">
      <c r="A54" s="2174" t="str">
        <f>VLOOKUP(ROW()-ROW($A$5),TongHopKL!A:B,2,0)</f>
        <v>cose50</v>
      </c>
      <c r="B54" s="1735">
        <f>SUM($O$6:O54)</f>
        <v>49</v>
      </c>
      <c r="C54" s="1736" t="str">
        <f>(VLOOKUP(A54,TongHopKL!B:F,5,0))</f>
        <v>Đầu cosse ép Cu-Al 50mm2</v>
      </c>
      <c r="D54" s="1737" t="str">
        <f>IFERROR(VLOOKUP(A54,DG!A:D,4,0),0)</f>
        <v>cái</v>
      </c>
      <c r="E54" s="1738">
        <f>SUMIF(TongHopKL!B:B,'NT-VT'!A54,TongHopKL!H:H)</f>
        <v>3</v>
      </c>
      <c r="F54" s="1735" t="str">
        <f>IFERROR(VLOOKUP(A54,Solieu!G:M,2,0),"")</f>
        <v>nt</v>
      </c>
      <c r="G54" s="1735" t="str">
        <f>IFERROR(VLOOKUP(A54,Solieu!G:M,3,0),"")</f>
        <v>nt</v>
      </c>
      <c r="H54" s="1735"/>
      <c r="I54" s="1739"/>
      <c r="J54" s="1740" t="str">
        <f>IFERROR(VLOOKUP(A54,Solieu!G:M,4,0),"")</f>
        <v>nt</v>
      </c>
      <c r="K54" s="1741" t="str">
        <f>IFERROR(VLOOKUP(A54,Solieu!G:M,5,0),"")</f>
        <v>nt</v>
      </c>
      <c r="L54" s="1955">
        <f>IFERROR(VLOOKUP(A54,Solieu!G:M,6,0),"")</f>
        <v>0</v>
      </c>
      <c r="M54" s="1739">
        <f>IFERROR(VLOOKUP(A54,Solieu!G:M,7,0),"")</f>
        <v>0</v>
      </c>
      <c r="N54" s="1268" t="s">
        <v>4217</v>
      </c>
      <c r="O54" s="1482">
        <f t="shared" si="0"/>
        <v>1</v>
      </c>
      <c r="P54" s="1264"/>
      <c r="Q54" s="1438"/>
      <c r="R54" s="1483"/>
      <c r="S54" s="862"/>
      <c r="T54" s="862"/>
      <c r="U54" s="862"/>
      <c r="V54" s="862"/>
      <c r="W54" s="862"/>
      <c r="X54" s="862"/>
      <c r="Y54" s="862"/>
      <c r="Z54" s="862"/>
      <c r="AA54" s="862"/>
    </row>
    <row r="55" spans="1:27" s="863" customFormat="1" ht="35.1" customHeight="1">
      <c r="A55" s="2174" t="str">
        <f>VLOOKUP(ROW()-ROW($A$5),TongHopKL!A:B,2,0)</f>
        <v>CSD</v>
      </c>
      <c r="B55" s="1735">
        <f>SUM($O$6:O55)</f>
        <v>50</v>
      </c>
      <c r="C55" s="1736" t="str">
        <f>(VLOOKUP(A55,TongHopKL!B:F,5,0))</f>
        <v>Chân sứ đứng D20</v>
      </c>
      <c r="D55" s="1737" t="str">
        <f>IFERROR(VLOOKUP(A55,DG!A:D,4,0),0)</f>
        <v>cái</v>
      </c>
      <c r="E55" s="1738">
        <f>SUMIF(TongHopKL!B:B,'NT-VT'!A55,TongHopKL!H:H)</f>
        <v>69</v>
      </c>
      <c r="F55" s="1735" t="str">
        <f>IFERROR(VLOOKUP(A55,Solieu!G:M,2,0),"")</f>
        <v>nt</v>
      </c>
      <c r="G55" s="1735" t="str">
        <f>IFERROR(VLOOKUP(A55,Solieu!G:M,3,0),"")</f>
        <v>nt</v>
      </c>
      <c r="H55" s="1735"/>
      <c r="I55" s="1739"/>
      <c r="J55" s="1740" t="str">
        <f>IFERROR(VLOOKUP(A55,Solieu!G:M,4,0),"")</f>
        <v>nt</v>
      </c>
      <c r="K55" s="1741" t="str">
        <f>IFERROR(VLOOKUP(A55,Solieu!G:M,5,0),"")</f>
        <v>nt</v>
      </c>
      <c r="L55" s="1955" t="str">
        <f>IFERROR(VLOOKUP(A55,Solieu!G:M,6,0),"")</f>
        <v>KT3-0638ADI</v>
      </c>
      <c r="M55" s="1739">
        <f>IFERROR(VLOOKUP(A55,Solieu!G:M,7,0),"")</f>
        <v>0</v>
      </c>
      <c r="N55" s="1268" t="s">
        <v>4217</v>
      </c>
      <c r="O55" s="1482">
        <f t="shared" si="0"/>
        <v>1</v>
      </c>
      <c r="P55" s="1264"/>
      <c r="Q55" s="1438"/>
      <c r="R55" s="1483"/>
      <c r="S55" s="862"/>
      <c r="T55" s="862"/>
      <c r="U55" s="862"/>
      <c r="V55" s="862"/>
      <c r="W55" s="862"/>
      <c r="X55" s="862"/>
      <c r="Y55" s="862"/>
      <c r="Z55" s="862"/>
      <c r="AA55" s="862"/>
    </row>
    <row r="56" spans="1:27" s="863" customFormat="1" ht="35.1" customHeight="1">
      <c r="A56" s="2174" t="str">
        <f>VLOOKUP(ROW()-ROW($A$5),TongHopKL!A:B,2,0)</f>
        <v>CTD+K</v>
      </c>
      <c r="B56" s="1735">
        <f>SUM($O$6:O56)</f>
        <v>51</v>
      </c>
      <c r="C56" s="1736" t="str">
        <f>(VLOOKUP(A56,TongHopKL!B:F,5,0))</f>
        <v>Cọc tiếp đất Þ 16- 2,4m + kẹp cọc mạ đồng</v>
      </c>
      <c r="D56" s="1737" t="str">
        <f>IFERROR(VLOOKUP(A56,DG!A:D,4,0),0)</f>
        <v>bộ</v>
      </c>
      <c r="E56" s="1738">
        <f>SUMIF(TongHopKL!B:B,'NT-VT'!A56,TongHopKL!H:H)</f>
        <v>14</v>
      </c>
      <c r="F56" s="1735" t="str">
        <f>IFERROR(VLOOKUP(A56,Solieu!G:M,2,0),"")</f>
        <v>nt</v>
      </c>
      <c r="G56" s="1735" t="str">
        <f>IFERROR(VLOOKUP(A56,Solieu!G:M,3,0),"")</f>
        <v>nt</v>
      </c>
      <c r="H56" s="1735"/>
      <c r="I56" s="1739"/>
      <c r="J56" s="1740" t="str">
        <f>IFERROR(VLOOKUP(A56,Solieu!G:M,4,0),"")</f>
        <v>nt</v>
      </c>
      <c r="K56" s="1741" t="str">
        <f>IFERROR(VLOOKUP(A56,Solieu!G:M,5,0),"")</f>
        <v>nt</v>
      </c>
      <c r="L56" s="1955">
        <f>IFERROR(VLOOKUP(A56,Solieu!G:M,6,0),"")</f>
        <v>0</v>
      </c>
      <c r="M56" s="1739">
        <f>IFERROR(VLOOKUP(A56,Solieu!G:M,7,0),"")</f>
        <v>0</v>
      </c>
      <c r="N56" s="1268" t="s">
        <v>4217</v>
      </c>
      <c r="O56" s="1482">
        <f t="shared" si="0"/>
        <v>1</v>
      </c>
      <c r="P56" s="1264"/>
      <c r="Q56" s="1438"/>
      <c r="R56" s="1483"/>
      <c r="S56" s="862"/>
      <c r="T56" s="862"/>
      <c r="U56" s="862"/>
      <c r="V56" s="862"/>
      <c r="W56" s="862"/>
      <c r="X56" s="862"/>
      <c r="Y56" s="862"/>
      <c r="Z56" s="862"/>
      <c r="AA56" s="862"/>
    </row>
    <row r="57" spans="1:27" s="863" customFormat="1" ht="35.1" customHeight="1">
      <c r="A57" s="2174" t="str">
        <f>VLOOKUP(ROW()-ROW($A$5),TongHopKL!A:B,2,0)</f>
        <v>cut114l</v>
      </c>
      <c r="B57" s="1735">
        <f>SUM($O$6:O57)</f>
        <v>52</v>
      </c>
      <c r="C57" s="1736" t="str">
        <f>(VLOOKUP(A57,TongHopKL!B:F,5,0))</f>
        <v>Co 135 độ PVC 114</v>
      </c>
      <c r="D57" s="1737" t="str">
        <f>IFERROR(VLOOKUP(A57,DG!A:D,4,0),0)</f>
        <v>cái</v>
      </c>
      <c r="E57" s="1738">
        <f>SUMIF(TongHopKL!B:B,'NT-VT'!A57,TongHopKL!H:H)</f>
        <v>2</v>
      </c>
      <c r="F57" s="1735" t="str">
        <f>IFERROR(VLOOKUP(A57,Solieu!G:M,2,0),"")</f>
        <v>nt</v>
      </c>
      <c r="G57" s="1735" t="str">
        <f>IFERROR(VLOOKUP(A57,Solieu!G:M,3,0),"")</f>
        <v>nt</v>
      </c>
      <c r="H57" s="1735"/>
      <c r="I57" s="1739"/>
      <c r="J57" s="1740" t="str">
        <f>IFERROR(VLOOKUP(A57,Solieu!G:M,4,0),"")</f>
        <v>nt</v>
      </c>
      <c r="K57" s="1741" t="str">
        <f>IFERROR(VLOOKUP(A57,Solieu!G:M,5,0),"")</f>
        <v>nt</v>
      </c>
      <c r="L57" s="1955">
        <f>IFERROR(VLOOKUP(A57,Solieu!G:M,6,0),"")</f>
        <v>0</v>
      </c>
      <c r="M57" s="1739">
        <f>IFERROR(VLOOKUP(A57,Solieu!G:M,7,0),"")</f>
        <v>0</v>
      </c>
      <c r="N57" s="1268" t="s">
        <v>4217</v>
      </c>
      <c r="O57" s="1482">
        <f t="shared" si="0"/>
        <v>1</v>
      </c>
      <c r="P57" s="1264"/>
      <c r="Q57" s="1438"/>
      <c r="R57" s="1483"/>
      <c r="S57" s="862"/>
      <c r="T57" s="862"/>
      <c r="U57" s="862"/>
      <c r="V57" s="862"/>
      <c r="W57" s="862"/>
      <c r="X57" s="862"/>
      <c r="Y57" s="862"/>
      <c r="Z57" s="862"/>
      <c r="AA57" s="862"/>
    </row>
    <row r="58" spans="1:27" s="863" customFormat="1" ht="35.1" customHeight="1">
      <c r="A58" s="2174" t="str">
        <f>VLOOKUP(ROW()-ROW($A$5),TongHopKL!A:B,2,0)</f>
        <v>cut114t</v>
      </c>
      <c r="B58" s="1735">
        <f>SUM($O$6:O58)</f>
        <v>53</v>
      </c>
      <c r="C58" s="1736" t="str">
        <f>(VLOOKUP(A58,TongHopKL!B:F,5,0))</f>
        <v>Co  90 độ PVC 114</v>
      </c>
      <c r="D58" s="1737" t="str">
        <f>IFERROR(VLOOKUP(A58,DG!A:D,4,0),0)</f>
        <v>cái</v>
      </c>
      <c r="E58" s="1738">
        <f>SUMIF(TongHopKL!B:B,'NT-VT'!A58,TongHopKL!H:H)</f>
        <v>2</v>
      </c>
      <c r="F58" s="1735" t="str">
        <f>IFERROR(VLOOKUP(A58,Solieu!G:M,2,0),"")</f>
        <v>nt</v>
      </c>
      <c r="G58" s="1735" t="str">
        <f>IFERROR(VLOOKUP(A58,Solieu!G:M,3,0),"")</f>
        <v>nt</v>
      </c>
      <c r="H58" s="1735"/>
      <c r="I58" s="1739"/>
      <c r="J58" s="1740" t="str">
        <f>IFERROR(VLOOKUP(A58,Solieu!G:M,4,0),"")</f>
        <v>nt</v>
      </c>
      <c r="K58" s="1741" t="str">
        <f>IFERROR(VLOOKUP(A58,Solieu!G:M,5,0),"")</f>
        <v>nt</v>
      </c>
      <c r="L58" s="1955">
        <f>IFERROR(VLOOKUP(A58,Solieu!G:M,6,0),"")</f>
        <v>0</v>
      </c>
      <c r="M58" s="1739">
        <f>IFERROR(VLOOKUP(A58,Solieu!G:M,7,0),"")</f>
        <v>0</v>
      </c>
      <c r="N58" s="1268" t="s">
        <v>4217</v>
      </c>
      <c r="O58" s="1482">
        <f t="shared" si="0"/>
        <v>1</v>
      </c>
      <c r="P58" s="1264"/>
      <c r="Q58" s="1438"/>
      <c r="R58" s="1483"/>
      <c r="S58" s="862"/>
      <c r="T58" s="862"/>
      <c r="U58" s="862"/>
      <c r="V58" s="862"/>
      <c r="W58" s="862"/>
      <c r="X58" s="862"/>
      <c r="Y58" s="862"/>
      <c r="Z58" s="862"/>
      <c r="AA58" s="862"/>
    </row>
    <row r="59" spans="1:27" s="863" customFormat="1" ht="35.1" customHeight="1">
      <c r="A59" s="2174" t="str">
        <f>VLOOKUP(ROW()-ROW($A$5),TongHopKL!A:B,2,0)</f>
        <v>dinh</v>
      </c>
      <c r="B59" s="1735">
        <f>SUM($O$6:O59)</f>
        <v>54</v>
      </c>
      <c r="C59" s="1736" t="str">
        <f>(VLOOKUP(A59,TongHopKL!B:F,5,0))</f>
        <v>Đinh các loại</v>
      </c>
      <c r="D59" s="1737" t="str">
        <f>IFERROR(VLOOKUP(A59,DG!A:D,4,0),0)</f>
        <v>kg</v>
      </c>
      <c r="E59" s="1738">
        <f>SUMIF(TongHopKL!B:B,'NT-VT'!A59,TongHopKL!H:H)</f>
        <v>3.75</v>
      </c>
      <c r="F59" s="1735" t="str">
        <f>IFERROR(VLOOKUP(A59,Solieu!G:M,2,0),"")</f>
        <v>nt</v>
      </c>
      <c r="G59" s="1735" t="str">
        <f>IFERROR(VLOOKUP(A59,Solieu!G:M,3,0),"")</f>
        <v>nt</v>
      </c>
      <c r="H59" s="1735"/>
      <c r="I59" s="1739"/>
      <c r="J59" s="1740" t="str">
        <f>IFERROR(VLOOKUP(A59,Solieu!G:M,4,0),"")</f>
        <v>nt</v>
      </c>
      <c r="K59" s="1741" t="str">
        <f>IFERROR(VLOOKUP(A59,Solieu!G:M,5,0),"")</f>
        <v>nt</v>
      </c>
      <c r="L59" s="1955">
        <f>IFERROR(VLOOKUP(A59,Solieu!G:M,6,0),"")</f>
        <v>0</v>
      </c>
      <c r="M59" s="1739">
        <f>IFERROR(VLOOKUP(A59,Solieu!G:M,7,0),"")</f>
        <v>0</v>
      </c>
      <c r="N59" s="1268" t="s">
        <v>4217</v>
      </c>
      <c r="O59" s="1482">
        <f t="shared" si="0"/>
        <v>1</v>
      </c>
      <c r="P59" s="1264"/>
      <c r="Q59" s="1438"/>
      <c r="R59" s="1483"/>
      <c r="S59" s="862"/>
      <c r="T59" s="862"/>
      <c r="U59" s="862"/>
      <c r="V59" s="862"/>
      <c r="W59" s="862"/>
      <c r="X59" s="862"/>
      <c r="Y59" s="862"/>
      <c r="Z59" s="862"/>
      <c r="AA59" s="862"/>
    </row>
    <row r="60" spans="1:27" s="863" customFormat="1" ht="35.1" customHeight="1">
      <c r="A60" s="2174" t="str">
        <f>VLOOKUP(ROW()-ROW($A$5),TongHopKL!A:B,2,0)</f>
        <v>gniu</v>
      </c>
      <c r="B60" s="1735">
        <f>SUM($O$6:O60)</f>
        <v>55</v>
      </c>
      <c r="C60" s="1736" t="str">
        <f>(VLOOKUP(A60,TongHopKL!B:F,5,0))</f>
        <v>Giáp níu dừng dây bọc ACX50</v>
      </c>
      <c r="D60" s="1737" t="str">
        <f>IFERROR(VLOOKUP(A60,DG!A:D,4,0),0)</f>
        <v>cái</v>
      </c>
      <c r="E60" s="1738">
        <f>SUMIF(TongHopKL!B:B,'NT-VT'!A60,TongHopKL!H:H)</f>
        <v>24</v>
      </c>
      <c r="F60" s="1735" t="str">
        <f>IFERROR(VLOOKUP(A60,Solieu!G:M,2,0),"")</f>
        <v>nt</v>
      </c>
      <c r="G60" s="1735" t="str">
        <f>IFERROR(VLOOKUP(A60,Solieu!G:M,3,0),"")</f>
        <v>nt</v>
      </c>
      <c r="H60" s="1735"/>
      <c r="I60" s="1739"/>
      <c r="J60" s="1740" t="str">
        <f>IFERROR(VLOOKUP(A60,Solieu!G:M,4,0),"")</f>
        <v>nt</v>
      </c>
      <c r="K60" s="1741" t="str">
        <f>IFERROR(VLOOKUP(A60,Solieu!G:M,5,0),"")</f>
        <v>nt</v>
      </c>
      <c r="L60" s="1955">
        <f>IFERROR(VLOOKUP(A60,Solieu!G:M,6,0),"")</f>
        <v>0</v>
      </c>
      <c r="M60" s="1739">
        <f>IFERROR(VLOOKUP(A60,Solieu!G:M,7,0),"")</f>
        <v>0</v>
      </c>
      <c r="N60" s="1268" t="s">
        <v>4217</v>
      </c>
      <c r="O60" s="1482">
        <f t="shared" si="0"/>
        <v>1</v>
      </c>
      <c r="P60" s="1264"/>
      <c r="Q60" s="1438"/>
      <c r="R60" s="1483"/>
      <c r="S60" s="862"/>
      <c r="T60" s="862"/>
      <c r="U60" s="862"/>
      <c r="V60" s="862"/>
      <c r="W60" s="862"/>
      <c r="X60" s="862"/>
      <c r="Y60" s="862"/>
      <c r="Z60" s="862"/>
      <c r="AA60" s="862"/>
    </row>
    <row r="61" spans="1:27" s="863" customFormat="1" ht="35.1" customHeight="1">
      <c r="A61" s="2174" t="str">
        <f>VLOOKUP(ROW()-ROW($A$5),TongHopKL!A:B,2,0)</f>
        <v>GTMBA</v>
      </c>
      <c r="B61" s="1735">
        <f>SUM($O$6:O61)</f>
        <v>56</v>
      </c>
      <c r="C61" s="1736" t="str">
        <f>(VLOOKUP(A61,TongHopKL!B:F,5,0))</f>
        <v>Giá chùm treo máy biến áp 3x50</v>
      </c>
      <c r="D61" s="1737" t="str">
        <f>IFERROR(VLOOKUP(A61,DG!A:D,4,0),0)</f>
        <v>cái</v>
      </c>
      <c r="E61" s="1738">
        <f>SUMIF(TongHopKL!B:B,'NT-VT'!A61,TongHopKL!H:H)</f>
        <v>1</v>
      </c>
      <c r="F61" s="1735" t="str">
        <f>IFERROR(VLOOKUP(A61,Solieu!G:M,2,0),"")</f>
        <v>nt</v>
      </c>
      <c r="G61" s="1735" t="str">
        <f>IFERROR(VLOOKUP(A61,Solieu!G:M,3,0),"")</f>
        <v>nt</v>
      </c>
      <c r="H61" s="1735"/>
      <c r="I61" s="1739"/>
      <c r="J61" s="1740" t="str">
        <f>IFERROR(VLOOKUP(A61,Solieu!G:M,4,0),"")</f>
        <v>nt</v>
      </c>
      <c r="K61" s="1741" t="str">
        <f>IFERROR(VLOOKUP(A61,Solieu!G:M,5,0),"")</f>
        <v>nt</v>
      </c>
      <c r="L61" s="1955">
        <f>IFERROR(VLOOKUP(A61,Solieu!G:M,6,0),"")</f>
        <v>0</v>
      </c>
      <c r="M61" s="1739">
        <f>IFERROR(VLOOKUP(A61,Solieu!G:M,7,0),"")</f>
        <v>0</v>
      </c>
      <c r="N61" s="1268" t="s">
        <v>4217</v>
      </c>
      <c r="O61" s="1482">
        <f t="shared" si="0"/>
        <v>1</v>
      </c>
      <c r="P61" s="1264"/>
      <c r="Q61" s="1438"/>
      <c r="R61" s="1483"/>
      <c r="S61" s="862"/>
      <c r="T61" s="862"/>
      <c r="U61" s="862"/>
      <c r="V61" s="862"/>
      <c r="W61" s="862"/>
      <c r="X61" s="862"/>
      <c r="Y61" s="862"/>
      <c r="Z61" s="862"/>
      <c r="AA61" s="862"/>
    </row>
    <row r="62" spans="1:27" s="863" customFormat="1" ht="35.1" customHeight="1">
      <c r="A62" s="2174" t="str">
        <f>VLOOKUP(ROW()-ROW($A$5),TongHopKL!A:B,2,0)</f>
        <v>K3B</v>
      </c>
      <c r="B62" s="1735">
        <f>SUM($O$6:O62)</f>
        <v>57</v>
      </c>
      <c r="C62" s="1736" t="str">
        <f>(VLOOKUP(A62,TongHopKL!B:F,5,0))</f>
        <v>Kẹp cáp 3 boulon</v>
      </c>
      <c r="D62" s="1737" t="str">
        <f>IFERROR(VLOOKUP(A62,DG!A:D,4,0),0)</f>
        <v>cái</v>
      </c>
      <c r="E62" s="1738">
        <f>SUMIF(TongHopKL!B:B,'NT-VT'!A62,TongHopKL!H:H)</f>
        <v>8</v>
      </c>
      <c r="F62" s="1735" t="str">
        <f>IFERROR(VLOOKUP(A62,Solieu!G:M,2,0),"")</f>
        <v>nt</v>
      </c>
      <c r="G62" s="1735" t="str">
        <f>IFERROR(VLOOKUP(A62,Solieu!G:M,3,0),"")</f>
        <v>nt</v>
      </c>
      <c r="H62" s="1735"/>
      <c r="I62" s="1739"/>
      <c r="J62" s="1740" t="str">
        <f>IFERROR(VLOOKUP(A62,Solieu!G:M,4,0),"")</f>
        <v>nt</v>
      </c>
      <c r="K62" s="1741" t="str">
        <f>IFERROR(VLOOKUP(A62,Solieu!G:M,5,0),"")</f>
        <v>nt</v>
      </c>
      <c r="L62" s="1955">
        <f>IFERROR(VLOOKUP(A62,Solieu!G:M,6,0),"")</f>
        <v>0</v>
      </c>
      <c r="M62" s="1739">
        <f>IFERROR(VLOOKUP(A62,Solieu!G:M,7,0),"")</f>
        <v>0</v>
      </c>
      <c r="N62" s="1268" t="s">
        <v>4217</v>
      </c>
      <c r="O62" s="1482">
        <f t="shared" si="0"/>
        <v>1</v>
      </c>
      <c r="P62" s="1264"/>
      <c r="Q62" s="1438"/>
      <c r="R62" s="1483"/>
      <c r="S62" s="862"/>
      <c r="T62" s="862"/>
      <c r="U62" s="862"/>
      <c r="V62" s="862"/>
      <c r="W62" s="862"/>
      <c r="X62" s="862"/>
      <c r="Y62" s="862"/>
      <c r="Z62" s="862"/>
      <c r="AA62" s="862"/>
    </row>
    <row r="63" spans="1:27" s="863" customFormat="1" ht="35.1" customHeight="1">
      <c r="A63" s="2174" t="str">
        <f>VLOOKUP(ROW()-ROW($A$5),TongHopKL!A:B,2,0)</f>
        <v>ke150</v>
      </c>
      <c r="B63" s="1735">
        <f>SUM($O$6:O63)</f>
        <v>58</v>
      </c>
      <c r="C63" s="1736" t="str">
        <f>(VLOOKUP(A63,TongHopKL!B:F,5,0))</f>
        <v>Kẹp ép WR cỡ dây 150mm2</v>
      </c>
      <c r="D63" s="1737" t="str">
        <f>IFERROR(VLOOKUP(A63,DG!A:D,4,0),0)</f>
        <v>cái</v>
      </c>
      <c r="E63" s="1738">
        <f>SUMIF(TongHopKL!B:B,'NT-VT'!A63,TongHopKL!H:H)</f>
        <v>6</v>
      </c>
      <c r="F63" s="1735" t="str">
        <f>IFERROR(VLOOKUP(A63,Solieu!G:M,2,0),"")</f>
        <v>nt</v>
      </c>
      <c r="G63" s="1735" t="str">
        <f>IFERROR(VLOOKUP(A63,Solieu!G:M,3,0),"")</f>
        <v>nt</v>
      </c>
      <c r="H63" s="1735"/>
      <c r="I63" s="1739"/>
      <c r="J63" s="1740" t="str">
        <f>IFERROR(VLOOKUP(A63,Solieu!G:M,4,0),"")</f>
        <v>nt</v>
      </c>
      <c r="K63" s="1741" t="str">
        <f>IFERROR(VLOOKUP(A63,Solieu!G:M,5,0),"")</f>
        <v>nt</v>
      </c>
      <c r="L63" s="1955">
        <f>IFERROR(VLOOKUP(A63,Solieu!G:M,6,0),"")</f>
        <v>0</v>
      </c>
      <c r="M63" s="1739">
        <f>IFERROR(VLOOKUP(A63,Solieu!G:M,7,0),"")</f>
        <v>0</v>
      </c>
      <c r="N63" s="1268" t="s">
        <v>4217</v>
      </c>
      <c r="O63" s="1482">
        <f t="shared" si="0"/>
        <v>1</v>
      </c>
      <c r="P63" s="1264"/>
      <c r="Q63" s="1438"/>
      <c r="R63" s="1483"/>
      <c r="S63" s="862"/>
      <c r="T63" s="862"/>
      <c r="U63" s="862"/>
      <c r="V63" s="862"/>
      <c r="W63" s="862"/>
      <c r="X63" s="862"/>
      <c r="Y63" s="862"/>
      <c r="Z63" s="862"/>
      <c r="AA63" s="862"/>
    </row>
    <row r="64" spans="1:27" s="863" customFormat="1" ht="35.1" customHeight="1">
      <c r="A64" s="2174" t="str">
        <f>VLOOKUP(ROW()-ROW($A$5),TongHopKL!A:B,2,0)</f>
        <v>KE25</v>
      </c>
      <c r="B64" s="1735">
        <f>SUM($O$6:O64)</f>
        <v>59</v>
      </c>
      <c r="C64" s="1736" t="str">
        <f>(VLOOKUP(A64,TongHopKL!B:F,5,0))</f>
        <v>Kẹp ép cỡ dây 25mm2</v>
      </c>
      <c r="D64" s="1737" t="str">
        <f>IFERROR(VLOOKUP(A64,DG!A:D,4,0),0)</f>
        <v>cái</v>
      </c>
      <c r="E64" s="1738">
        <f>SUMIF(TongHopKL!B:B,'NT-VT'!A64,TongHopKL!H:H)</f>
        <v>2</v>
      </c>
      <c r="F64" s="1735" t="str">
        <f>IFERROR(VLOOKUP(A64,Solieu!G:M,2,0),"")</f>
        <v>nt</v>
      </c>
      <c r="G64" s="1735" t="str">
        <f>IFERROR(VLOOKUP(A64,Solieu!G:M,3,0),"")</f>
        <v>nt</v>
      </c>
      <c r="H64" s="1735"/>
      <c r="I64" s="1739"/>
      <c r="J64" s="1740" t="str">
        <f>IFERROR(VLOOKUP(A64,Solieu!G:M,4,0),"")</f>
        <v>nt</v>
      </c>
      <c r="K64" s="1741" t="str">
        <f>IFERROR(VLOOKUP(A64,Solieu!G:M,5,0),"")</f>
        <v>nt</v>
      </c>
      <c r="L64" s="1955">
        <f>IFERROR(VLOOKUP(A64,Solieu!G:M,6,0),"")</f>
        <v>0</v>
      </c>
      <c r="M64" s="1739">
        <f>IFERROR(VLOOKUP(A64,Solieu!G:M,7,0),"")</f>
        <v>0</v>
      </c>
      <c r="N64" s="1268" t="s">
        <v>4217</v>
      </c>
      <c r="O64" s="1482">
        <f t="shared" si="0"/>
        <v>1</v>
      </c>
      <c r="P64" s="1264"/>
      <c r="Q64" s="1438"/>
      <c r="R64" s="1483"/>
      <c r="S64" s="862"/>
      <c r="T64" s="862"/>
      <c r="U64" s="862"/>
      <c r="V64" s="862"/>
      <c r="W64" s="862"/>
      <c r="X64" s="862"/>
      <c r="Y64" s="862"/>
      <c r="Z64" s="862"/>
      <c r="AA64" s="862"/>
    </row>
    <row r="65" spans="1:27" s="863" customFormat="1" ht="35.1" customHeight="1">
      <c r="A65" s="2174" t="str">
        <f>VLOOKUP(ROW()-ROW($A$5),TongHopKL!A:B,2,0)</f>
        <v>Ke50</v>
      </c>
      <c r="B65" s="1735">
        <f>SUM($O$6:O65)</f>
        <v>60</v>
      </c>
      <c r="C65" s="1736" t="str">
        <f>(VLOOKUP(A65,TongHopKL!B:F,5,0))</f>
        <v>Kẹp ép WR cỡ dây 50mm2</v>
      </c>
      <c r="D65" s="1737" t="str">
        <f>IFERROR(VLOOKUP(A65,DG!A:D,4,0),0)</f>
        <v>cái</v>
      </c>
      <c r="E65" s="1738">
        <f>SUMIF(TongHopKL!B:B,'NT-VT'!A65,TongHopKL!H:H)</f>
        <v>28</v>
      </c>
      <c r="F65" s="1735" t="str">
        <f>IFERROR(VLOOKUP(A65,Solieu!G:M,2,0),"")</f>
        <v>nt</v>
      </c>
      <c r="G65" s="1735" t="str">
        <f>IFERROR(VLOOKUP(A65,Solieu!G:M,3,0),"")</f>
        <v>nt</v>
      </c>
      <c r="H65" s="1735"/>
      <c r="I65" s="1739"/>
      <c r="J65" s="1740" t="str">
        <f>IFERROR(VLOOKUP(A65,Solieu!G:M,4,0),"")</f>
        <v>nt</v>
      </c>
      <c r="K65" s="1741" t="str">
        <f>IFERROR(VLOOKUP(A65,Solieu!G:M,5,0),"")</f>
        <v>nt</v>
      </c>
      <c r="L65" s="1955">
        <f>IFERROR(VLOOKUP(A65,Solieu!G:M,6,0),"")</f>
        <v>0</v>
      </c>
      <c r="M65" s="1739">
        <f>IFERROR(VLOOKUP(A65,Solieu!G:M,7,0),"")</f>
        <v>0</v>
      </c>
      <c r="N65" s="1268" t="s">
        <v>4217</v>
      </c>
      <c r="O65" s="1482">
        <f t="shared" si="0"/>
        <v>1</v>
      </c>
      <c r="P65" s="1264"/>
      <c r="Q65" s="1438"/>
      <c r="R65" s="1483"/>
      <c r="S65" s="862"/>
      <c r="T65" s="862"/>
      <c r="U65" s="862"/>
      <c r="V65" s="862"/>
      <c r="W65" s="862"/>
      <c r="X65" s="862"/>
      <c r="Y65" s="862"/>
      <c r="Z65" s="862"/>
      <c r="AA65" s="862"/>
    </row>
    <row r="66" spans="1:27" s="863" customFormat="1" ht="35.1" customHeight="1">
      <c r="A66" s="2174" t="str">
        <f>VLOOKUP(ROW()-ROW($A$5),TongHopKL!A:B,2,0)</f>
        <v>KEObit</v>
      </c>
      <c r="B66" s="1735">
        <f>SUM($O$6:O66)</f>
        <v>61</v>
      </c>
      <c r="C66" s="1736" t="str">
        <f>(VLOOKUP(A66,TongHopKL!B:F,5,0))</f>
        <v>Keo silicon bít miệng ống</v>
      </c>
      <c r="D66" s="1737" t="str">
        <f>IFERROR(VLOOKUP(A66,DG!A:D,4,0),0)</f>
        <v>ống</v>
      </c>
      <c r="E66" s="1738">
        <f>SUMIF(TongHopKL!B:B,'NT-VT'!A66,TongHopKL!H:H)</f>
        <v>5</v>
      </c>
      <c r="F66" s="1735" t="str">
        <f>IFERROR(VLOOKUP(A66,Solieu!G:M,2,0),"")</f>
        <v>nt</v>
      </c>
      <c r="G66" s="1735" t="str">
        <f>IFERROR(VLOOKUP(A66,Solieu!G:M,3,0),"")</f>
        <v>nt</v>
      </c>
      <c r="H66" s="1735"/>
      <c r="I66" s="1739"/>
      <c r="J66" s="1740" t="str">
        <f>IFERROR(VLOOKUP(A66,Solieu!G:M,4,0),"")</f>
        <v>nt</v>
      </c>
      <c r="K66" s="1741" t="str">
        <f>IFERROR(VLOOKUP(A66,Solieu!G:M,5,0),"")</f>
        <v>nt</v>
      </c>
      <c r="L66" s="1955">
        <f>IFERROR(VLOOKUP(A66,Solieu!G:M,6,0),"")</f>
        <v>0</v>
      </c>
      <c r="M66" s="1739">
        <f>IFERROR(VLOOKUP(A66,Solieu!G:M,7,0),"")</f>
        <v>0</v>
      </c>
      <c r="N66" s="1268" t="s">
        <v>4217</v>
      </c>
      <c r="O66" s="1482">
        <f t="shared" si="0"/>
        <v>1</v>
      </c>
      <c r="P66" s="1264"/>
      <c r="Q66" s="1438"/>
      <c r="R66" s="1483"/>
      <c r="S66" s="862"/>
      <c r="T66" s="862"/>
      <c r="U66" s="862"/>
      <c r="V66" s="862"/>
      <c r="W66" s="862"/>
      <c r="X66" s="862"/>
      <c r="Y66" s="862"/>
      <c r="Z66" s="862"/>
      <c r="AA66" s="862"/>
    </row>
    <row r="67" spans="1:27" s="863" customFormat="1" ht="35.1" customHeight="1">
      <c r="A67" s="2174" t="str">
        <f>VLOOKUP(ROW()-ROW($A$5),TongHopKL!A:B,2,0)</f>
        <v>KEODAN</v>
      </c>
      <c r="B67" s="1735">
        <f>SUM($O$6:O67)</f>
        <v>62</v>
      </c>
      <c r="C67" s="1736" t="str">
        <f>(VLOOKUP(A67,TongHopKL!B:F,5,0))</f>
        <v>Keo dán ống PVC (100gr)</v>
      </c>
      <c r="D67" s="1737" t="str">
        <f>IFERROR(VLOOKUP(A67,DG!A:D,4,0),0)</f>
        <v>tuýp</v>
      </c>
      <c r="E67" s="1738">
        <f>SUMIF(TongHopKL!B:B,'NT-VT'!A67,TongHopKL!H:H)</f>
        <v>1</v>
      </c>
      <c r="F67" s="1735" t="str">
        <f>IFERROR(VLOOKUP(A67,Solieu!G:M,2,0),"")</f>
        <v>nt</v>
      </c>
      <c r="G67" s="1735" t="str">
        <f>IFERROR(VLOOKUP(A67,Solieu!G:M,3,0),"")</f>
        <v>nt</v>
      </c>
      <c r="H67" s="1735"/>
      <c r="I67" s="1739"/>
      <c r="J67" s="1740" t="str">
        <f>IFERROR(VLOOKUP(A67,Solieu!G:M,4,0),"")</f>
        <v>nt</v>
      </c>
      <c r="K67" s="1741" t="str">
        <f>IFERROR(VLOOKUP(A67,Solieu!G:M,5,0),"")</f>
        <v>nt</v>
      </c>
      <c r="L67" s="1955">
        <f>IFERROR(VLOOKUP(A67,Solieu!G:M,6,0),"")</f>
        <v>0</v>
      </c>
      <c r="M67" s="1739">
        <f>IFERROR(VLOOKUP(A67,Solieu!G:M,7,0),"")</f>
        <v>0</v>
      </c>
      <c r="N67" s="1268" t="s">
        <v>4217</v>
      </c>
      <c r="O67" s="1482">
        <f t="shared" si="0"/>
        <v>1</v>
      </c>
      <c r="P67" s="1264"/>
      <c r="Q67" s="1438"/>
      <c r="R67" s="1483"/>
      <c r="S67" s="862"/>
      <c r="T67" s="862"/>
      <c r="U67" s="862"/>
      <c r="V67" s="862"/>
      <c r="W67" s="862"/>
      <c r="X67" s="862"/>
      <c r="Y67" s="862"/>
      <c r="Z67" s="862"/>
      <c r="AA67" s="862"/>
    </row>
    <row r="68" spans="1:27" s="863" customFormat="1" ht="35.1" customHeight="1">
      <c r="A68" s="2174" t="str">
        <f>VLOOKUP(ROW()-ROW($A$5),TongHopKL!A:B,2,0)</f>
        <v>KH2/0</v>
      </c>
      <c r="B68" s="1735">
        <f>SUM($O$6:O68)</f>
        <v>63</v>
      </c>
      <c r="C68" s="1736" t="str">
        <f>(VLOOKUP(A68,TongHopKL!B:F,5,0))</f>
        <v>Kẹp hotline 2/0</v>
      </c>
      <c r="D68" s="1737" t="str">
        <f>IFERROR(VLOOKUP(A68,DG!A:D,4,0),0)</f>
        <v>cái</v>
      </c>
      <c r="E68" s="1738">
        <f>SUMIF(TongHopKL!B:B,'NT-VT'!A68,TongHopKL!H:H)</f>
        <v>9</v>
      </c>
      <c r="F68" s="1735" t="str">
        <f>IFERROR(VLOOKUP(A68,Solieu!G:M,2,0),"")</f>
        <v>nt</v>
      </c>
      <c r="G68" s="1735" t="str">
        <f>IFERROR(VLOOKUP(A68,Solieu!G:M,3,0),"")</f>
        <v>nt</v>
      </c>
      <c r="H68" s="1735"/>
      <c r="I68" s="1739"/>
      <c r="J68" s="1740" t="str">
        <f>IFERROR(VLOOKUP(A68,Solieu!G:M,4,0),"")</f>
        <v>nt</v>
      </c>
      <c r="K68" s="1741" t="str">
        <f>IFERROR(VLOOKUP(A68,Solieu!G:M,5,0),"")</f>
        <v>nt</v>
      </c>
      <c r="L68" s="1955">
        <f>IFERROR(VLOOKUP(A68,Solieu!G:M,6,0),"")</f>
        <v>0</v>
      </c>
      <c r="M68" s="1739">
        <f>IFERROR(VLOOKUP(A68,Solieu!G:M,7,0),"")</f>
        <v>0</v>
      </c>
      <c r="N68" s="1268" t="s">
        <v>4217</v>
      </c>
      <c r="O68" s="1482">
        <f t="shared" si="0"/>
        <v>1</v>
      </c>
      <c r="P68" s="1264"/>
      <c r="Q68" s="1438"/>
      <c r="R68" s="1483"/>
      <c r="S68" s="862"/>
      <c r="T68" s="862"/>
      <c r="U68" s="862"/>
      <c r="V68" s="862"/>
      <c r="W68" s="862"/>
      <c r="X68" s="862"/>
      <c r="Y68" s="862"/>
      <c r="Z68" s="862"/>
      <c r="AA68" s="862"/>
    </row>
    <row r="69" spans="1:27" s="863" customFormat="1" ht="35.1" customHeight="1">
      <c r="A69" s="2174" t="str">
        <f>VLOOKUP(ROW()-ROW($A$5),TongHopKL!A:B,2,0)</f>
        <v>kn50</v>
      </c>
      <c r="B69" s="1735">
        <f>SUM($O$6:O69)</f>
        <v>64</v>
      </c>
      <c r="C69" s="1736" t="str">
        <f>(VLOOKUP(A69,TongHopKL!B:F,5,0))</f>
        <v>Khóa néo dây cỡ dây 50</v>
      </c>
      <c r="D69" s="1737" t="str">
        <f>IFERROR(VLOOKUP(A69,DG!A:D,4,0),0)</f>
        <v>cái</v>
      </c>
      <c r="E69" s="1738">
        <f>SUMIF(TongHopKL!B:B,'NT-VT'!A69,TongHopKL!H:H)</f>
        <v>8</v>
      </c>
      <c r="F69" s="1735" t="str">
        <f>IFERROR(VLOOKUP(A69,Solieu!G:M,2,0),"")</f>
        <v>nt</v>
      </c>
      <c r="G69" s="1735" t="str">
        <f>IFERROR(VLOOKUP(A69,Solieu!G:M,3,0),"")</f>
        <v>nt</v>
      </c>
      <c r="H69" s="1735"/>
      <c r="I69" s="1739"/>
      <c r="J69" s="1740" t="str">
        <f>IFERROR(VLOOKUP(A69,Solieu!G:M,4,0),"")</f>
        <v>nt</v>
      </c>
      <c r="K69" s="1741" t="str">
        <f>IFERROR(VLOOKUP(A69,Solieu!G:M,5,0),"")</f>
        <v>nt</v>
      </c>
      <c r="L69" s="1955">
        <f>IFERROR(VLOOKUP(A69,Solieu!G:M,6,0),"")</f>
        <v>0</v>
      </c>
      <c r="M69" s="1739">
        <f>IFERROR(VLOOKUP(A69,Solieu!G:M,7,0),"")</f>
        <v>0</v>
      </c>
      <c r="N69" s="1268" t="s">
        <v>4217</v>
      </c>
      <c r="O69" s="1482">
        <f t="shared" si="0"/>
        <v>1</v>
      </c>
      <c r="P69" s="1264"/>
      <c r="Q69" s="1438"/>
      <c r="R69" s="1483"/>
      <c r="S69" s="862"/>
      <c r="T69" s="862"/>
      <c r="U69" s="862"/>
      <c r="V69" s="862"/>
      <c r="W69" s="862"/>
      <c r="X69" s="862"/>
      <c r="Y69" s="862"/>
      <c r="Z69" s="862"/>
      <c r="AA69" s="862"/>
    </row>
    <row r="70" spans="1:27" s="863" customFormat="1" ht="35.1" customHeight="1">
      <c r="A70" s="2174" t="str">
        <f>VLOOKUP(ROW()-ROW($A$5),TongHopKL!A:B,2,0)</f>
        <v>KQ2/0</v>
      </c>
      <c r="B70" s="1735">
        <f>SUM($O$6:O70)</f>
        <v>65</v>
      </c>
      <c r="C70" s="1736" t="str">
        <f>(VLOOKUP(A70,TongHopKL!B:F,5,0))</f>
        <v>Kẹp quai 2/0</v>
      </c>
      <c r="D70" s="1737" t="str">
        <f>IFERROR(VLOOKUP(A70,DG!A:D,4,0),0)</f>
        <v>cái</v>
      </c>
      <c r="E70" s="1738">
        <f>SUMIF(TongHopKL!B:B,'NT-VT'!A70,TongHopKL!H:H)</f>
        <v>3</v>
      </c>
      <c r="F70" s="1735" t="str">
        <f>IFERROR(VLOOKUP(A70,Solieu!G:M,2,0),"")</f>
        <v>nt</v>
      </c>
      <c r="G70" s="1735" t="str">
        <f>IFERROR(VLOOKUP(A70,Solieu!G:M,3,0),"")</f>
        <v>nt</v>
      </c>
      <c r="H70" s="1735"/>
      <c r="I70" s="1739"/>
      <c r="J70" s="1740" t="str">
        <f>IFERROR(VLOOKUP(A70,Solieu!G:M,4,0),"")</f>
        <v>nt</v>
      </c>
      <c r="K70" s="1741" t="str">
        <f>IFERROR(VLOOKUP(A70,Solieu!G:M,5,0),"")</f>
        <v>nt</v>
      </c>
      <c r="L70" s="1955">
        <f>IFERROR(VLOOKUP(A70,Solieu!G:M,6,0),"")</f>
        <v>0</v>
      </c>
      <c r="M70" s="1739">
        <f>IFERROR(VLOOKUP(A70,Solieu!G:M,7,0),"")</f>
        <v>0</v>
      </c>
      <c r="N70" s="1268" t="s">
        <v>4217</v>
      </c>
      <c r="O70" s="1482">
        <f t="shared" si="0"/>
        <v>1</v>
      </c>
      <c r="P70" s="1264"/>
      <c r="Q70" s="1438"/>
      <c r="R70" s="1483"/>
      <c r="S70" s="862"/>
      <c r="T70" s="862"/>
      <c r="U70" s="862"/>
      <c r="V70" s="862"/>
      <c r="W70" s="862"/>
      <c r="X70" s="862"/>
      <c r="Y70" s="862"/>
      <c r="Z70" s="862"/>
      <c r="AA70" s="862"/>
    </row>
    <row r="71" spans="1:27" s="863" customFormat="1" ht="35.1" customHeight="1">
      <c r="A71" s="2174" t="str">
        <f>VLOOKUP(ROW()-ROW($A$5),TongHopKL!A:B,2,0)</f>
        <v xml:space="preserve">KQ2/0 </v>
      </c>
      <c r="B71" s="1735">
        <f>SUM($O$6:O71)</f>
        <v>66</v>
      </c>
      <c r="C71" s="1736" t="str">
        <f>(VLOOKUP(A71,TongHopKL!B:F,5,0))</f>
        <v>Kẹp quai 2/0 + chụp cách điện</v>
      </c>
      <c r="D71" s="1737" t="str">
        <f>IFERROR(VLOOKUP(A71,DG!A:D,4,0),0)</f>
        <v>bộ</v>
      </c>
      <c r="E71" s="1738">
        <f>SUMIF(TongHopKL!B:B,'NT-VT'!A71,TongHopKL!H:H)</f>
        <v>6</v>
      </c>
      <c r="F71" s="1735" t="str">
        <f>IFERROR(VLOOKUP(A71,Solieu!G:M,2,0),"")</f>
        <v>nt</v>
      </c>
      <c r="G71" s="1735" t="str">
        <f>IFERROR(VLOOKUP(A71,Solieu!G:M,3,0),"")</f>
        <v>nt</v>
      </c>
      <c r="H71" s="1735"/>
      <c r="I71" s="1739"/>
      <c r="J71" s="1740" t="str">
        <f>IFERROR(VLOOKUP(A71,Solieu!G:M,4,0),"")</f>
        <v>nt</v>
      </c>
      <c r="K71" s="1741" t="str">
        <f>IFERROR(VLOOKUP(A71,Solieu!G:M,5,0),"")</f>
        <v>nt</v>
      </c>
      <c r="L71" s="1955">
        <f>IFERROR(VLOOKUP(A71,Solieu!G:M,6,0),"")</f>
        <v>0</v>
      </c>
      <c r="M71" s="1739">
        <f>IFERROR(VLOOKUP(A71,Solieu!G:M,7,0),"")</f>
        <v>0</v>
      </c>
      <c r="N71" s="1268" t="s">
        <v>4217</v>
      </c>
      <c r="O71" s="1482">
        <f t="shared" ref="O71:O127" si="1">IF(ISERROR(C71),"",1)</f>
        <v>1</v>
      </c>
      <c r="P71" s="1264"/>
      <c r="Q71" s="1438"/>
      <c r="R71" s="1483"/>
      <c r="S71" s="862"/>
      <c r="T71" s="862"/>
      <c r="U71" s="862"/>
      <c r="V71" s="862"/>
      <c r="W71" s="862"/>
      <c r="X71" s="862"/>
      <c r="Y71" s="862"/>
      <c r="Z71" s="862"/>
      <c r="AA71" s="862"/>
    </row>
    <row r="72" spans="1:27" s="863" customFormat="1" ht="35.1" customHeight="1">
      <c r="A72" s="2174" t="str">
        <f>VLOOKUP(ROW()-ROW($A$5),TongHopKL!A:B,2,0)</f>
        <v>KVRN114</v>
      </c>
      <c r="B72" s="1735">
        <f>SUM($O$6:O72)</f>
        <v>67</v>
      </c>
      <c r="C72" s="1736" t="str">
        <f>(VLOOKUP(A72,TongHopKL!B:F,5,0))</f>
        <v>Khâu ven răng ngoài D114</v>
      </c>
      <c r="D72" s="1737" t="str">
        <f>IFERROR(VLOOKUP(A72,DG!A:D,4,0),0)</f>
        <v>cái</v>
      </c>
      <c r="E72" s="1738">
        <f>SUMIF(TongHopKL!B:B,'NT-VT'!A72,TongHopKL!H:H)</f>
        <v>1</v>
      </c>
      <c r="F72" s="1735" t="str">
        <f>IFERROR(VLOOKUP(A72,Solieu!G:M,2,0),"")</f>
        <v>nt</v>
      </c>
      <c r="G72" s="1735" t="str">
        <f>IFERROR(VLOOKUP(A72,Solieu!G:M,3,0),"")</f>
        <v>nt</v>
      </c>
      <c r="H72" s="1735"/>
      <c r="I72" s="1739"/>
      <c r="J72" s="1740" t="str">
        <f>IFERROR(VLOOKUP(A72,Solieu!G:M,4,0),"")</f>
        <v>nt</v>
      </c>
      <c r="K72" s="1741" t="str">
        <f>IFERROR(VLOOKUP(A72,Solieu!G:M,5,0),"")</f>
        <v>nt</v>
      </c>
      <c r="L72" s="1955">
        <f>IFERROR(VLOOKUP(A72,Solieu!G:M,6,0),"")</f>
        <v>0</v>
      </c>
      <c r="M72" s="1739">
        <f>IFERROR(VLOOKUP(A72,Solieu!G:M,7,0),"")</f>
        <v>0</v>
      </c>
      <c r="N72" s="1268" t="s">
        <v>4217</v>
      </c>
      <c r="O72" s="1482">
        <f t="shared" si="1"/>
        <v>1</v>
      </c>
      <c r="P72" s="1264"/>
      <c r="Q72" s="1438"/>
      <c r="R72" s="1483"/>
      <c r="S72" s="862"/>
      <c r="T72" s="862"/>
      <c r="U72" s="862"/>
      <c r="V72" s="862"/>
      <c r="W72" s="862"/>
      <c r="X72" s="862"/>
      <c r="Y72" s="862"/>
      <c r="Z72" s="862"/>
      <c r="AA72" s="862"/>
    </row>
    <row r="73" spans="1:27" s="863" customFormat="1" ht="35.1" customHeight="1">
      <c r="A73" s="2174" t="str">
        <f>VLOOKUP(ROW()-ROW($A$5),TongHopKL!A:B,2,0)</f>
        <v>KVRT114</v>
      </c>
      <c r="B73" s="1735">
        <f>SUM($O$6:O73)</f>
        <v>68</v>
      </c>
      <c r="C73" s="1736" t="str">
        <f>(VLOOKUP(A73,TongHopKL!B:F,5,0))</f>
        <v>Khâu ven răng trong D114</v>
      </c>
      <c r="D73" s="1737" t="str">
        <f>IFERROR(VLOOKUP(A73,DG!A:D,4,0),0)</f>
        <v>cái</v>
      </c>
      <c r="E73" s="1738">
        <f>SUMIF(TongHopKL!B:B,'NT-VT'!A73,TongHopKL!H:H)</f>
        <v>1</v>
      </c>
      <c r="F73" s="1735" t="str">
        <f>IFERROR(VLOOKUP(A73,Solieu!G:M,2,0),"")</f>
        <v>nt</v>
      </c>
      <c r="G73" s="1735" t="str">
        <f>IFERROR(VLOOKUP(A73,Solieu!G:M,3,0),"")</f>
        <v>nt</v>
      </c>
      <c r="H73" s="1735"/>
      <c r="I73" s="1739"/>
      <c r="J73" s="1740" t="str">
        <f>IFERROR(VLOOKUP(A73,Solieu!G:M,4,0),"")</f>
        <v>nt</v>
      </c>
      <c r="K73" s="1741" t="str">
        <f>IFERROR(VLOOKUP(A73,Solieu!G:M,5,0),"")</f>
        <v>nt</v>
      </c>
      <c r="L73" s="1955">
        <f>IFERROR(VLOOKUP(A73,Solieu!G:M,6,0),"")</f>
        <v>0</v>
      </c>
      <c r="M73" s="1739">
        <f>IFERROR(VLOOKUP(A73,Solieu!G:M,7,0),"")</f>
        <v>0</v>
      </c>
      <c r="N73" s="1268" t="s">
        <v>4217</v>
      </c>
      <c r="O73" s="1482">
        <f t="shared" si="1"/>
        <v>1</v>
      </c>
      <c r="P73" s="1264"/>
      <c r="Q73" s="1438"/>
      <c r="R73" s="1483"/>
      <c r="S73" s="862"/>
      <c r="T73" s="862"/>
      <c r="U73" s="862"/>
      <c r="V73" s="862"/>
      <c r="W73" s="862"/>
      <c r="X73" s="862"/>
      <c r="Y73" s="862"/>
      <c r="Z73" s="862"/>
      <c r="AA73" s="862"/>
    </row>
    <row r="74" spans="1:27" s="863" customFormat="1" ht="35.1" customHeight="1">
      <c r="A74" s="2174" t="str">
        <f>VLOOKUP(ROW()-ROW($A$5),TongHopKL!A:B,2,0)</f>
        <v>MANG</v>
      </c>
      <c r="B74" s="1735">
        <f>SUM($O$6:O74)</f>
        <v>69</v>
      </c>
      <c r="C74" s="1736" t="str">
        <f>(VLOOKUP(A74,TongHopKL!B:F,5,0))</f>
        <v>Máng che dây chằng dày 1,6mm</v>
      </c>
      <c r="D74" s="1737" t="str">
        <f>IFERROR(VLOOKUP(A74,DG!A:D,4,0),0)</f>
        <v>cái</v>
      </c>
      <c r="E74" s="1738">
        <f>SUMIF(TongHopKL!B:B,'NT-VT'!A74,TongHopKL!H:H)</f>
        <v>1</v>
      </c>
      <c r="F74" s="1735" t="str">
        <f>IFERROR(VLOOKUP(A74,Solieu!G:M,2,0),"")</f>
        <v>nt</v>
      </c>
      <c r="G74" s="1735" t="str">
        <f>IFERROR(VLOOKUP(A74,Solieu!G:M,3,0),"")</f>
        <v>nt</v>
      </c>
      <c r="H74" s="1735"/>
      <c r="I74" s="1739"/>
      <c r="J74" s="1740" t="str">
        <f>IFERROR(VLOOKUP(A74,Solieu!G:M,4,0),"")</f>
        <v>nt</v>
      </c>
      <c r="K74" s="1741" t="str">
        <f>IFERROR(VLOOKUP(A74,Solieu!G:M,5,0),"")</f>
        <v>nt</v>
      </c>
      <c r="L74" s="1955">
        <f>IFERROR(VLOOKUP(A74,Solieu!G:M,6,0),"")</f>
        <v>0</v>
      </c>
      <c r="M74" s="1739">
        <f>IFERROR(VLOOKUP(A74,Solieu!G:M,7,0),"")</f>
        <v>0</v>
      </c>
      <c r="N74" s="1268" t="s">
        <v>4217</v>
      </c>
      <c r="O74" s="1482">
        <f t="shared" si="1"/>
        <v>1</v>
      </c>
      <c r="P74" s="1264"/>
      <c r="Q74" s="1438"/>
      <c r="R74" s="1483"/>
      <c r="S74" s="862"/>
      <c r="T74" s="862"/>
      <c r="U74" s="862"/>
      <c r="V74" s="862"/>
      <c r="W74" s="862"/>
      <c r="X74" s="862"/>
      <c r="Y74" s="862"/>
      <c r="Z74" s="862"/>
      <c r="AA74" s="862"/>
    </row>
    <row r="75" spans="1:27" s="863" customFormat="1" ht="35.1" customHeight="1">
      <c r="A75" s="2174" t="str">
        <f>VLOOKUP(ROW()-ROW($A$5),TongHopKL!A:B,2,0)</f>
        <v>MT</v>
      </c>
      <c r="B75" s="1735">
        <f>SUM($O$6:O75)</f>
        <v>70</v>
      </c>
      <c r="C75" s="1736" t="str">
        <f>(VLOOKUP(A75,TongHopKL!B:F,5,0))</f>
        <v xml:space="preserve">Móc treo chữ U </v>
      </c>
      <c r="D75" s="1737" t="str">
        <f>IFERROR(VLOOKUP(A75,DG!A:D,4,0),0)</f>
        <v>cái</v>
      </c>
      <c r="E75" s="1738">
        <f>SUMIF(TongHopKL!B:B,'NT-VT'!A75,TongHopKL!H:H)</f>
        <v>48</v>
      </c>
      <c r="F75" s="1735" t="str">
        <f>IFERROR(VLOOKUP(A75,Solieu!G:M,2,0),"")</f>
        <v>nt</v>
      </c>
      <c r="G75" s="1735" t="str">
        <f>IFERROR(VLOOKUP(A75,Solieu!G:M,3,0),"")</f>
        <v>nt</v>
      </c>
      <c r="H75" s="1735"/>
      <c r="I75" s="1739"/>
      <c r="J75" s="1740" t="str">
        <f>IFERROR(VLOOKUP(A75,Solieu!G:M,4,0),"")</f>
        <v>nt</v>
      </c>
      <c r="K75" s="1741" t="str">
        <f>IFERROR(VLOOKUP(A75,Solieu!G:M,5,0),"")</f>
        <v>nt</v>
      </c>
      <c r="L75" s="1955">
        <f>IFERROR(VLOOKUP(A75,Solieu!G:M,6,0),"")</f>
        <v>0</v>
      </c>
      <c r="M75" s="1739">
        <f>IFERROR(VLOOKUP(A75,Solieu!G:M,7,0),"")</f>
        <v>0</v>
      </c>
      <c r="N75" s="1268" t="s">
        <v>4217</v>
      </c>
      <c r="O75" s="1482">
        <f t="shared" si="1"/>
        <v>1</v>
      </c>
      <c r="P75" s="1264"/>
      <c r="Q75" s="1438"/>
      <c r="R75" s="1483"/>
      <c r="S75" s="862"/>
      <c r="T75" s="862"/>
      <c r="U75" s="862"/>
      <c r="V75" s="862"/>
      <c r="W75" s="862"/>
      <c r="X75" s="862"/>
      <c r="Y75" s="862"/>
      <c r="Z75" s="862"/>
      <c r="AA75" s="862"/>
    </row>
    <row r="76" spans="1:27" s="863" customFormat="1" ht="35.1" customHeight="1">
      <c r="A76" s="2174" t="str">
        <f>VLOOKUP(ROW()-ROW($A$5),TongHopKL!A:B,2,0)</f>
        <v>NX</v>
      </c>
      <c r="B76" s="1735">
        <f>SUM($O$6:O76)</f>
        <v>71</v>
      </c>
      <c r="C76" s="1736" t="str">
        <f>(VLOOKUP(A76,TongHopKL!B:F,5,0))</f>
        <v>Neo xòe 8 hướng (dày 3,2mm)</v>
      </c>
      <c r="D76" s="1737" t="str">
        <f>IFERROR(VLOOKUP(A76,DG!A:D,4,0),0)</f>
        <v>cái</v>
      </c>
      <c r="E76" s="1738">
        <f>SUMIF(TongHopKL!B:B,'NT-VT'!A76,TongHopKL!H:H)</f>
        <v>1</v>
      </c>
      <c r="F76" s="1735" t="str">
        <f>IFERROR(VLOOKUP(A76,Solieu!G:M,2,0),"")</f>
        <v>nt</v>
      </c>
      <c r="G76" s="1735" t="str">
        <f>IFERROR(VLOOKUP(A76,Solieu!G:M,3,0),"")</f>
        <v>nt</v>
      </c>
      <c r="H76" s="1735"/>
      <c r="I76" s="1739"/>
      <c r="J76" s="1740" t="str">
        <f>IFERROR(VLOOKUP(A76,Solieu!G:M,4,0),"")</f>
        <v>nt</v>
      </c>
      <c r="K76" s="1741" t="str">
        <f>IFERROR(VLOOKUP(A76,Solieu!G:M,5,0),"")</f>
        <v>nt</v>
      </c>
      <c r="L76" s="1955">
        <f>IFERROR(VLOOKUP(A76,Solieu!G:M,6,0),"")</f>
        <v>0</v>
      </c>
      <c r="M76" s="1739">
        <f>IFERROR(VLOOKUP(A76,Solieu!G:M,7,0),"")</f>
        <v>0</v>
      </c>
      <c r="N76" s="1268" t="s">
        <v>4217</v>
      </c>
      <c r="O76" s="1482">
        <f t="shared" si="1"/>
        <v>1</v>
      </c>
      <c r="P76" s="1264"/>
      <c r="Q76" s="1438"/>
      <c r="R76" s="1483"/>
      <c r="S76" s="862"/>
      <c r="T76" s="862"/>
      <c r="U76" s="862"/>
      <c r="V76" s="862"/>
      <c r="W76" s="862"/>
      <c r="X76" s="862"/>
      <c r="Y76" s="862"/>
      <c r="Z76" s="862"/>
      <c r="AA76" s="862"/>
    </row>
    <row r="77" spans="1:27" s="863" customFormat="1" ht="35.1" customHeight="1">
      <c r="A77" s="2174" t="str">
        <f>VLOOKUP(ROW()-ROW($A$5),TongHopKL!A:B,2,0)</f>
        <v>OXC25</v>
      </c>
      <c r="B77" s="1735">
        <f>SUM($O$6:O77)</f>
        <v>72</v>
      </c>
      <c r="C77" s="1736" t="str">
        <f>(VLOOKUP(A77,TongHopKL!B:F,5,0))</f>
        <v>Ốc siết cáp cỡ 25mm2</v>
      </c>
      <c r="D77" s="1737" t="str">
        <f>IFERROR(VLOOKUP(A77,DG!A:D,4,0),0)</f>
        <v>cái</v>
      </c>
      <c r="E77" s="1738">
        <f>SUMIF(TongHopKL!B:B,'NT-VT'!A77,TongHopKL!H:H)</f>
        <v>14</v>
      </c>
      <c r="F77" s="1735" t="str">
        <f>IFERROR(VLOOKUP(A77,Solieu!G:M,2,0),"")</f>
        <v>nt</v>
      </c>
      <c r="G77" s="1735" t="str">
        <f>IFERROR(VLOOKUP(A77,Solieu!G:M,3,0),"")</f>
        <v>nt</v>
      </c>
      <c r="H77" s="1735"/>
      <c r="I77" s="1739"/>
      <c r="J77" s="1740" t="str">
        <f>IFERROR(VLOOKUP(A77,Solieu!G:M,4,0),"")</f>
        <v>nt</v>
      </c>
      <c r="K77" s="1741" t="str">
        <f>IFERROR(VLOOKUP(A77,Solieu!G:M,5,0),"")</f>
        <v>nt</v>
      </c>
      <c r="L77" s="1955">
        <f>IFERROR(VLOOKUP(A77,Solieu!G:M,6,0),"")</f>
        <v>0</v>
      </c>
      <c r="M77" s="1739">
        <f>IFERROR(VLOOKUP(A77,Solieu!G:M,7,0),"")</f>
        <v>0</v>
      </c>
      <c r="N77" s="1268" t="s">
        <v>4217</v>
      </c>
      <c r="O77" s="1482">
        <f t="shared" si="1"/>
        <v>1</v>
      </c>
      <c r="P77" s="1264"/>
      <c r="Q77" s="1438"/>
      <c r="R77" s="1484"/>
    </row>
    <row r="78" spans="1:27" s="863" customFormat="1" ht="35.1" customHeight="1">
      <c r="A78" s="2174" t="str">
        <f>VLOOKUP(ROW()-ROW($A$5),TongHopKL!A:B,2,0)</f>
        <v>PVC114</v>
      </c>
      <c r="B78" s="1735">
        <f>SUM($O$6:O78)</f>
        <v>73</v>
      </c>
      <c r="C78" s="1736" t="str">
        <f>(VLOOKUP(A78,TongHopKL!B:F,5,0))</f>
        <v xml:space="preserve">Ống PVC D114x4,9mm </v>
      </c>
      <c r="D78" s="1737" t="str">
        <f>IFERROR(VLOOKUP(A78,DG!A:D,4,0),0)</f>
        <v>m</v>
      </c>
      <c r="E78" s="1738">
        <f>SUMIF(TongHopKL!B:B,'NT-VT'!A78,TongHopKL!H:H)</f>
        <v>11</v>
      </c>
      <c r="F78" s="1735" t="str">
        <f>IFERROR(VLOOKUP(A78,Solieu!G:M,2,0),"nt")</f>
        <v>nt</v>
      </c>
      <c r="G78" s="1735" t="str">
        <f>IFERROR(VLOOKUP(A78,Solieu!G:M,3,0),"")</f>
        <v>nt</v>
      </c>
      <c r="H78" s="1735"/>
      <c r="I78" s="1739"/>
      <c r="J78" s="1740" t="str">
        <f>IFERROR(VLOOKUP(A78,Solieu!G:M,4,0),"")</f>
        <v>nt</v>
      </c>
      <c r="K78" s="1741" t="str">
        <f>IFERROR(VLOOKUP(A78,Solieu!G:M,5,0),"")</f>
        <v>nt</v>
      </c>
      <c r="L78" s="1955">
        <f>IFERROR(VLOOKUP(A78,Solieu!G:M,6,0),"")</f>
        <v>0</v>
      </c>
      <c r="M78" s="1739">
        <f>IFERROR(VLOOKUP(A78,Solieu!G:M,7,0),"")</f>
        <v>0</v>
      </c>
      <c r="N78" s="1268" t="s">
        <v>4217</v>
      </c>
      <c r="O78" s="1482">
        <f t="shared" si="1"/>
        <v>1</v>
      </c>
      <c r="P78" s="1264"/>
      <c r="Q78" s="1438"/>
      <c r="R78" s="1484"/>
    </row>
    <row r="79" spans="1:27" s="863" customFormat="1" ht="35.1" customHeight="1">
      <c r="A79" s="2174" t="str">
        <f>VLOOKUP(ROW()-ROW($A$5),TongHopKL!A:B,2,0)</f>
        <v>R1</v>
      </c>
      <c r="B79" s="1735">
        <f>SUM($O$6:O79)</f>
        <v>74</v>
      </c>
      <c r="C79" s="1736" t="str">
        <f>(VLOOKUP(A79,TongHopKL!B:F,5,0))</f>
        <v>Uclevis + sứ ống chỉ</v>
      </c>
      <c r="D79" s="1737" t="str">
        <f>IFERROR(VLOOKUP(A79,DG!A:D,4,0),0)</f>
        <v>bộ</v>
      </c>
      <c r="E79" s="1738">
        <f>SUMIF(TongHopKL!B:B,'NT-VT'!A79,TongHopKL!H:H)</f>
        <v>17</v>
      </c>
      <c r="F79" s="1735" t="str">
        <f>IFERROR(VLOOKUP(A79,Solieu!G:M,2,0),"")</f>
        <v>nt</v>
      </c>
      <c r="G79" s="1735" t="str">
        <f>IFERROR(VLOOKUP(A79,Solieu!G:M,3,0),"")</f>
        <v>nt</v>
      </c>
      <c r="H79" s="1735"/>
      <c r="I79" s="1739"/>
      <c r="J79" s="1740" t="str">
        <f>IFERROR(VLOOKUP(A79,Solieu!G:M,4,0),"")</f>
        <v>nt</v>
      </c>
      <c r="K79" s="1741" t="str">
        <f>IFERROR(VLOOKUP(A79,Solieu!G:M,5,0),"")</f>
        <v>nt</v>
      </c>
      <c r="L79" s="1955">
        <f>IFERROR(VLOOKUP(A79,Solieu!G:M,6,0),"")</f>
        <v>0</v>
      </c>
      <c r="M79" s="1739">
        <f>IFERROR(VLOOKUP(A79,Solieu!G:M,7,0),"")</f>
        <v>0</v>
      </c>
      <c r="N79" s="1268" t="s">
        <v>4217</v>
      </c>
      <c r="O79" s="1482">
        <f t="shared" si="1"/>
        <v>1</v>
      </c>
      <c r="P79" s="1264"/>
      <c r="Q79" s="1438"/>
      <c r="R79" s="1484"/>
    </row>
    <row r="80" spans="1:27" s="863" customFormat="1" ht="35.1" customHeight="1">
      <c r="A80" s="2174" t="str">
        <f>VLOOKUP(ROW()-ROW($A$5),TongHopKL!A:B,2,0)</f>
        <v>SL50-1190</v>
      </c>
      <c r="B80" s="1735">
        <f>SUM($O$6:O80)</f>
        <v>75</v>
      </c>
      <c r="C80" s="1736" t="str">
        <f>(VLOOKUP(A80,TongHopKL!B:F,5,0))</f>
        <v>Sắt góc L50 x50 x5 x1190</v>
      </c>
      <c r="D80" s="1737" t="str">
        <f>IFERROR(VLOOKUP(A80,DG!A:D,4,0),0)</f>
        <v>cái</v>
      </c>
      <c r="E80" s="1738">
        <f>SUMIF(TongHopKL!B:B,'NT-VT'!A80,TongHopKL!H:H)</f>
        <v>17</v>
      </c>
      <c r="F80" s="1735" t="str">
        <f>IFERROR(VLOOKUP(A80,Solieu!G:M,2,0),"")</f>
        <v>nt</v>
      </c>
      <c r="G80" s="1735" t="str">
        <f>IFERROR(VLOOKUP(A80,Solieu!G:M,3,0),"")</f>
        <v>nt</v>
      </c>
      <c r="H80" s="1735"/>
      <c r="I80" s="1739"/>
      <c r="J80" s="1740" t="str">
        <f>IFERROR(VLOOKUP(A80,Solieu!G:M,4,0),"")</f>
        <v>nt</v>
      </c>
      <c r="K80" s="1741" t="str">
        <f>IFERROR(VLOOKUP(A80,Solieu!G:M,5,0),"")</f>
        <v>nt</v>
      </c>
      <c r="L80" s="1955">
        <f>IFERROR(VLOOKUP(A80,Solieu!G:M,6,0),"")</f>
        <v>0</v>
      </c>
      <c r="M80" s="1739">
        <f>IFERROR(VLOOKUP(A80,Solieu!G:M,7,0),"")</f>
        <v>0</v>
      </c>
      <c r="N80" s="1268" t="s">
        <v>4217</v>
      </c>
      <c r="O80" s="1482">
        <f t="shared" si="1"/>
        <v>1</v>
      </c>
      <c r="P80" s="1264"/>
      <c r="Q80" s="1438"/>
      <c r="R80" s="1484"/>
    </row>
    <row r="81" spans="1:18" s="863" customFormat="1" ht="35.1" customHeight="1">
      <c r="A81" s="2174" t="str">
        <f>VLOOKUP(ROW()-ROW($A$5),TongHopKL!A:B,2,0)</f>
        <v>SL50-810</v>
      </c>
      <c r="B81" s="1735">
        <f>SUM($O$6:O81)</f>
        <v>76</v>
      </c>
      <c r="C81" s="1736" t="str">
        <f>(VLOOKUP(A81,TongHopKL!B:F,5,0))</f>
        <v>Sắt góc L50 x50 x5 - 810</v>
      </c>
      <c r="D81" s="1737" t="str">
        <f>IFERROR(VLOOKUP(A81,DG!A:D,4,0),0)</f>
        <v>cái</v>
      </c>
      <c r="E81" s="1738">
        <f>SUMIF(TongHopKL!B:B,'NT-VT'!A81,TongHopKL!H:H)</f>
        <v>28</v>
      </c>
      <c r="F81" s="1735" t="str">
        <f>IFERROR(VLOOKUP(A81,Solieu!G:M,2,0),"")</f>
        <v>nt</v>
      </c>
      <c r="G81" s="1735" t="str">
        <f>IFERROR(VLOOKUP(A81,Solieu!G:M,3,0),"")</f>
        <v>nt</v>
      </c>
      <c r="H81" s="1735"/>
      <c r="I81" s="1739"/>
      <c r="J81" s="1740" t="str">
        <f>IFERROR(VLOOKUP(A81,Solieu!G:M,4,0),"")</f>
        <v>nt</v>
      </c>
      <c r="K81" s="1741" t="str">
        <f>IFERROR(VLOOKUP(A81,Solieu!G:M,5,0),"")</f>
        <v>nt</v>
      </c>
      <c r="L81" s="1955">
        <f>IFERROR(VLOOKUP(A81,Solieu!G:M,6,0),"")</f>
        <v>0</v>
      </c>
      <c r="M81" s="1739">
        <f>IFERROR(VLOOKUP(A81,Solieu!G:M,7,0),"")</f>
        <v>0</v>
      </c>
      <c r="N81" s="1268" t="s">
        <v>4217</v>
      </c>
      <c r="O81" s="1482">
        <f t="shared" si="1"/>
        <v>1</v>
      </c>
      <c r="P81" s="1264"/>
      <c r="Q81" s="1438"/>
      <c r="R81" s="1484"/>
    </row>
    <row r="82" spans="1:18" s="863" customFormat="1" ht="35.1" customHeight="1">
      <c r="A82" s="2174" t="str">
        <f>VLOOKUP(ROW()-ROW($A$5),TongHopKL!A:B,2,0)</f>
        <v>SL75-2100</v>
      </c>
      <c r="B82" s="1735">
        <f>SUM($O$6:O82)</f>
        <v>77</v>
      </c>
      <c r="C82" s="1736" t="str">
        <f>(VLOOKUP(A82,TongHopKL!B:F,5,0))</f>
        <v>Sắt góc L75 x75 x8-2100</v>
      </c>
      <c r="D82" s="1737" t="str">
        <f>IFERROR(VLOOKUP(A82,DG!A:D,4,0),0)</f>
        <v>cái</v>
      </c>
      <c r="E82" s="1738">
        <f>SUMIF(TongHopKL!B:B,'NT-VT'!A82,TongHopKL!H:H)</f>
        <v>17</v>
      </c>
      <c r="F82" s="1735" t="str">
        <f>IFERROR(VLOOKUP(A82,Solieu!G:M,2,0),"")</f>
        <v>nt</v>
      </c>
      <c r="G82" s="1735" t="str">
        <f>IFERROR(VLOOKUP(A82,Solieu!G:M,3,0),"")</f>
        <v>nt</v>
      </c>
      <c r="H82" s="1735"/>
      <c r="I82" s="1739"/>
      <c r="J82" s="1740" t="str">
        <f>IFERROR(VLOOKUP(A82,Solieu!G:M,4,0),"")</f>
        <v>nt</v>
      </c>
      <c r="K82" s="1741" t="str">
        <f>IFERROR(VLOOKUP(A82,Solieu!G:M,5,0),"")</f>
        <v>nt</v>
      </c>
      <c r="L82" s="1955">
        <f>IFERROR(VLOOKUP(A82,Solieu!G:M,6,0),"")</f>
        <v>0</v>
      </c>
      <c r="M82" s="1739">
        <f>IFERROR(VLOOKUP(A82,Solieu!G:M,7,0),"")</f>
        <v>0</v>
      </c>
      <c r="N82" s="1268" t="s">
        <v>4217</v>
      </c>
      <c r="O82" s="1482">
        <f t="shared" si="1"/>
        <v>1</v>
      </c>
      <c r="P82" s="1264"/>
      <c r="Q82" s="1480"/>
      <c r="R82" s="1484"/>
    </row>
    <row r="83" spans="1:18" s="863" customFormat="1" ht="35.1" customHeight="1">
      <c r="A83" s="2174" t="str">
        <f>VLOOKUP(ROW()-ROW($A$5),TongHopKL!A:B,2,0)</f>
        <v>SL75-2200</v>
      </c>
      <c r="B83" s="1735">
        <f>SUM($O$6:O83)</f>
        <v>78</v>
      </c>
      <c r="C83" s="1736" t="str">
        <f>(VLOOKUP(A83,TongHopKL!B:F,5,0))</f>
        <v>Sắt góc L75 x75 x8 x2200</v>
      </c>
      <c r="D83" s="1737" t="str">
        <f>IFERROR(VLOOKUP(A83,DG!A:D,4,0),0)</f>
        <v>cái</v>
      </c>
      <c r="E83" s="1738">
        <f>SUMIF(TongHopKL!B:B,'NT-VT'!A83,TongHopKL!H:H)</f>
        <v>14</v>
      </c>
      <c r="F83" s="1735" t="str">
        <f>IFERROR(VLOOKUP(A83,Solieu!G:M,2,0),"")</f>
        <v>nt</v>
      </c>
      <c r="G83" s="1735" t="str">
        <f>IFERROR(VLOOKUP(A83,Solieu!G:M,3,0),"")</f>
        <v>nt</v>
      </c>
      <c r="H83" s="1735"/>
      <c r="I83" s="1739"/>
      <c r="J83" s="1740" t="str">
        <f>IFERROR(VLOOKUP(A83,Solieu!G:M,4,0),"")</f>
        <v>nt</v>
      </c>
      <c r="K83" s="1741" t="str">
        <f>IFERROR(VLOOKUP(A83,Solieu!G:M,5,0),"")</f>
        <v>nt</v>
      </c>
      <c r="L83" s="1955">
        <f>IFERROR(VLOOKUP(A83,Solieu!G:M,6,0),"")</f>
        <v>0</v>
      </c>
      <c r="M83" s="1739">
        <f>IFERROR(VLOOKUP(A83,Solieu!G:M,7,0),"")</f>
        <v>0</v>
      </c>
      <c r="N83" s="1268" t="s">
        <v>4217</v>
      </c>
      <c r="O83" s="1482">
        <f t="shared" si="1"/>
        <v>1</v>
      </c>
      <c r="P83" s="1264"/>
      <c r="Q83" s="1480"/>
      <c r="R83" s="1484"/>
    </row>
    <row r="84" spans="1:18" s="863" customFormat="1" ht="35.1" customHeight="1">
      <c r="A84" s="2174" t="str">
        <f>VLOOKUP(ROW()-ROW($A$5),TongHopKL!A:B,2,0)</f>
        <v>SN</v>
      </c>
      <c r="B84" s="1735">
        <f>SUM($O$6:O84)</f>
        <v>79</v>
      </c>
      <c r="C84" s="1736" t="str">
        <f>(VLOOKUP(A84,TongHopKL!B:F,5,0))</f>
        <v>Sứ chằng</v>
      </c>
      <c r="D84" s="1737" t="str">
        <f>IFERROR(VLOOKUP(A84,DG!A:D,4,0),0)</f>
        <v>cái</v>
      </c>
      <c r="E84" s="1738">
        <f>SUMIF(TongHopKL!B:B,'NT-VT'!A84,TongHopKL!H:H)</f>
        <v>1</v>
      </c>
      <c r="F84" s="1735" t="str">
        <f>IFERROR(VLOOKUP(A84,Solieu!G:M,2,0),"")</f>
        <v>nt</v>
      </c>
      <c r="G84" s="1735" t="str">
        <f>IFERROR(VLOOKUP(A84,Solieu!G:M,3,0),"")</f>
        <v>nt</v>
      </c>
      <c r="H84" s="1735"/>
      <c r="I84" s="1739"/>
      <c r="J84" s="1740" t="str">
        <f>IFERROR(VLOOKUP(A84,Solieu!G:M,4,0),"")</f>
        <v>nt</v>
      </c>
      <c r="K84" s="1741" t="str">
        <f>IFERROR(VLOOKUP(A84,Solieu!G:M,5,0),"")</f>
        <v>nt</v>
      </c>
      <c r="L84" s="1955">
        <f>IFERROR(VLOOKUP(A84,Solieu!G:M,6,0),"")</f>
        <v>0</v>
      </c>
      <c r="M84" s="1739">
        <f>IFERROR(VLOOKUP(A84,Solieu!G:M,7,0),"")</f>
        <v>0</v>
      </c>
      <c r="N84" s="1268" t="s">
        <v>4217</v>
      </c>
      <c r="O84" s="1482">
        <f t="shared" si="1"/>
        <v>1</v>
      </c>
      <c r="P84" s="1264"/>
      <c r="Q84" s="1480"/>
      <c r="R84" s="1484"/>
    </row>
    <row r="85" spans="1:18" s="863" customFormat="1" ht="35.1" customHeight="1">
      <c r="A85" s="2174" t="str">
        <f>VLOOKUP(ROW()-ROW($A$5),TongHopKL!A:B,2,0)</f>
        <v>ssf50</v>
      </c>
      <c r="B85" s="1735">
        <f>SUM($O$6:O85)</f>
        <v>80</v>
      </c>
      <c r="C85" s="1736" t="str">
        <f>(VLOOKUP(A85,TongHopKL!B:F,5,0))</f>
        <v>Dây buộc cổ sứ từ tính dây 50</v>
      </c>
      <c r="D85" s="1737" t="str">
        <f>IFERROR(VLOOKUP(A85,DG!A:D,4,0),0)</f>
        <v>cái</v>
      </c>
      <c r="E85" s="1738">
        <f>SUMIF(TongHopKL!B:B,'NT-VT'!A85,TongHopKL!H:H)</f>
        <v>6</v>
      </c>
      <c r="F85" s="1735" t="str">
        <f>IFERROR(VLOOKUP(A85,Solieu!G:M,2,0),"")</f>
        <v>nt</v>
      </c>
      <c r="G85" s="1735" t="str">
        <f>IFERROR(VLOOKUP(A85,Solieu!G:M,3,0),"")</f>
        <v>nt</v>
      </c>
      <c r="H85" s="1735"/>
      <c r="I85" s="1739"/>
      <c r="J85" s="1740" t="str">
        <f>IFERROR(VLOOKUP(A85,Solieu!G:M,4,0),"")</f>
        <v>nt</v>
      </c>
      <c r="K85" s="1741" t="str">
        <f>IFERROR(VLOOKUP(A85,Solieu!G:M,5,0),"")</f>
        <v>nt</v>
      </c>
      <c r="L85" s="1955">
        <f>IFERROR(VLOOKUP(A85,Solieu!G:M,6,0),"")</f>
        <v>0</v>
      </c>
      <c r="M85" s="1739">
        <f>IFERROR(VLOOKUP(A85,Solieu!G:M,7,0),"")</f>
        <v>0</v>
      </c>
      <c r="N85" s="1268" t="s">
        <v>4217</v>
      </c>
      <c r="O85" s="1482">
        <f t="shared" si="1"/>
        <v>1</v>
      </c>
      <c r="P85" s="1264"/>
      <c r="Q85" s="1480"/>
      <c r="R85" s="1484"/>
    </row>
    <row r="86" spans="1:18" s="863" customFormat="1" ht="35.1" customHeight="1">
      <c r="A86" s="2174" t="str">
        <f>VLOOKUP(ROW()-ROW($A$5),TongHopKL!A:B,2,0)</f>
        <v>TN2224</v>
      </c>
      <c r="B86" s="1735">
        <f>SUM($O$6:O86)</f>
        <v>81</v>
      </c>
      <c r="C86" s="1736" t="str">
        <f>(VLOOKUP(A86,TongHopKL!B:F,5,0))</f>
        <v>Ty neo Ø22x2400</v>
      </c>
      <c r="D86" s="1737" t="str">
        <f>IFERROR(VLOOKUP(A86,DG!A:D,4,0),0)</f>
        <v>cái</v>
      </c>
      <c r="E86" s="1738">
        <f>SUMIF(TongHopKL!B:B,'NT-VT'!A86,TongHopKL!H:H)</f>
        <v>1</v>
      </c>
      <c r="F86" s="1735" t="str">
        <f>IFERROR(VLOOKUP(A86,Solieu!G:M,2,0),"")</f>
        <v>nt</v>
      </c>
      <c r="G86" s="1735" t="str">
        <f>IFERROR(VLOOKUP(A86,Solieu!G:M,3,0),"")</f>
        <v>nt</v>
      </c>
      <c r="H86" s="1735"/>
      <c r="I86" s="1739"/>
      <c r="J86" s="1740" t="str">
        <f>IFERROR(VLOOKUP(A86,Solieu!G:M,4,0),"")</f>
        <v>nt</v>
      </c>
      <c r="K86" s="1741" t="str">
        <f>IFERROR(VLOOKUP(A86,Solieu!G:M,5,0),"")</f>
        <v>nt</v>
      </c>
      <c r="L86" s="1955">
        <f>IFERROR(VLOOKUP(A86,Solieu!G:M,6,0),"")</f>
        <v>0</v>
      </c>
      <c r="M86" s="1739">
        <f>IFERROR(VLOOKUP(A86,Solieu!G:M,7,0),"")</f>
        <v>0</v>
      </c>
      <c r="N86" s="1268" t="s">
        <v>4217</v>
      </c>
      <c r="O86" s="1482">
        <f t="shared" si="1"/>
        <v>1</v>
      </c>
      <c r="P86" s="1264"/>
      <c r="Q86" s="1480"/>
      <c r="R86" s="1484"/>
    </row>
    <row r="87" spans="1:18" s="863" customFormat="1" ht="35.1" customHeight="1">
      <c r="A87" s="2174" t="str">
        <f>VLOOKUP(ROW()-ROW($A$5),TongHopKL!A:B,2,0)</f>
        <v>ttf50</v>
      </c>
      <c r="B87" s="1735">
        <f>SUM($O$6:O87)</f>
        <v>82</v>
      </c>
      <c r="C87" s="1736" t="str">
        <f>(VLOOKUP(A87,TongHopKL!B:F,5,0))</f>
        <v>Dây buộc đầu sứ TTF cỡ dây 50mm2</v>
      </c>
      <c r="D87" s="1737" t="str">
        <f>IFERROR(VLOOKUP(A87,DG!A:D,4,0),0)</f>
        <v>cái</v>
      </c>
      <c r="E87" s="1738">
        <f>SUMIF(TongHopKL!B:B,'NT-VT'!A87,TongHopKL!H:H)</f>
        <v>63</v>
      </c>
      <c r="F87" s="1735" t="str">
        <f>IFERROR(VLOOKUP(A87,Solieu!G:M,2,0),"")</f>
        <v>nt</v>
      </c>
      <c r="G87" s="1735" t="str">
        <f>IFERROR(VLOOKUP(A87,Solieu!G:M,3,0),"")</f>
        <v>nt</v>
      </c>
      <c r="H87" s="1735"/>
      <c r="I87" s="1739"/>
      <c r="J87" s="1740" t="str">
        <f>IFERROR(VLOOKUP(A87,Solieu!G:M,4,0),"")</f>
        <v>nt</v>
      </c>
      <c r="K87" s="1741" t="str">
        <f>IFERROR(VLOOKUP(A87,Solieu!G:M,5,0),"")</f>
        <v>nt</v>
      </c>
      <c r="L87" s="1955">
        <f>IFERROR(VLOOKUP(A87,Solieu!G:M,6,0),"")</f>
        <v>0</v>
      </c>
      <c r="M87" s="1739">
        <f>IFERROR(VLOOKUP(A87,Solieu!G:M,7,0),"")</f>
        <v>0</v>
      </c>
      <c r="N87" s="1268" t="s">
        <v>4217</v>
      </c>
      <c r="O87" s="1482">
        <f t="shared" si="1"/>
        <v>1</v>
      </c>
      <c r="P87" s="1264"/>
      <c r="Q87" s="1480"/>
      <c r="R87" s="1484"/>
    </row>
    <row r="88" spans="1:18" s="863" customFormat="1" ht="35.1" customHeight="1">
      <c r="A88" s="2174" t="str">
        <f>VLOOKUP(ROW()-ROW($A$5),TongHopKL!A:B,2,0)</f>
        <v>tuap3</v>
      </c>
      <c r="B88" s="1735">
        <f>SUM($O$6:O88)</f>
        <v>83</v>
      </c>
      <c r="C88" s="1736" t="str">
        <f>(VLOOKUP(A88,TongHopKL!B:F,5,0))</f>
        <v>Vỏ tủ + khóa tủ</v>
      </c>
      <c r="D88" s="1737" t="str">
        <f>IFERROR(VLOOKUP(A88,DG!A:D,4,0),0)</f>
        <v>cái</v>
      </c>
      <c r="E88" s="1738">
        <f>SUMIF(TongHopKL!B:B,'NT-VT'!A88,TongHopKL!H:H)</f>
        <v>1</v>
      </c>
      <c r="F88" s="1735" t="str">
        <f>IFERROR(VLOOKUP(A88,Solieu!G:M,2,0),"")</f>
        <v>nt</v>
      </c>
      <c r="G88" s="1735" t="str">
        <f>IFERROR(VLOOKUP(A88,Solieu!G:M,3,0),"")</f>
        <v>nt</v>
      </c>
      <c r="H88" s="1735"/>
      <c r="I88" s="1739"/>
      <c r="J88" s="1740" t="str">
        <f>IFERROR(VLOOKUP(A88,Solieu!G:M,4,0),"")</f>
        <v>nt</v>
      </c>
      <c r="K88" s="1741" t="str">
        <f>IFERROR(VLOOKUP(A88,Solieu!G:M,5,0),"")</f>
        <v>nt</v>
      </c>
      <c r="L88" s="1955">
        <f>IFERROR(VLOOKUP(A88,Solieu!G:M,6,0),"")</f>
        <v>0</v>
      </c>
      <c r="M88" s="1739">
        <f>IFERROR(VLOOKUP(A88,Solieu!G:M,7,0),"")</f>
        <v>0</v>
      </c>
      <c r="N88" s="1268" t="s">
        <v>4217</v>
      </c>
      <c r="O88" s="1482">
        <f t="shared" si="1"/>
        <v>1</v>
      </c>
      <c r="P88" s="1264"/>
      <c r="Q88" s="1480"/>
      <c r="R88" s="1484"/>
    </row>
    <row r="89" spans="1:18" s="863" customFormat="1" ht="35.1" customHeight="1">
      <c r="A89" s="2174" t="str">
        <f>VLOOKUP(ROW()-ROW($A$5),TongHopKL!A:B,2,0)</f>
        <v>YC</v>
      </c>
      <c r="B89" s="1735">
        <f>SUM($O$6:O89)</f>
        <v>84</v>
      </c>
      <c r="C89" s="1736" t="str">
        <f>(VLOOKUP(A89,TongHopKL!B:F,5,0))</f>
        <v>Yếm cáp dày 2mm</v>
      </c>
      <c r="D89" s="1737" t="str">
        <f>IFERROR(VLOOKUP(A89,DG!A:D,4,0),0)</f>
        <v>cái</v>
      </c>
      <c r="E89" s="1738">
        <f>SUMIF(TongHopKL!B:B,'NT-VT'!A89,TongHopKL!H:H)</f>
        <v>2</v>
      </c>
      <c r="F89" s="1735" t="str">
        <f>IFERROR(VLOOKUP(A89,Solieu!G:M,2,0),"")</f>
        <v>nt</v>
      </c>
      <c r="G89" s="1735" t="str">
        <f>IFERROR(VLOOKUP(A89,Solieu!G:M,3,0),"")</f>
        <v>nt</v>
      </c>
      <c r="H89" s="1735"/>
      <c r="I89" s="1739"/>
      <c r="J89" s="1740" t="str">
        <f>IFERROR(VLOOKUP(A89,Solieu!G:M,4,0),"")</f>
        <v>nt</v>
      </c>
      <c r="K89" s="1741" t="str">
        <f>IFERROR(VLOOKUP(A89,Solieu!G:M,5,0),"")</f>
        <v>nt</v>
      </c>
      <c r="L89" s="1955">
        <f>IFERROR(VLOOKUP(A89,Solieu!G:M,6,0),"")</f>
        <v>0</v>
      </c>
      <c r="M89" s="1739">
        <f>IFERROR(VLOOKUP(A89,Solieu!G:M,7,0),"")</f>
        <v>0</v>
      </c>
      <c r="N89" s="1268" t="s">
        <v>4217</v>
      </c>
      <c r="O89" s="1482">
        <f t="shared" si="1"/>
        <v>1</v>
      </c>
      <c r="P89" s="1264"/>
      <c r="Q89" s="1480"/>
      <c r="R89" s="1484"/>
    </row>
    <row r="90" spans="1:18" s="863" customFormat="1" ht="35.1" customHeight="1">
      <c r="A90" s="2174" t="str">
        <f>VLOOKUP(ROW()-ROW($A$5),TongHopKL!A:B,2,0)</f>
        <v>GO-CH</v>
      </c>
      <c r="B90" s="1735">
        <f>SUM($O$6:O90)</f>
        <v>85</v>
      </c>
      <c r="C90" s="1736" t="str">
        <f>(VLOOKUP(A90,TongHopKL!B:F,5,0))</f>
        <v>Gỗ chống</v>
      </c>
      <c r="D90" s="1737" t="str">
        <f>IFERROR(VLOOKUP(A90,DG!A:D,4,0),0)</f>
        <v>m3</v>
      </c>
      <c r="E90" s="1738">
        <f>SUMIF(TongHopKL!B:B,'NT-VT'!A90,TongHopKL!H:H)</f>
        <v>8.4000000000000012E-3</v>
      </c>
      <c r="F90" s="1735" t="str">
        <f>IFERROR(VLOOKUP(A90,Solieu!G:M,2,0),"")</f>
        <v>nt</v>
      </c>
      <c r="G90" s="1735" t="str">
        <f>IFERROR(VLOOKUP(A90,Solieu!G:M,3,0),"")</f>
        <v>nt</v>
      </c>
      <c r="H90" s="1735"/>
      <c r="I90" s="1739"/>
      <c r="J90" s="1740" t="str">
        <f>IFERROR(VLOOKUP(A90,Solieu!G:M,4,0),"")</f>
        <v>nt</v>
      </c>
      <c r="K90" s="1741" t="str">
        <f>IFERROR(VLOOKUP(A90,Solieu!G:M,5,0),"")</f>
        <v>nt</v>
      </c>
      <c r="L90" s="1955">
        <f>IFERROR(VLOOKUP(A90,Solieu!G:M,6,0),"")</f>
        <v>0</v>
      </c>
      <c r="M90" s="1739">
        <f>IFERROR(VLOOKUP(A90,Solieu!G:M,7,0),"")</f>
        <v>0</v>
      </c>
      <c r="N90" s="1268" t="s">
        <v>4217</v>
      </c>
      <c r="O90" s="1482">
        <f t="shared" si="1"/>
        <v>1</v>
      </c>
      <c r="P90" s="1264"/>
      <c r="Q90" s="1480"/>
      <c r="R90" s="1484"/>
    </row>
    <row r="91" spans="1:18" s="863" customFormat="1" ht="35.1" customHeight="1">
      <c r="A91" s="2174" t="str">
        <f>VLOOKUP(ROW()-ROW($A$5),TongHopKL!A:B,2,0)</f>
        <v>GO-DN</v>
      </c>
      <c r="B91" s="1735">
        <f>SUM($O$6:O91)</f>
        <v>86</v>
      </c>
      <c r="C91" s="1736" t="str">
        <f>(VLOOKUP(A91,TongHopKL!B:F,5,0))</f>
        <v>Gỗ đà nẹp</v>
      </c>
      <c r="D91" s="1737" t="str">
        <f>IFERROR(VLOOKUP(A91,DG!A:D,4,0),0)</f>
        <v>m3</v>
      </c>
      <c r="E91" s="1738">
        <f>SUMIF(TongHopKL!B:B,'NT-VT'!A91,TongHopKL!H:H)</f>
        <v>5.2500000000000005E-2</v>
      </c>
      <c r="F91" s="1735" t="str">
        <f>IFERROR(VLOOKUP(A91,Solieu!G:M,2,0),"")</f>
        <v>nt</v>
      </c>
      <c r="G91" s="1735" t="str">
        <f>IFERROR(VLOOKUP(A91,Solieu!G:M,3,0),"")</f>
        <v>nt</v>
      </c>
      <c r="H91" s="1735"/>
      <c r="I91" s="1739"/>
      <c r="J91" s="1740" t="str">
        <f>IFERROR(VLOOKUP(A91,Solieu!G:M,4,0),"")</f>
        <v>nt</v>
      </c>
      <c r="K91" s="1741" t="str">
        <f>IFERROR(VLOOKUP(A91,Solieu!G:M,5,0),"")</f>
        <v>nt</v>
      </c>
      <c r="L91" s="1955">
        <f>IFERROR(VLOOKUP(A91,Solieu!G:M,6,0),"")</f>
        <v>0</v>
      </c>
      <c r="M91" s="1739">
        <f>IFERROR(VLOOKUP(A91,Solieu!G:M,7,0),"")</f>
        <v>0</v>
      </c>
      <c r="N91" s="1268" t="s">
        <v>4217</v>
      </c>
      <c r="O91" s="1482">
        <f t="shared" si="1"/>
        <v>1</v>
      </c>
      <c r="P91" s="1264"/>
      <c r="Q91" s="1480"/>
      <c r="R91" s="1484"/>
    </row>
    <row r="92" spans="1:18" s="863" customFormat="1" ht="35.1" customHeight="1">
      <c r="A92" s="2174" t="str">
        <f>VLOOKUP(ROW()-ROW($A$5),TongHopKL!A:B,2,0)</f>
        <v>GO-V</v>
      </c>
      <c r="B92" s="1735">
        <f>SUM($O$6:O92)</f>
        <v>87</v>
      </c>
      <c r="C92" s="1736" t="str">
        <f>(VLOOKUP(A92,TongHopKL!B:F,5,0))</f>
        <v>Gỗ ván (cả nẹp)</v>
      </c>
      <c r="D92" s="1737" t="str">
        <f>IFERROR(VLOOKUP(A92,DG!A:D,4,0),0)</f>
        <v>m3</v>
      </c>
      <c r="E92" s="1738">
        <f>SUMIF(TongHopKL!B:B,'NT-VT'!A92,TongHopKL!H:H)</f>
        <v>0.19800000000000001</v>
      </c>
      <c r="F92" s="1735" t="str">
        <f>IFERROR(VLOOKUP(A92,Solieu!G:M,2,0),"")</f>
        <v>nt</v>
      </c>
      <c r="G92" s="1735" t="str">
        <f>IFERROR(VLOOKUP(A92,Solieu!G:M,3,0),"")</f>
        <v>nt</v>
      </c>
      <c r="H92" s="1735"/>
      <c r="I92" s="1739"/>
      <c r="J92" s="1740" t="str">
        <f>IFERROR(VLOOKUP(A92,Solieu!G:M,4,0),"")</f>
        <v>nt</v>
      </c>
      <c r="K92" s="1741" t="str">
        <f>IFERROR(VLOOKUP(A92,Solieu!G:M,5,0),"")</f>
        <v>nt</v>
      </c>
      <c r="L92" s="1955">
        <f>IFERROR(VLOOKUP(A92,Solieu!G:M,6,0),"")</f>
        <v>0</v>
      </c>
      <c r="M92" s="1739">
        <f>IFERROR(VLOOKUP(A92,Solieu!G:M,7,0),"")</f>
        <v>0</v>
      </c>
      <c r="N92" s="1268" t="s">
        <v>4217</v>
      </c>
      <c r="O92" s="1482">
        <f t="shared" si="1"/>
        <v>1</v>
      </c>
      <c r="P92" s="1264"/>
      <c r="Q92" s="1480"/>
      <c r="R92" s="1484"/>
    </row>
    <row r="93" spans="1:18" s="863" customFormat="1" ht="35.1" customHeight="1">
      <c r="A93" s="2174" t="str">
        <f>VLOOKUP(ROW()-ROW($A$5),TongHopKL!A:B,2,0)</f>
        <v>XM</v>
      </c>
      <c r="B93" s="1735">
        <f>SUM($O$6:O93)</f>
        <v>88</v>
      </c>
      <c r="C93" s="1736" t="str">
        <f>(VLOOKUP(A93,TongHopKL!B:F,5,0))</f>
        <v>Ximăng (PC40)</v>
      </c>
      <c r="D93" s="1737" t="str">
        <f>IFERROR(VLOOKUP(A93,DG!A:D,4,0),0)</f>
        <v>kg</v>
      </c>
      <c r="E93" s="1738">
        <f>SUMIF(TongHopKL!B:B,'NT-VT'!A93,TongHopKL!H:H)</f>
        <v>1760</v>
      </c>
      <c r="F93" s="1735" t="str">
        <f>IFERROR(VLOOKUP(A93,Solieu!G:M,2,0),"")</f>
        <v>Địa phương</v>
      </c>
      <c r="G93" s="1735" t="str">
        <f>IFERROR(VLOOKUP(A93,Solieu!G:M,3,0),"")</f>
        <v>Địa phương</v>
      </c>
      <c r="H93" s="1735"/>
      <c r="I93" s="1739"/>
      <c r="J93" s="1740" t="str">
        <f>IFERROR(VLOOKUP(A93,Solieu!G:M,4,0),"")</f>
        <v xml:space="preserve"> </v>
      </c>
      <c r="K93" s="1741" t="str">
        <f>IFERROR(VLOOKUP(A93,Solieu!G:M,5,0),"")</f>
        <v xml:space="preserve"> </v>
      </c>
      <c r="L93" s="1955">
        <f>IFERROR(VLOOKUP(A93,Solieu!G:M,6,0),"")</f>
        <v>0</v>
      </c>
      <c r="M93" s="1739">
        <f>IFERROR(VLOOKUP(A93,Solieu!G:M,7,0),"")</f>
        <v>0</v>
      </c>
      <c r="N93" s="1268" t="s">
        <v>4217</v>
      </c>
      <c r="O93" s="1482">
        <f t="shared" si="1"/>
        <v>1</v>
      </c>
      <c r="P93" s="1264"/>
      <c r="Q93" s="1480"/>
      <c r="R93" s="1484"/>
    </row>
    <row r="94" spans="1:18" s="863" customFormat="1" ht="35.1" customHeight="1">
      <c r="A94" s="2174" t="str">
        <f>VLOOKUP(ROW()-ROW($A$5),TongHopKL!A:B,2,0)</f>
        <v>Cat</v>
      </c>
      <c r="B94" s="1735">
        <f>SUM($O$6:O94)</f>
        <v>89</v>
      </c>
      <c r="C94" s="1736" t="str">
        <f>(VLOOKUP(A94,TongHopKL!B:F,5,0))</f>
        <v>Cát vàng</v>
      </c>
      <c r="D94" s="1737" t="str">
        <f>IFERROR(VLOOKUP(A94,DG!A:D,4,0),0)</f>
        <v>m3</v>
      </c>
      <c r="E94" s="1738">
        <f>SUMIF(TongHopKL!B:B,'NT-VT'!A94,TongHopKL!H:H)</f>
        <v>3.5449999999999999</v>
      </c>
      <c r="F94" s="1735" t="str">
        <f>IFERROR(VLOOKUP(A94,Solieu!G:M,2,0),"")</f>
        <v>nt</v>
      </c>
      <c r="G94" s="1735" t="str">
        <f>IFERROR(VLOOKUP(A94,Solieu!G:M,3,0),"")</f>
        <v>nt</v>
      </c>
      <c r="H94" s="1735"/>
      <c r="I94" s="1739"/>
      <c r="J94" s="1740" t="str">
        <f>IFERROR(VLOOKUP(A94,Solieu!G:M,4,0),"")</f>
        <v xml:space="preserve"> </v>
      </c>
      <c r="K94" s="1741" t="str">
        <f>IFERROR(VLOOKUP(A94,Solieu!G:M,5,0),"")</f>
        <v xml:space="preserve"> </v>
      </c>
      <c r="L94" s="1955">
        <f>IFERROR(VLOOKUP(A94,Solieu!G:M,6,0),"")</f>
        <v>0</v>
      </c>
      <c r="M94" s="1739">
        <f>IFERROR(VLOOKUP(A94,Solieu!G:M,7,0),"")</f>
        <v>0</v>
      </c>
      <c r="N94" s="1268" t="s">
        <v>4217</v>
      </c>
      <c r="O94" s="1482">
        <f t="shared" si="1"/>
        <v>1</v>
      </c>
      <c r="P94" s="1264"/>
      <c r="Q94" s="1480"/>
      <c r="R94" s="1484"/>
    </row>
    <row r="95" spans="1:18" s="863" customFormat="1" ht="35.1" hidden="1" customHeight="1">
      <c r="A95" s="2174" t="str">
        <f>VLOOKUP(ROW()-ROW($A$5),TongHopKL!A:B,2,0)</f>
        <v>D1X2</v>
      </c>
      <c r="B95" s="1735">
        <f>SUM($O$6:O95)</f>
        <v>90</v>
      </c>
      <c r="C95" s="1736" t="str">
        <f>(VLOOKUP(A95,TongHopKL!B:F,5,0))</f>
        <v>Đá 1x2</v>
      </c>
      <c r="D95" s="1737" t="str">
        <f>IFERROR(VLOOKUP(A95,DG!A:D,4,0),0)</f>
        <v>m3</v>
      </c>
      <c r="E95" s="1738">
        <f>SUMIF(TongHopKL!B:B,'NT-VT'!A95,TongHopKL!H:H)</f>
        <v>6.38</v>
      </c>
      <c r="F95" s="1735" t="str">
        <f>IFERROR(VLOOKUP(A95,Solieu!G:M,2,0),"")</f>
        <v>nt</v>
      </c>
      <c r="G95" s="1735" t="str">
        <f>IFERROR(VLOOKUP(A95,Solieu!G:M,3,0),"")</f>
        <v>nt</v>
      </c>
      <c r="H95" s="1735"/>
      <c r="I95" s="1739"/>
      <c r="J95" s="1740" t="str">
        <f>IFERROR(VLOOKUP(A95,Solieu!G:M,4,0),"")</f>
        <v xml:space="preserve"> </v>
      </c>
      <c r="K95" s="1741" t="str">
        <f>IFERROR(VLOOKUP(A95,Solieu!G:M,5,0),"")</f>
        <v xml:space="preserve"> </v>
      </c>
      <c r="L95" s="1955">
        <f>IFERROR(VLOOKUP(A95,Solieu!G:M,6,0),"")</f>
        <v>0</v>
      </c>
      <c r="M95" s="1739">
        <f>IFERROR(VLOOKUP(A95,Solieu!G:M,7,0),"")</f>
        <v>0</v>
      </c>
      <c r="N95" s="1268" t="s">
        <v>4217</v>
      </c>
      <c r="O95" s="1482">
        <f t="shared" si="1"/>
        <v>1</v>
      </c>
      <c r="P95" s="1264"/>
      <c r="Q95" s="1480"/>
      <c r="R95" s="1484"/>
    </row>
    <row r="96" spans="1:18" s="863" customFormat="1" ht="35.1" hidden="1" customHeight="1">
      <c r="A96" s="2174" t="e">
        <f>VLOOKUP(ROW()-ROW($A$5),TongHopKL!A:B,2,0)</f>
        <v>#N/A</v>
      </c>
      <c r="B96" s="1735">
        <f>SUM($O$6:O96)</f>
        <v>90</v>
      </c>
      <c r="C96" s="1736" t="e">
        <f>(VLOOKUP(A96,TongHopKL!B:F,5,0))</f>
        <v>#N/A</v>
      </c>
      <c r="D96" s="1737">
        <f>IFERROR(VLOOKUP(A96,DG!A:D,4,0),0)</f>
        <v>0</v>
      </c>
      <c r="E96" s="1738">
        <f>SUMIF(TongHopKL!B:B,'NT-VT'!A96,TongHopKL!H:H)</f>
        <v>0</v>
      </c>
      <c r="F96" s="1735" t="str">
        <f>IFERROR(VLOOKUP(A96,Solieu!G:M,2,0),"")</f>
        <v/>
      </c>
      <c r="G96" s="1735" t="str">
        <f>IFERROR(VLOOKUP(A96,Solieu!G:M,3,0),"")</f>
        <v/>
      </c>
      <c r="H96" s="1735"/>
      <c r="I96" s="1739"/>
      <c r="J96" s="1740" t="str">
        <f>IFERROR(VLOOKUP(A96,Solieu!G:M,4,0),"")</f>
        <v/>
      </c>
      <c r="K96" s="1741" t="str">
        <f>IFERROR(VLOOKUP(A96,Solieu!G:M,5,0),"")</f>
        <v/>
      </c>
      <c r="L96" s="1955" t="str">
        <f>IFERROR(VLOOKUP(A96,Solieu!G:M,6,0),"")</f>
        <v/>
      </c>
      <c r="M96" s="1739" t="str">
        <f>IFERROR(VLOOKUP(A96,Solieu!G:M,7,0),"")</f>
        <v/>
      </c>
      <c r="N96" s="1268" t="s">
        <v>4217</v>
      </c>
      <c r="O96" s="1482" t="str">
        <f t="shared" si="1"/>
        <v/>
      </c>
      <c r="P96" s="1264"/>
      <c r="Q96" s="1480"/>
      <c r="R96" s="1484"/>
    </row>
    <row r="97" spans="1:18" s="863" customFormat="1" ht="35.1" hidden="1" customHeight="1">
      <c r="A97" s="2174" t="e">
        <f>VLOOKUP(ROW()-ROW($A$5),TongHopKL!A:B,2,0)</f>
        <v>#N/A</v>
      </c>
      <c r="B97" s="1735">
        <f>SUM($O$6:O97)</f>
        <v>90</v>
      </c>
      <c r="C97" s="1736" t="e">
        <f>(VLOOKUP(A97,TongHopKL!B:F,5,0))</f>
        <v>#N/A</v>
      </c>
      <c r="D97" s="1737">
        <f>IFERROR(VLOOKUP(A97,DG!A:D,4,0),0)</f>
        <v>0</v>
      </c>
      <c r="E97" s="1738">
        <f>SUMIF(TongHopKL!B:B,'NT-VT'!A97,TongHopKL!H:H)</f>
        <v>0</v>
      </c>
      <c r="F97" s="1735" t="str">
        <f>IFERROR(VLOOKUP(A97,Solieu!G:M,2,0),"")</f>
        <v/>
      </c>
      <c r="G97" s="1735" t="str">
        <f>IFERROR(VLOOKUP(A97,Solieu!G:M,3,0),"")</f>
        <v/>
      </c>
      <c r="H97" s="1735"/>
      <c r="I97" s="1739"/>
      <c r="J97" s="1740" t="str">
        <f>IFERROR(VLOOKUP(A97,Solieu!G:M,4,0),"")</f>
        <v/>
      </c>
      <c r="K97" s="1741" t="str">
        <f>IFERROR(VLOOKUP(A97,Solieu!G:M,5,0),"")</f>
        <v/>
      </c>
      <c r="L97" s="1955" t="str">
        <f>IFERROR(VLOOKUP(A97,Solieu!G:M,6,0),"")</f>
        <v/>
      </c>
      <c r="M97" s="1739" t="str">
        <f>IFERROR(VLOOKUP(A97,Solieu!G:M,7,0),"")</f>
        <v/>
      </c>
      <c r="N97" s="1268" t="s">
        <v>4217</v>
      </c>
      <c r="O97" s="1482" t="str">
        <f t="shared" si="1"/>
        <v/>
      </c>
      <c r="P97" s="1264"/>
      <c r="Q97" s="1480"/>
      <c r="R97" s="1484"/>
    </row>
    <row r="98" spans="1:18" s="863" customFormat="1" ht="35.1" hidden="1" customHeight="1">
      <c r="A98" s="2174" t="e">
        <f>VLOOKUP(ROW()-ROW($A$5),TongHopKL!A:B,2,0)</f>
        <v>#N/A</v>
      </c>
      <c r="B98" s="1735">
        <f>SUM($O$6:O98)</f>
        <v>90</v>
      </c>
      <c r="C98" s="1736" t="e">
        <f>(VLOOKUP(A98,TongHopKL!B:F,5,0))</f>
        <v>#N/A</v>
      </c>
      <c r="D98" s="1737">
        <f>IFERROR(VLOOKUP(A98,DG!A:D,4,0),0)</f>
        <v>0</v>
      </c>
      <c r="E98" s="1738">
        <f>SUMIF(TongHopKL!B:B,'NT-VT'!A98,TongHopKL!H:H)</f>
        <v>0</v>
      </c>
      <c r="F98" s="1735" t="str">
        <f>IFERROR(VLOOKUP(A98,Solieu!G:M,2,0),"")</f>
        <v/>
      </c>
      <c r="G98" s="1735" t="str">
        <f>IFERROR(VLOOKUP(A98,Solieu!G:M,3,0),"")</f>
        <v/>
      </c>
      <c r="H98" s="1735"/>
      <c r="I98" s="1739"/>
      <c r="J98" s="1740" t="str">
        <f>IFERROR(VLOOKUP(A98,Solieu!G:M,4,0),"")</f>
        <v/>
      </c>
      <c r="K98" s="1741" t="str">
        <f>IFERROR(VLOOKUP(A98,Solieu!G:M,5,0),"")</f>
        <v/>
      </c>
      <c r="L98" s="1955" t="str">
        <f>IFERROR(VLOOKUP(A98,Solieu!G:M,6,0),"")</f>
        <v/>
      </c>
      <c r="M98" s="1739" t="str">
        <f>IFERROR(VLOOKUP(A98,Solieu!G:M,7,0),"")</f>
        <v/>
      </c>
      <c r="N98" s="1268" t="s">
        <v>4217</v>
      </c>
      <c r="O98" s="1482" t="str">
        <f t="shared" si="1"/>
        <v/>
      </c>
      <c r="P98" s="1264"/>
      <c r="Q98" s="1480"/>
      <c r="R98" s="1484"/>
    </row>
    <row r="99" spans="1:18" s="863" customFormat="1" ht="35.1" hidden="1" customHeight="1">
      <c r="A99" s="2174" t="e">
        <f>VLOOKUP(ROW()-ROW($A$5),TongHopKL!A:B,2,0)</f>
        <v>#N/A</v>
      </c>
      <c r="B99" s="1735">
        <f>SUM($O$6:O99)</f>
        <v>90</v>
      </c>
      <c r="C99" s="1736" t="e">
        <f>(VLOOKUP(A99,TongHopKL!B:F,5,0))</f>
        <v>#N/A</v>
      </c>
      <c r="D99" s="1737">
        <f>IFERROR(VLOOKUP(A99,DG!A:D,4,0),0)</f>
        <v>0</v>
      </c>
      <c r="E99" s="1738">
        <f>SUMIF(TongHopKL!B:B,'NT-VT'!A99,TongHopKL!H:H)</f>
        <v>0</v>
      </c>
      <c r="F99" s="1735" t="str">
        <f>IFERROR(VLOOKUP(A99,Solieu!G:M,2,0),"")</f>
        <v/>
      </c>
      <c r="G99" s="1735" t="str">
        <f>IFERROR(VLOOKUP(A99,Solieu!G:M,3,0),"")</f>
        <v/>
      </c>
      <c r="H99" s="1735"/>
      <c r="I99" s="1739"/>
      <c r="J99" s="1740" t="str">
        <f>IFERROR(VLOOKUP(A99,Solieu!G:M,4,0),"")</f>
        <v/>
      </c>
      <c r="K99" s="1741" t="str">
        <f>IFERROR(VLOOKUP(A99,Solieu!G:M,5,0),"")</f>
        <v/>
      </c>
      <c r="L99" s="1955" t="str">
        <f>IFERROR(VLOOKUP(A99,Solieu!G:M,6,0),"")</f>
        <v/>
      </c>
      <c r="M99" s="1739" t="str">
        <f>IFERROR(VLOOKUP(A99,Solieu!G:M,7,0),"")</f>
        <v/>
      </c>
      <c r="N99" s="1268" t="s">
        <v>4217</v>
      </c>
      <c r="O99" s="1482" t="str">
        <f t="shared" si="1"/>
        <v/>
      </c>
      <c r="P99" s="1264"/>
      <c r="Q99" s="1480"/>
      <c r="R99" s="1484"/>
    </row>
    <row r="100" spans="1:18" s="863" customFormat="1" ht="35.1" hidden="1" customHeight="1">
      <c r="A100" s="2174" t="e">
        <f>VLOOKUP(ROW()-ROW($A$5),TongHopKL!A:B,2,0)</f>
        <v>#N/A</v>
      </c>
      <c r="B100" s="1735">
        <f>SUM($O$6:O100)</f>
        <v>90</v>
      </c>
      <c r="C100" s="1736" t="e">
        <f>(VLOOKUP(A100,TongHopKL!B:F,5,0))</f>
        <v>#N/A</v>
      </c>
      <c r="D100" s="1737">
        <f>IFERROR(VLOOKUP(A100,DG!A:D,4,0),0)</f>
        <v>0</v>
      </c>
      <c r="E100" s="1738">
        <f>SUMIF(TongHopKL!B:B,'NT-VT'!A100,TongHopKL!H:H)</f>
        <v>0</v>
      </c>
      <c r="F100" s="1735" t="str">
        <f>IFERROR(VLOOKUP(A100,Solieu!G:M,2,0),"")</f>
        <v/>
      </c>
      <c r="G100" s="1735" t="str">
        <f>IFERROR(VLOOKUP(A100,Solieu!G:M,3,0),"")</f>
        <v/>
      </c>
      <c r="H100" s="1735"/>
      <c r="I100" s="1739"/>
      <c r="J100" s="1740" t="str">
        <f>IFERROR(VLOOKUP(A100,Solieu!G:M,4,0),"")</f>
        <v/>
      </c>
      <c r="K100" s="1741" t="str">
        <f>IFERROR(VLOOKUP(A100,Solieu!G:M,5,0),"")</f>
        <v/>
      </c>
      <c r="L100" s="1955" t="str">
        <f>IFERROR(VLOOKUP(A100,Solieu!G:M,6,0),"")</f>
        <v/>
      </c>
      <c r="M100" s="1739" t="str">
        <f>IFERROR(VLOOKUP(A100,Solieu!G:M,7,0),"")</f>
        <v/>
      </c>
      <c r="N100" s="1268" t="s">
        <v>4217</v>
      </c>
      <c r="O100" s="1482" t="str">
        <f t="shared" si="1"/>
        <v/>
      </c>
      <c r="P100" s="1264"/>
      <c r="Q100" s="1480"/>
      <c r="R100" s="1484"/>
    </row>
    <row r="101" spans="1:18" s="863" customFormat="1" ht="35.1" hidden="1" customHeight="1">
      <c r="A101" s="2174" t="e">
        <f>VLOOKUP(ROW()-ROW($A$5),TongHopKL!A:B,2,0)</f>
        <v>#N/A</v>
      </c>
      <c r="B101" s="1735">
        <f>SUM($O$6:O101)</f>
        <v>90</v>
      </c>
      <c r="C101" s="1736" t="e">
        <f>(VLOOKUP(A101,TongHopKL!B:F,5,0))</f>
        <v>#N/A</v>
      </c>
      <c r="D101" s="1737">
        <f>IFERROR(VLOOKUP(A101,DG!A:D,4,0),0)</f>
        <v>0</v>
      </c>
      <c r="E101" s="1738">
        <f>SUMIF(TongHopKL!B:B,'NT-VT'!A101,TongHopKL!H:H)</f>
        <v>0</v>
      </c>
      <c r="F101" s="1735" t="str">
        <f>IFERROR(VLOOKUP(A101,Solieu!G:M,2,0),"")</f>
        <v/>
      </c>
      <c r="G101" s="1735" t="str">
        <f>IFERROR(VLOOKUP(A101,Solieu!G:M,3,0),"")</f>
        <v/>
      </c>
      <c r="H101" s="1735"/>
      <c r="I101" s="1739"/>
      <c r="J101" s="1740" t="str">
        <f>IFERROR(VLOOKUP(A101,Solieu!G:M,4,0),"")</f>
        <v/>
      </c>
      <c r="K101" s="1741" t="str">
        <f>IFERROR(VLOOKUP(A101,Solieu!G:M,5,0),"")</f>
        <v/>
      </c>
      <c r="L101" s="1955" t="str">
        <f>IFERROR(VLOOKUP(A101,Solieu!G:M,6,0),"")</f>
        <v/>
      </c>
      <c r="M101" s="1739" t="str">
        <f>IFERROR(VLOOKUP(A101,Solieu!G:M,7,0),"")</f>
        <v/>
      </c>
      <c r="N101" s="1268" t="s">
        <v>4217</v>
      </c>
      <c r="O101" s="1482" t="str">
        <f t="shared" si="1"/>
        <v/>
      </c>
      <c r="P101" s="1264"/>
      <c r="Q101" s="1480"/>
      <c r="R101" s="1484"/>
    </row>
    <row r="102" spans="1:18" s="863" customFormat="1" ht="35.1" hidden="1" customHeight="1">
      <c r="A102" s="2174" t="e">
        <f>VLOOKUP(ROW()-ROW($A$5),TongHopKL!A:B,2,0)</f>
        <v>#N/A</v>
      </c>
      <c r="B102" s="1735">
        <f>SUM($O$6:O102)</f>
        <v>90</v>
      </c>
      <c r="C102" s="1736" t="e">
        <f>(VLOOKUP(A102,TongHopKL!B:F,5,0))</f>
        <v>#N/A</v>
      </c>
      <c r="D102" s="1737">
        <f>IFERROR(VLOOKUP(A102,DG!A:D,4,0),0)</f>
        <v>0</v>
      </c>
      <c r="E102" s="1738">
        <f>SUMIF(TongHopKL!B:B,'NT-VT'!A102,TongHopKL!H:H)</f>
        <v>0</v>
      </c>
      <c r="F102" s="1735" t="str">
        <f>IFERROR(VLOOKUP(A102,Solieu!G:M,2,0),"")</f>
        <v/>
      </c>
      <c r="G102" s="1735" t="str">
        <f>IFERROR(VLOOKUP(A102,Solieu!G:M,3,0),"")</f>
        <v/>
      </c>
      <c r="H102" s="1735"/>
      <c r="I102" s="1739"/>
      <c r="J102" s="1740" t="str">
        <f>IFERROR(VLOOKUP(A102,Solieu!G:M,4,0),"")</f>
        <v/>
      </c>
      <c r="K102" s="1741" t="str">
        <f>IFERROR(VLOOKUP(A102,Solieu!G:M,5,0),"")</f>
        <v/>
      </c>
      <c r="L102" s="1955" t="str">
        <f>IFERROR(VLOOKUP(A102,Solieu!G:M,6,0),"")</f>
        <v/>
      </c>
      <c r="M102" s="1739" t="str">
        <f>IFERROR(VLOOKUP(A102,Solieu!G:M,7,0),"")</f>
        <v/>
      </c>
      <c r="N102" s="1268" t="s">
        <v>4217</v>
      </c>
      <c r="O102" s="1482" t="str">
        <f t="shared" si="1"/>
        <v/>
      </c>
      <c r="P102" s="1264"/>
      <c r="Q102" s="1480"/>
      <c r="R102" s="1484"/>
    </row>
    <row r="103" spans="1:18" s="863" customFormat="1" ht="35.1" hidden="1" customHeight="1">
      <c r="A103" s="2174" t="e">
        <f>VLOOKUP(ROW()-ROW($A$5),TongHopKL!A:B,2,0)</f>
        <v>#N/A</v>
      </c>
      <c r="B103" s="1735">
        <f>SUM($O$6:O103)</f>
        <v>90</v>
      </c>
      <c r="C103" s="1736" t="e">
        <f>(VLOOKUP(A103,TongHopKL!B:F,5,0))</f>
        <v>#N/A</v>
      </c>
      <c r="D103" s="1737">
        <f>IFERROR(VLOOKUP(A103,DG!A:D,4,0),0)</f>
        <v>0</v>
      </c>
      <c r="E103" s="1738">
        <f>SUMIF(TongHopKL!B:B,'NT-VT'!A103,TongHopKL!H:H)</f>
        <v>0</v>
      </c>
      <c r="F103" s="1735" t="str">
        <f>IFERROR(VLOOKUP(A103,Solieu!G:M,2,0),"")</f>
        <v/>
      </c>
      <c r="G103" s="1735" t="str">
        <f>IFERROR(VLOOKUP(A103,Solieu!G:M,3,0),"")</f>
        <v/>
      </c>
      <c r="H103" s="1735"/>
      <c r="I103" s="1739"/>
      <c r="J103" s="1740" t="str">
        <f>IFERROR(VLOOKUP(A103,Solieu!G:M,4,0),"")</f>
        <v/>
      </c>
      <c r="K103" s="1741" t="str">
        <f>IFERROR(VLOOKUP(A103,Solieu!G:M,5,0),"")</f>
        <v/>
      </c>
      <c r="L103" s="1955" t="str">
        <f>IFERROR(VLOOKUP(A103,Solieu!G:M,6,0),"")</f>
        <v/>
      </c>
      <c r="M103" s="1739" t="str">
        <f>IFERROR(VLOOKUP(A103,Solieu!G:M,7,0),"")</f>
        <v/>
      </c>
      <c r="N103" s="1268" t="s">
        <v>4217</v>
      </c>
      <c r="O103" s="1482" t="str">
        <f t="shared" si="1"/>
        <v/>
      </c>
      <c r="P103" s="1264"/>
      <c r="Q103" s="1480"/>
      <c r="R103" s="1484"/>
    </row>
    <row r="104" spans="1:18" s="863" customFormat="1" ht="35.1" hidden="1" customHeight="1">
      <c r="A104" s="2174" t="e">
        <f>VLOOKUP(ROW()-ROW($A$5),TongHopKL!A:B,2,0)</f>
        <v>#N/A</v>
      </c>
      <c r="B104" s="1735">
        <f>SUM($O$6:O104)</f>
        <v>90</v>
      </c>
      <c r="C104" s="1736" t="e">
        <f>(VLOOKUP(A104,TongHopKL!B:F,5,0))</f>
        <v>#N/A</v>
      </c>
      <c r="D104" s="1737">
        <f>IFERROR(VLOOKUP(A104,DG!A:D,4,0),0)</f>
        <v>0</v>
      </c>
      <c r="E104" s="1738">
        <f>SUMIF(TongHopKL!B:B,'NT-VT'!A104,TongHopKL!H:H)</f>
        <v>0</v>
      </c>
      <c r="F104" s="1735" t="str">
        <f>IFERROR(VLOOKUP(A104,Solieu!G:M,2,0),"")</f>
        <v/>
      </c>
      <c r="G104" s="1735" t="str">
        <f>IFERROR(VLOOKUP(A104,Solieu!G:M,3,0),"")</f>
        <v/>
      </c>
      <c r="H104" s="1735"/>
      <c r="I104" s="1739"/>
      <c r="J104" s="1740" t="str">
        <f>IFERROR(VLOOKUP(A104,Solieu!G:M,4,0),"")</f>
        <v/>
      </c>
      <c r="K104" s="1741" t="str">
        <f>IFERROR(VLOOKUP(A104,Solieu!G:M,5,0),"")</f>
        <v/>
      </c>
      <c r="L104" s="1955" t="str">
        <f>IFERROR(VLOOKUP(A104,Solieu!G:M,6,0),"")</f>
        <v/>
      </c>
      <c r="M104" s="1739" t="str">
        <f>IFERROR(VLOOKUP(A104,Solieu!G:M,7,0),"")</f>
        <v/>
      </c>
      <c r="N104" s="1268" t="s">
        <v>4217</v>
      </c>
      <c r="O104" s="1482" t="str">
        <f t="shared" si="1"/>
        <v/>
      </c>
      <c r="P104" s="1264"/>
      <c r="Q104" s="1480"/>
      <c r="R104" s="1484"/>
    </row>
    <row r="105" spans="1:18" s="863" customFormat="1" ht="35.1" hidden="1" customHeight="1">
      <c r="A105" s="2174" t="e">
        <f>VLOOKUP(ROW()-ROW($A$5),TongHopKL!A:B,2,0)</f>
        <v>#N/A</v>
      </c>
      <c r="B105" s="1735">
        <f>SUM($O$6:O105)</f>
        <v>90</v>
      </c>
      <c r="C105" s="1736" t="e">
        <f>(VLOOKUP(A105,TongHopKL!B:F,5,0))</f>
        <v>#N/A</v>
      </c>
      <c r="D105" s="1737">
        <f>IFERROR(VLOOKUP(A105,DG!A:D,4,0),0)</f>
        <v>0</v>
      </c>
      <c r="E105" s="1738">
        <f>SUMIF(TongHopKL!B:B,'NT-VT'!A105,TongHopKL!H:H)</f>
        <v>0</v>
      </c>
      <c r="F105" s="1735" t="str">
        <f>IFERROR(VLOOKUP(A105,Solieu!G:M,2,0),"")</f>
        <v/>
      </c>
      <c r="G105" s="1735" t="str">
        <f>IFERROR(VLOOKUP(A105,Solieu!G:M,3,0),"")</f>
        <v/>
      </c>
      <c r="H105" s="1735"/>
      <c r="I105" s="1739"/>
      <c r="J105" s="1740" t="str">
        <f>IFERROR(VLOOKUP(A105,Solieu!G:M,4,0),"")</f>
        <v/>
      </c>
      <c r="K105" s="1741" t="str">
        <f>IFERROR(VLOOKUP(A105,Solieu!G:M,5,0),"")</f>
        <v/>
      </c>
      <c r="L105" s="1955" t="str">
        <f>IFERROR(VLOOKUP(A105,Solieu!G:M,6,0),"")</f>
        <v/>
      </c>
      <c r="M105" s="1739" t="str">
        <f>IFERROR(VLOOKUP(A105,Solieu!G:M,7,0),"")</f>
        <v/>
      </c>
      <c r="N105" s="1268" t="s">
        <v>4217</v>
      </c>
      <c r="O105" s="1482" t="str">
        <f t="shared" si="1"/>
        <v/>
      </c>
      <c r="P105" s="1264"/>
      <c r="Q105" s="1480"/>
      <c r="R105" s="1484"/>
    </row>
    <row r="106" spans="1:18" s="863" customFormat="1" ht="35.1" hidden="1" customHeight="1">
      <c r="A106" s="2174" t="e">
        <f>VLOOKUP(ROW()-ROW($A$5),TongHopKL!A:B,2,0)</f>
        <v>#N/A</v>
      </c>
      <c r="B106" s="1735">
        <f>SUM($O$6:O106)</f>
        <v>90</v>
      </c>
      <c r="C106" s="1736" t="e">
        <f>(VLOOKUP(A106,TongHopKL!B:F,5,0))</f>
        <v>#N/A</v>
      </c>
      <c r="D106" s="1737">
        <f>IFERROR(VLOOKUP(A106,DG!A:D,4,0),0)</f>
        <v>0</v>
      </c>
      <c r="E106" s="1738">
        <f>SUMIF(TongHopKL!B:B,'NT-VT'!A106,TongHopKL!H:H)</f>
        <v>0</v>
      </c>
      <c r="F106" s="1735" t="str">
        <f>IFERROR(VLOOKUP(A106,Solieu!G:M,2,0),"")</f>
        <v/>
      </c>
      <c r="G106" s="1735" t="str">
        <f>IFERROR(VLOOKUP(A106,Solieu!G:M,3,0),"")</f>
        <v/>
      </c>
      <c r="H106" s="1735"/>
      <c r="I106" s="1739"/>
      <c r="J106" s="1740" t="str">
        <f>IFERROR(VLOOKUP(A106,Solieu!G:M,4,0),"")</f>
        <v/>
      </c>
      <c r="K106" s="1741" t="str">
        <f>IFERROR(VLOOKUP(A106,Solieu!G:M,5,0),"")</f>
        <v/>
      </c>
      <c r="L106" s="1955" t="str">
        <f>IFERROR(VLOOKUP(A106,Solieu!G:M,6,0),"")</f>
        <v/>
      </c>
      <c r="M106" s="1739" t="str">
        <f>IFERROR(VLOOKUP(A106,Solieu!G:M,7,0),"")</f>
        <v/>
      </c>
      <c r="N106" s="1268" t="s">
        <v>4217</v>
      </c>
      <c r="O106" s="1482" t="str">
        <f t="shared" si="1"/>
        <v/>
      </c>
      <c r="P106" s="1264"/>
      <c r="Q106" s="1480"/>
      <c r="R106" s="1484"/>
    </row>
    <row r="107" spans="1:18" s="863" customFormat="1" ht="35.1" hidden="1" customHeight="1">
      <c r="A107" s="2174" t="e">
        <f>VLOOKUP(ROW()-ROW($A$5),TongHopKL!A:B,2,0)</f>
        <v>#N/A</v>
      </c>
      <c r="B107" s="1735">
        <f>SUM($O$6:O107)</f>
        <v>90</v>
      </c>
      <c r="C107" s="1736" t="e">
        <f>(VLOOKUP(A107,DG!A:C,3,0))</f>
        <v>#N/A</v>
      </c>
      <c r="D107" s="1737">
        <f>IFERROR(VLOOKUP(A107,DG!A:D,4,0),0)</f>
        <v>0</v>
      </c>
      <c r="E107" s="1738">
        <f>SUMIF(TongHopKL!B:B,'NT-VT'!A107,TongHopKL!H:H)</f>
        <v>0</v>
      </c>
      <c r="F107" s="1735" t="str">
        <f>IFERROR(VLOOKUP(A107,Solieu!G:M,2,0),"")</f>
        <v/>
      </c>
      <c r="G107" s="1735" t="str">
        <f>IFERROR(VLOOKUP(A107,Solieu!G:M,3,0),"")</f>
        <v/>
      </c>
      <c r="H107" s="1735"/>
      <c r="I107" s="1739"/>
      <c r="J107" s="1740" t="str">
        <f>IFERROR(VLOOKUP(A107,Solieu!G:M,4,0),"")</f>
        <v/>
      </c>
      <c r="K107" s="1741" t="str">
        <f>IFERROR(VLOOKUP(A107,Solieu!G:M,5,0),"")</f>
        <v/>
      </c>
      <c r="L107" s="1955" t="str">
        <f>IFERROR(VLOOKUP(A107,Solieu!G:M,6,0),"")</f>
        <v/>
      </c>
      <c r="M107" s="1739" t="str">
        <f>IFERROR(VLOOKUP(A107,Solieu!G:M,7,0),"")</f>
        <v/>
      </c>
      <c r="N107" s="1268" t="s">
        <v>4217</v>
      </c>
      <c r="O107" s="1482" t="str">
        <f t="shared" si="1"/>
        <v/>
      </c>
      <c r="P107" s="1264"/>
      <c r="Q107" s="1480"/>
      <c r="R107" s="1484"/>
    </row>
    <row r="108" spans="1:18" s="863" customFormat="1" ht="35.1" hidden="1" customHeight="1">
      <c r="A108" s="2174" t="e">
        <f>VLOOKUP(ROW()-ROW($A$5),TongHopKL!A:B,2,0)</f>
        <v>#N/A</v>
      </c>
      <c r="B108" s="1735">
        <f>SUM($O$6:O108)</f>
        <v>90</v>
      </c>
      <c r="C108" s="1736" t="e">
        <f>(VLOOKUP(A108,DG!A:C,3,0))</f>
        <v>#N/A</v>
      </c>
      <c r="D108" s="1737">
        <f>IFERROR(VLOOKUP(A108,DG!A:D,4,0),0)</f>
        <v>0</v>
      </c>
      <c r="E108" s="1738">
        <f>SUMIF(TongHopKL!B:B,'NT-VT'!A108,TongHopKL!H:H)</f>
        <v>0</v>
      </c>
      <c r="F108" s="1735" t="str">
        <f>IFERROR(VLOOKUP(A108,Solieu!G:M,2,0),"")</f>
        <v/>
      </c>
      <c r="G108" s="1735" t="str">
        <f>IFERROR(VLOOKUP(A108,Solieu!G:M,3,0),"")</f>
        <v/>
      </c>
      <c r="H108" s="1735"/>
      <c r="I108" s="1739"/>
      <c r="J108" s="1740" t="str">
        <f>IFERROR(VLOOKUP(A108,Solieu!G:M,4,0),"")</f>
        <v/>
      </c>
      <c r="K108" s="1741" t="str">
        <f>IFERROR(VLOOKUP(A108,Solieu!G:M,5,0),"")</f>
        <v/>
      </c>
      <c r="L108" s="1955" t="str">
        <f>IFERROR(VLOOKUP(A108,Solieu!G:M,6,0),"")</f>
        <v/>
      </c>
      <c r="M108" s="1739" t="str">
        <f>IFERROR(VLOOKUP(A108,Solieu!G:M,7,0),"")</f>
        <v/>
      </c>
      <c r="N108" s="1268" t="s">
        <v>4217</v>
      </c>
      <c r="O108" s="1482" t="str">
        <f t="shared" si="1"/>
        <v/>
      </c>
      <c r="P108" s="1264"/>
      <c r="Q108" s="1480"/>
      <c r="R108" s="1484"/>
    </row>
    <row r="109" spans="1:18" s="863" customFormat="1" ht="35.1" hidden="1" customHeight="1">
      <c r="A109" s="2174" t="e">
        <f>VLOOKUP(ROW()-ROW($A$5),TongHopKL!A:B,2,0)</f>
        <v>#N/A</v>
      </c>
      <c r="B109" s="1735">
        <f>SUM($O$6:O109)</f>
        <v>90</v>
      </c>
      <c r="C109" s="1736" t="e">
        <f>(VLOOKUP(A109,DG!A:C,3,0))</f>
        <v>#N/A</v>
      </c>
      <c r="D109" s="1737">
        <f>IFERROR(VLOOKUP(A109,DG!A:D,4,0),0)</f>
        <v>0</v>
      </c>
      <c r="E109" s="1738">
        <f>SUMIF(TongHopKL!B:B,'NT-VT'!A109,TongHopKL!H:H)</f>
        <v>0</v>
      </c>
      <c r="F109" s="1735" t="str">
        <f>IFERROR(VLOOKUP(A109,Solieu!G:M,2,0),"")</f>
        <v/>
      </c>
      <c r="G109" s="1735" t="str">
        <f>IFERROR(VLOOKUP(A109,Solieu!G:M,3,0),"")</f>
        <v/>
      </c>
      <c r="H109" s="1735"/>
      <c r="I109" s="1739"/>
      <c r="J109" s="1740" t="str">
        <f>IFERROR(VLOOKUP(A109,Solieu!G:M,4,0),"")</f>
        <v/>
      </c>
      <c r="K109" s="1741" t="str">
        <f>IFERROR(VLOOKUP(A109,Solieu!G:M,5,0),"")</f>
        <v/>
      </c>
      <c r="L109" s="1955" t="str">
        <f>IFERROR(VLOOKUP(A109,Solieu!G:M,6,0),"")</f>
        <v/>
      </c>
      <c r="M109" s="1739" t="str">
        <f>IFERROR(VLOOKUP(A109,Solieu!G:M,7,0),"")</f>
        <v/>
      </c>
      <c r="N109" s="1268" t="s">
        <v>4217</v>
      </c>
      <c r="O109" s="1482" t="str">
        <f t="shared" si="1"/>
        <v/>
      </c>
      <c r="P109" s="1264"/>
      <c r="Q109" s="1480"/>
      <c r="R109" s="1484"/>
    </row>
    <row r="110" spans="1:18" s="863" customFormat="1" ht="35.1" hidden="1" customHeight="1">
      <c r="A110" s="2174" t="e">
        <f>VLOOKUP(ROW()-ROW($A$5),TongHopKL!A:B,2,0)</f>
        <v>#N/A</v>
      </c>
      <c r="B110" s="1735">
        <f>SUM($O$6:O110)</f>
        <v>90</v>
      </c>
      <c r="C110" s="1736" t="e">
        <f>(VLOOKUP(A110,DG!A:C,3,0))</f>
        <v>#N/A</v>
      </c>
      <c r="D110" s="1737">
        <f>IFERROR(VLOOKUP(A110,DG!A:D,4,0),0)</f>
        <v>0</v>
      </c>
      <c r="E110" s="1738">
        <f>SUMIF(TongHopKL!B:B,'NT-VT'!A110,TongHopKL!H:H)</f>
        <v>0</v>
      </c>
      <c r="F110" s="1735" t="str">
        <f>IFERROR(VLOOKUP(A110,Solieu!G:M,2,0),"")</f>
        <v/>
      </c>
      <c r="G110" s="1735" t="str">
        <f>IFERROR(VLOOKUP(A110,Solieu!G:M,3,0),"")</f>
        <v/>
      </c>
      <c r="H110" s="1735"/>
      <c r="I110" s="1739"/>
      <c r="J110" s="1740" t="str">
        <f>IFERROR(VLOOKUP(A110,Solieu!G:M,4,0),"")</f>
        <v/>
      </c>
      <c r="K110" s="1741" t="str">
        <f>IFERROR(VLOOKUP(A110,Solieu!G:M,5,0),"")</f>
        <v/>
      </c>
      <c r="L110" s="1955" t="str">
        <f>IFERROR(VLOOKUP(A110,Solieu!G:M,6,0),"")</f>
        <v/>
      </c>
      <c r="M110" s="1739" t="str">
        <f>IFERROR(VLOOKUP(A110,Solieu!G:M,7,0),"")</f>
        <v/>
      </c>
      <c r="N110" s="1268" t="s">
        <v>4217</v>
      </c>
      <c r="O110" s="1482" t="str">
        <f t="shared" si="1"/>
        <v/>
      </c>
      <c r="P110" s="1264"/>
      <c r="Q110" s="1480"/>
      <c r="R110" s="1484"/>
    </row>
    <row r="111" spans="1:18" s="863" customFormat="1" ht="35.1" hidden="1" customHeight="1">
      <c r="A111" s="2174" t="e">
        <f>VLOOKUP(ROW()-ROW($A$5),TongHopKL!A:B,2,0)</f>
        <v>#N/A</v>
      </c>
      <c r="B111" s="1735">
        <f>SUM($O$6:O111)</f>
        <v>90</v>
      </c>
      <c r="C111" s="1736" t="e">
        <f>(VLOOKUP(A111,DG!A:C,3,0))</f>
        <v>#N/A</v>
      </c>
      <c r="D111" s="1737">
        <f>IFERROR(VLOOKUP(A111,DG!A:D,4,0),0)</f>
        <v>0</v>
      </c>
      <c r="E111" s="1738">
        <f>SUMIF(TongHopKL!B:B,'NT-VT'!A111,TongHopKL!H:H)</f>
        <v>0</v>
      </c>
      <c r="F111" s="1735" t="str">
        <f>IFERROR(VLOOKUP(A111,Solieu!G:M,2,0),"")</f>
        <v/>
      </c>
      <c r="G111" s="1735" t="str">
        <f>IFERROR(VLOOKUP(A111,Solieu!G:M,3,0),"")</f>
        <v/>
      </c>
      <c r="H111" s="1735"/>
      <c r="I111" s="1739"/>
      <c r="J111" s="1740" t="str">
        <f>IFERROR(VLOOKUP(A111,Solieu!G:M,4,0),"")</f>
        <v/>
      </c>
      <c r="K111" s="1741" t="str">
        <f>IFERROR(VLOOKUP(A111,Solieu!G:M,5,0),"")</f>
        <v/>
      </c>
      <c r="L111" s="1955" t="str">
        <f>IFERROR(VLOOKUP(A111,Solieu!G:M,6,0),"")</f>
        <v/>
      </c>
      <c r="M111" s="1739" t="str">
        <f>IFERROR(VLOOKUP(A111,Solieu!G:M,7,0),"")</f>
        <v/>
      </c>
      <c r="N111" s="1268" t="s">
        <v>4217</v>
      </c>
      <c r="O111" s="1482" t="str">
        <f t="shared" si="1"/>
        <v/>
      </c>
      <c r="P111" s="1264"/>
      <c r="Q111" s="1480"/>
      <c r="R111" s="1484"/>
    </row>
    <row r="112" spans="1:18" s="863" customFormat="1" ht="35.1" hidden="1" customHeight="1">
      <c r="A112" s="2174" t="e">
        <f>VLOOKUP(ROW()-ROW($A$5),TongHopKL!A:B,2,0)</f>
        <v>#N/A</v>
      </c>
      <c r="B112" s="1735">
        <f>SUM($O$6:O112)</f>
        <v>90</v>
      </c>
      <c r="C112" s="1736" t="e">
        <f>(VLOOKUP(A112,DG!A:C,3,0))</f>
        <v>#N/A</v>
      </c>
      <c r="D112" s="1737">
        <f>IFERROR(VLOOKUP(A112,DG!A:D,4,0),0)</f>
        <v>0</v>
      </c>
      <c r="E112" s="1738">
        <f>SUMIF(TongHopKL!B:B,'NT-VT'!A112,TongHopKL!H:H)</f>
        <v>0</v>
      </c>
      <c r="F112" s="1735" t="str">
        <f>IFERROR(VLOOKUP(A112,Solieu!G:M,2,0),"")</f>
        <v/>
      </c>
      <c r="G112" s="1735" t="str">
        <f>IFERROR(VLOOKUP(A112,Solieu!G:M,3,0),"")</f>
        <v/>
      </c>
      <c r="H112" s="1735"/>
      <c r="I112" s="1739"/>
      <c r="J112" s="1740" t="str">
        <f>IFERROR(VLOOKUP(A112,Solieu!G:M,4,0),"")</f>
        <v/>
      </c>
      <c r="K112" s="1741" t="str">
        <f>IFERROR(VLOOKUP(A112,Solieu!G:M,5,0),"")</f>
        <v/>
      </c>
      <c r="L112" s="1955" t="str">
        <f>IFERROR(VLOOKUP(A112,Solieu!G:M,6,0),"")</f>
        <v/>
      </c>
      <c r="M112" s="1739" t="str">
        <f>IFERROR(VLOOKUP(A112,Solieu!G:M,7,0),"")</f>
        <v/>
      </c>
      <c r="N112" s="1268" t="s">
        <v>4217</v>
      </c>
      <c r="O112" s="1482" t="str">
        <f t="shared" si="1"/>
        <v/>
      </c>
      <c r="P112" s="1264"/>
      <c r="Q112" s="1480"/>
      <c r="R112" s="1484"/>
    </row>
    <row r="113" spans="1:18" s="863" customFormat="1" ht="35.1" hidden="1" customHeight="1">
      <c r="A113" s="2174" t="e">
        <f>VLOOKUP(ROW()-ROW($A$5),TongHopKL!A:B,2,0)</f>
        <v>#N/A</v>
      </c>
      <c r="B113" s="1735">
        <f>SUM($O$6:O113)</f>
        <v>90</v>
      </c>
      <c r="C113" s="1736" t="e">
        <f>(VLOOKUP(A113,DG!A:C,3,0))</f>
        <v>#N/A</v>
      </c>
      <c r="D113" s="1737">
        <f>IFERROR(VLOOKUP(A113,DG!A:D,4,0),0)</f>
        <v>0</v>
      </c>
      <c r="E113" s="1738">
        <f>SUMIF(TongHopKL!B:B,'NT-VT'!A113,TongHopKL!H:H)</f>
        <v>0</v>
      </c>
      <c r="F113" s="1735" t="str">
        <f>IFERROR(VLOOKUP(A113,Solieu!G:M,2,0),"")</f>
        <v/>
      </c>
      <c r="G113" s="1735" t="str">
        <f>IFERROR(VLOOKUP(A113,Solieu!G:M,3,0),"")</f>
        <v/>
      </c>
      <c r="H113" s="1735"/>
      <c r="I113" s="1739"/>
      <c r="J113" s="1740" t="str">
        <f>IFERROR(VLOOKUP(A113,Solieu!G:M,4,0),"")</f>
        <v/>
      </c>
      <c r="K113" s="1741" t="str">
        <f>IFERROR(VLOOKUP(A113,Solieu!G:M,5,0),"")</f>
        <v/>
      </c>
      <c r="L113" s="1955" t="str">
        <f>IFERROR(VLOOKUP(A113,Solieu!G:M,6,0),"")</f>
        <v/>
      </c>
      <c r="M113" s="1739" t="str">
        <f>IFERROR(VLOOKUP(A113,Solieu!G:M,7,0),"")</f>
        <v/>
      </c>
      <c r="N113" s="1268" t="s">
        <v>4217</v>
      </c>
      <c r="O113" s="1482" t="str">
        <f t="shared" si="1"/>
        <v/>
      </c>
      <c r="P113" s="1264"/>
      <c r="Q113" s="1480"/>
      <c r="R113" s="1484"/>
    </row>
    <row r="114" spans="1:18" s="863" customFormat="1" ht="35.1" hidden="1" customHeight="1">
      <c r="A114" s="2174" t="e">
        <f>VLOOKUP(ROW()-ROW($A$5),TongHopKL!A:B,2,0)</f>
        <v>#N/A</v>
      </c>
      <c r="B114" s="1735">
        <f>SUM($O$6:O114)</f>
        <v>90</v>
      </c>
      <c r="C114" s="1736" t="e">
        <f>(VLOOKUP(A114,DG!A:C,3,0))</f>
        <v>#N/A</v>
      </c>
      <c r="D114" s="1737">
        <f>IFERROR(VLOOKUP(A114,DG!A:D,4,0),0)</f>
        <v>0</v>
      </c>
      <c r="E114" s="1738">
        <f>SUMIF(TongHopKL!B:B,'NT-VT'!A114,TongHopKL!H:H)</f>
        <v>0</v>
      </c>
      <c r="F114" s="1735" t="str">
        <f>IFERROR(VLOOKUP(A114,Solieu!G:M,2,0),"")</f>
        <v/>
      </c>
      <c r="G114" s="1735" t="str">
        <f>IFERROR(VLOOKUP(A114,Solieu!G:M,3,0),"")</f>
        <v/>
      </c>
      <c r="H114" s="1735"/>
      <c r="I114" s="1739"/>
      <c r="J114" s="1740" t="str">
        <f>IFERROR(VLOOKUP(A114,Solieu!G:M,4,0),"")</f>
        <v/>
      </c>
      <c r="K114" s="1741" t="str">
        <f>IFERROR(VLOOKUP(A114,Solieu!G:M,5,0),"")</f>
        <v/>
      </c>
      <c r="L114" s="1955" t="str">
        <f>IFERROR(VLOOKUP(A114,Solieu!G:M,6,0),"")</f>
        <v/>
      </c>
      <c r="M114" s="1739" t="str">
        <f>IFERROR(VLOOKUP(A114,Solieu!G:M,7,0),"")</f>
        <v/>
      </c>
      <c r="N114" s="1268" t="s">
        <v>4217</v>
      </c>
      <c r="O114" s="1482" t="str">
        <f t="shared" si="1"/>
        <v/>
      </c>
      <c r="P114" s="1264"/>
      <c r="Q114" s="1480"/>
      <c r="R114" s="1484"/>
    </row>
    <row r="115" spans="1:18" s="863" customFormat="1" ht="35.1" hidden="1" customHeight="1">
      <c r="A115" s="2174" t="e">
        <f>VLOOKUP(ROW()-ROW($A$5),TongHopKL!A:B,2,0)</f>
        <v>#N/A</v>
      </c>
      <c r="B115" s="1735">
        <f>SUM($O$6:O115)</f>
        <v>90</v>
      </c>
      <c r="C115" s="1736" t="e">
        <f>(VLOOKUP(A115,DG!A:C,3,0))</f>
        <v>#N/A</v>
      </c>
      <c r="D115" s="1737">
        <f>IFERROR(VLOOKUP(A115,DG!A:D,4,0),0)</f>
        <v>0</v>
      </c>
      <c r="E115" s="1738">
        <f>SUMIF(TongHopKL!B:B,'NT-VT'!A115,TongHopKL!H:H)</f>
        <v>0</v>
      </c>
      <c r="F115" s="1735" t="str">
        <f>IFERROR(VLOOKUP(A115,Solieu!G:M,2,0),"")</f>
        <v/>
      </c>
      <c r="G115" s="1735" t="str">
        <f>IFERROR(VLOOKUP(A115,Solieu!G:M,3,0),"")</f>
        <v/>
      </c>
      <c r="H115" s="1735"/>
      <c r="I115" s="1739"/>
      <c r="J115" s="1740" t="str">
        <f>IFERROR(VLOOKUP(A115,Solieu!G:M,4,0),"")</f>
        <v/>
      </c>
      <c r="K115" s="1741" t="str">
        <f>IFERROR(VLOOKUP(A115,Solieu!G:M,5,0),"")</f>
        <v/>
      </c>
      <c r="L115" s="1955" t="str">
        <f>IFERROR(VLOOKUP(A115,Solieu!G:M,6,0),"")</f>
        <v/>
      </c>
      <c r="M115" s="1739" t="str">
        <f>IFERROR(VLOOKUP(A115,Solieu!G:M,7,0),"")</f>
        <v/>
      </c>
      <c r="N115" s="1268" t="s">
        <v>4217</v>
      </c>
      <c r="O115" s="1482" t="str">
        <f t="shared" si="1"/>
        <v/>
      </c>
      <c r="P115" s="1264"/>
      <c r="Q115" s="1480"/>
      <c r="R115" s="1484"/>
    </row>
    <row r="116" spans="1:18" s="863" customFormat="1" ht="35.1" hidden="1" customHeight="1">
      <c r="A116" s="2174" t="e">
        <f>VLOOKUP(ROW()-ROW($A$5),TongHopKL!A:B,2,0)</f>
        <v>#N/A</v>
      </c>
      <c r="B116" s="1735">
        <f>SUM($O$6:O116)</f>
        <v>90</v>
      </c>
      <c r="C116" s="1736" t="e">
        <f>(VLOOKUP(A116,DG!A:C,3,0))</f>
        <v>#N/A</v>
      </c>
      <c r="D116" s="1737">
        <f>IFERROR(VLOOKUP(A116,DG!A:D,4,0),0)</f>
        <v>0</v>
      </c>
      <c r="E116" s="1738">
        <f>SUMIF(TongHopKL!B:B,'NT-VT'!A116,TongHopKL!H:H)</f>
        <v>0</v>
      </c>
      <c r="F116" s="1735" t="str">
        <f>IFERROR(VLOOKUP(A116,Solieu!G:M,2,0),"")</f>
        <v/>
      </c>
      <c r="G116" s="1735" t="str">
        <f>IFERROR(VLOOKUP(A116,Solieu!G:M,3,0),"")</f>
        <v/>
      </c>
      <c r="H116" s="1735"/>
      <c r="I116" s="1739"/>
      <c r="J116" s="1740" t="str">
        <f>IFERROR(VLOOKUP(A116,Solieu!G:M,4,0),"")</f>
        <v/>
      </c>
      <c r="K116" s="1741" t="str">
        <f>IFERROR(VLOOKUP(A116,Solieu!G:M,5,0),"")</f>
        <v/>
      </c>
      <c r="L116" s="1955" t="str">
        <f>IFERROR(VLOOKUP(A116,Solieu!G:M,6,0),"")</f>
        <v/>
      </c>
      <c r="M116" s="1739" t="str">
        <f>IFERROR(VLOOKUP(A116,Solieu!G:M,7,0),"")</f>
        <v/>
      </c>
      <c r="N116" s="1268" t="s">
        <v>4217</v>
      </c>
      <c r="O116" s="1482" t="str">
        <f t="shared" si="1"/>
        <v/>
      </c>
      <c r="P116" s="1264"/>
      <c r="Q116" s="1480"/>
      <c r="R116" s="1484"/>
    </row>
    <row r="117" spans="1:18" s="863" customFormat="1" ht="35.1" hidden="1" customHeight="1">
      <c r="A117" s="2174" t="e">
        <f>VLOOKUP(ROW()-ROW($A$5),TongHopKL!A:B,2,0)</f>
        <v>#N/A</v>
      </c>
      <c r="B117" s="1735">
        <f>SUM($O$6:O117)</f>
        <v>90</v>
      </c>
      <c r="C117" s="1736" t="e">
        <f>(VLOOKUP(A117,DG!A:C,3,0))</f>
        <v>#N/A</v>
      </c>
      <c r="D117" s="1737">
        <f>IFERROR(VLOOKUP(A117,DG!A:D,4,0),0)</f>
        <v>0</v>
      </c>
      <c r="E117" s="1738">
        <f>SUMIF(TongHopKL!B:B,'NT-VT'!A117,TongHopKL!H:H)</f>
        <v>0</v>
      </c>
      <c r="F117" s="1735" t="str">
        <f>IFERROR(VLOOKUP(A117,Solieu!G:M,2,0),"")</f>
        <v/>
      </c>
      <c r="G117" s="1735" t="str">
        <f>IFERROR(VLOOKUP(A117,Solieu!G:M,3,0),"")</f>
        <v/>
      </c>
      <c r="H117" s="1735"/>
      <c r="I117" s="1739"/>
      <c r="J117" s="1740" t="str">
        <f>IFERROR(VLOOKUP(A117,Solieu!G:M,4,0),"")</f>
        <v/>
      </c>
      <c r="K117" s="1741" t="str">
        <f>IFERROR(VLOOKUP(A117,Solieu!G:M,5,0),"")</f>
        <v/>
      </c>
      <c r="L117" s="1955" t="str">
        <f>IFERROR(VLOOKUP(A117,Solieu!G:M,6,0),"")</f>
        <v/>
      </c>
      <c r="M117" s="1739" t="str">
        <f>IFERROR(VLOOKUP(A117,Solieu!G:M,7,0),"")</f>
        <v/>
      </c>
      <c r="N117" s="1268" t="s">
        <v>4217</v>
      </c>
      <c r="O117" s="1482" t="str">
        <f t="shared" si="1"/>
        <v/>
      </c>
      <c r="P117" s="1264"/>
      <c r="Q117" s="1480"/>
      <c r="R117" s="1484"/>
    </row>
    <row r="118" spans="1:18" s="863" customFormat="1" ht="35.1" hidden="1" customHeight="1">
      <c r="A118" s="2174" t="e">
        <f>VLOOKUP(ROW()-ROW($A$5),TongHopKL!A:B,2,0)</f>
        <v>#N/A</v>
      </c>
      <c r="B118" s="1735">
        <f>SUM($O$6:O118)</f>
        <v>90</v>
      </c>
      <c r="C118" s="1736" t="e">
        <f>(VLOOKUP(A118,DG!A:C,3,0))</f>
        <v>#N/A</v>
      </c>
      <c r="D118" s="1737">
        <f>IFERROR(VLOOKUP(A118,DG!A:D,4,0),0)</f>
        <v>0</v>
      </c>
      <c r="E118" s="1738">
        <f>SUMIF(TongHopKL!B:B,'NT-VT'!A118,TongHopKL!H:H)</f>
        <v>0</v>
      </c>
      <c r="F118" s="1735" t="str">
        <f>IFERROR(VLOOKUP(A118,Solieu!G:M,2,0),"")</f>
        <v/>
      </c>
      <c r="G118" s="1735" t="str">
        <f>IFERROR(VLOOKUP(A118,Solieu!G:M,3,0),"")</f>
        <v/>
      </c>
      <c r="H118" s="1735"/>
      <c r="I118" s="1739"/>
      <c r="J118" s="1740" t="str">
        <f>IFERROR(VLOOKUP(A118,Solieu!G:M,4,0),"")</f>
        <v/>
      </c>
      <c r="K118" s="1741" t="str">
        <f>IFERROR(VLOOKUP(A118,Solieu!G:M,5,0),"")</f>
        <v/>
      </c>
      <c r="L118" s="1955" t="str">
        <f>IFERROR(VLOOKUP(A118,Solieu!G:M,6,0),"")</f>
        <v/>
      </c>
      <c r="M118" s="1739" t="str">
        <f>IFERROR(VLOOKUP(A118,Solieu!G:M,7,0),"")</f>
        <v/>
      </c>
      <c r="N118" s="1268" t="s">
        <v>4217</v>
      </c>
      <c r="O118" s="1482" t="str">
        <f t="shared" si="1"/>
        <v/>
      </c>
      <c r="P118" s="1264"/>
      <c r="Q118" s="1480"/>
      <c r="R118" s="1484"/>
    </row>
    <row r="119" spans="1:18" s="863" customFormat="1" ht="35.1" hidden="1" customHeight="1">
      <c r="A119" s="2174" t="e">
        <f>VLOOKUP(ROW()-ROW($A$5),TongHopKL!A:B,2,0)</f>
        <v>#N/A</v>
      </c>
      <c r="B119" s="1735">
        <f>SUM($O$6:O119)</f>
        <v>90</v>
      </c>
      <c r="C119" s="1736" t="e">
        <f>(VLOOKUP(A119,DG!A:C,3,0))</f>
        <v>#N/A</v>
      </c>
      <c r="D119" s="1737">
        <f>IFERROR(VLOOKUP(A119,DG!A:D,4,0),0)</f>
        <v>0</v>
      </c>
      <c r="E119" s="1738">
        <f>SUMIF(TongHopKL!B:B,'NT-VT'!A119,TongHopKL!H:H)</f>
        <v>0</v>
      </c>
      <c r="F119" s="1735" t="str">
        <f>IFERROR(VLOOKUP(A119,Solieu!G:M,2,0),"")</f>
        <v/>
      </c>
      <c r="G119" s="1735" t="str">
        <f>IFERROR(VLOOKUP(A119,Solieu!G:M,3,0),"")</f>
        <v/>
      </c>
      <c r="H119" s="1735"/>
      <c r="I119" s="1739"/>
      <c r="J119" s="1740" t="str">
        <f>IFERROR(VLOOKUP(A119,Solieu!G:M,4,0),"")</f>
        <v/>
      </c>
      <c r="K119" s="1741" t="str">
        <f>IFERROR(VLOOKUP(A119,Solieu!G:M,5,0),"")</f>
        <v/>
      </c>
      <c r="L119" s="1955" t="str">
        <f>IFERROR(VLOOKUP(A119,Solieu!G:M,6,0),"")</f>
        <v/>
      </c>
      <c r="M119" s="1739" t="str">
        <f>IFERROR(VLOOKUP(A119,Solieu!G:M,7,0),"")</f>
        <v/>
      </c>
      <c r="N119" s="1268" t="s">
        <v>4217</v>
      </c>
      <c r="O119" s="1482" t="str">
        <f t="shared" si="1"/>
        <v/>
      </c>
      <c r="P119" s="1264"/>
      <c r="Q119" s="1480"/>
      <c r="R119" s="1484"/>
    </row>
    <row r="120" spans="1:18" s="863" customFormat="1" ht="35.1" hidden="1" customHeight="1">
      <c r="A120" s="2174" t="e">
        <f>VLOOKUP(ROW()-ROW($A$5),TongHopKL!A:B,2,0)</f>
        <v>#N/A</v>
      </c>
      <c r="B120" s="1735">
        <f>SUM($O$6:O120)</f>
        <v>90</v>
      </c>
      <c r="C120" s="1736" t="e">
        <f>(VLOOKUP(A120,DG!A:C,3,0))</f>
        <v>#N/A</v>
      </c>
      <c r="D120" s="1737">
        <f>IFERROR(VLOOKUP(A120,DG!A:D,4,0),0)</f>
        <v>0</v>
      </c>
      <c r="E120" s="1738">
        <f>SUMIF(TongHopKL!B:B,'NT-VT'!A120,TongHopKL!H:H)</f>
        <v>0</v>
      </c>
      <c r="F120" s="1735" t="str">
        <f>IFERROR(VLOOKUP(A120,Solieu!G:M,2,0),"")</f>
        <v/>
      </c>
      <c r="G120" s="1735" t="str">
        <f>IFERROR(VLOOKUP(A120,Solieu!G:M,3,0),"")</f>
        <v/>
      </c>
      <c r="H120" s="1735"/>
      <c r="I120" s="1739"/>
      <c r="J120" s="1740" t="str">
        <f>IFERROR(VLOOKUP(A120,Solieu!G:M,4,0),"")</f>
        <v/>
      </c>
      <c r="K120" s="1741" t="str">
        <f>IFERROR(VLOOKUP(A120,Solieu!G:M,5,0),"")</f>
        <v/>
      </c>
      <c r="L120" s="1955" t="str">
        <f>IFERROR(VLOOKUP(A120,Solieu!G:M,6,0),"")</f>
        <v/>
      </c>
      <c r="M120" s="1739" t="str">
        <f>IFERROR(VLOOKUP(A120,Solieu!G:M,7,0),"")</f>
        <v/>
      </c>
      <c r="N120" s="1268" t="s">
        <v>4217</v>
      </c>
      <c r="O120" s="1482" t="str">
        <f t="shared" si="1"/>
        <v/>
      </c>
      <c r="P120" s="1264"/>
      <c r="Q120" s="1480"/>
      <c r="R120" s="1484"/>
    </row>
    <row r="121" spans="1:18" s="863" customFormat="1" ht="35.1" hidden="1" customHeight="1">
      <c r="A121" s="2174" t="e">
        <f>VLOOKUP(ROW()-ROW($A$5),TongHopKL!A:B,2,0)</f>
        <v>#N/A</v>
      </c>
      <c r="B121" s="1735">
        <f>SUM($O$6:O121)</f>
        <v>90</v>
      </c>
      <c r="C121" s="1736" t="e">
        <f>(VLOOKUP(A121,DG!A:C,3,0))</f>
        <v>#N/A</v>
      </c>
      <c r="D121" s="1737">
        <f>IFERROR(VLOOKUP(A121,DG!A:D,4,0),0)</f>
        <v>0</v>
      </c>
      <c r="E121" s="1738">
        <f>SUMIF(TongHopKL!B:B,'NT-VT'!A121,TongHopKL!H:H)</f>
        <v>0</v>
      </c>
      <c r="F121" s="1735" t="str">
        <f>IFERROR(VLOOKUP(A121,Solieu!G:M,2,0),"")</f>
        <v/>
      </c>
      <c r="G121" s="1735" t="str">
        <f>IFERROR(VLOOKUP(A121,Solieu!G:M,3,0),"")</f>
        <v/>
      </c>
      <c r="H121" s="1735"/>
      <c r="I121" s="1739"/>
      <c r="J121" s="1740" t="str">
        <f>IFERROR(VLOOKUP(A121,Solieu!G:M,4,0),"")</f>
        <v/>
      </c>
      <c r="K121" s="1741" t="str">
        <f>IFERROR(VLOOKUP(A121,Solieu!G:M,5,0),"")</f>
        <v/>
      </c>
      <c r="L121" s="1955" t="str">
        <f>IFERROR(VLOOKUP(A121,Solieu!G:M,6,0),"")</f>
        <v/>
      </c>
      <c r="M121" s="1739" t="str">
        <f>IFERROR(VLOOKUP(A121,Solieu!G:M,7,0),"")</f>
        <v/>
      </c>
      <c r="N121" s="1268" t="s">
        <v>4217</v>
      </c>
      <c r="O121" s="1482" t="str">
        <f t="shared" si="1"/>
        <v/>
      </c>
      <c r="P121" s="1264"/>
      <c r="Q121" s="1480"/>
      <c r="R121" s="1484"/>
    </row>
    <row r="122" spans="1:18" s="863" customFormat="1" ht="35.1" hidden="1" customHeight="1">
      <c r="A122" s="2174" t="e">
        <f>VLOOKUP(ROW()-ROW($A$5),TongHopKL!A:B,2,0)</f>
        <v>#N/A</v>
      </c>
      <c r="B122" s="1735">
        <f>SUM($O$6:O122)</f>
        <v>90</v>
      </c>
      <c r="C122" s="1736" t="e">
        <f>(VLOOKUP(A122,DG!A:C,3,0))</f>
        <v>#N/A</v>
      </c>
      <c r="D122" s="1737">
        <f>IFERROR(VLOOKUP(A122,DG!A:D,4,0),0)</f>
        <v>0</v>
      </c>
      <c r="E122" s="1738">
        <f>SUMIF(TongHopKL!B:B,'NT-VT'!A122,TongHopKL!H:H)</f>
        <v>0</v>
      </c>
      <c r="F122" s="1735" t="str">
        <f>IFERROR(VLOOKUP(A122,Solieu!G:M,2,0),"")</f>
        <v/>
      </c>
      <c r="G122" s="1735" t="str">
        <f>IFERROR(VLOOKUP(A122,Solieu!G:M,3,0),"")</f>
        <v/>
      </c>
      <c r="H122" s="1735"/>
      <c r="I122" s="1739"/>
      <c r="J122" s="1740" t="str">
        <f>IFERROR(VLOOKUP(A122,Solieu!G:M,4,0),"")</f>
        <v/>
      </c>
      <c r="K122" s="1741" t="str">
        <f>IFERROR(VLOOKUP(A122,Solieu!G:M,5,0),"")</f>
        <v/>
      </c>
      <c r="L122" s="1955" t="str">
        <f>IFERROR(VLOOKUP(A122,Solieu!G:M,6,0),"")</f>
        <v/>
      </c>
      <c r="M122" s="1739" t="str">
        <f>IFERROR(VLOOKUP(A122,Solieu!G:M,7,0),"")</f>
        <v/>
      </c>
      <c r="N122" s="1268" t="s">
        <v>4217</v>
      </c>
      <c r="O122" s="1482" t="str">
        <f t="shared" si="1"/>
        <v/>
      </c>
      <c r="P122" s="1264"/>
      <c r="Q122" s="1480"/>
      <c r="R122" s="1484"/>
    </row>
    <row r="123" spans="1:18" s="863" customFormat="1" ht="35.1" hidden="1" customHeight="1">
      <c r="A123" s="2174" t="e">
        <f>VLOOKUP(ROW()-ROW($A$5),TongHopKL!A:B,2,0)</f>
        <v>#N/A</v>
      </c>
      <c r="B123" s="1735">
        <f>SUM($O$6:O123)</f>
        <v>90</v>
      </c>
      <c r="C123" s="1736" t="e">
        <f>(VLOOKUP(A123,DG!A:C,3,0))</f>
        <v>#N/A</v>
      </c>
      <c r="D123" s="1737">
        <f>IFERROR(VLOOKUP(A123,DG!A:D,4,0),0)</f>
        <v>0</v>
      </c>
      <c r="E123" s="1738">
        <f>SUMIF(TongHopKL!B:B,'NT-VT'!A123,TongHopKL!H:H)</f>
        <v>0</v>
      </c>
      <c r="F123" s="1735" t="str">
        <f>IFERROR(VLOOKUP(A123,Solieu!G:M,2,0),"")</f>
        <v/>
      </c>
      <c r="G123" s="1735" t="str">
        <f>IFERROR(VLOOKUP(A123,Solieu!G:M,3,0),"")</f>
        <v/>
      </c>
      <c r="H123" s="1735"/>
      <c r="I123" s="1739"/>
      <c r="J123" s="1740" t="str">
        <f>IFERROR(VLOOKUP(A123,Solieu!G:M,4,0),"")</f>
        <v/>
      </c>
      <c r="K123" s="1741" t="str">
        <f>IFERROR(VLOOKUP(A123,Solieu!G:M,5,0),"")</f>
        <v/>
      </c>
      <c r="L123" s="1955" t="str">
        <f>IFERROR(VLOOKUP(A123,Solieu!G:M,6,0),"")</f>
        <v/>
      </c>
      <c r="M123" s="1739" t="str">
        <f>IFERROR(VLOOKUP(A123,Solieu!G:M,7,0),"")</f>
        <v/>
      </c>
      <c r="N123" s="1268" t="s">
        <v>4217</v>
      </c>
      <c r="O123" s="1482" t="str">
        <f t="shared" si="1"/>
        <v/>
      </c>
      <c r="P123" s="1264"/>
      <c r="Q123" s="1480"/>
      <c r="R123" s="1484"/>
    </row>
    <row r="124" spans="1:18" s="863" customFormat="1" ht="35.1" hidden="1" customHeight="1">
      <c r="A124" s="2174" t="e">
        <f>VLOOKUP(ROW()-ROW($A$5),TongHopKL!A:B,2,0)</f>
        <v>#N/A</v>
      </c>
      <c r="B124" s="1735">
        <f>SUM($O$6:O124)</f>
        <v>90</v>
      </c>
      <c r="C124" s="1736" t="e">
        <f>(VLOOKUP(A124,DG!A:C,3,0))</f>
        <v>#N/A</v>
      </c>
      <c r="D124" s="1737">
        <f>IFERROR(VLOOKUP(A124,DG!A:D,4,0),0)</f>
        <v>0</v>
      </c>
      <c r="E124" s="1738">
        <f>SUMIF(TongHopKL!B:B,'NT-VT'!A124,TongHopKL!H:H)</f>
        <v>0</v>
      </c>
      <c r="F124" s="1735" t="str">
        <f>IFERROR(VLOOKUP(A124,Solieu!G:M,2,0),"")</f>
        <v/>
      </c>
      <c r="G124" s="1735" t="str">
        <f>IFERROR(VLOOKUP(A124,Solieu!G:M,3,0),"")</f>
        <v/>
      </c>
      <c r="H124" s="1735"/>
      <c r="I124" s="1739"/>
      <c r="J124" s="1740" t="str">
        <f>IFERROR(VLOOKUP(A124,Solieu!G:M,4,0),"")</f>
        <v/>
      </c>
      <c r="K124" s="1741" t="str">
        <f>IFERROR(VLOOKUP(A124,Solieu!G:M,5,0),"")</f>
        <v/>
      </c>
      <c r="L124" s="1955" t="str">
        <f>IFERROR(VLOOKUP(A124,Solieu!G:M,6,0),"")</f>
        <v/>
      </c>
      <c r="M124" s="1739" t="str">
        <f>IFERROR(VLOOKUP(A124,Solieu!G:M,7,0),"")</f>
        <v/>
      </c>
      <c r="N124" s="1268" t="s">
        <v>4217</v>
      </c>
      <c r="O124" s="1482" t="str">
        <f t="shared" si="1"/>
        <v/>
      </c>
      <c r="P124" s="1264"/>
      <c r="Q124" s="1480"/>
      <c r="R124" s="1484"/>
    </row>
    <row r="125" spans="1:18" s="863" customFormat="1" ht="35.1" hidden="1" customHeight="1">
      <c r="A125" s="2174" t="e">
        <f>VLOOKUP(ROW()-ROW($A$5),TongHopKL!A:B,2,0)</f>
        <v>#N/A</v>
      </c>
      <c r="B125" s="1735">
        <f>SUM($O$6:O125)</f>
        <v>90</v>
      </c>
      <c r="C125" s="1736" t="e">
        <f>(VLOOKUP(A125,DG!A:C,3,0))</f>
        <v>#N/A</v>
      </c>
      <c r="D125" s="1737">
        <f>IFERROR(VLOOKUP(A125,DG!A:D,4,0),0)</f>
        <v>0</v>
      </c>
      <c r="E125" s="1738">
        <f>SUMIF(TongHopKL!B:B,'NT-VT'!A125,TongHopKL!H:H)</f>
        <v>0</v>
      </c>
      <c r="F125" s="1735" t="str">
        <f>IFERROR(VLOOKUP(A125,Solieu!G:M,2,0),"")</f>
        <v/>
      </c>
      <c r="G125" s="1735" t="str">
        <f>IFERROR(VLOOKUP(A125,Solieu!G:M,3,0),"")</f>
        <v/>
      </c>
      <c r="H125" s="1735"/>
      <c r="I125" s="1739"/>
      <c r="J125" s="1740" t="str">
        <f>IFERROR(VLOOKUP(A125,Solieu!G:M,4,0),"")</f>
        <v/>
      </c>
      <c r="K125" s="1741" t="str">
        <f>IFERROR(VLOOKUP(A125,Solieu!G:M,5,0),"")</f>
        <v/>
      </c>
      <c r="L125" s="1955" t="str">
        <f>IFERROR(VLOOKUP(A125,Solieu!G:M,6,0),"")</f>
        <v/>
      </c>
      <c r="M125" s="1739" t="str">
        <f>IFERROR(VLOOKUP(A125,Solieu!G:M,7,0),"")</f>
        <v/>
      </c>
      <c r="N125" s="1268" t="s">
        <v>4217</v>
      </c>
      <c r="O125" s="1482" t="str">
        <f t="shared" si="1"/>
        <v/>
      </c>
      <c r="P125" s="1264"/>
      <c r="Q125" s="1480"/>
      <c r="R125" s="1484"/>
    </row>
    <row r="126" spans="1:18" s="863" customFormat="1" ht="35.1" hidden="1" customHeight="1">
      <c r="A126" s="2174" t="e">
        <f>VLOOKUP(ROW()-ROW($A$5),TongHopKL!A:B,2,0)</f>
        <v>#N/A</v>
      </c>
      <c r="B126" s="1735">
        <f>SUM($O$6:O126)</f>
        <v>90</v>
      </c>
      <c r="C126" s="1736" t="e">
        <f>(VLOOKUP(A126,DG!A:C,3,0))</f>
        <v>#N/A</v>
      </c>
      <c r="D126" s="1737">
        <f>IFERROR(VLOOKUP(A126,DG!A:D,4,0),0)</f>
        <v>0</v>
      </c>
      <c r="E126" s="1738">
        <f>SUMIF(TongHopKL!B:B,'NT-VT'!A126,TongHopKL!H:H)</f>
        <v>0</v>
      </c>
      <c r="F126" s="1735" t="str">
        <f>IFERROR(VLOOKUP(A126,Solieu!G:M,2,0),"")</f>
        <v/>
      </c>
      <c r="G126" s="1735" t="str">
        <f>IFERROR(VLOOKUP(A126,Solieu!G:M,3,0),"")</f>
        <v/>
      </c>
      <c r="H126" s="1735"/>
      <c r="I126" s="1739"/>
      <c r="J126" s="1740" t="str">
        <f>IFERROR(VLOOKUP(A126,Solieu!G:M,4,0),"")</f>
        <v/>
      </c>
      <c r="K126" s="1741" t="str">
        <f>IFERROR(VLOOKUP(A126,Solieu!G:M,5,0),"")</f>
        <v/>
      </c>
      <c r="L126" s="1955" t="str">
        <f>IFERROR(VLOOKUP(A126,Solieu!G:M,6,0),"")</f>
        <v/>
      </c>
      <c r="M126" s="1739" t="str">
        <f>IFERROR(VLOOKUP(A126,Solieu!G:M,7,0),"")</f>
        <v/>
      </c>
      <c r="N126" s="1268" t="s">
        <v>4217</v>
      </c>
      <c r="O126" s="1482" t="str">
        <f t="shared" si="1"/>
        <v/>
      </c>
      <c r="P126" s="1264"/>
      <c r="Q126" s="1480"/>
      <c r="R126" s="1484"/>
    </row>
    <row r="127" spans="1:18" s="863" customFormat="1" ht="35.1" hidden="1" customHeight="1">
      <c r="A127" s="2174" t="e">
        <f>VLOOKUP(ROW()-ROW($A$5),TongHopKL!A:B,2,0)</f>
        <v>#N/A</v>
      </c>
      <c r="B127" s="1735">
        <f>SUM($O$6:O127)</f>
        <v>90</v>
      </c>
      <c r="C127" s="1736" t="e">
        <f>(VLOOKUP(A127,DG!A:C,3,0))</f>
        <v>#N/A</v>
      </c>
      <c r="D127" s="1737">
        <f>IFERROR(VLOOKUP(A127,DG!A:D,4,0),0)</f>
        <v>0</v>
      </c>
      <c r="E127" s="1738">
        <f>SUMIF(TongHopKL!B:B,'NT-VT'!A127,TongHopKL!H:H)</f>
        <v>0</v>
      </c>
      <c r="F127" s="1735" t="str">
        <f>IFERROR(VLOOKUP(A127,Solieu!G:M,2,0),"")</f>
        <v/>
      </c>
      <c r="G127" s="1735" t="str">
        <f>IFERROR(VLOOKUP(A127,Solieu!G:M,3,0),"")</f>
        <v/>
      </c>
      <c r="H127" s="1735"/>
      <c r="I127" s="1739"/>
      <c r="J127" s="1740" t="str">
        <f>IFERROR(VLOOKUP(A127,Solieu!G:M,4,0),"")</f>
        <v/>
      </c>
      <c r="K127" s="1741" t="str">
        <f>IFERROR(VLOOKUP(A127,Solieu!G:M,5,0),"")</f>
        <v/>
      </c>
      <c r="L127" s="1955" t="str">
        <f>IFERROR(VLOOKUP(A127,Solieu!G:M,6,0),"")</f>
        <v/>
      </c>
      <c r="M127" s="1739" t="str">
        <f>IFERROR(VLOOKUP(A127,Solieu!G:M,7,0),"")</f>
        <v/>
      </c>
      <c r="N127" s="1268" t="s">
        <v>4217</v>
      </c>
      <c r="O127" s="1482" t="str">
        <f t="shared" si="1"/>
        <v/>
      </c>
      <c r="P127" s="1264"/>
      <c r="Q127" s="1480"/>
      <c r="R127" s="1484"/>
    </row>
    <row r="128" spans="1:18" s="863" customFormat="1" ht="35.1" customHeight="1">
      <c r="A128" s="1479"/>
      <c r="B128" s="1957"/>
      <c r="C128" s="1958"/>
      <c r="D128" s="1959"/>
      <c r="E128" s="1960"/>
      <c r="F128" s="1957"/>
      <c r="G128" s="1957"/>
      <c r="H128" s="1957"/>
      <c r="I128" s="1961"/>
      <c r="J128" s="1962"/>
      <c r="K128" s="1963"/>
      <c r="L128" s="1964"/>
      <c r="M128" s="1961"/>
      <c r="N128" s="1442"/>
      <c r="O128" s="1482"/>
      <c r="P128" s="1264"/>
      <c r="Q128" s="1480"/>
      <c r="R128" s="1484"/>
    </row>
    <row r="129" spans="1:27" s="861" customFormat="1" ht="24.95" customHeight="1">
      <c r="A129" s="2145"/>
      <c r="B129" s="875"/>
      <c r="C129" s="1745"/>
      <c r="D129" s="1279"/>
      <c r="E129" s="1485"/>
      <c r="F129" s="52"/>
      <c r="G129" s="52"/>
      <c r="H129" s="52"/>
      <c r="I129" s="1476"/>
      <c r="J129" s="1486"/>
      <c r="L129" s="1964">
        <f>IFERROR(VLOOKUP(A129,Solieu!G:M,6,0),"")</f>
        <v>0</v>
      </c>
      <c r="M129" s="871"/>
      <c r="N129" s="1476"/>
      <c r="O129" s="875"/>
      <c r="P129" s="875"/>
      <c r="Q129" s="1437"/>
      <c r="R129" s="1487"/>
    </row>
    <row r="130" spans="1:27" s="861" customFormat="1" ht="24.95" customHeight="1">
      <c r="A130" s="856"/>
      <c r="B130" s="869"/>
      <c r="C130" s="1281"/>
      <c r="D130" s="1279"/>
      <c r="E130" s="1280"/>
      <c r="F130"/>
      <c r="G130"/>
      <c r="H130"/>
      <c r="I130" s="870"/>
      <c r="J130" s="866"/>
      <c r="L130" s="868"/>
      <c r="M130" s="873"/>
      <c r="N130" s="872"/>
      <c r="O130" s="869"/>
      <c r="P130" s="875"/>
      <c r="Q130" s="1437"/>
    </row>
    <row r="131" spans="1:27" s="861" customFormat="1" ht="24.95" customHeight="1">
      <c r="A131" s="856"/>
      <c r="B131" s="869"/>
      <c r="C131" s="1281"/>
      <c r="D131" s="1279"/>
      <c r="E131" s="1280"/>
      <c r="F131"/>
      <c r="G131"/>
      <c r="H131"/>
      <c r="I131" s="870"/>
      <c r="J131" s="866"/>
      <c r="L131" s="868"/>
      <c r="M131" s="873"/>
      <c r="N131" s="872"/>
      <c r="O131" s="869"/>
      <c r="P131" s="875"/>
      <c r="Q131" s="1437"/>
    </row>
    <row r="132" spans="1:27" s="861" customFormat="1" ht="24.95" customHeight="1">
      <c r="A132" s="856"/>
      <c r="B132" s="869"/>
      <c r="C132" s="1281"/>
      <c r="D132" s="1279"/>
      <c r="E132" s="1280"/>
      <c r="F132"/>
      <c r="G132"/>
      <c r="H132"/>
      <c r="I132" s="870"/>
      <c r="J132" s="866"/>
      <c r="L132" s="868"/>
      <c r="M132" s="873"/>
      <c r="N132" s="872"/>
      <c r="O132" s="869"/>
      <c r="P132" s="875"/>
      <c r="Q132" s="1437"/>
    </row>
    <row r="133" spans="1:27" s="861" customFormat="1" ht="24.95" customHeight="1">
      <c r="A133" s="856"/>
      <c r="B133" s="860"/>
      <c r="C133" s="989"/>
      <c r="D133" s="1282"/>
      <c r="E133" s="1280"/>
      <c r="F133"/>
      <c r="G133"/>
      <c r="H133"/>
      <c r="I133" s="870"/>
      <c r="J133" s="867"/>
      <c r="L133" s="876">
        <f>WORD!M2</f>
        <v>0</v>
      </c>
      <c r="M133" s="873"/>
      <c r="N133" s="877"/>
      <c r="O133" s="860"/>
      <c r="P133" s="875"/>
      <c r="Q133" s="1437"/>
    </row>
    <row r="134" spans="1:27" s="861" customFormat="1" ht="24.95" customHeight="1">
      <c r="A134" s="856"/>
      <c r="B134" s="860"/>
      <c r="C134" s="874"/>
      <c r="D134" s="874"/>
      <c r="E134"/>
      <c r="F134"/>
      <c r="G134"/>
      <c r="H134"/>
      <c r="I134" s="875"/>
      <c r="J134" s="866"/>
      <c r="K134" s="868"/>
      <c r="L134" s="867"/>
      <c r="M134" s="873"/>
      <c r="N134" s="860"/>
      <c r="O134" s="860"/>
      <c r="P134" s="875"/>
      <c r="Q134" s="1437"/>
    </row>
    <row r="135" spans="1:27" s="861" customFormat="1" ht="24.95" customHeight="1">
      <c r="A135" s="856"/>
      <c r="B135" s="860"/>
      <c r="C135" s="878"/>
      <c r="D135" s="878"/>
      <c r="E135" s="860"/>
      <c r="F135" s="860"/>
      <c r="G135" s="860"/>
      <c r="H135" s="860"/>
      <c r="I135" s="860"/>
      <c r="J135" s="866"/>
      <c r="K135" s="868"/>
      <c r="L135" s="867"/>
      <c r="M135" s="873"/>
      <c r="N135" s="860"/>
      <c r="O135" s="860"/>
      <c r="P135" s="875"/>
      <c r="Q135" s="1437"/>
    </row>
    <row r="136" spans="1:27" s="861" customFormat="1" ht="24.95" customHeight="1">
      <c r="A136" s="856"/>
      <c r="B136" s="860"/>
      <c r="C136" s="878"/>
      <c r="D136" s="878"/>
      <c r="E136" s="860"/>
      <c r="F136" s="860"/>
      <c r="G136" s="860"/>
      <c r="H136" s="860"/>
      <c r="I136" s="860"/>
      <c r="J136" s="867"/>
      <c r="K136" s="868"/>
      <c r="L136" s="867"/>
      <c r="M136" s="873"/>
      <c r="N136" s="860"/>
      <c r="O136" s="860"/>
      <c r="P136" s="875"/>
      <c r="Q136" s="1437"/>
    </row>
    <row r="137" spans="1:27" s="861" customFormat="1" ht="24.95" customHeight="1">
      <c r="A137" s="856"/>
      <c r="B137" s="860"/>
      <c r="C137" s="878"/>
      <c r="D137" s="878"/>
      <c r="E137" s="860"/>
      <c r="F137" s="860"/>
      <c r="G137" s="860"/>
      <c r="H137" s="860"/>
      <c r="I137" s="860"/>
      <c r="J137" s="867"/>
      <c r="K137" s="868"/>
      <c r="L137" s="867"/>
      <c r="M137" s="873"/>
      <c r="N137" s="860"/>
      <c r="O137" s="860"/>
      <c r="P137" s="875"/>
      <c r="Q137" s="1437"/>
    </row>
    <row r="138" spans="1:27" s="860" customFormat="1" ht="24.95" customHeight="1">
      <c r="A138" s="856"/>
      <c r="C138" s="878"/>
      <c r="D138" s="878"/>
      <c r="J138" s="866"/>
      <c r="K138" s="868"/>
      <c r="L138" s="867"/>
      <c r="M138" s="873"/>
      <c r="P138" s="875"/>
      <c r="Q138" s="1437"/>
      <c r="R138" s="861"/>
      <c r="S138" s="861"/>
      <c r="T138" s="861"/>
      <c r="U138" s="861"/>
      <c r="V138" s="861"/>
      <c r="W138" s="861"/>
      <c r="X138" s="861"/>
      <c r="Y138" s="861"/>
      <c r="Z138" s="861"/>
      <c r="AA138" s="861"/>
    </row>
    <row r="139" spans="1:27" s="860" customFormat="1" ht="24.95" customHeight="1">
      <c r="A139" s="856"/>
      <c r="C139" s="878"/>
      <c r="D139" s="878"/>
      <c r="J139" s="866"/>
      <c r="K139" s="868"/>
      <c r="L139" s="867"/>
      <c r="M139" s="868"/>
      <c r="P139" s="875"/>
      <c r="Q139" s="1437"/>
      <c r="R139" s="861"/>
      <c r="S139" s="861"/>
      <c r="T139" s="861"/>
      <c r="U139" s="861"/>
      <c r="V139" s="861"/>
      <c r="W139" s="861"/>
      <c r="X139" s="861"/>
      <c r="Y139" s="861"/>
      <c r="Z139" s="861"/>
      <c r="AA139" s="861"/>
    </row>
    <row r="140" spans="1:27" s="860" customFormat="1" ht="24.95" customHeight="1">
      <c r="A140" s="856"/>
      <c r="C140" s="878"/>
      <c r="D140" s="878"/>
      <c r="J140" s="866"/>
      <c r="K140" s="868"/>
      <c r="L140" s="867"/>
      <c r="M140" s="868"/>
      <c r="P140" s="875"/>
      <c r="Q140" s="1437"/>
      <c r="R140" s="861"/>
      <c r="S140" s="861"/>
      <c r="T140" s="861"/>
      <c r="U140" s="861"/>
      <c r="V140" s="861"/>
      <c r="W140" s="861"/>
      <c r="X140" s="861"/>
      <c r="Y140" s="861"/>
      <c r="Z140" s="861"/>
      <c r="AA140" s="86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10" workbookViewId="0">
      <selection activeCell="E16" sqref="E16"/>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748" t="s">
        <v>4662</v>
      </c>
      <c r="B1" s="2748"/>
      <c r="C1" s="2748"/>
      <c r="D1" s="2748"/>
      <c r="E1" s="2748"/>
      <c r="F1" s="2748"/>
      <c r="H1" s="1285"/>
    </row>
    <row r="2" spans="1:9" s="849" customFormat="1" ht="33.75" customHeight="1">
      <c r="A2" s="1431" t="s">
        <v>4227</v>
      </c>
      <c r="B2" s="1431" t="s">
        <v>4205</v>
      </c>
      <c r="C2" s="1431" t="s">
        <v>4206</v>
      </c>
      <c r="D2" s="1431" t="s">
        <v>4207</v>
      </c>
      <c r="E2" s="1431" t="s">
        <v>4208</v>
      </c>
      <c r="F2" s="1431" t="s">
        <v>4209</v>
      </c>
      <c r="G2" s="872" t="s">
        <v>1962</v>
      </c>
      <c r="H2" s="872"/>
      <c r="I2" s="882"/>
    </row>
    <row r="3" spans="1:9" ht="35.1" customHeight="1">
      <c r="A3" s="1432">
        <f>SUM($G$3:G3)</f>
        <v>1</v>
      </c>
      <c r="B3" s="1433" t="str">
        <f>'NT-VT'!C6</f>
        <v>Máy biến áp 12,7/0,23-0,46kV 50kVA</v>
      </c>
      <c r="C3" s="1434" t="str">
        <f>'NT-VT'!D6</f>
        <v>máy</v>
      </c>
      <c r="D3" s="1435">
        <f>'NT-VT'!E6</f>
        <v>3</v>
      </c>
      <c r="E3" s="1432" t="str">
        <f>'NT-VT'!F6</f>
        <v>Shihlin</v>
      </c>
      <c r="F3" s="1432" t="str">
        <f>'NT-VT'!G6</f>
        <v>Shihlin</v>
      </c>
      <c r="G3" s="869">
        <v>1</v>
      </c>
      <c r="H3" s="883"/>
      <c r="I3" s="859"/>
    </row>
    <row r="4" spans="1:9" ht="35.1" customHeight="1">
      <c r="A4" s="1432">
        <f>SUM($G$3:G4)</f>
        <v>2</v>
      </c>
      <c r="B4" s="1433" t="str">
        <f>'NT-VT'!C7</f>
        <v>Trụ BTLT 12m F350 dự ứng lực</v>
      </c>
      <c r="C4" s="1434" t="str">
        <f>'NT-VT'!D7</f>
        <v>trụ</v>
      </c>
      <c r="D4" s="1435">
        <f>'NT-VT'!E7</f>
        <v>25</v>
      </c>
      <c r="E4" s="1432" t="str">
        <f>'NT-VT'!F7</f>
        <v>Cty Cổ phần Bê tông ly tâm Thủ Đức</v>
      </c>
      <c r="F4" s="1432" t="str">
        <f>'NT-VT'!G7</f>
        <v>Cty Cổ phần Bê tông ly tâm Thủ Đức</v>
      </c>
      <c r="G4" s="869">
        <f t="shared" ref="G4:G66" si="0">IF(ISERROR(B4),"",1)</f>
        <v>1</v>
      </c>
      <c r="H4" s="884"/>
    </row>
    <row r="5" spans="1:9" ht="35.1" customHeight="1">
      <c r="A5" s="1432">
        <f>SUM($G$3:G5)</f>
        <v>3</v>
      </c>
      <c r="B5" s="1433" t="str">
        <f>'NT-VT'!C8</f>
        <v>FCO 27kV - 100A</v>
      </c>
      <c r="C5" s="1434" t="str">
        <f>'NT-VT'!D8</f>
        <v>cái</v>
      </c>
      <c r="D5" s="1435">
        <f>'NT-VT'!E8</f>
        <v>6</v>
      </c>
      <c r="E5" s="1432" t="str">
        <f>'NT-VT'!F8</f>
        <v>Tuấn Ân</v>
      </c>
      <c r="F5" s="1432" t="str">
        <f>'NT-VT'!G8</f>
        <v>Tuấn Ân</v>
      </c>
      <c r="G5" s="869">
        <f t="shared" si="0"/>
        <v>1</v>
      </c>
      <c r="H5" s="884"/>
    </row>
    <row r="6" spans="1:9" ht="35.1" customHeight="1">
      <c r="A6" s="1432">
        <f>SUM($G$3:G6)</f>
        <v>4</v>
      </c>
      <c r="B6" s="1433" t="str">
        <f>'NT-VT'!C9</f>
        <v>Chống sét van LA-18KV-10KA</v>
      </c>
      <c r="C6" s="1434" t="str">
        <f>'NT-VT'!D9</f>
        <v>cái</v>
      </c>
      <c r="D6" s="1435">
        <f>'NT-VT'!E9</f>
        <v>3</v>
      </c>
      <c r="E6" s="1432" t="str">
        <f>'NT-VT'!F9</f>
        <v>Cooper</v>
      </c>
      <c r="F6" s="1432">
        <f>'NT-VT'!G9</f>
        <v>0</v>
      </c>
      <c r="G6" s="869">
        <f t="shared" si="0"/>
        <v>1</v>
      </c>
      <c r="H6" s="884"/>
    </row>
    <row r="7" spans="1:9" ht="35.1" customHeight="1">
      <c r="A7" s="1432">
        <f>SUM($G$3:G7)</f>
        <v>5</v>
      </c>
      <c r="B7" s="1433" t="str">
        <f>'NT-VT'!C10</f>
        <v>MCCB 3 cực 400V -200A - 35KA</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69</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24</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CV95</v>
      </c>
      <c r="C10" s="1434" t="str">
        <f>'NT-VT'!D13</f>
        <v>mét</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CV11</v>
      </c>
      <c r="C11" s="1434" t="str">
        <f>'NT-VT'!D14</f>
        <v>mét</v>
      </c>
      <c r="D11" s="1435">
        <f>'NT-VT'!E14</f>
        <v>5</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 xml:space="preserve">Cáp CVV 4x4mm2  </v>
      </c>
      <c r="C12" s="1434" t="str">
        <f>'NT-VT'!D15</f>
        <v>mét</v>
      </c>
      <c r="D12" s="1435">
        <f>'NT-VT'!E15</f>
        <v>2.5</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24KV CX-25mm2</v>
      </c>
      <c r="C13" s="1434" t="str">
        <f>'NT-VT'!D16</f>
        <v>mét</v>
      </c>
      <c r="D13" s="1435">
        <f>'NT-VT'!E16</f>
        <v>21</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ACX 50mm2</v>
      </c>
      <c r="C14" s="1434" t="str">
        <f>'NT-VT'!D17</f>
        <v>mét</v>
      </c>
      <c r="D14" s="1435">
        <f>'NT-VT'!E17</f>
        <v>2313.36</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đồng trần M25mm2</v>
      </c>
      <c r="C15" s="1434" t="str">
        <f>'NT-VT'!D18</f>
        <v>kg</v>
      </c>
      <c r="D15" s="1435">
        <f>'NT-VT'!E18</f>
        <v>21.740000000000002</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nhôm lõi thép AC-50/8</v>
      </c>
      <c r="C16" s="1434" t="str">
        <f>'NT-VT'!D19</f>
        <v>kg</v>
      </c>
      <c r="D16" s="1435">
        <f>'NT-VT'!E19</f>
        <v>150.31</v>
      </c>
      <c r="E16" s="1432" t="str">
        <f>'NT-VT'!F20</f>
        <v>nt</v>
      </c>
      <c r="F16" s="1432" t="str">
        <f>'NT-VT'!G20</f>
        <v>nt</v>
      </c>
      <c r="G16" s="869">
        <f t="shared" si="0"/>
        <v>1</v>
      </c>
      <c r="H16" s="883"/>
      <c r="I16" s="859"/>
    </row>
    <row r="17" spans="1:9" ht="35.1" customHeight="1">
      <c r="A17" s="1432">
        <f>SUM($G$3:G17)</f>
        <v>15</v>
      </c>
      <c r="B17" s="1433" t="str">
        <f>'NT-VT'!C20</f>
        <v>Cáp thép 5/8"</v>
      </c>
      <c r="C17" s="1434" t="str">
        <f>'NT-VT'!D20</f>
        <v>mét</v>
      </c>
      <c r="D17" s="1435">
        <f>'NT-VT'!E20</f>
        <v>14</v>
      </c>
      <c r="E17" s="1432" t="str">
        <f>'NT-VT'!F21</f>
        <v>Cty TNHH TM SX &amp; TM Khanh Nguyên</v>
      </c>
      <c r="F17" s="1432" t="str">
        <f>'NT-VT'!G21</f>
        <v>Cty TNHH TM SX &amp; TM Khanh Nguyên</v>
      </c>
      <c r="G17" s="869">
        <f t="shared" si="0"/>
        <v>1</v>
      </c>
      <c r="H17" s="883"/>
      <c r="I17" s="885"/>
    </row>
    <row r="18" spans="1:9" ht="35.1" customHeight="1">
      <c r="A18" s="1432">
        <f>SUM($G$3:G18)</f>
        <v>16</v>
      </c>
      <c r="B18" s="1433" t="str">
        <f>'NT-VT'!C21</f>
        <v>Boulon 16x150+ 2 long đền vuông D18-50x50x3/Zn</v>
      </c>
      <c r="C18" s="1434" t="str">
        <f>'NT-VT'!D21</f>
        <v>bộ</v>
      </c>
      <c r="D18" s="1435">
        <f>'NT-VT'!E21</f>
        <v>4</v>
      </c>
      <c r="E18" s="1432" t="str">
        <f>'NT-VT'!F22</f>
        <v>nt</v>
      </c>
      <c r="F18" s="1432" t="str">
        <f>'NT-VT'!G22</f>
        <v>nt</v>
      </c>
      <c r="G18" s="869">
        <f t="shared" si="0"/>
        <v>1</v>
      </c>
      <c r="H18" s="883"/>
      <c r="I18" s="885"/>
    </row>
    <row r="19" spans="1:9" ht="35.1" customHeight="1">
      <c r="A19" s="1432">
        <f>SUM($G$3:G19)</f>
        <v>17</v>
      </c>
      <c r="B19" s="1433" t="str">
        <f>'NT-VT'!C22</f>
        <v>Boulon 16x250+ 2 long đền vuông D18-50x50x3/Zn</v>
      </c>
      <c r="C19" s="1434" t="str">
        <f>'NT-VT'!D22</f>
        <v>bộ</v>
      </c>
      <c r="D19" s="1435">
        <f>'NT-VT'!E22</f>
        <v>2</v>
      </c>
      <c r="E19" s="1432" t="str">
        <f>'NT-VT'!F23</f>
        <v>nt</v>
      </c>
      <c r="F19" s="1432" t="str">
        <f>'NT-VT'!G23</f>
        <v>nt</v>
      </c>
      <c r="G19" s="869">
        <f t="shared" si="0"/>
        <v>1</v>
      </c>
      <c r="H19" s="883"/>
      <c r="I19" s="885"/>
    </row>
    <row r="20" spans="1:9" ht="35.1" customHeight="1">
      <c r="A20" s="1432">
        <f>SUM($G$3:G20)</f>
        <v>18</v>
      </c>
      <c r="B20" s="1433" t="str">
        <f>'NT-VT'!C23</f>
        <v>Boulon 16x300+ 2 long đền vuông D18-50x50x3/Zn</v>
      </c>
      <c r="C20" s="1434" t="str">
        <f>'NT-VT'!D23</f>
        <v>bộ</v>
      </c>
      <c r="D20" s="1435">
        <f>'NT-VT'!E23</f>
        <v>56</v>
      </c>
      <c r="E20" s="1432" t="str">
        <f>'NT-VT'!F24</f>
        <v>nt</v>
      </c>
      <c r="F20" s="1432" t="str">
        <f>'NT-VT'!G24</f>
        <v>nt</v>
      </c>
      <c r="G20" s="869">
        <f t="shared" si="0"/>
        <v>1</v>
      </c>
      <c r="H20" s="884"/>
    </row>
    <row r="21" spans="1:9" ht="35.1" customHeight="1">
      <c r="A21" s="1432">
        <f>SUM($G$3:G21)</f>
        <v>19</v>
      </c>
      <c r="B21" s="1433" t="str">
        <f>'NT-VT'!C24</f>
        <v>Boulon 16x300VRS+ 4 long đền vuông D18-50x50x3/Zn</v>
      </c>
      <c r="C21" s="1434" t="str">
        <f>'NT-VT'!D24</f>
        <v>bộ</v>
      </c>
      <c r="D21" s="1435">
        <f>'NT-VT'!E24</f>
        <v>19</v>
      </c>
      <c r="E21" s="1432" t="str">
        <f>'NT-VT'!F25</f>
        <v>nt</v>
      </c>
      <c r="F21" s="1432" t="str">
        <f>'NT-VT'!G25</f>
        <v>nt</v>
      </c>
      <c r="G21" s="869">
        <f t="shared" si="0"/>
        <v>1</v>
      </c>
      <c r="H21" s="883"/>
      <c r="I21" s="859"/>
    </row>
    <row r="22" spans="1:9" ht="35.1" customHeight="1">
      <c r="A22" s="1432">
        <f>SUM($G$3:G22)</f>
        <v>20</v>
      </c>
      <c r="B22" s="1433" t="str">
        <f>'NT-VT'!C25</f>
        <v>Boulon 16x35+ 2 long đền vuông D18-50x50x3/Zn</v>
      </c>
      <c r="C22" s="1434" t="str">
        <f>'NT-VT'!D25</f>
        <v>bộ</v>
      </c>
      <c r="D22" s="1435">
        <f>'NT-VT'!E25</f>
        <v>29</v>
      </c>
      <c r="E22" s="1432" t="str">
        <f>'NT-VT'!F26</f>
        <v>nt</v>
      </c>
      <c r="F22" s="1432" t="str">
        <f>'NT-VT'!G26</f>
        <v>nt</v>
      </c>
      <c r="G22" s="869">
        <f t="shared" si="0"/>
        <v>1</v>
      </c>
      <c r="H22" s="883"/>
      <c r="I22" s="859"/>
    </row>
    <row r="23" spans="1:9" ht="35.1" customHeight="1">
      <c r="A23" s="1432">
        <f>SUM($G$3:G23)</f>
        <v>21</v>
      </c>
      <c r="B23" s="1433" t="str">
        <f>'NT-VT'!C26</f>
        <v>Boulon 16x400+ 2 long đền vuông D18-50x50x3/Zn</v>
      </c>
      <c r="C23" s="1434" t="str">
        <f>'NT-VT'!D26</f>
        <v>bộ</v>
      </c>
      <c r="D23" s="1435">
        <f>'NT-VT'!E26</f>
        <v>3</v>
      </c>
      <c r="E23" s="1432" t="str">
        <f>'NT-VT'!F27</f>
        <v>nt</v>
      </c>
      <c r="F23" s="1432" t="str">
        <f>'NT-VT'!G27</f>
        <v>nt</v>
      </c>
      <c r="G23" s="869">
        <f t="shared" si="0"/>
        <v>1</v>
      </c>
      <c r="H23" s="883"/>
      <c r="I23" s="885"/>
    </row>
    <row r="24" spans="1:9" ht="35.1" customHeight="1">
      <c r="A24" s="1432">
        <f>SUM($G$3:G24)</f>
        <v>22</v>
      </c>
      <c r="B24" s="1433" t="str">
        <f>'NT-VT'!C27</f>
        <v>Boulon 16x450VRS+ 4 long đền vuông D18-50x50x3/Zn</v>
      </c>
      <c r="C24" s="1434" t="str">
        <f>'NT-VT'!D27</f>
        <v>bộ</v>
      </c>
      <c r="D24" s="1435">
        <f>'NT-VT'!E27</f>
        <v>5</v>
      </c>
      <c r="E24" s="1432" t="str">
        <f>'NT-VT'!F28</f>
        <v>nt</v>
      </c>
      <c r="F24" s="1432" t="str">
        <f>'NT-VT'!G28</f>
        <v>nt</v>
      </c>
      <c r="G24" s="869">
        <f t="shared" si="0"/>
        <v>1</v>
      </c>
      <c r="H24" s="883"/>
      <c r="I24" s="885"/>
    </row>
    <row r="25" spans="1:9" ht="35.1" customHeight="1">
      <c r="A25" s="1432">
        <f>SUM($G$3:G25)</f>
        <v>23</v>
      </c>
      <c r="B25" s="1433" t="str">
        <f>'NT-VT'!C28</f>
        <v>Boulon 16x50+ 2 long đền vuông D18-50x50x3/Zn</v>
      </c>
      <c r="C25" s="1434" t="str">
        <f>'NT-VT'!D28</f>
        <v>bộ</v>
      </c>
      <c r="D25" s="1435">
        <f>'NT-VT'!E28</f>
        <v>22</v>
      </c>
      <c r="E25" s="1432" t="str">
        <f>'NT-VT'!F29</f>
        <v>nt</v>
      </c>
      <c r="F25" s="1432" t="str">
        <f>'NT-VT'!G29</f>
        <v>nt</v>
      </c>
      <c r="G25" s="869">
        <f t="shared" si="0"/>
        <v>1</v>
      </c>
      <c r="H25" s="883"/>
      <c r="I25" s="859"/>
    </row>
    <row r="26" spans="1:9" ht="35.1" customHeight="1">
      <c r="A26" s="1432">
        <f>SUM($G$3:G26)</f>
        <v>24</v>
      </c>
      <c r="B26" s="1433" t="str">
        <f>'NT-VT'!C29</f>
        <v>Boulon 16x500+ 2 long đền vuông D18-50x50x3/Zn</v>
      </c>
      <c r="C26" s="1434" t="str">
        <f>'NT-VT'!D29</f>
        <v>bộ</v>
      </c>
      <c r="D26" s="1435">
        <f>'NT-VT'!E29</f>
        <v>3</v>
      </c>
      <c r="E26" s="1432" t="str">
        <f>'NT-VT'!F30</f>
        <v>nt</v>
      </c>
      <c r="F26" s="1432" t="str">
        <f>'NT-VT'!G30</f>
        <v>nt</v>
      </c>
      <c r="G26" s="869">
        <f t="shared" si="0"/>
        <v>1</v>
      </c>
      <c r="H26" s="883"/>
      <c r="I26" s="859"/>
    </row>
    <row r="27" spans="1:9" ht="35.1" customHeight="1">
      <c r="A27" s="1432">
        <f>SUM($G$3:G27)</f>
        <v>25</v>
      </c>
      <c r="B27" s="1433" t="str">
        <f>'NT-VT'!C30</f>
        <v>Boulon 16x550VRS+ 4 long đền vuông D18-50x50x3/Zn</v>
      </c>
      <c r="C27" s="1434" t="str">
        <f>'NT-VT'!D30</f>
        <v>bộ</v>
      </c>
      <c r="D27" s="1435">
        <f>'NT-VT'!E30</f>
        <v>11</v>
      </c>
      <c r="E27" s="1432" t="str">
        <f>'NT-VT'!F31</f>
        <v>nt</v>
      </c>
      <c r="F27" s="1432" t="str">
        <f>'NT-VT'!G31</f>
        <v>nt</v>
      </c>
      <c r="G27" s="869">
        <f t="shared" si="0"/>
        <v>1</v>
      </c>
      <c r="H27" s="883"/>
      <c r="I27" s="859"/>
    </row>
    <row r="28" spans="1:9" ht="35.1" customHeight="1">
      <c r="A28" s="1432">
        <f>SUM($G$3:G28)</f>
        <v>26</v>
      </c>
      <c r="B28" s="1433" t="str">
        <f>'NT-VT'!C31</f>
        <v>Boulon 16x600+ 2 long đền vuông D18-50x50x3/Zn</v>
      </c>
      <c r="C28" s="1434" t="str">
        <f>'NT-VT'!D31</f>
        <v>bộ</v>
      </c>
      <c r="D28" s="1435">
        <f>'NT-VT'!E31</f>
        <v>3</v>
      </c>
      <c r="E28" s="1432" t="str">
        <f>'NT-VT'!F32</f>
        <v>nt</v>
      </c>
      <c r="F28" s="1432" t="str">
        <f>'NT-VT'!G32</f>
        <v>nt</v>
      </c>
      <c r="G28" s="869">
        <f t="shared" si="0"/>
        <v>1</v>
      </c>
      <c r="H28" s="883"/>
      <c r="I28" s="859"/>
    </row>
    <row r="29" spans="1:9" ht="35.1" customHeight="1">
      <c r="A29" s="1432">
        <f>SUM($G$3:G29)</f>
        <v>27</v>
      </c>
      <c r="B29" s="1433" t="str">
        <f>'NT-VT'!C32</f>
        <v>Boulon 16x600VRS+ 4 long đền vuông D18-50x50x3/Zn</v>
      </c>
      <c r="C29" s="1434" t="str">
        <f>'NT-VT'!D32</f>
        <v>bộ</v>
      </c>
      <c r="D29" s="1435">
        <f>'NT-VT'!E32</f>
        <v>5</v>
      </c>
      <c r="E29" s="1432" t="str">
        <f>'NT-VT'!F33</f>
        <v>nt</v>
      </c>
      <c r="F29" s="1432" t="str">
        <f>'NT-VT'!G33</f>
        <v>nt</v>
      </c>
      <c r="G29" s="869">
        <f t="shared" si="0"/>
        <v>1</v>
      </c>
      <c r="H29" s="883"/>
      <c r="I29" s="885"/>
    </row>
    <row r="30" spans="1:9" ht="35.1" customHeight="1">
      <c r="A30" s="1432">
        <f>SUM($G$3:G30)</f>
        <v>28</v>
      </c>
      <c r="B30" s="1433" t="str">
        <f>'NT-VT'!C33</f>
        <v xml:space="preserve">Bakelit 550x450 dầy 10mm </v>
      </c>
      <c r="C30" s="1434" t="str">
        <f>'NT-VT'!D33</f>
        <v>cái</v>
      </c>
      <c r="D30" s="1435">
        <f>'NT-VT'!E33</f>
        <v>1</v>
      </c>
      <c r="E30" s="1432" t="str">
        <f>'NT-VT'!F34</f>
        <v>nt</v>
      </c>
      <c r="F30" s="1432" t="str">
        <f>'NT-VT'!G34</f>
        <v>nt</v>
      </c>
      <c r="G30" s="869">
        <f t="shared" si="0"/>
        <v>1</v>
      </c>
      <c r="H30" s="884"/>
    </row>
    <row r="31" spans="1:9" ht="35.1" customHeight="1">
      <c r="A31" s="1432">
        <f>SUM($G$3:G31)</f>
        <v>29</v>
      </c>
      <c r="B31" s="1433" t="str">
        <f>'NT-VT'!C34</f>
        <v>Bảng tên trạm, bảng báo nguy hiểm + đinh vít</v>
      </c>
      <c r="C31" s="1434" t="str">
        <f>'NT-VT'!D34</f>
        <v>bộ</v>
      </c>
      <c r="D31" s="1435">
        <f>'NT-VT'!E34</f>
        <v>1</v>
      </c>
      <c r="E31" s="1432" t="str">
        <f>'NT-VT'!F35</f>
        <v>nt</v>
      </c>
      <c r="F31" s="1432" t="str">
        <f>'NT-VT'!G35</f>
        <v>nt</v>
      </c>
      <c r="G31" s="869">
        <f t="shared" si="0"/>
        <v>1</v>
      </c>
      <c r="H31" s="883"/>
      <c r="I31" s="885"/>
    </row>
    <row r="32" spans="1:9" ht="35.1" customHeight="1">
      <c r="A32" s="1432">
        <f>SUM($G$3:G32)</f>
        <v>30</v>
      </c>
      <c r="B32" s="1433" t="str">
        <f>'NT-VT'!C35</f>
        <v>Băng keo cách điện</v>
      </c>
      <c r="C32" s="1434" t="str">
        <f>'NT-VT'!D35</f>
        <v>cuộn</v>
      </c>
      <c r="D32" s="1435">
        <f>'NT-VT'!E35</f>
        <v>3</v>
      </c>
      <c r="E32" s="1432" t="str">
        <f>'NT-VT'!F36</f>
        <v>nt</v>
      </c>
      <c r="F32" s="1432" t="str">
        <f>'NT-VT'!G36</f>
        <v>nt</v>
      </c>
      <c r="G32" s="869">
        <f t="shared" si="0"/>
        <v>1</v>
      </c>
      <c r="H32" s="883"/>
      <c r="I32" s="885"/>
    </row>
    <row r="33" spans="1:9" ht="35.1" customHeight="1">
      <c r="A33" s="1432">
        <f>SUM($G$3:G33)</f>
        <v>31</v>
      </c>
      <c r="B33" s="1433" t="str">
        <f>'NT-VT'!C36</f>
        <v>Bass LL bắt FCO, LA</v>
      </c>
      <c r="C33" s="1434" t="str">
        <f>'NT-VT'!D36</f>
        <v>bộ</v>
      </c>
      <c r="D33" s="1435">
        <f>'NT-VT'!E36</f>
        <v>6</v>
      </c>
      <c r="E33" s="1432" t="str">
        <f>'NT-VT'!F37</f>
        <v>nt</v>
      </c>
      <c r="F33" s="1432" t="str">
        <f>'NT-VT'!G37</f>
        <v>nt</v>
      </c>
      <c r="G33" s="869">
        <f t="shared" si="0"/>
        <v>1</v>
      </c>
      <c r="H33" s="884"/>
    </row>
    <row r="34" spans="1:9" ht="35.1" customHeight="1">
      <c r="A34" s="1432">
        <f>SUM($G$3:G34)</f>
        <v>32</v>
      </c>
      <c r="B34" s="1433" t="str">
        <f>'NT-VT'!C37</f>
        <v>Boulon mắt 16x300+ 2 long đền vuông D18-50x50x3/Zn</v>
      </c>
      <c r="C34" s="1434" t="str">
        <f>'NT-VT'!D37</f>
        <v>bộ</v>
      </c>
      <c r="D34" s="1435">
        <f>'NT-VT'!E37</f>
        <v>9</v>
      </c>
      <c r="E34" s="1432" t="str">
        <f>'NT-VT'!F38</f>
        <v>nt</v>
      </c>
      <c r="F34" s="1432" t="str">
        <f>'NT-VT'!G38</f>
        <v>nt</v>
      </c>
      <c r="G34" s="869">
        <f t="shared" si="0"/>
        <v>1</v>
      </c>
      <c r="H34" s="883"/>
      <c r="I34" s="885"/>
    </row>
    <row r="35" spans="1:9" ht="35.1" customHeight="1">
      <c r="A35" s="1432">
        <f>SUM($G$3:G35)</f>
        <v>33</v>
      </c>
      <c r="B35" s="1433" t="str">
        <f>'NT-VT'!C38</f>
        <v>Biển số - Bảng nguy hiểm</v>
      </c>
      <c r="C35" s="1434" t="str">
        <f>'NT-VT'!D38</f>
        <v>cái</v>
      </c>
      <c r="D35" s="1435">
        <f>'NT-VT'!E38</f>
        <v>0</v>
      </c>
      <c r="E35" s="1432" t="str">
        <f>'NT-VT'!F39</f>
        <v>nt</v>
      </c>
      <c r="F35" s="1432" t="str">
        <f>'NT-VT'!G39</f>
        <v>nt</v>
      </c>
      <c r="G35" s="869">
        <f t="shared" si="0"/>
        <v>1</v>
      </c>
      <c r="H35" s="883"/>
      <c r="I35" s="885"/>
    </row>
    <row r="36" spans="1:9" ht="35.1" customHeight="1">
      <c r="A36" s="1432">
        <f>SUM($G$3:G36)</f>
        <v>34</v>
      </c>
      <c r="B36" s="1433" t="str">
        <f>'NT-VT'!C39</f>
        <v>Cổ dê kẹp ống PVC Ø 114 trụ đôi D280</v>
      </c>
      <c r="C36" s="1434" t="str">
        <f>'NT-VT'!D39</f>
        <v>bộ</v>
      </c>
      <c r="D36" s="1435">
        <f>'NT-VT'!E39</f>
        <v>6</v>
      </c>
      <c r="E36" s="1432" t="str">
        <f>'NT-VT'!F40</f>
        <v>nt</v>
      </c>
      <c r="F36" s="1432" t="str">
        <f>'NT-VT'!G40</f>
        <v>nt</v>
      </c>
      <c r="G36" s="869">
        <f t="shared" si="0"/>
        <v>1</v>
      </c>
      <c r="H36" s="883"/>
      <c r="I36" s="885"/>
    </row>
    <row r="37" spans="1:9" ht="35.1" customHeight="1">
      <c r="A37" s="1432">
        <f>SUM($G$3:G37)</f>
        <v>35</v>
      </c>
      <c r="B37" s="1433" t="str">
        <f>'NT-VT'!C40</f>
        <v>Cổ dê CDĐKĐT( bắt thùng điện kế)</v>
      </c>
      <c r="C37" s="1434" t="str">
        <f>'NT-VT'!D40</f>
        <v>bộ</v>
      </c>
      <c r="D37" s="1435">
        <f>'NT-VT'!E40</f>
        <v>2</v>
      </c>
      <c r="E37" s="1432" t="str">
        <f>'NT-VT'!F41</f>
        <v>nt</v>
      </c>
      <c r="F37" s="1432" t="str">
        <f>'NT-VT'!G41</f>
        <v>nt</v>
      </c>
      <c r="G37" s="869">
        <f t="shared" si="0"/>
        <v>1</v>
      </c>
      <c r="H37" s="883"/>
      <c r="I37" s="885"/>
    </row>
    <row r="38" spans="1:9" ht="35.1" customHeight="1">
      <c r="A38" s="1432">
        <f>SUM($G$3:G38)</f>
        <v>36</v>
      </c>
      <c r="B38" s="1433" t="str">
        <f>'NT-VT'!C41</f>
        <v>Chụp đầu cosse  150mm2</v>
      </c>
      <c r="C38" s="1434" t="str">
        <f>'NT-VT'!D41</f>
        <v>cái</v>
      </c>
      <c r="D38" s="1435">
        <f>'NT-VT'!E41</f>
        <v>0</v>
      </c>
      <c r="E38" s="1432" t="str">
        <f>'NT-VT'!F42</f>
        <v>nt</v>
      </c>
      <c r="F38" s="1432" t="str">
        <f>'NT-VT'!G42</f>
        <v>nt</v>
      </c>
      <c r="G38" s="869">
        <f t="shared" si="0"/>
        <v>1</v>
      </c>
      <c r="H38" s="883"/>
      <c r="I38" s="859"/>
    </row>
    <row r="39" spans="1:9" ht="35.1" customHeight="1">
      <c r="A39" s="1432">
        <f>SUM($G$3:G39)</f>
        <v>37</v>
      </c>
      <c r="B39" s="1433" t="str">
        <f>'NT-VT'!C42</f>
        <v>Chụp đầu cosse  95mm2</v>
      </c>
      <c r="C39" s="1434" t="str">
        <f>'NT-VT'!D42</f>
        <v>cái</v>
      </c>
      <c r="D39" s="1435">
        <f>'NT-VT'!E42</f>
        <v>1</v>
      </c>
      <c r="E39" s="1432" t="str">
        <f>'NT-VT'!F43</f>
        <v>nt</v>
      </c>
      <c r="F39" s="1432" t="str">
        <f>'NT-VT'!G43</f>
        <v>nt</v>
      </c>
      <c r="G39" s="869">
        <f t="shared" si="0"/>
        <v>1</v>
      </c>
      <c r="H39" s="884"/>
    </row>
    <row r="40" spans="1:9" ht="35.1" customHeight="1">
      <c r="A40" s="1432">
        <f>SUM($G$3:G40)</f>
        <v>38</v>
      </c>
      <c r="B40" s="1433" t="str">
        <f>'NT-VT'!C43</f>
        <v>Chụp đầu cực FCO (bộ 2 cái)</v>
      </c>
      <c r="C40" s="1434" t="str">
        <f>'NT-VT'!D43</f>
        <v>bộ</v>
      </c>
      <c r="D40" s="1435">
        <f>'NT-VT'!E43</f>
        <v>6</v>
      </c>
      <c r="E40" s="1432" t="str">
        <f>'NT-VT'!F44</f>
        <v>nt</v>
      </c>
      <c r="F40" s="1432" t="str">
        <f>'NT-VT'!G44</f>
        <v>nt</v>
      </c>
      <c r="G40" s="869">
        <f t="shared" si="0"/>
        <v>1</v>
      </c>
      <c r="H40" s="884"/>
    </row>
    <row r="41" spans="1:9" ht="35.1" hidden="1" customHeight="1">
      <c r="A41" s="1432">
        <f>SUM($G$3:G41)</f>
        <v>39</v>
      </c>
      <c r="B41" s="1433" t="str">
        <f>'NT-VT'!C44</f>
        <v>Dây chảy 6K</v>
      </c>
      <c r="C41" s="1434" t="str">
        <f>'NT-VT'!D44</f>
        <v>Sợi</v>
      </c>
      <c r="D41" s="1435">
        <f>'NT-VT'!E44</f>
        <v>3</v>
      </c>
      <c r="E41" s="1432" t="str">
        <f>'NT-VT'!F45</f>
        <v>nt</v>
      </c>
      <c r="F41" s="1432" t="str">
        <f>'NT-VT'!G45</f>
        <v>nt</v>
      </c>
      <c r="G41" s="869">
        <f t="shared" si="0"/>
        <v>1</v>
      </c>
      <c r="H41" s="883"/>
      <c r="I41" s="885"/>
    </row>
    <row r="42" spans="1:9" ht="35.1" hidden="1" customHeight="1">
      <c r="A42" s="1432">
        <f>SUM($G$3:G42)</f>
        <v>40</v>
      </c>
      <c r="B42" s="1433" t="str">
        <f>'NT-VT'!C45</f>
        <v>Dây chảy 8K</v>
      </c>
      <c r="C42" s="1434" t="str">
        <f>'NT-VT'!D45</f>
        <v>Sợi</v>
      </c>
      <c r="D42" s="1435">
        <f>'NT-VT'!E45</f>
        <v>3</v>
      </c>
      <c r="E42" s="1432" t="str">
        <f>'NT-VT'!F46</f>
        <v>nt</v>
      </c>
      <c r="F42" s="1432" t="str">
        <f>'NT-VT'!G46</f>
        <v>nt</v>
      </c>
      <c r="G42" s="869">
        <f t="shared" si="0"/>
        <v>1</v>
      </c>
      <c r="H42" s="883"/>
      <c r="I42" s="859"/>
    </row>
    <row r="43" spans="1:9" ht="35.1" hidden="1" customHeight="1">
      <c r="A43" s="1432">
        <f>SUM($G$3:G43)</f>
        <v>41</v>
      </c>
      <c r="B43" s="1433" t="str">
        <f>'NT-VT'!C46</f>
        <v>Chụp đầu cực LA</v>
      </c>
      <c r="C43" s="1434" t="str">
        <f>'NT-VT'!D46</f>
        <v>cái</v>
      </c>
      <c r="D43" s="1435">
        <f>'NT-VT'!E46</f>
        <v>3</v>
      </c>
      <c r="E43" s="1432" t="str">
        <f>'NT-VT'!F47</f>
        <v>nt</v>
      </c>
      <c r="F43" s="1432" t="str">
        <f>'NT-VT'!G47</f>
        <v>nt</v>
      </c>
      <c r="G43" s="869">
        <f t="shared" si="0"/>
        <v>1</v>
      </c>
      <c r="H43" s="883"/>
      <c r="I43" s="885"/>
    </row>
    <row r="44" spans="1:9" ht="35.1" hidden="1" customHeight="1">
      <c r="A44" s="1432">
        <f>SUM($G$3:G44)</f>
        <v>42</v>
      </c>
      <c r="B44" s="1433" t="str">
        <f>'NT-VT'!C47</f>
        <v>Chụp đầu MBA</v>
      </c>
      <c r="C44" s="1434" t="str">
        <f>'NT-VT'!D47</f>
        <v>cái</v>
      </c>
      <c r="D44" s="1435">
        <f>'NT-VT'!E47</f>
        <v>3</v>
      </c>
      <c r="E44" s="1432" t="str">
        <f>'NT-VT'!F48</f>
        <v>nt</v>
      </c>
      <c r="F44" s="1432" t="str">
        <f>'NT-VT'!G48</f>
        <v>nt</v>
      </c>
      <c r="G44" s="869">
        <f t="shared" si="0"/>
        <v>1</v>
      </c>
      <c r="H44" s="883"/>
      <c r="I44" s="859"/>
    </row>
    <row r="45" spans="1:9" ht="35.1" hidden="1" customHeight="1">
      <c r="A45" s="1432">
        <f>SUM($G$3:G45)</f>
        <v>43</v>
      </c>
      <c r="B45" s="1433" t="str">
        <f>'NT-VT'!C48</f>
        <v>Bộ chống chằng hẹp Ø60/50x1500+2BL12x40+BL16x250/80</v>
      </c>
      <c r="C45" s="1434" t="str">
        <f>'NT-VT'!D48</f>
        <v>bộ</v>
      </c>
      <c r="D45" s="1435">
        <f>'NT-VT'!E48</f>
        <v>1</v>
      </c>
      <c r="E45" s="1432" t="str">
        <f>'NT-VT'!F49</f>
        <v>nt</v>
      </c>
      <c r="F45" s="1432" t="str">
        <f>'NT-VT'!G49</f>
        <v>nt</v>
      </c>
      <c r="G45" s="869">
        <f t="shared" si="0"/>
        <v>1</v>
      </c>
      <c r="H45" s="883"/>
      <c r="I45" s="859"/>
    </row>
    <row r="46" spans="1:9" ht="35.1" hidden="1" customHeight="1">
      <c r="A46" s="1432">
        <f>SUM($G$3:G46)</f>
        <v>44</v>
      </c>
      <c r="B46" s="1433" t="str">
        <f>'NT-VT'!C49</f>
        <v>Xà composite 110x800x5 dài 2,4m</v>
      </c>
      <c r="C46" s="1434" t="str">
        <f>'NT-VT'!D49</f>
        <v>cái</v>
      </c>
      <c r="D46" s="1435">
        <f>'NT-VT'!E49</f>
        <v>2</v>
      </c>
      <c r="E46" s="1432" t="str">
        <f>'NT-VT'!F50</f>
        <v>nt</v>
      </c>
      <c r="F46" s="1432" t="str">
        <f>'NT-VT'!G50</f>
        <v>nt</v>
      </c>
      <c r="G46" s="869">
        <f t="shared" si="0"/>
        <v>1</v>
      </c>
      <c r="H46" s="883"/>
      <c r="I46" s="859"/>
    </row>
    <row r="47" spans="1:9" ht="35.1" hidden="1" customHeight="1">
      <c r="A47" s="1432">
        <f>SUM($G$3:G47)</f>
        <v>45</v>
      </c>
      <c r="B47" s="1433" t="str">
        <f>'NT-VT'!C50</f>
        <v>Chống composite 40x10x920</v>
      </c>
      <c r="C47" s="1434" t="str">
        <f>'NT-VT'!D50</f>
        <v>cái</v>
      </c>
      <c r="D47" s="1435">
        <f>'NT-VT'!E50</f>
        <v>4</v>
      </c>
      <c r="E47" s="1432" t="str">
        <f>'NT-VT'!F51</f>
        <v>nt</v>
      </c>
      <c r="F47" s="1432" t="str">
        <f>'NT-VT'!G51</f>
        <v>nt</v>
      </c>
      <c r="G47" s="869">
        <f t="shared" si="0"/>
        <v>1</v>
      </c>
      <c r="H47" s="883"/>
      <c r="I47" s="859"/>
    </row>
    <row r="48" spans="1:9" ht="35.1" hidden="1" customHeight="1">
      <c r="A48" s="1432">
        <f>SUM($G$3:G48)</f>
        <v>46</v>
      </c>
      <c r="B48" s="1433" t="str">
        <f>'NT-VT'!C51</f>
        <v>Đầu cosse ép Cu 150mm2</v>
      </c>
      <c r="C48" s="1434" t="str">
        <f>'NT-VT'!D51</f>
        <v>cái</v>
      </c>
      <c r="D48" s="1435">
        <f>'NT-VT'!E51</f>
        <v>0</v>
      </c>
      <c r="E48" s="1432" t="str">
        <f>'NT-VT'!F52</f>
        <v>nt</v>
      </c>
      <c r="F48" s="1432" t="str">
        <f>'NT-VT'!G52</f>
        <v>nt</v>
      </c>
      <c r="G48" s="869">
        <f t="shared" si="0"/>
        <v>1</v>
      </c>
      <c r="H48" s="883"/>
      <c r="I48" s="859"/>
    </row>
    <row r="49" spans="1:9" ht="35.1" hidden="1" customHeight="1">
      <c r="A49" s="1432">
        <f>SUM($G$3:G49)</f>
        <v>47</v>
      </c>
      <c r="B49" s="1433" t="str">
        <f>'NT-VT'!C52</f>
        <v>Đầu cosse ép Cu 5mm2</v>
      </c>
      <c r="C49" s="1434" t="str">
        <f>'NT-VT'!D52</f>
        <v>cái</v>
      </c>
      <c r="D49" s="1435">
        <f>'NT-VT'!E52</f>
        <v>6</v>
      </c>
      <c r="E49" s="1432" t="str">
        <f>'NT-VT'!F53</f>
        <v>nt</v>
      </c>
      <c r="F49" s="1432" t="str">
        <f>'NT-VT'!G53</f>
        <v>nt</v>
      </c>
      <c r="G49" s="869">
        <f t="shared" si="0"/>
        <v>1</v>
      </c>
      <c r="H49" s="883"/>
      <c r="I49" s="859"/>
    </row>
    <row r="50" spans="1:9" ht="35.1" hidden="1" customHeight="1">
      <c r="A50" s="1432">
        <f>SUM($G$3:G50)</f>
        <v>48</v>
      </c>
      <c r="B50" s="1433" t="str">
        <f>'NT-VT'!C53</f>
        <v>Đầu cosse ép Cu 95mm2</v>
      </c>
      <c r="C50" s="1434" t="str">
        <f>'NT-VT'!D53</f>
        <v>cái</v>
      </c>
      <c r="D50" s="1435">
        <f>'NT-VT'!E53</f>
        <v>1</v>
      </c>
      <c r="E50" s="1432" t="str">
        <f>'NT-VT'!F54</f>
        <v>nt</v>
      </c>
      <c r="F50" s="1432" t="str">
        <f>'NT-VT'!G54</f>
        <v>nt</v>
      </c>
      <c r="G50" s="869">
        <f t="shared" si="0"/>
        <v>1</v>
      </c>
      <c r="H50" s="883"/>
      <c r="I50" s="859"/>
    </row>
    <row r="51" spans="1:9" ht="35.1" hidden="1" customHeight="1">
      <c r="A51" s="1432">
        <f>SUM($G$3:G51)</f>
        <v>49</v>
      </c>
      <c r="B51" s="1433" t="str">
        <f>'NT-VT'!C54</f>
        <v>Đầu cosse ép Cu-Al 50mm2</v>
      </c>
      <c r="C51" s="1434" t="str">
        <f>'NT-VT'!D54</f>
        <v>cái</v>
      </c>
      <c r="D51" s="1435">
        <f>'NT-VT'!E54</f>
        <v>3</v>
      </c>
      <c r="E51" s="1432" t="str">
        <f>'NT-VT'!F55</f>
        <v>nt</v>
      </c>
      <c r="F51" s="1432" t="str">
        <f>'NT-VT'!G55</f>
        <v>nt</v>
      </c>
      <c r="G51" s="869">
        <f t="shared" si="0"/>
        <v>1</v>
      </c>
      <c r="H51" s="883"/>
      <c r="I51" s="859"/>
    </row>
    <row r="52" spans="1:9" ht="35.1" hidden="1" customHeight="1">
      <c r="A52" s="1432">
        <f>SUM($G$3:G52)</f>
        <v>50</v>
      </c>
      <c r="B52" s="1433" t="str">
        <f>'NT-VT'!C55</f>
        <v>Chân sứ đứng D20</v>
      </c>
      <c r="C52" s="1434" t="str">
        <f>'NT-VT'!D55</f>
        <v>cái</v>
      </c>
      <c r="D52" s="1435">
        <f>'NT-VT'!E55</f>
        <v>69</v>
      </c>
      <c r="E52" s="1432" t="str">
        <f>'NT-VT'!F56</f>
        <v>nt</v>
      </c>
      <c r="F52" s="1432" t="str">
        <f>'NT-VT'!G56</f>
        <v>nt</v>
      </c>
      <c r="G52" s="869">
        <f t="shared" si="0"/>
        <v>1</v>
      </c>
      <c r="H52" s="883"/>
      <c r="I52" s="859"/>
    </row>
    <row r="53" spans="1:9" ht="35.1" hidden="1" customHeight="1">
      <c r="A53" s="1432">
        <f>SUM($G$3:G53)</f>
        <v>51</v>
      </c>
      <c r="B53" s="1433" t="str">
        <f>'NT-VT'!C56</f>
        <v>Cọc tiếp đất Þ 16- 2,4m + kẹp cọc mạ đồng</v>
      </c>
      <c r="C53" s="1434" t="str">
        <f>'NT-VT'!D56</f>
        <v>bộ</v>
      </c>
      <c r="D53" s="1435">
        <f>'NT-VT'!E56</f>
        <v>14</v>
      </c>
      <c r="E53" s="1432" t="str">
        <f>'NT-VT'!F57</f>
        <v>nt</v>
      </c>
      <c r="F53" s="1432" t="str">
        <f>'NT-VT'!G57</f>
        <v>nt</v>
      </c>
      <c r="G53" s="869">
        <f t="shared" si="0"/>
        <v>1</v>
      </c>
      <c r="H53" s="883"/>
      <c r="I53" s="859"/>
    </row>
    <row r="54" spans="1:9" ht="35.1" hidden="1" customHeight="1">
      <c r="A54" s="1432">
        <f>SUM($G$3:G54)</f>
        <v>52</v>
      </c>
      <c r="B54" s="1433" t="str">
        <f>'NT-VT'!C57</f>
        <v>Co 135 độ PVC 114</v>
      </c>
      <c r="C54" s="1434" t="str">
        <f>'NT-VT'!D57</f>
        <v>cái</v>
      </c>
      <c r="D54" s="1435">
        <f>'NT-VT'!E57</f>
        <v>2</v>
      </c>
      <c r="E54" s="1432" t="str">
        <f>'NT-VT'!F58</f>
        <v>nt</v>
      </c>
      <c r="F54" s="1432" t="str">
        <f>'NT-VT'!G58</f>
        <v>nt</v>
      </c>
      <c r="G54" s="869">
        <f t="shared" si="0"/>
        <v>1</v>
      </c>
      <c r="H54" s="883"/>
      <c r="I54" s="859"/>
    </row>
    <row r="55" spans="1:9" ht="35.1" hidden="1" customHeight="1">
      <c r="A55" s="1432">
        <f>SUM($G$3:G55)</f>
        <v>53</v>
      </c>
      <c r="B55" s="1433" t="str">
        <f>'NT-VT'!C58</f>
        <v>Co  90 độ PVC 114</v>
      </c>
      <c r="C55" s="1434" t="str">
        <f>'NT-VT'!D58</f>
        <v>cái</v>
      </c>
      <c r="D55" s="1435">
        <f>'NT-VT'!E58</f>
        <v>2</v>
      </c>
      <c r="E55" s="1432" t="str">
        <f>'NT-VT'!F59</f>
        <v>nt</v>
      </c>
      <c r="F55" s="1432" t="str">
        <f>'NT-VT'!G59</f>
        <v>nt</v>
      </c>
      <c r="G55" s="869">
        <f t="shared" si="0"/>
        <v>1</v>
      </c>
      <c r="H55" s="883"/>
      <c r="I55" s="859"/>
    </row>
    <row r="56" spans="1:9" ht="35.1" hidden="1" customHeight="1">
      <c r="A56" s="1432">
        <f>SUM($G$3:G56)</f>
        <v>54</v>
      </c>
      <c r="B56" s="1433" t="str">
        <f>'NT-VT'!C59</f>
        <v>Đinh các loại</v>
      </c>
      <c r="C56" s="1434" t="str">
        <f>'NT-VT'!D59</f>
        <v>kg</v>
      </c>
      <c r="D56" s="1435">
        <f>'NT-VT'!E59</f>
        <v>3.75</v>
      </c>
      <c r="E56" s="1432" t="str">
        <f>'NT-VT'!F60</f>
        <v>nt</v>
      </c>
      <c r="F56" s="1432" t="str">
        <f>'NT-VT'!G60</f>
        <v>nt</v>
      </c>
      <c r="G56" s="869">
        <f t="shared" si="0"/>
        <v>1</v>
      </c>
      <c r="H56" s="883"/>
      <c r="I56" s="859"/>
    </row>
    <row r="57" spans="1:9" ht="35.1" hidden="1" customHeight="1">
      <c r="A57" s="1432">
        <f>SUM($G$3:G57)</f>
        <v>55</v>
      </c>
      <c r="B57" s="1433" t="str">
        <f>'NT-VT'!C60</f>
        <v>Giáp níu dừng dây bọc ACX50</v>
      </c>
      <c r="C57" s="1434" t="str">
        <f>'NT-VT'!D60</f>
        <v>cái</v>
      </c>
      <c r="D57" s="1435">
        <f>'NT-VT'!E60</f>
        <v>24</v>
      </c>
      <c r="E57" s="1432" t="str">
        <f>'NT-VT'!F61</f>
        <v>nt</v>
      </c>
      <c r="F57" s="1432" t="str">
        <f>'NT-VT'!G61</f>
        <v>nt</v>
      </c>
      <c r="G57" s="869">
        <f t="shared" si="0"/>
        <v>1</v>
      </c>
      <c r="H57" s="883"/>
      <c r="I57" s="859"/>
    </row>
    <row r="58" spans="1:9" ht="35.1" hidden="1" customHeight="1">
      <c r="A58" s="1432">
        <f>SUM($G$3:G58)</f>
        <v>56</v>
      </c>
      <c r="B58" s="1433" t="str">
        <f>'NT-VT'!C61</f>
        <v>Giá chùm treo máy biến áp 3x50</v>
      </c>
      <c r="C58" s="1434" t="str">
        <f>'NT-VT'!D61</f>
        <v>cái</v>
      </c>
      <c r="D58" s="1435">
        <f>'NT-VT'!E61</f>
        <v>1</v>
      </c>
      <c r="E58" s="1432" t="str">
        <f>'NT-VT'!F62</f>
        <v>nt</v>
      </c>
      <c r="F58" s="1432" t="str">
        <f>'NT-VT'!G62</f>
        <v>nt</v>
      </c>
      <c r="G58" s="869">
        <f t="shared" si="0"/>
        <v>1</v>
      </c>
      <c r="H58" s="883"/>
      <c r="I58" s="859"/>
    </row>
    <row r="59" spans="1:9" ht="35.1" hidden="1" customHeight="1">
      <c r="A59" s="1432">
        <f>SUM($G$3:G59)</f>
        <v>57</v>
      </c>
      <c r="B59" s="1433" t="str">
        <f>'NT-VT'!C62</f>
        <v>Kẹp cáp 3 boulon</v>
      </c>
      <c r="C59" s="1434" t="str">
        <f>'NT-VT'!D62</f>
        <v>cái</v>
      </c>
      <c r="D59" s="1435">
        <f>'NT-VT'!E62</f>
        <v>8</v>
      </c>
      <c r="E59" s="1432" t="str">
        <f>'NT-VT'!F63</f>
        <v>nt</v>
      </c>
      <c r="F59" s="1432" t="str">
        <f>'NT-VT'!G63</f>
        <v>nt</v>
      </c>
      <c r="G59" s="869">
        <f t="shared" si="0"/>
        <v>1</v>
      </c>
      <c r="H59" s="883"/>
      <c r="I59" s="859"/>
    </row>
    <row r="60" spans="1:9" ht="35.1" hidden="1" customHeight="1">
      <c r="A60" s="1432">
        <f>SUM($G$3:G60)</f>
        <v>58</v>
      </c>
      <c r="B60" s="1433" t="str">
        <f>'NT-VT'!C63</f>
        <v>Kẹp ép WR cỡ dây 150mm2</v>
      </c>
      <c r="C60" s="1434" t="str">
        <f>'NT-VT'!D63</f>
        <v>cái</v>
      </c>
      <c r="D60" s="1435">
        <f>'NT-VT'!E63</f>
        <v>6</v>
      </c>
      <c r="E60" s="1432" t="str">
        <f>'NT-VT'!F64</f>
        <v>nt</v>
      </c>
      <c r="F60" s="1432" t="str">
        <f>'NT-VT'!G64</f>
        <v>nt</v>
      </c>
      <c r="G60" s="869">
        <f t="shared" si="0"/>
        <v>1</v>
      </c>
      <c r="H60" s="883"/>
      <c r="I60" s="859"/>
    </row>
    <row r="61" spans="1:9" ht="35.1" hidden="1" customHeight="1">
      <c r="A61" s="1432">
        <f>SUM($G$3:G61)</f>
        <v>59</v>
      </c>
      <c r="B61" s="1433" t="str">
        <f>'NT-VT'!C64</f>
        <v>Kẹp ép cỡ dây 25mm2</v>
      </c>
      <c r="C61" s="1434" t="str">
        <f>'NT-VT'!D64</f>
        <v>cái</v>
      </c>
      <c r="D61" s="1435">
        <f>'NT-VT'!E64</f>
        <v>2</v>
      </c>
      <c r="E61" s="1432" t="str">
        <f>'NT-VT'!F65</f>
        <v>nt</v>
      </c>
      <c r="F61" s="1432" t="str">
        <f>'NT-VT'!G65</f>
        <v>nt</v>
      </c>
      <c r="G61" s="869">
        <f t="shared" si="0"/>
        <v>1</v>
      </c>
      <c r="H61" s="883"/>
      <c r="I61" s="859"/>
    </row>
    <row r="62" spans="1:9" ht="35.1" hidden="1" customHeight="1">
      <c r="A62" s="1432">
        <f>SUM($G$3:G62)</f>
        <v>60</v>
      </c>
      <c r="B62" s="1433" t="str">
        <f>'NT-VT'!C65</f>
        <v>Kẹp ép WR cỡ dây 50mm2</v>
      </c>
      <c r="C62" s="1434" t="str">
        <f>'NT-VT'!D65</f>
        <v>cái</v>
      </c>
      <c r="D62" s="1435">
        <f>'NT-VT'!E65</f>
        <v>28</v>
      </c>
      <c r="E62" s="1432" t="str">
        <f>'NT-VT'!F66</f>
        <v>nt</v>
      </c>
      <c r="F62" s="1432" t="str">
        <f>'NT-VT'!G66</f>
        <v>nt</v>
      </c>
      <c r="G62" s="869">
        <f t="shared" si="0"/>
        <v>1</v>
      </c>
      <c r="H62" s="883"/>
      <c r="I62" s="859"/>
    </row>
    <row r="63" spans="1:9" ht="35.1" hidden="1" customHeight="1">
      <c r="A63" s="1432">
        <f>SUM($G$3:G63)</f>
        <v>61</v>
      </c>
      <c r="B63" s="1433" t="str">
        <f>'NT-VT'!C66</f>
        <v>Keo silicon bít miệng ống</v>
      </c>
      <c r="C63" s="1434" t="str">
        <f>'NT-VT'!D66</f>
        <v>ống</v>
      </c>
      <c r="D63" s="1435">
        <f>'NT-VT'!E66</f>
        <v>5</v>
      </c>
      <c r="E63" s="1432" t="str">
        <f>'NT-VT'!F67</f>
        <v>nt</v>
      </c>
      <c r="F63" s="1432" t="str">
        <f>'NT-VT'!G67</f>
        <v>nt</v>
      </c>
      <c r="G63" s="869">
        <f t="shared" si="0"/>
        <v>1</v>
      </c>
      <c r="H63" s="883"/>
      <c r="I63" s="859"/>
    </row>
    <row r="64" spans="1:9" ht="35.1" hidden="1" customHeight="1">
      <c r="A64" s="1432">
        <f>SUM($G$3:G64)</f>
        <v>62</v>
      </c>
      <c r="B64" s="1433" t="str">
        <f>'NT-VT'!C67</f>
        <v>Keo dán ống PVC (100gr)</v>
      </c>
      <c r="C64" s="1434" t="str">
        <f>'NT-VT'!D67</f>
        <v>tuýp</v>
      </c>
      <c r="D64" s="1435">
        <f>'NT-VT'!E67</f>
        <v>1</v>
      </c>
      <c r="E64" s="1432" t="str">
        <f>'NT-VT'!F68</f>
        <v>nt</v>
      </c>
      <c r="F64" s="1432" t="str">
        <f>'NT-VT'!G68</f>
        <v>nt</v>
      </c>
      <c r="G64" s="869">
        <f t="shared" si="0"/>
        <v>1</v>
      </c>
      <c r="H64" s="883"/>
      <c r="I64" s="859"/>
    </row>
    <row r="65" spans="1:9" ht="35.1" hidden="1" customHeight="1">
      <c r="A65" s="1432">
        <f>SUM($G$3:G65)</f>
        <v>63</v>
      </c>
      <c r="B65" s="1433" t="str">
        <f>'NT-VT'!C68</f>
        <v>Kẹp hotline 2/0</v>
      </c>
      <c r="C65" s="1434" t="str">
        <f>'NT-VT'!D68</f>
        <v>cái</v>
      </c>
      <c r="D65" s="1435">
        <f>'NT-VT'!E68</f>
        <v>9</v>
      </c>
      <c r="E65" s="1432" t="str">
        <f>'NT-VT'!F69</f>
        <v>nt</v>
      </c>
      <c r="F65" s="1432" t="str">
        <f>'NT-VT'!G69</f>
        <v>nt</v>
      </c>
      <c r="G65" s="869">
        <f t="shared" si="0"/>
        <v>1</v>
      </c>
      <c r="H65" s="883"/>
      <c r="I65" s="859"/>
    </row>
    <row r="66" spans="1:9" ht="35.1" hidden="1" customHeight="1">
      <c r="A66" s="1432">
        <f>SUM($G$3:G66)</f>
        <v>64</v>
      </c>
      <c r="B66" s="1433" t="str">
        <f>'NT-VT'!C69</f>
        <v>Khóa néo dây cỡ dây 50</v>
      </c>
      <c r="C66" s="1434" t="str">
        <f>'NT-VT'!D69</f>
        <v>cái</v>
      </c>
      <c r="D66" s="1435">
        <f>'NT-VT'!E69</f>
        <v>8</v>
      </c>
      <c r="E66" s="1432" t="str">
        <f>'NT-VT'!F69</f>
        <v>nt</v>
      </c>
      <c r="F66" s="1432" t="str">
        <f>'NT-VT'!G69</f>
        <v>nt</v>
      </c>
      <c r="G66" s="869">
        <f t="shared" si="0"/>
        <v>1</v>
      </c>
      <c r="H66" s="883"/>
      <c r="I66" s="859"/>
    </row>
    <row r="67" spans="1:9" ht="35.1" hidden="1" customHeight="1">
      <c r="A67" s="1432">
        <f>SUM($G$3:G67)</f>
        <v>65</v>
      </c>
      <c r="B67" s="1433" t="str">
        <f>'NT-VT'!C70</f>
        <v>Kẹp quai 2/0</v>
      </c>
      <c r="C67" s="1434" t="str">
        <f>'NT-VT'!D69</f>
        <v>cái</v>
      </c>
      <c r="D67" s="1435">
        <f>'NT-VT'!E69</f>
        <v>8</v>
      </c>
      <c r="E67" s="1432" t="str">
        <f>'NT-VT'!F70</f>
        <v>nt</v>
      </c>
      <c r="F67" s="1432" t="str">
        <f>'NT-VT'!G70</f>
        <v>nt</v>
      </c>
      <c r="G67" s="869">
        <f t="shared" ref="G67:G94" si="1">IF(ISERROR(B67),"",1)</f>
        <v>1</v>
      </c>
      <c r="H67" s="883"/>
      <c r="I67" s="859"/>
    </row>
    <row r="68" spans="1:9" ht="35.1" hidden="1" customHeight="1">
      <c r="A68" s="1432">
        <f>SUM($G$3:G68)</f>
        <v>66</v>
      </c>
      <c r="B68" s="1433" t="str">
        <f>'NT-VT'!C71</f>
        <v>Kẹp quai 2/0 + chụp cách điện</v>
      </c>
      <c r="C68" s="1434" t="str">
        <f>'NT-VT'!D70</f>
        <v>cái</v>
      </c>
      <c r="D68" s="1435">
        <f>'NT-VT'!E70</f>
        <v>3</v>
      </c>
      <c r="E68" s="1432" t="str">
        <f>'NT-VT'!F71</f>
        <v>nt</v>
      </c>
      <c r="F68" s="1432" t="str">
        <f>'NT-VT'!G71</f>
        <v>nt</v>
      </c>
      <c r="G68" s="869">
        <f t="shared" si="1"/>
        <v>1</v>
      </c>
      <c r="H68" s="883"/>
      <c r="I68" s="859"/>
    </row>
    <row r="69" spans="1:9" ht="35.1" hidden="1" customHeight="1">
      <c r="A69" s="1432">
        <f>SUM($G$3:G69)</f>
        <v>67</v>
      </c>
      <c r="B69" s="1433" t="str">
        <f>'NT-VT'!C72</f>
        <v>Khâu ven răng ngoài D114</v>
      </c>
      <c r="C69" s="1434" t="str">
        <f>'NT-VT'!D71</f>
        <v>bộ</v>
      </c>
      <c r="D69" s="1435">
        <f>'NT-VT'!E71</f>
        <v>6</v>
      </c>
      <c r="E69" s="1432" t="str">
        <f>'NT-VT'!F72</f>
        <v>nt</v>
      </c>
      <c r="F69" s="1432" t="str">
        <f>'NT-VT'!G72</f>
        <v>nt</v>
      </c>
      <c r="G69" s="869">
        <f t="shared" si="1"/>
        <v>1</v>
      </c>
      <c r="H69" s="883"/>
      <c r="I69" s="859"/>
    </row>
    <row r="70" spans="1:9" ht="35.1" hidden="1" customHeight="1">
      <c r="A70" s="1432">
        <f>SUM($G$3:G70)</f>
        <v>68</v>
      </c>
      <c r="B70" s="1433" t="str">
        <f>'NT-VT'!C73</f>
        <v>Khâu ven răng trong D114</v>
      </c>
      <c r="C70" s="1434" t="str">
        <f>'NT-VT'!D72</f>
        <v>cái</v>
      </c>
      <c r="D70" s="1435">
        <f>'NT-VT'!E72</f>
        <v>1</v>
      </c>
      <c r="E70" s="1432" t="str">
        <f>'NT-VT'!F73</f>
        <v>nt</v>
      </c>
      <c r="F70" s="1432" t="str">
        <f>'NT-VT'!G73</f>
        <v>nt</v>
      </c>
      <c r="G70" s="869">
        <f t="shared" si="1"/>
        <v>1</v>
      </c>
      <c r="H70" s="883"/>
      <c r="I70" s="859"/>
    </row>
    <row r="71" spans="1:9" ht="35.1" hidden="1" customHeight="1">
      <c r="A71" s="1432">
        <f>SUM($G$3:G71)</f>
        <v>69</v>
      </c>
      <c r="B71" s="1433" t="str">
        <f>'NT-VT'!C74</f>
        <v>Máng che dây chằng dày 1,6mm</v>
      </c>
      <c r="C71" s="1434" t="str">
        <f>'NT-VT'!D73</f>
        <v>cái</v>
      </c>
      <c r="D71" s="1435">
        <f>'NT-VT'!E73</f>
        <v>1</v>
      </c>
      <c r="E71" s="1432" t="str">
        <f>'NT-VT'!F74</f>
        <v>nt</v>
      </c>
      <c r="F71" s="1432" t="str">
        <f>'NT-VT'!G74</f>
        <v>nt</v>
      </c>
      <c r="G71" s="869">
        <f t="shared" si="1"/>
        <v>1</v>
      </c>
      <c r="H71" s="883"/>
      <c r="I71" s="859"/>
    </row>
    <row r="72" spans="1:9" ht="35.1" hidden="1" customHeight="1">
      <c r="A72" s="1432">
        <f>SUM($G$3:G72)</f>
        <v>70</v>
      </c>
      <c r="B72" s="1433" t="str">
        <f>'NT-VT'!C75</f>
        <v xml:space="preserve">Móc treo chữ U </v>
      </c>
      <c r="C72" s="1434" t="str">
        <f>'NT-VT'!D74</f>
        <v>cái</v>
      </c>
      <c r="D72" s="1435">
        <f>'NT-VT'!E74</f>
        <v>1</v>
      </c>
      <c r="E72" s="1432" t="str">
        <f>'NT-VT'!F75</f>
        <v>nt</v>
      </c>
      <c r="F72" s="1432" t="str">
        <f>'NT-VT'!G75</f>
        <v>nt</v>
      </c>
      <c r="G72" s="869">
        <f t="shared" si="1"/>
        <v>1</v>
      </c>
      <c r="H72" s="883"/>
      <c r="I72" s="859"/>
    </row>
    <row r="73" spans="1:9" ht="35.1" hidden="1" customHeight="1">
      <c r="A73" s="1432">
        <f>SUM($G$3:G73)</f>
        <v>71</v>
      </c>
      <c r="B73" s="1433" t="str">
        <f>'NT-VT'!C75</f>
        <v xml:space="preserve">Móc treo chữ U </v>
      </c>
      <c r="C73" s="1434" t="str">
        <f>'NT-VT'!D75</f>
        <v>cái</v>
      </c>
      <c r="D73" s="1435">
        <f>'NT-VT'!E75</f>
        <v>48</v>
      </c>
      <c r="E73" s="1432" t="str">
        <f>'NT-VT'!F76</f>
        <v>nt</v>
      </c>
      <c r="F73" s="1432" t="str">
        <f>'NT-VT'!G76</f>
        <v>nt</v>
      </c>
      <c r="G73" s="869">
        <f t="shared" si="1"/>
        <v>1</v>
      </c>
      <c r="H73" s="883"/>
      <c r="I73" s="859"/>
    </row>
    <row r="74" spans="1:9" ht="35.1" hidden="1" customHeight="1">
      <c r="A74" s="1432">
        <f>SUM($G$3:G74)</f>
        <v>72</v>
      </c>
      <c r="B74" s="1433" t="str">
        <f>'NT-VT'!C76</f>
        <v>Neo xòe 8 hướng (dày 3,2mm)</v>
      </c>
      <c r="C74" s="1434" t="str">
        <f>'NT-VT'!D76</f>
        <v>cái</v>
      </c>
      <c r="D74" s="1435">
        <f>'NT-VT'!E76</f>
        <v>1</v>
      </c>
      <c r="E74" s="1432" t="str">
        <f>'NT-VT'!F77</f>
        <v>nt</v>
      </c>
      <c r="F74" s="1432" t="str">
        <f>'NT-VT'!G77</f>
        <v>nt</v>
      </c>
      <c r="G74" s="869">
        <f t="shared" si="1"/>
        <v>1</v>
      </c>
      <c r="H74" s="883"/>
      <c r="I74" s="859"/>
    </row>
    <row r="75" spans="1:9" ht="35.1" hidden="1" customHeight="1">
      <c r="A75" s="1432">
        <f>SUM($G$3:G75)</f>
        <v>73</v>
      </c>
      <c r="B75" s="1433" t="str">
        <f>'NT-VT'!C77</f>
        <v>Ốc siết cáp cỡ 25mm2</v>
      </c>
      <c r="C75" s="1434" t="str">
        <f>'NT-VT'!D77</f>
        <v>cái</v>
      </c>
      <c r="D75" s="1435">
        <f>'NT-VT'!E77</f>
        <v>14</v>
      </c>
      <c r="E75" s="1432" t="str">
        <f>'NT-VT'!F78</f>
        <v>nt</v>
      </c>
      <c r="F75" s="1432" t="str">
        <f>'NT-VT'!G78</f>
        <v>nt</v>
      </c>
      <c r="G75" s="869">
        <f t="shared" si="1"/>
        <v>1</v>
      </c>
      <c r="H75" s="883"/>
      <c r="I75" s="859"/>
    </row>
    <row r="76" spans="1:9" ht="35.1" hidden="1" customHeight="1">
      <c r="A76" s="1432">
        <f>SUM($G$3:G76)</f>
        <v>74</v>
      </c>
      <c r="B76" s="1433" t="str">
        <f>'NT-VT'!C78</f>
        <v xml:space="preserve">Ống PVC D114x4,9mm </v>
      </c>
      <c r="C76" s="1434" t="str">
        <f>'NT-VT'!D78</f>
        <v>m</v>
      </c>
      <c r="D76" s="1435">
        <f>'NT-VT'!E78</f>
        <v>11</v>
      </c>
      <c r="E76" s="1432" t="str">
        <f>'NT-VT'!F79</f>
        <v>nt</v>
      </c>
      <c r="F76" s="1432" t="str">
        <f>'NT-VT'!G79</f>
        <v>nt</v>
      </c>
      <c r="G76" s="869">
        <f t="shared" si="1"/>
        <v>1</v>
      </c>
      <c r="H76" s="883"/>
      <c r="I76" s="859"/>
    </row>
    <row r="77" spans="1:9" ht="35.1" hidden="1" customHeight="1">
      <c r="A77" s="1432">
        <f>SUM($G$3:G77)</f>
        <v>75</v>
      </c>
      <c r="B77" s="1433" t="str">
        <f>'NT-VT'!C79</f>
        <v>Uclevis + sứ ống chỉ</v>
      </c>
      <c r="C77" s="1434" t="str">
        <f>'NT-VT'!D79</f>
        <v>bộ</v>
      </c>
      <c r="D77" s="1435">
        <f>'NT-VT'!E79</f>
        <v>17</v>
      </c>
      <c r="E77" s="1432" t="str">
        <f>'NT-VT'!F80</f>
        <v>nt</v>
      </c>
      <c r="F77" s="1432" t="str">
        <f>'NT-VT'!G80</f>
        <v>nt</v>
      </c>
      <c r="G77" s="869">
        <f t="shared" si="1"/>
        <v>1</v>
      </c>
      <c r="H77" s="883"/>
      <c r="I77" s="859"/>
    </row>
    <row r="78" spans="1:9" ht="35.1" hidden="1" customHeight="1">
      <c r="A78" s="1432">
        <f>SUM($G$3:G78)</f>
        <v>76</v>
      </c>
      <c r="B78" s="1433" t="str">
        <f>'NT-VT'!C80</f>
        <v>Sắt góc L50 x50 x5 x1190</v>
      </c>
      <c r="C78" s="1434" t="str">
        <f>'NT-VT'!D80</f>
        <v>cái</v>
      </c>
      <c r="D78" s="1435">
        <f>'NT-VT'!E80</f>
        <v>17</v>
      </c>
      <c r="E78" s="1432" t="str">
        <f>'NT-VT'!F81</f>
        <v>nt</v>
      </c>
      <c r="F78" s="1432" t="str">
        <f>'NT-VT'!G81</f>
        <v>nt</v>
      </c>
      <c r="G78" s="869">
        <f t="shared" si="1"/>
        <v>1</v>
      </c>
      <c r="H78" s="883"/>
      <c r="I78" s="859"/>
    </row>
    <row r="79" spans="1:9" ht="35.1" hidden="1" customHeight="1">
      <c r="A79" s="1432">
        <f>SUM($G$3:G79)</f>
        <v>77</v>
      </c>
      <c r="B79" s="1433" t="str">
        <f>'NT-VT'!C81</f>
        <v>Sắt góc L50 x50 x5 - 810</v>
      </c>
      <c r="C79" s="1434" t="str">
        <f>'NT-VT'!D81</f>
        <v>cái</v>
      </c>
      <c r="D79" s="1435">
        <f>'NT-VT'!E81</f>
        <v>28</v>
      </c>
      <c r="E79" s="1432" t="str">
        <f>'NT-VT'!F82</f>
        <v>nt</v>
      </c>
      <c r="F79" s="1432" t="str">
        <f>'NT-VT'!G82</f>
        <v>nt</v>
      </c>
      <c r="G79" s="869">
        <f t="shared" si="1"/>
        <v>1</v>
      </c>
      <c r="H79" s="883"/>
      <c r="I79" s="859"/>
    </row>
    <row r="80" spans="1:9" ht="35.1" hidden="1" customHeight="1">
      <c r="A80" s="1432">
        <f>SUM($G$3:G80)</f>
        <v>78</v>
      </c>
      <c r="B80" s="1433" t="str">
        <f>'NT-VT'!C82</f>
        <v>Sắt góc L75 x75 x8-2100</v>
      </c>
      <c r="C80" s="1434" t="str">
        <f>'NT-VT'!D82</f>
        <v>cái</v>
      </c>
      <c r="D80" s="1435">
        <f>'NT-VT'!E82</f>
        <v>17</v>
      </c>
      <c r="E80" s="1432" t="str">
        <f>'NT-VT'!F83</f>
        <v>nt</v>
      </c>
      <c r="F80" s="1432" t="str">
        <f>'NT-VT'!G83</f>
        <v>nt</v>
      </c>
      <c r="G80" s="869">
        <f t="shared" si="1"/>
        <v>1</v>
      </c>
      <c r="H80" s="883"/>
      <c r="I80" s="859"/>
    </row>
    <row r="81" spans="1:9" ht="35.1" hidden="1" customHeight="1">
      <c r="A81" s="1432">
        <f>SUM($G$3:G81)</f>
        <v>79</v>
      </c>
      <c r="B81" s="1433" t="str">
        <f>'NT-VT'!C83</f>
        <v>Sắt góc L75 x75 x8 x2200</v>
      </c>
      <c r="C81" s="1434" t="str">
        <f>'NT-VT'!D83</f>
        <v>cái</v>
      </c>
      <c r="D81" s="1435">
        <f>'NT-VT'!E83</f>
        <v>14</v>
      </c>
      <c r="E81" s="1432" t="str">
        <f>'NT-VT'!F84</f>
        <v>nt</v>
      </c>
      <c r="F81" s="1432" t="str">
        <f>'NT-VT'!G84</f>
        <v>nt</v>
      </c>
      <c r="G81" s="869">
        <f t="shared" si="1"/>
        <v>1</v>
      </c>
      <c r="H81" s="883"/>
      <c r="I81" s="859"/>
    </row>
    <row r="82" spans="1:9" ht="35.1" hidden="1" customHeight="1">
      <c r="A82" s="1432">
        <f>SUM($G$3:G82)</f>
        <v>80</v>
      </c>
      <c r="B82" s="1433" t="str">
        <f>'NT-VT'!C84</f>
        <v>Sứ chằng</v>
      </c>
      <c r="C82" s="1434" t="str">
        <f>'NT-VT'!D84</f>
        <v>cái</v>
      </c>
      <c r="D82" s="1435">
        <f>'NT-VT'!E84</f>
        <v>1</v>
      </c>
      <c r="E82" s="1432" t="str">
        <f>'NT-VT'!F85</f>
        <v>nt</v>
      </c>
      <c r="F82" s="1432" t="str">
        <f>'NT-VT'!G85</f>
        <v>nt</v>
      </c>
      <c r="G82" s="869">
        <f t="shared" si="1"/>
        <v>1</v>
      </c>
      <c r="H82" s="883"/>
      <c r="I82" s="859"/>
    </row>
    <row r="83" spans="1:9" ht="35.1" hidden="1" customHeight="1">
      <c r="A83" s="1432">
        <f>SUM($G$3:G83)</f>
        <v>81</v>
      </c>
      <c r="B83" s="1433" t="str">
        <f>'NT-VT'!C85</f>
        <v>Dây buộc cổ sứ từ tính dây 50</v>
      </c>
      <c r="C83" s="1434" t="str">
        <f>'NT-VT'!D85</f>
        <v>cái</v>
      </c>
      <c r="D83" s="1435">
        <f>'NT-VT'!E85</f>
        <v>6</v>
      </c>
      <c r="E83" s="1432" t="str">
        <f>'NT-VT'!F86</f>
        <v>nt</v>
      </c>
      <c r="F83" s="1432" t="str">
        <f>'NT-VT'!G86</f>
        <v>nt</v>
      </c>
      <c r="G83" s="869">
        <f t="shared" si="1"/>
        <v>1</v>
      </c>
      <c r="H83" s="883"/>
      <c r="I83" s="859"/>
    </row>
    <row r="84" spans="1:9" ht="35.1" hidden="1" customHeight="1">
      <c r="A84" s="1432">
        <f>SUM($G$3:G84)</f>
        <v>82</v>
      </c>
      <c r="B84" s="1433" t="str">
        <f>'NT-VT'!C86</f>
        <v>Ty neo Ø22x2400</v>
      </c>
      <c r="C84" s="1434" t="str">
        <f>'NT-VT'!D86</f>
        <v>cái</v>
      </c>
      <c r="D84" s="1435">
        <f>'NT-VT'!E86</f>
        <v>1</v>
      </c>
      <c r="E84" s="1432" t="str">
        <f>'NT-VT'!F87</f>
        <v>nt</v>
      </c>
      <c r="F84" s="1432" t="str">
        <f>'NT-VT'!G87</f>
        <v>nt</v>
      </c>
      <c r="G84" s="869">
        <f t="shared" si="1"/>
        <v>1</v>
      </c>
      <c r="H84" s="883"/>
      <c r="I84" s="859"/>
    </row>
    <row r="85" spans="1:9" ht="35.1" hidden="1" customHeight="1">
      <c r="A85" s="1432">
        <f>SUM($G$3:G85)</f>
        <v>83</v>
      </c>
      <c r="B85" s="1433" t="str">
        <f>'NT-VT'!C87</f>
        <v>Dây buộc đầu sứ TTF cỡ dây 50mm2</v>
      </c>
      <c r="C85" s="1434" t="str">
        <f>'NT-VT'!D87</f>
        <v>cái</v>
      </c>
      <c r="D85" s="1435">
        <f>'NT-VT'!E87</f>
        <v>63</v>
      </c>
      <c r="E85" s="1432" t="str">
        <f>'NT-VT'!F88</f>
        <v>nt</v>
      </c>
      <c r="F85" s="1432" t="str">
        <f>'NT-VT'!G88</f>
        <v>nt</v>
      </c>
      <c r="G85" s="869">
        <f t="shared" si="1"/>
        <v>1</v>
      </c>
      <c r="H85" s="883"/>
      <c r="I85" s="859"/>
    </row>
    <row r="86" spans="1:9" ht="35.1" hidden="1" customHeight="1">
      <c r="A86" s="1432">
        <f>SUM($G$3:G86)</f>
        <v>84</v>
      </c>
      <c r="B86" s="1433" t="str">
        <f>'NT-VT'!C88</f>
        <v>Vỏ tủ + khóa tủ</v>
      </c>
      <c r="C86" s="1434" t="str">
        <f>'NT-VT'!D88</f>
        <v>cái</v>
      </c>
      <c r="D86" s="1435">
        <f>'NT-VT'!E88</f>
        <v>1</v>
      </c>
      <c r="E86" s="1432" t="str">
        <f>'NT-VT'!F89</f>
        <v>nt</v>
      </c>
      <c r="F86" s="1432" t="str">
        <f>'NT-VT'!G89</f>
        <v>nt</v>
      </c>
      <c r="G86" s="869">
        <f t="shared" si="1"/>
        <v>1</v>
      </c>
      <c r="H86" s="883"/>
      <c r="I86" s="859"/>
    </row>
    <row r="87" spans="1:9" ht="35.1" hidden="1" customHeight="1">
      <c r="A87" s="1432">
        <f>SUM($G$3:G87)</f>
        <v>85</v>
      </c>
      <c r="B87" s="1433" t="str">
        <f>'NT-VT'!C89</f>
        <v>Yếm cáp dày 2mm</v>
      </c>
      <c r="C87" s="1434" t="str">
        <f>'NT-VT'!D89</f>
        <v>cái</v>
      </c>
      <c r="D87" s="1435">
        <f>'NT-VT'!E89</f>
        <v>2</v>
      </c>
      <c r="E87" s="1432" t="str">
        <f>'NT-VT'!F90</f>
        <v>nt</v>
      </c>
      <c r="F87" s="1432" t="str">
        <f>'NT-VT'!G90</f>
        <v>nt</v>
      </c>
      <c r="G87" s="869">
        <f t="shared" si="1"/>
        <v>1</v>
      </c>
      <c r="H87" s="883"/>
      <c r="I87" s="859"/>
    </row>
    <row r="88" spans="1:9" ht="35.1" hidden="1" customHeight="1">
      <c r="A88" s="1432">
        <f>SUM($G$3:G88)</f>
        <v>86</v>
      </c>
      <c r="B88" s="1433" t="str">
        <f>'NT-VT'!C90</f>
        <v>Gỗ chống</v>
      </c>
      <c r="C88" s="1434" t="str">
        <f>'NT-VT'!D90</f>
        <v>m3</v>
      </c>
      <c r="D88" s="1435">
        <f>'NT-VT'!E90</f>
        <v>8.4000000000000012E-3</v>
      </c>
      <c r="E88" s="1432" t="str">
        <f>'NT-VT'!F91</f>
        <v>nt</v>
      </c>
      <c r="F88" s="1432" t="str">
        <f>'NT-VT'!G91</f>
        <v>nt</v>
      </c>
      <c r="G88" s="869">
        <f t="shared" si="1"/>
        <v>1</v>
      </c>
      <c r="H88" s="883"/>
      <c r="I88" s="859"/>
    </row>
    <row r="89" spans="1:9" ht="35.1" hidden="1" customHeight="1">
      <c r="A89" s="1432">
        <f>SUM($G$3:G89)</f>
        <v>87</v>
      </c>
      <c r="B89" s="1433" t="str">
        <f>'NT-VT'!C91</f>
        <v>Gỗ đà nẹp</v>
      </c>
      <c r="C89" s="1434" t="str">
        <f>'NT-VT'!D91</f>
        <v>m3</v>
      </c>
      <c r="D89" s="1435">
        <f>'NT-VT'!E91</f>
        <v>5.2500000000000005E-2</v>
      </c>
      <c r="E89" s="1432" t="str">
        <f>'NT-VT'!F92</f>
        <v>nt</v>
      </c>
      <c r="F89" s="1432" t="str">
        <f>'NT-VT'!G92</f>
        <v>nt</v>
      </c>
      <c r="G89" s="869">
        <f t="shared" si="1"/>
        <v>1</v>
      </c>
      <c r="H89" s="883"/>
      <c r="I89" s="859"/>
    </row>
    <row r="90" spans="1:9" ht="35.1" hidden="1" customHeight="1">
      <c r="A90" s="1432">
        <f>SUM($G$3:G90)</f>
        <v>88</v>
      </c>
      <c r="B90" s="1433" t="str">
        <f>'NT-VT'!C93</f>
        <v>Ximăng (PC40)</v>
      </c>
      <c r="C90" s="1434" t="str">
        <f>'NT-VT'!D93</f>
        <v>kg</v>
      </c>
      <c r="D90" s="1435">
        <f>'NT-VT'!E93</f>
        <v>1760</v>
      </c>
      <c r="E90" s="1432" t="str">
        <f>'NT-VT'!F93</f>
        <v>Địa phương</v>
      </c>
      <c r="F90" s="1432" t="str">
        <f>'NT-VT'!G93</f>
        <v>Địa phương</v>
      </c>
      <c r="G90" s="869">
        <f t="shared" si="1"/>
        <v>1</v>
      </c>
      <c r="H90" s="883"/>
      <c r="I90" s="859"/>
    </row>
    <row r="91" spans="1:9" ht="35.1" hidden="1" customHeight="1">
      <c r="A91" s="1432">
        <f>SUM($G$3:G91)</f>
        <v>89</v>
      </c>
      <c r="B91" s="1433" t="str">
        <f>'NT-VT'!C94</f>
        <v>Cát vàng</v>
      </c>
      <c r="C91" s="1434" t="str">
        <f>'NT-VT'!D94</f>
        <v>m3</v>
      </c>
      <c r="D91" s="1435">
        <f>'NT-VT'!E94</f>
        <v>3.5449999999999999</v>
      </c>
      <c r="E91" s="1432" t="str">
        <f>'NT-VT'!F94</f>
        <v>nt</v>
      </c>
      <c r="F91" s="1432" t="str">
        <f>'NT-VT'!G94</f>
        <v>nt</v>
      </c>
      <c r="G91" s="869">
        <f t="shared" si="1"/>
        <v>1</v>
      </c>
      <c r="H91" s="883"/>
      <c r="I91" s="859"/>
    </row>
    <row r="92" spans="1:9" ht="35.1" hidden="1" customHeight="1">
      <c r="A92" s="1432">
        <f>SUM($G$3:G92)</f>
        <v>90</v>
      </c>
      <c r="B92" s="1433" t="str">
        <f>'NT-VT'!C95</f>
        <v>Đá 1x2</v>
      </c>
      <c r="C92" s="1434" t="str">
        <f>'NT-VT'!D95</f>
        <v>m3</v>
      </c>
      <c r="D92" s="1435">
        <f>'NT-VT'!E95</f>
        <v>6.38</v>
      </c>
      <c r="E92" s="1432" t="str">
        <f>'NT-VT'!F95</f>
        <v>nt</v>
      </c>
      <c r="F92" s="1432" t="str">
        <f>'NT-VT'!G95</f>
        <v>nt</v>
      </c>
      <c r="G92" s="869">
        <f t="shared" si="1"/>
        <v>1</v>
      </c>
      <c r="H92" s="883"/>
      <c r="I92" s="859"/>
    </row>
    <row r="93" spans="1:9" ht="35.1" hidden="1" customHeight="1">
      <c r="A93" s="1432">
        <f>SUM($G$3:G93)</f>
        <v>90</v>
      </c>
      <c r="B93" s="1433" t="e">
        <f>'NT-VT'!C96</f>
        <v>#N/A</v>
      </c>
      <c r="C93" s="1434">
        <f>'NT-VT'!D96</f>
        <v>0</v>
      </c>
      <c r="D93" s="1435">
        <f>'NT-VT'!E96</f>
        <v>0</v>
      </c>
      <c r="E93" s="1432" t="str">
        <f>'NT-VT'!F96</f>
        <v/>
      </c>
      <c r="F93" s="1432" t="str">
        <f>'NT-VT'!G96</f>
        <v/>
      </c>
      <c r="G93" s="869" t="str">
        <f t="shared" si="1"/>
        <v/>
      </c>
      <c r="H93" s="883"/>
      <c r="I93" s="859"/>
    </row>
    <row r="94" spans="1:9" ht="35.1" hidden="1" customHeight="1">
      <c r="A94" s="1432">
        <f>SUM($G$3:G94)</f>
        <v>90</v>
      </c>
      <c r="B94" s="1433" t="e">
        <f>'NT-VT'!C97</f>
        <v>#N/A</v>
      </c>
      <c r="C94" s="1434"/>
      <c r="D94" s="1435"/>
      <c r="E94" s="1432" t="str">
        <f>'NT-VT'!F97</f>
        <v/>
      </c>
      <c r="F94" s="1432" t="str">
        <f>'NT-VT'!G97</f>
        <v/>
      </c>
      <c r="G94" s="869" t="str">
        <f t="shared" si="1"/>
        <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F17" sqref="F17"/>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748" t="s">
        <v>4639</v>
      </c>
      <c r="B1" s="2748"/>
      <c r="C1" s="2748"/>
      <c r="D1" s="2748"/>
      <c r="E1" s="2748"/>
      <c r="F1" s="2748"/>
      <c r="H1" s="1285"/>
    </row>
    <row r="2" spans="1:9" s="849" customFormat="1" ht="33.75" customHeight="1">
      <c r="A2" s="1431" t="s">
        <v>4227</v>
      </c>
      <c r="B2" s="1431" t="s">
        <v>4205</v>
      </c>
      <c r="C2" s="1431" t="s">
        <v>4206</v>
      </c>
      <c r="D2" s="1431" t="s">
        <v>4207</v>
      </c>
      <c r="E2" s="1431" t="s">
        <v>4208</v>
      </c>
      <c r="F2" s="1431" t="s">
        <v>4209</v>
      </c>
      <c r="G2" s="872" t="s">
        <v>1962</v>
      </c>
      <c r="H2" s="872"/>
      <c r="I2" s="882"/>
    </row>
    <row r="3" spans="1:9" ht="35.1" customHeight="1">
      <c r="A3" s="1432">
        <f>SUM($G$3:G3)</f>
        <v>1</v>
      </c>
      <c r="B3" s="1433" t="str">
        <f>'NT-VT'!C6</f>
        <v>Máy biến áp 12,7/0,23-0,46kV 50kVA</v>
      </c>
      <c r="C3" s="1434" t="str">
        <f>'NT-VT'!D6</f>
        <v>máy</v>
      </c>
      <c r="D3" s="1435">
        <f>'NT-VT'!E6</f>
        <v>3</v>
      </c>
      <c r="E3" s="1432" t="str">
        <f>'NT-VT'!F6</f>
        <v>Shihlin</v>
      </c>
      <c r="F3" s="1432" t="str">
        <f>'NT-VT'!G6</f>
        <v>Shihlin</v>
      </c>
      <c r="G3" s="869">
        <f>IF(D3&gt;0,1,0)</f>
        <v>1</v>
      </c>
      <c r="H3" s="883"/>
      <c r="I3" s="859"/>
    </row>
    <row r="4" spans="1:9" ht="35.1" customHeight="1">
      <c r="A4" s="1432">
        <f>SUM($G$3:G4)</f>
        <v>2</v>
      </c>
      <c r="B4" s="1433" t="str">
        <f>'NT-VT'!C7</f>
        <v>Trụ BTLT 12m F350 dự ứng lực</v>
      </c>
      <c r="C4" s="1434" t="str">
        <f>'NT-VT'!D7</f>
        <v>trụ</v>
      </c>
      <c r="D4" s="1435">
        <f>'NT-VT'!E7</f>
        <v>25</v>
      </c>
      <c r="E4" s="1432" t="str">
        <f>'NT-VT'!F7</f>
        <v>Cty Cổ phần Bê tông ly tâm Thủ Đức</v>
      </c>
      <c r="F4" s="1432" t="str">
        <f>'NT-VT'!G7</f>
        <v>Cty Cổ phần Bê tông ly tâm Thủ Đức</v>
      </c>
      <c r="G4" s="869">
        <f t="shared" ref="G4:G67" si="0">IF(D4&gt;0,1,0)</f>
        <v>1</v>
      </c>
      <c r="H4" s="884"/>
    </row>
    <row r="5" spans="1:9" ht="35.1" customHeight="1">
      <c r="A5" s="1432">
        <f>SUM($G$3:G5)</f>
        <v>3</v>
      </c>
      <c r="B5" s="1433" t="str">
        <f>'NT-VT'!C8</f>
        <v>FCO 27kV - 100A</v>
      </c>
      <c r="C5" s="1434" t="str">
        <f>'NT-VT'!D8</f>
        <v>cái</v>
      </c>
      <c r="D5" s="1435">
        <f>'NT-VT'!E8</f>
        <v>6</v>
      </c>
      <c r="E5" s="1432" t="str">
        <f>'NT-VT'!F8</f>
        <v>Tuấn Ân</v>
      </c>
      <c r="F5" s="1432" t="str">
        <f>'NT-VT'!G8</f>
        <v>Tuấn Ân</v>
      </c>
      <c r="G5" s="869">
        <f t="shared" si="0"/>
        <v>1</v>
      </c>
      <c r="H5" s="884"/>
    </row>
    <row r="6" spans="1:9" ht="35.1" customHeight="1">
      <c r="A6" s="1432">
        <f>SUM($G$3:G6)</f>
        <v>4</v>
      </c>
      <c r="B6" s="1433" t="str">
        <f>'NT-VT'!C9</f>
        <v>Chống sét van LA-18KV-10KA</v>
      </c>
      <c r="C6" s="1434" t="str">
        <f>'NT-VT'!D9</f>
        <v>cái</v>
      </c>
      <c r="D6" s="1435">
        <f>'NT-VT'!E9</f>
        <v>3</v>
      </c>
      <c r="E6" s="1432" t="str">
        <f>'NT-VT'!F9</f>
        <v>Cooper</v>
      </c>
      <c r="F6" s="1432">
        <f>'NT-VT'!G9</f>
        <v>0</v>
      </c>
      <c r="G6" s="869">
        <f t="shared" si="0"/>
        <v>1</v>
      </c>
      <c r="H6" s="884"/>
    </row>
    <row r="7" spans="1:9" ht="35.1" customHeight="1">
      <c r="A7" s="1432">
        <f>SUM($G$3:G7)</f>
        <v>5</v>
      </c>
      <c r="B7" s="1433" t="str">
        <f>'NT-VT'!C10</f>
        <v>MCCB 3 cực 400V -200A - 35KA</v>
      </c>
      <c r="C7" s="1434" t="str">
        <f>'NT-VT'!D10</f>
        <v>cái</v>
      </c>
      <c r="D7" s="1435">
        <f>'NT-VT'!E10</f>
        <v>1</v>
      </c>
      <c r="E7" s="1432" t="str">
        <f>'NT-VT'!F10</f>
        <v>LS</v>
      </c>
      <c r="F7" s="1432" t="str">
        <f>'NT-VT'!G10</f>
        <v>Cty TNHH thương mại Thái Sơn Nam</v>
      </c>
      <c r="G7" s="869">
        <f t="shared" si="0"/>
        <v>1</v>
      </c>
      <c r="H7" s="883"/>
      <c r="I7" s="859"/>
    </row>
    <row r="8" spans="1:9" ht="35.1" customHeight="1">
      <c r="A8" s="1432">
        <f>SUM($G$3:G8)</f>
        <v>6</v>
      </c>
      <c r="B8" s="1433" t="str">
        <f>'NT-VT'!C11</f>
        <v xml:space="preserve">Sứ đứng 24KV </v>
      </c>
      <c r="C8" s="1434" t="str">
        <f>'NT-VT'!D11</f>
        <v>cái</v>
      </c>
      <c r="D8" s="1435">
        <f>'NT-VT'!E11</f>
        <v>69</v>
      </c>
      <c r="E8" s="1432" t="str">
        <f>'NT-VT'!F11</f>
        <v>Minh Long</v>
      </c>
      <c r="F8" s="1432" t="str">
        <f>'NT-VT'!G11</f>
        <v>Minh Long</v>
      </c>
      <c r="G8" s="869">
        <f t="shared" si="0"/>
        <v>1</v>
      </c>
      <c r="H8" s="883"/>
      <c r="I8" s="859"/>
    </row>
    <row r="9" spans="1:9" ht="35.1" customHeight="1">
      <c r="A9" s="1432">
        <f>SUM($G$3:G9)</f>
        <v>7</v>
      </c>
      <c r="B9" s="1433" t="str">
        <f>'NT-VT'!C12</f>
        <v>Sứ treo polymer</v>
      </c>
      <c r="C9" s="1434" t="str">
        <f>'NT-VT'!D12</f>
        <v>chuỗi</v>
      </c>
      <c r="D9" s="1435">
        <f>'NT-VT'!E12</f>
        <v>24</v>
      </c>
      <c r="E9" s="1432" t="str">
        <f>'NT-VT'!F13</f>
        <v>Cty TNHHSX-TM Dây &amp; Cáp Điện Tài Trường Thành</v>
      </c>
      <c r="F9" s="1432" t="str">
        <f>'NT-VT'!G13</f>
        <v>Cty TNHHSX-TM Dây &amp; Cáp Điện Tài Trường Thành</v>
      </c>
      <c r="G9" s="869">
        <f t="shared" si="0"/>
        <v>1</v>
      </c>
      <c r="H9" s="883"/>
      <c r="I9" s="859"/>
    </row>
    <row r="10" spans="1:9" ht="35.1" customHeight="1">
      <c r="A10" s="1432">
        <f>SUM($G$3:G10)</f>
        <v>8</v>
      </c>
      <c r="B10" s="1433" t="str">
        <f>'NT-VT'!C13</f>
        <v>Cáp đồng bọc CV95</v>
      </c>
      <c r="C10" s="1434" t="str">
        <f>'NT-VT'!D13</f>
        <v>mét</v>
      </c>
      <c r="D10" s="1435">
        <f>'NT-VT'!E13</f>
        <v>30</v>
      </c>
      <c r="E10" s="1432" t="str">
        <f>'NT-VT'!F14</f>
        <v>Cty TNHHSX-TM Dây &amp; Cáp Điện Tài Trường Thành</v>
      </c>
      <c r="F10" s="1432" t="str">
        <f>'NT-VT'!G14</f>
        <v>Cty TNHHSX-TM Dây &amp; Cáp Điện Tài Trường Thành</v>
      </c>
      <c r="G10" s="869">
        <f t="shared" si="0"/>
        <v>1</v>
      </c>
      <c r="H10" s="883"/>
      <c r="I10" s="859"/>
    </row>
    <row r="11" spans="1:9" ht="35.1" customHeight="1">
      <c r="A11" s="1432">
        <f>SUM($G$3:G11)</f>
        <v>9</v>
      </c>
      <c r="B11" s="1433" t="str">
        <f>'NT-VT'!C14</f>
        <v>Cáp đồng bọc CV11</v>
      </c>
      <c r="C11" s="1434" t="str">
        <f>'NT-VT'!D14</f>
        <v>mét</v>
      </c>
      <c r="D11" s="1435">
        <f>'NT-VT'!E14</f>
        <v>5</v>
      </c>
      <c r="E11" s="1432" t="str">
        <f>'NT-VT'!F15</f>
        <v>Cty TNHHSX-TM Dây &amp; Cáp Điện Tài Trường Thành</v>
      </c>
      <c r="F11" s="1432" t="str">
        <f>'NT-VT'!G15</f>
        <v>Cty TNHHSX-TM Dây &amp; Cáp Điện Tài Trường Thành</v>
      </c>
      <c r="G11" s="869">
        <f t="shared" si="0"/>
        <v>1</v>
      </c>
      <c r="H11" s="884"/>
    </row>
    <row r="12" spans="1:9" ht="35.1" customHeight="1">
      <c r="A12" s="1432">
        <f>SUM($G$3:G12)</f>
        <v>10</v>
      </c>
      <c r="B12" s="1433" t="str">
        <f>'NT-VT'!C15</f>
        <v xml:space="preserve">Cáp CVV 4x4mm2  </v>
      </c>
      <c r="C12" s="1434" t="str">
        <f>'NT-VT'!D15</f>
        <v>mét</v>
      </c>
      <c r="D12" s="1435">
        <f>'NT-VT'!E15</f>
        <v>2.5</v>
      </c>
      <c r="E12" s="1432" t="str">
        <f>'NT-VT'!F16</f>
        <v>Cty TNHHSX-TM Dây &amp; Cáp Điện Tài Trường Thành</v>
      </c>
      <c r="F12" s="1432" t="str">
        <f>'NT-VT'!G16</f>
        <v>Cty TNHHSX-TM Dây &amp; Cáp Điện Tài Trường Thành</v>
      </c>
      <c r="G12" s="869">
        <f t="shared" si="0"/>
        <v>1</v>
      </c>
      <c r="H12" s="883"/>
      <c r="I12" s="859"/>
    </row>
    <row r="13" spans="1:9" ht="35.1" customHeight="1">
      <c r="A13" s="1432">
        <f>SUM($G$3:G13)</f>
        <v>11</v>
      </c>
      <c r="B13" s="1433" t="str">
        <f>'NT-VT'!C16</f>
        <v>Cáp 24KV CX-25mm2</v>
      </c>
      <c r="C13" s="1434" t="str">
        <f>'NT-VT'!D16</f>
        <v>mét</v>
      </c>
      <c r="D13" s="1435">
        <f>'NT-VT'!E16</f>
        <v>21</v>
      </c>
      <c r="E13" s="1432" t="str">
        <f>'NT-VT'!F17</f>
        <v>Cty TNHHSX-TM Dây &amp; Cáp Điện Tài Trường Thành</v>
      </c>
      <c r="F13" s="1432" t="str">
        <f>'NT-VT'!G17</f>
        <v>Cty TNHHSX-TM Dây &amp; Cáp Điện Tài Trường Thành</v>
      </c>
      <c r="G13" s="869">
        <f t="shared" si="0"/>
        <v>1</v>
      </c>
      <c r="H13" s="883"/>
      <c r="I13" s="859"/>
    </row>
    <row r="14" spans="1:9" ht="35.1" customHeight="1">
      <c r="A14" s="1432">
        <f>SUM($G$3:G14)</f>
        <v>12</v>
      </c>
      <c r="B14" s="1433" t="str">
        <f>'NT-VT'!C17</f>
        <v>Cáp 24KV ACX 50mm2</v>
      </c>
      <c r="C14" s="1434" t="str">
        <f>'NT-VT'!D17</f>
        <v>mét</v>
      </c>
      <c r="D14" s="1435">
        <f>'NT-VT'!E17</f>
        <v>2313.36</v>
      </c>
      <c r="E14" s="1432" t="str">
        <f>'NT-VT'!F18</f>
        <v>Cty TNHHSX-TM Dây &amp; Cáp Điện Tài Trường Thành</v>
      </c>
      <c r="F14" s="1432" t="str">
        <f>'NT-VT'!G18</f>
        <v>Cty TNHHSX-TM Dây &amp; Cáp Điện Tài Trường Thành</v>
      </c>
      <c r="G14" s="869">
        <f t="shared" si="0"/>
        <v>1</v>
      </c>
      <c r="H14" s="883"/>
      <c r="I14" s="859"/>
    </row>
    <row r="15" spans="1:9" ht="35.1" customHeight="1">
      <c r="A15" s="1432">
        <f>SUM($G$3:G15)</f>
        <v>13</v>
      </c>
      <c r="B15" s="1433" t="str">
        <f>'NT-VT'!C18</f>
        <v>Cáp đồng trần M25mm2</v>
      </c>
      <c r="C15" s="1434" t="str">
        <f>'NT-VT'!D18</f>
        <v>kg</v>
      </c>
      <c r="D15" s="1435">
        <f>'NT-VT'!E18</f>
        <v>21.740000000000002</v>
      </c>
      <c r="E15" s="1432" t="str">
        <f>'NT-VT'!F19</f>
        <v>Cty TNHHSX-TM Dây &amp; Cáp Điện Tài Trường Thành</v>
      </c>
      <c r="F15" s="1432" t="str">
        <f>'NT-VT'!G19</f>
        <v>Cty TNHHSX-TM Dây &amp; Cáp Điện Tài Trường Thành</v>
      </c>
      <c r="G15" s="869">
        <f t="shared" si="0"/>
        <v>1</v>
      </c>
      <c r="H15" s="883"/>
      <c r="I15" s="859"/>
    </row>
    <row r="16" spans="1:9" ht="35.1" customHeight="1">
      <c r="A16" s="1432">
        <f>SUM($G$3:G16)</f>
        <v>14</v>
      </c>
      <c r="B16" s="1433" t="str">
        <f>'NT-VT'!C19</f>
        <v>Cáp nhôm lõi thép AC-50/8</v>
      </c>
      <c r="C16" s="1434" t="str">
        <f>'NT-VT'!D19</f>
        <v>kg</v>
      </c>
      <c r="D16" s="1435">
        <f>'NT-VT'!E19</f>
        <v>150.31</v>
      </c>
      <c r="E16" s="1432" t="str">
        <f>'NT-VT'!F20</f>
        <v>nt</v>
      </c>
      <c r="F16" s="1432" t="str">
        <f>'NT-VT'!G20</f>
        <v>nt</v>
      </c>
      <c r="G16" s="869">
        <f t="shared" si="0"/>
        <v>1</v>
      </c>
      <c r="H16" s="883"/>
      <c r="I16" s="859"/>
    </row>
    <row r="17" spans="1:9" ht="35.1" customHeight="1">
      <c r="A17" s="1432">
        <f>SUM($G$3:G17)</f>
        <v>15</v>
      </c>
      <c r="B17" s="1433" t="str">
        <f>'NT-VT'!C20</f>
        <v>Cáp thép 5/8"</v>
      </c>
      <c r="C17" s="1434" t="str">
        <f>'NT-VT'!D20</f>
        <v>mét</v>
      </c>
      <c r="D17" s="1435">
        <f>'NT-VT'!E20</f>
        <v>14</v>
      </c>
      <c r="E17" s="1432" t="str">
        <f>'NT-VT'!F21</f>
        <v>Cty TNHH TM SX &amp; TM Khanh Nguyên</v>
      </c>
      <c r="F17" s="1432" t="str">
        <f>'NT-VT'!G21</f>
        <v>Cty TNHH TM SX &amp; TM Khanh Nguyên</v>
      </c>
      <c r="G17" s="869">
        <f t="shared" si="0"/>
        <v>1</v>
      </c>
      <c r="H17" s="883"/>
      <c r="I17" s="885"/>
    </row>
    <row r="18" spans="1:9" ht="35.1" customHeight="1">
      <c r="A18" s="1432">
        <f>SUM($G$3:G18)</f>
        <v>16</v>
      </c>
      <c r="B18" s="1433" t="str">
        <f>'NT-VT'!C21</f>
        <v>Boulon 16x150+ 2 long đền vuông D18-50x50x3/Zn</v>
      </c>
      <c r="C18" s="1434" t="str">
        <f>'NT-VT'!D21</f>
        <v>bộ</v>
      </c>
      <c r="D18" s="1435">
        <f>'NT-VT'!E21</f>
        <v>4</v>
      </c>
      <c r="E18" s="1432" t="str">
        <f>'NT-VT'!F22</f>
        <v>nt</v>
      </c>
      <c r="F18" s="1432" t="str">
        <f>'NT-VT'!G22</f>
        <v>nt</v>
      </c>
      <c r="G18" s="869">
        <f t="shared" si="0"/>
        <v>1</v>
      </c>
      <c r="H18" s="883"/>
      <c r="I18" s="885"/>
    </row>
    <row r="19" spans="1:9" ht="35.1" customHeight="1">
      <c r="A19" s="1432">
        <f>SUM($G$3:G19)</f>
        <v>17</v>
      </c>
      <c r="B19" s="1433" t="str">
        <f>'NT-VT'!C22</f>
        <v>Boulon 16x250+ 2 long đền vuông D18-50x50x3/Zn</v>
      </c>
      <c r="C19" s="1434" t="str">
        <f>'NT-VT'!D22</f>
        <v>bộ</v>
      </c>
      <c r="D19" s="1435">
        <f>'NT-VT'!E22</f>
        <v>2</v>
      </c>
      <c r="E19" s="1432" t="str">
        <f>'NT-VT'!F23</f>
        <v>nt</v>
      </c>
      <c r="F19" s="1432" t="str">
        <f>'NT-VT'!G23</f>
        <v>nt</v>
      </c>
      <c r="G19" s="869">
        <f t="shared" si="0"/>
        <v>1</v>
      </c>
      <c r="H19" s="883"/>
      <c r="I19" s="885"/>
    </row>
    <row r="20" spans="1:9" ht="35.1" customHeight="1">
      <c r="A20" s="1432">
        <f>SUM($G$3:G20)</f>
        <v>18</v>
      </c>
      <c r="B20" s="1433" t="str">
        <f>'NT-VT'!C23</f>
        <v>Boulon 16x300+ 2 long đền vuông D18-50x50x3/Zn</v>
      </c>
      <c r="C20" s="1434" t="str">
        <f>'NT-VT'!D23</f>
        <v>bộ</v>
      </c>
      <c r="D20" s="1435">
        <f>'NT-VT'!E23</f>
        <v>56</v>
      </c>
      <c r="E20" s="1432" t="str">
        <f>'NT-VT'!F24</f>
        <v>nt</v>
      </c>
      <c r="F20" s="1432" t="str">
        <f>'NT-VT'!G24</f>
        <v>nt</v>
      </c>
      <c r="G20" s="869">
        <f t="shared" si="0"/>
        <v>1</v>
      </c>
      <c r="H20" s="884"/>
    </row>
    <row r="21" spans="1:9" ht="35.1" customHeight="1">
      <c r="A21" s="1432">
        <f>SUM($G$3:G21)</f>
        <v>19</v>
      </c>
      <c r="B21" s="1433" t="str">
        <f>'NT-VT'!C24</f>
        <v>Boulon 16x300VRS+ 4 long đền vuông D18-50x50x3/Zn</v>
      </c>
      <c r="C21" s="1434" t="str">
        <f>'NT-VT'!D24</f>
        <v>bộ</v>
      </c>
      <c r="D21" s="1435">
        <f>'NT-VT'!E24</f>
        <v>19</v>
      </c>
      <c r="E21" s="1432" t="str">
        <f>'NT-VT'!F25</f>
        <v>nt</v>
      </c>
      <c r="F21" s="1432" t="str">
        <f>'NT-VT'!G25</f>
        <v>nt</v>
      </c>
      <c r="G21" s="869">
        <f t="shared" si="0"/>
        <v>1</v>
      </c>
      <c r="H21" s="883"/>
      <c r="I21" s="859"/>
    </row>
    <row r="22" spans="1:9" ht="35.1" customHeight="1">
      <c r="A22" s="1432">
        <f>SUM($G$3:G22)</f>
        <v>20</v>
      </c>
      <c r="B22" s="1433" t="str">
        <f>'NT-VT'!C25</f>
        <v>Boulon 16x35+ 2 long đền vuông D18-50x50x3/Zn</v>
      </c>
      <c r="C22" s="1434" t="str">
        <f>'NT-VT'!D25</f>
        <v>bộ</v>
      </c>
      <c r="D22" s="1435">
        <f>'NT-VT'!E25</f>
        <v>29</v>
      </c>
      <c r="E22" s="1432" t="str">
        <f>'NT-VT'!F26</f>
        <v>nt</v>
      </c>
      <c r="F22" s="1432" t="str">
        <f>'NT-VT'!G26</f>
        <v>nt</v>
      </c>
      <c r="G22" s="869">
        <f t="shared" si="0"/>
        <v>1</v>
      </c>
      <c r="H22" s="883"/>
      <c r="I22" s="859"/>
    </row>
    <row r="23" spans="1:9" ht="35.1" customHeight="1">
      <c r="A23" s="1432">
        <f>SUM($G$3:G23)</f>
        <v>21</v>
      </c>
      <c r="B23" s="1433" t="str">
        <f>'NT-VT'!C26</f>
        <v>Boulon 16x400+ 2 long đền vuông D18-50x50x3/Zn</v>
      </c>
      <c r="C23" s="1434" t="str">
        <f>'NT-VT'!D26</f>
        <v>bộ</v>
      </c>
      <c r="D23" s="1435">
        <f>'NT-VT'!E26</f>
        <v>3</v>
      </c>
      <c r="E23" s="1432" t="str">
        <f>'NT-VT'!F27</f>
        <v>nt</v>
      </c>
      <c r="F23" s="1432" t="str">
        <f>'NT-VT'!G27</f>
        <v>nt</v>
      </c>
      <c r="G23" s="869">
        <f t="shared" si="0"/>
        <v>1</v>
      </c>
      <c r="H23" s="883"/>
      <c r="I23" s="885"/>
    </row>
    <row r="24" spans="1:9" ht="35.1" customHeight="1">
      <c r="A24" s="1432">
        <f>SUM($G$3:G24)</f>
        <v>22</v>
      </c>
      <c r="B24" s="1433" t="str">
        <f>'NT-VT'!C27</f>
        <v>Boulon 16x450VRS+ 4 long đền vuông D18-50x50x3/Zn</v>
      </c>
      <c r="C24" s="1434" t="str">
        <f>'NT-VT'!D27</f>
        <v>bộ</v>
      </c>
      <c r="D24" s="1435">
        <f>'NT-VT'!E27</f>
        <v>5</v>
      </c>
      <c r="E24" s="1432" t="str">
        <f>'NT-VT'!F28</f>
        <v>nt</v>
      </c>
      <c r="F24" s="1432" t="str">
        <f>'NT-VT'!G28</f>
        <v>nt</v>
      </c>
      <c r="G24" s="869">
        <f t="shared" si="0"/>
        <v>1</v>
      </c>
      <c r="H24" s="883"/>
      <c r="I24" s="885"/>
    </row>
    <row r="25" spans="1:9" ht="35.1" customHeight="1">
      <c r="A25" s="1432">
        <f>SUM($G$3:G25)</f>
        <v>23</v>
      </c>
      <c r="B25" s="1433" t="str">
        <f>'NT-VT'!C28</f>
        <v>Boulon 16x50+ 2 long đền vuông D18-50x50x3/Zn</v>
      </c>
      <c r="C25" s="1434" t="str">
        <f>'NT-VT'!D28</f>
        <v>bộ</v>
      </c>
      <c r="D25" s="1435">
        <f>'NT-VT'!E28</f>
        <v>22</v>
      </c>
      <c r="E25" s="1432" t="str">
        <f>'NT-VT'!F29</f>
        <v>nt</v>
      </c>
      <c r="F25" s="1432" t="str">
        <f>'NT-VT'!G29</f>
        <v>nt</v>
      </c>
      <c r="G25" s="869">
        <f t="shared" si="0"/>
        <v>1</v>
      </c>
      <c r="H25" s="883"/>
      <c r="I25" s="859"/>
    </row>
    <row r="26" spans="1:9" ht="35.1" customHeight="1">
      <c r="A26" s="1432">
        <f>SUM($G$3:G26)</f>
        <v>24</v>
      </c>
      <c r="B26" s="1433" t="str">
        <f>'NT-VT'!C29</f>
        <v>Boulon 16x500+ 2 long đền vuông D18-50x50x3/Zn</v>
      </c>
      <c r="C26" s="1434" t="str">
        <f>'NT-VT'!D29</f>
        <v>bộ</v>
      </c>
      <c r="D26" s="1435">
        <f>'NT-VT'!E29</f>
        <v>3</v>
      </c>
      <c r="E26" s="1432" t="str">
        <f>'NT-VT'!F30</f>
        <v>nt</v>
      </c>
      <c r="F26" s="1432" t="str">
        <f>'NT-VT'!G30</f>
        <v>nt</v>
      </c>
      <c r="G26" s="869">
        <f t="shared" si="0"/>
        <v>1</v>
      </c>
      <c r="H26" s="883"/>
      <c r="I26" s="859"/>
    </row>
    <row r="27" spans="1:9" ht="35.1" customHeight="1">
      <c r="A27" s="1432">
        <f>SUM($G$3:G27)</f>
        <v>25</v>
      </c>
      <c r="B27" s="1433" t="str">
        <f>'NT-VT'!C30</f>
        <v>Boulon 16x550VRS+ 4 long đền vuông D18-50x50x3/Zn</v>
      </c>
      <c r="C27" s="1434" t="str">
        <f>'NT-VT'!D30</f>
        <v>bộ</v>
      </c>
      <c r="D27" s="1435">
        <f>'NT-VT'!E30</f>
        <v>11</v>
      </c>
      <c r="E27" s="1432" t="str">
        <f>'NT-VT'!F31</f>
        <v>nt</v>
      </c>
      <c r="F27" s="1432" t="str">
        <f>'NT-VT'!G31</f>
        <v>nt</v>
      </c>
      <c r="G27" s="869">
        <f t="shared" si="0"/>
        <v>1</v>
      </c>
      <c r="H27" s="883"/>
      <c r="I27" s="859"/>
    </row>
    <row r="28" spans="1:9" ht="35.1" customHeight="1">
      <c r="A28" s="1432">
        <f>SUM($G$3:G28)</f>
        <v>26</v>
      </c>
      <c r="B28" s="1433" t="str">
        <f>'NT-VT'!C31</f>
        <v>Boulon 16x600+ 2 long đền vuông D18-50x50x3/Zn</v>
      </c>
      <c r="C28" s="1434" t="str">
        <f>'NT-VT'!D31</f>
        <v>bộ</v>
      </c>
      <c r="D28" s="1435">
        <f>'NT-VT'!E31</f>
        <v>3</v>
      </c>
      <c r="E28" s="1432" t="str">
        <f>'NT-VT'!F32</f>
        <v>nt</v>
      </c>
      <c r="F28" s="1432" t="str">
        <f>'NT-VT'!G32</f>
        <v>nt</v>
      </c>
      <c r="G28" s="869">
        <f t="shared" si="0"/>
        <v>1</v>
      </c>
      <c r="H28" s="883"/>
      <c r="I28" s="859"/>
    </row>
    <row r="29" spans="1:9" ht="35.1" customHeight="1">
      <c r="A29" s="1432">
        <f>SUM($G$3:G29)</f>
        <v>27</v>
      </c>
      <c r="B29" s="1433" t="str">
        <f>'NT-VT'!C32</f>
        <v>Boulon 16x600VRS+ 4 long đền vuông D18-50x50x3/Zn</v>
      </c>
      <c r="C29" s="1434" t="str">
        <f>'NT-VT'!D32</f>
        <v>bộ</v>
      </c>
      <c r="D29" s="1435">
        <f>'NT-VT'!E32</f>
        <v>5</v>
      </c>
      <c r="E29" s="1432" t="str">
        <f>'NT-VT'!F33</f>
        <v>nt</v>
      </c>
      <c r="F29" s="1432" t="str">
        <f>'NT-VT'!G33</f>
        <v>nt</v>
      </c>
      <c r="G29" s="869">
        <f t="shared" si="0"/>
        <v>1</v>
      </c>
      <c r="H29" s="883"/>
      <c r="I29" s="885"/>
    </row>
    <row r="30" spans="1:9" ht="35.1" customHeight="1">
      <c r="A30" s="1432">
        <f>SUM($G$3:G30)</f>
        <v>28</v>
      </c>
      <c r="B30" s="1433" t="str">
        <f>'NT-VT'!C33</f>
        <v xml:space="preserve">Bakelit 550x450 dầy 10mm </v>
      </c>
      <c r="C30" s="1434" t="str">
        <f>'NT-VT'!D33</f>
        <v>cái</v>
      </c>
      <c r="D30" s="1435">
        <f>'NT-VT'!E33</f>
        <v>1</v>
      </c>
      <c r="E30" s="1432" t="str">
        <f>'NT-VT'!F34</f>
        <v>nt</v>
      </c>
      <c r="F30" s="1432" t="str">
        <f>'NT-VT'!G34</f>
        <v>nt</v>
      </c>
      <c r="G30" s="869">
        <f t="shared" si="0"/>
        <v>1</v>
      </c>
      <c r="H30" s="884"/>
    </row>
    <row r="31" spans="1:9" ht="35.1" customHeight="1">
      <c r="A31" s="1432">
        <f>SUM($G$3:G31)</f>
        <v>29</v>
      </c>
      <c r="B31" s="1433" t="str">
        <f>'NT-VT'!C34</f>
        <v>Bảng tên trạm, bảng báo nguy hiểm + đinh vít</v>
      </c>
      <c r="C31" s="1434" t="str">
        <f>'NT-VT'!D34</f>
        <v>bộ</v>
      </c>
      <c r="D31" s="1435">
        <f>'NT-VT'!E34</f>
        <v>1</v>
      </c>
      <c r="E31" s="1432" t="str">
        <f>'NT-VT'!F35</f>
        <v>nt</v>
      </c>
      <c r="F31" s="1432" t="str">
        <f>'NT-VT'!G35</f>
        <v>nt</v>
      </c>
      <c r="G31" s="869">
        <f t="shared" si="0"/>
        <v>1</v>
      </c>
      <c r="H31" s="883"/>
      <c r="I31" s="885"/>
    </row>
    <row r="32" spans="1:9" ht="35.1" customHeight="1">
      <c r="A32" s="1432">
        <f>SUM($G$3:G32)</f>
        <v>30</v>
      </c>
      <c r="B32" s="1433" t="str">
        <f>'NT-VT'!C35</f>
        <v>Băng keo cách điện</v>
      </c>
      <c r="C32" s="1434" t="str">
        <f>'NT-VT'!D35</f>
        <v>cuộn</v>
      </c>
      <c r="D32" s="1435">
        <f>'NT-VT'!E35</f>
        <v>3</v>
      </c>
      <c r="E32" s="1432" t="str">
        <f>'NT-VT'!F36</f>
        <v>nt</v>
      </c>
      <c r="F32" s="1432" t="str">
        <f>'NT-VT'!G36</f>
        <v>nt</v>
      </c>
      <c r="G32" s="869">
        <f t="shared" si="0"/>
        <v>1</v>
      </c>
      <c r="H32" s="883"/>
      <c r="I32" s="885"/>
    </row>
    <row r="33" spans="1:9" ht="35.1" customHeight="1">
      <c r="A33" s="1432">
        <f>SUM($G$3:G33)</f>
        <v>31</v>
      </c>
      <c r="B33" s="1433" t="str">
        <f>'NT-VT'!C36</f>
        <v>Bass LL bắt FCO, LA</v>
      </c>
      <c r="C33" s="1434" t="str">
        <f>'NT-VT'!D36</f>
        <v>bộ</v>
      </c>
      <c r="D33" s="1435">
        <f>'NT-VT'!E36</f>
        <v>6</v>
      </c>
      <c r="E33" s="1432" t="str">
        <f>'NT-VT'!F37</f>
        <v>nt</v>
      </c>
      <c r="F33" s="1432" t="str">
        <f>'NT-VT'!G37</f>
        <v>nt</v>
      </c>
      <c r="G33" s="869">
        <f t="shared" si="0"/>
        <v>1</v>
      </c>
      <c r="H33" s="884"/>
    </row>
    <row r="34" spans="1:9" ht="35.1" customHeight="1">
      <c r="A34" s="1432">
        <f>SUM($G$3:G34)</f>
        <v>32</v>
      </c>
      <c r="B34" s="1433" t="str">
        <f>'NT-VT'!C37</f>
        <v>Boulon mắt 16x300+ 2 long đền vuông D18-50x50x3/Zn</v>
      </c>
      <c r="C34" s="1434" t="str">
        <f>'NT-VT'!D37</f>
        <v>bộ</v>
      </c>
      <c r="D34" s="1435">
        <f>'NT-VT'!E37</f>
        <v>9</v>
      </c>
      <c r="E34" s="1432" t="str">
        <f>'NT-VT'!F38</f>
        <v>nt</v>
      </c>
      <c r="F34" s="1432" t="str">
        <f>'NT-VT'!G38</f>
        <v>nt</v>
      </c>
      <c r="G34" s="869">
        <f t="shared" si="0"/>
        <v>1</v>
      </c>
      <c r="H34" s="883"/>
      <c r="I34" s="885"/>
    </row>
    <row r="35" spans="1:9" ht="35.1" customHeight="1">
      <c r="A35" s="1432">
        <f>SUM($G$3:G35)</f>
        <v>32</v>
      </c>
      <c r="B35" s="1433" t="str">
        <f>'NT-VT'!C38</f>
        <v>Biển số - Bảng nguy hiểm</v>
      </c>
      <c r="C35" s="1434" t="str">
        <f>'NT-VT'!D38</f>
        <v>cái</v>
      </c>
      <c r="D35" s="1435">
        <f>'NT-VT'!E38</f>
        <v>0</v>
      </c>
      <c r="E35" s="1432" t="str">
        <f>'NT-VT'!F39</f>
        <v>nt</v>
      </c>
      <c r="F35" s="1432" t="str">
        <f>'NT-VT'!G39</f>
        <v>nt</v>
      </c>
      <c r="G35" s="869">
        <f t="shared" si="0"/>
        <v>0</v>
      </c>
      <c r="H35" s="883"/>
      <c r="I35" s="885"/>
    </row>
    <row r="36" spans="1:9" ht="35.1" customHeight="1">
      <c r="A36" s="1432">
        <f>SUM($G$3:G36)</f>
        <v>33</v>
      </c>
      <c r="B36" s="1433" t="str">
        <f>'NT-VT'!C39</f>
        <v>Cổ dê kẹp ống PVC Ø 114 trụ đôi D280</v>
      </c>
      <c r="C36" s="1434" t="str">
        <f>'NT-VT'!D39</f>
        <v>bộ</v>
      </c>
      <c r="D36" s="1435">
        <f>'NT-VT'!E39</f>
        <v>6</v>
      </c>
      <c r="E36" s="1432" t="str">
        <f>'NT-VT'!F40</f>
        <v>nt</v>
      </c>
      <c r="F36" s="1432" t="str">
        <f>'NT-VT'!G40</f>
        <v>nt</v>
      </c>
      <c r="G36" s="869">
        <f t="shared" si="0"/>
        <v>1</v>
      </c>
      <c r="H36" s="883"/>
      <c r="I36" s="885"/>
    </row>
    <row r="37" spans="1:9" ht="35.1" customHeight="1">
      <c r="A37" s="1432">
        <f>SUM($G$3:G37)</f>
        <v>34</v>
      </c>
      <c r="B37" s="1433" t="str">
        <f>'NT-VT'!C40</f>
        <v>Cổ dê CDĐKĐT( bắt thùng điện kế)</v>
      </c>
      <c r="C37" s="1434" t="str">
        <f>'NT-VT'!D40</f>
        <v>bộ</v>
      </c>
      <c r="D37" s="1435">
        <f>'NT-VT'!E40</f>
        <v>2</v>
      </c>
      <c r="E37" s="1432" t="str">
        <f>'NT-VT'!F41</f>
        <v>nt</v>
      </c>
      <c r="F37" s="1432" t="str">
        <f>'NT-VT'!G41</f>
        <v>nt</v>
      </c>
      <c r="G37" s="869">
        <f t="shared" si="0"/>
        <v>1</v>
      </c>
      <c r="H37" s="883"/>
      <c r="I37" s="885"/>
    </row>
    <row r="38" spans="1:9" ht="35.1" customHeight="1">
      <c r="A38" s="1432">
        <f>SUM($G$3:G38)</f>
        <v>34</v>
      </c>
      <c r="B38" s="1433" t="str">
        <f>'NT-VT'!C41</f>
        <v>Chụp đầu cosse  150mm2</v>
      </c>
      <c r="C38" s="1434" t="str">
        <f>'NT-VT'!D41</f>
        <v>cái</v>
      </c>
      <c r="D38" s="1435">
        <f>'NT-VT'!E41</f>
        <v>0</v>
      </c>
      <c r="E38" s="1432" t="str">
        <f>'NT-VT'!F42</f>
        <v>nt</v>
      </c>
      <c r="F38" s="1432" t="str">
        <f>'NT-VT'!G42</f>
        <v>nt</v>
      </c>
      <c r="G38" s="869">
        <f t="shared" si="0"/>
        <v>0</v>
      </c>
      <c r="H38" s="883"/>
      <c r="I38" s="859"/>
    </row>
    <row r="39" spans="1:9" ht="35.1" customHeight="1">
      <c r="A39" s="1432">
        <f>SUM($G$3:G39)</f>
        <v>35</v>
      </c>
      <c r="B39" s="1433" t="str">
        <f>'NT-VT'!C42</f>
        <v>Chụp đầu cosse  95mm2</v>
      </c>
      <c r="C39" s="1434" t="str">
        <f>'NT-VT'!D42</f>
        <v>cái</v>
      </c>
      <c r="D39" s="1435">
        <f>'NT-VT'!E42</f>
        <v>1</v>
      </c>
      <c r="E39" s="1432" t="str">
        <f>'NT-VT'!F43</f>
        <v>nt</v>
      </c>
      <c r="F39" s="1432" t="str">
        <f>'NT-VT'!G43</f>
        <v>nt</v>
      </c>
      <c r="G39" s="869">
        <f t="shared" si="0"/>
        <v>1</v>
      </c>
      <c r="H39" s="884"/>
    </row>
    <row r="40" spans="1:9" ht="35.1" customHeight="1">
      <c r="A40" s="1432">
        <f>SUM($G$3:G40)</f>
        <v>36</v>
      </c>
      <c r="B40" s="1433" t="str">
        <f>'NT-VT'!C43</f>
        <v>Chụp đầu cực FCO (bộ 2 cái)</v>
      </c>
      <c r="C40" s="1434" t="str">
        <f>'NT-VT'!D43</f>
        <v>bộ</v>
      </c>
      <c r="D40" s="1435">
        <f>'NT-VT'!E43</f>
        <v>6</v>
      </c>
      <c r="E40" s="1432" t="str">
        <f>'NT-VT'!F44</f>
        <v>nt</v>
      </c>
      <c r="F40" s="1432" t="str">
        <f>'NT-VT'!G44</f>
        <v>nt</v>
      </c>
      <c r="G40" s="869">
        <f t="shared" si="0"/>
        <v>1</v>
      </c>
      <c r="H40" s="884"/>
    </row>
    <row r="41" spans="1:9" ht="35.1" customHeight="1">
      <c r="A41" s="1432">
        <f>SUM($G$3:G41)</f>
        <v>37</v>
      </c>
      <c r="B41" s="1433" t="str">
        <f>'NT-VT'!C44</f>
        <v>Dây chảy 6K</v>
      </c>
      <c r="C41" s="1434" t="str">
        <f>'NT-VT'!D44</f>
        <v>Sợi</v>
      </c>
      <c r="D41" s="1435">
        <f>'NT-VT'!E44</f>
        <v>3</v>
      </c>
      <c r="E41" s="1432" t="str">
        <f>'NT-VT'!F45</f>
        <v>nt</v>
      </c>
      <c r="F41" s="1432" t="str">
        <f>'NT-VT'!G45</f>
        <v>nt</v>
      </c>
      <c r="G41" s="869">
        <f t="shared" si="0"/>
        <v>1</v>
      </c>
      <c r="H41" s="883"/>
      <c r="I41" s="885"/>
    </row>
    <row r="42" spans="1:9" ht="35.1" customHeight="1">
      <c r="A42" s="1432">
        <f>SUM($G$3:G42)</f>
        <v>38</v>
      </c>
      <c r="B42" s="1433" t="str">
        <f>'NT-VT'!C45</f>
        <v>Dây chảy 8K</v>
      </c>
      <c r="C42" s="1434" t="str">
        <f>'NT-VT'!D45</f>
        <v>Sợi</v>
      </c>
      <c r="D42" s="1435">
        <f>'NT-VT'!E45</f>
        <v>3</v>
      </c>
      <c r="E42" s="1432" t="str">
        <f>'NT-VT'!F46</f>
        <v>nt</v>
      </c>
      <c r="F42" s="1432" t="str">
        <f>'NT-VT'!G46</f>
        <v>nt</v>
      </c>
      <c r="G42" s="869">
        <f t="shared" si="0"/>
        <v>1</v>
      </c>
      <c r="H42" s="883"/>
      <c r="I42" s="859"/>
    </row>
    <row r="43" spans="1:9" ht="35.1" customHeight="1">
      <c r="A43" s="1432">
        <f>SUM($G$3:G43)</f>
        <v>39</v>
      </c>
      <c r="B43" s="1433" t="str">
        <f>'NT-VT'!C46</f>
        <v>Chụp đầu cực LA</v>
      </c>
      <c r="C43" s="1434" t="str">
        <f>'NT-VT'!D46</f>
        <v>cái</v>
      </c>
      <c r="D43" s="1435">
        <f>'NT-VT'!E46</f>
        <v>3</v>
      </c>
      <c r="E43" s="1432" t="str">
        <f>'NT-VT'!F47</f>
        <v>nt</v>
      </c>
      <c r="F43" s="1432" t="str">
        <f>'NT-VT'!G47</f>
        <v>nt</v>
      </c>
      <c r="G43" s="869">
        <f t="shared" si="0"/>
        <v>1</v>
      </c>
      <c r="H43" s="883"/>
      <c r="I43" s="885"/>
    </row>
    <row r="44" spans="1:9" ht="35.1" customHeight="1">
      <c r="A44" s="1432">
        <f>SUM($G$3:G44)</f>
        <v>40</v>
      </c>
      <c r="B44" s="1433" t="str">
        <f>'NT-VT'!C47</f>
        <v>Chụp đầu MBA</v>
      </c>
      <c r="C44" s="1434" t="str">
        <f>'NT-VT'!D47</f>
        <v>cái</v>
      </c>
      <c r="D44" s="1435">
        <f>'NT-VT'!E47</f>
        <v>3</v>
      </c>
      <c r="E44" s="1432" t="str">
        <f>'NT-VT'!F48</f>
        <v>nt</v>
      </c>
      <c r="F44" s="1432" t="str">
        <f>'NT-VT'!G48</f>
        <v>nt</v>
      </c>
      <c r="G44" s="869">
        <f t="shared" si="0"/>
        <v>1</v>
      </c>
      <c r="H44" s="883"/>
      <c r="I44" s="859"/>
    </row>
    <row r="45" spans="1:9" ht="35.1" customHeight="1">
      <c r="A45" s="1432">
        <f>SUM($G$3:G45)</f>
        <v>41</v>
      </c>
      <c r="B45" s="1433" t="str">
        <f>'NT-VT'!C48</f>
        <v>Bộ chống chằng hẹp Ø60/50x1500+2BL12x40+BL16x250/80</v>
      </c>
      <c r="C45" s="1434" t="str">
        <f>'NT-VT'!D48</f>
        <v>bộ</v>
      </c>
      <c r="D45" s="1435">
        <f>'NT-VT'!E48</f>
        <v>1</v>
      </c>
      <c r="E45" s="1432" t="str">
        <f>'NT-VT'!F49</f>
        <v>nt</v>
      </c>
      <c r="F45" s="1432" t="str">
        <f>'NT-VT'!G49</f>
        <v>nt</v>
      </c>
      <c r="G45" s="869">
        <f t="shared" si="0"/>
        <v>1</v>
      </c>
      <c r="H45" s="883"/>
      <c r="I45" s="859"/>
    </row>
    <row r="46" spans="1:9" ht="35.1" customHeight="1">
      <c r="A46" s="1432">
        <f>SUM($G$3:G46)</f>
        <v>42</v>
      </c>
      <c r="B46" s="1433" t="str">
        <f>'NT-VT'!C49</f>
        <v>Xà composite 110x800x5 dài 2,4m</v>
      </c>
      <c r="C46" s="1434" t="str">
        <f>'NT-VT'!D49</f>
        <v>cái</v>
      </c>
      <c r="D46" s="1435">
        <f>'NT-VT'!E49</f>
        <v>2</v>
      </c>
      <c r="E46" s="1432" t="str">
        <f>'NT-VT'!F50</f>
        <v>nt</v>
      </c>
      <c r="F46" s="1432" t="str">
        <f>'NT-VT'!G50</f>
        <v>nt</v>
      </c>
      <c r="G46" s="869">
        <f t="shared" si="0"/>
        <v>1</v>
      </c>
      <c r="H46" s="883"/>
      <c r="I46" s="859"/>
    </row>
    <row r="47" spans="1:9" ht="35.1" customHeight="1">
      <c r="A47" s="1432">
        <f>SUM($G$3:G47)</f>
        <v>43</v>
      </c>
      <c r="B47" s="1433" t="str">
        <f>'NT-VT'!C50</f>
        <v>Chống composite 40x10x920</v>
      </c>
      <c r="C47" s="1434" t="str">
        <f>'NT-VT'!D50</f>
        <v>cái</v>
      </c>
      <c r="D47" s="1435">
        <f>'NT-VT'!E50</f>
        <v>4</v>
      </c>
      <c r="E47" s="1432" t="str">
        <f>'NT-VT'!F51</f>
        <v>nt</v>
      </c>
      <c r="F47" s="1432" t="str">
        <f>'NT-VT'!G51</f>
        <v>nt</v>
      </c>
      <c r="G47" s="869">
        <f t="shared" si="0"/>
        <v>1</v>
      </c>
      <c r="H47" s="883"/>
      <c r="I47" s="859"/>
    </row>
    <row r="48" spans="1:9" ht="35.1" customHeight="1">
      <c r="A48" s="1432">
        <f>SUM($G$3:G48)</f>
        <v>43</v>
      </c>
      <c r="B48" s="1433" t="str">
        <f>'NT-VT'!C51</f>
        <v>Đầu cosse ép Cu 150mm2</v>
      </c>
      <c r="C48" s="1434" t="str">
        <f>'NT-VT'!D51</f>
        <v>cái</v>
      </c>
      <c r="D48" s="1435">
        <f>'NT-VT'!E51</f>
        <v>0</v>
      </c>
      <c r="E48" s="1432" t="str">
        <f>'NT-VT'!F52</f>
        <v>nt</v>
      </c>
      <c r="F48" s="1432" t="str">
        <f>'NT-VT'!G52</f>
        <v>nt</v>
      </c>
      <c r="G48" s="869">
        <f t="shared" si="0"/>
        <v>0</v>
      </c>
      <c r="H48" s="883"/>
      <c r="I48" s="859"/>
    </row>
    <row r="49" spans="1:9" ht="35.1" customHeight="1">
      <c r="A49" s="1432">
        <f>SUM($G$3:G49)</f>
        <v>44</v>
      </c>
      <c r="B49" s="1433" t="str">
        <f>'NT-VT'!C52</f>
        <v>Đầu cosse ép Cu 5mm2</v>
      </c>
      <c r="C49" s="1434" t="str">
        <f>'NT-VT'!D52</f>
        <v>cái</v>
      </c>
      <c r="D49" s="1435">
        <f>'NT-VT'!E52</f>
        <v>6</v>
      </c>
      <c r="E49" s="1432" t="str">
        <f>'NT-VT'!F53</f>
        <v>nt</v>
      </c>
      <c r="F49" s="1432" t="str">
        <f>'NT-VT'!G53</f>
        <v>nt</v>
      </c>
      <c r="G49" s="869">
        <f t="shared" si="0"/>
        <v>1</v>
      </c>
      <c r="H49" s="883"/>
      <c r="I49" s="859"/>
    </row>
    <row r="50" spans="1:9" ht="35.1" customHeight="1">
      <c r="A50" s="1432">
        <f>SUM($G$3:G50)</f>
        <v>45</v>
      </c>
      <c r="B50" s="1433" t="str">
        <f>'NT-VT'!C53</f>
        <v>Đầu cosse ép Cu 95mm2</v>
      </c>
      <c r="C50" s="1434" t="str">
        <f>'NT-VT'!D53</f>
        <v>cái</v>
      </c>
      <c r="D50" s="1435">
        <f>'NT-VT'!E53</f>
        <v>1</v>
      </c>
      <c r="E50" s="1432" t="str">
        <f>'NT-VT'!F54</f>
        <v>nt</v>
      </c>
      <c r="F50" s="1432" t="str">
        <f>'NT-VT'!G54</f>
        <v>nt</v>
      </c>
      <c r="G50" s="869">
        <f t="shared" si="0"/>
        <v>1</v>
      </c>
      <c r="H50" s="883"/>
      <c r="I50" s="859"/>
    </row>
    <row r="51" spans="1:9" ht="35.1" customHeight="1">
      <c r="A51" s="1432">
        <f>SUM($G$3:G51)</f>
        <v>46</v>
      </c>
      <c r="B51" s="1433" t="str">
        <f>'NT-VT'!C54</f>
        <v>Đầu cosse ép Cu-Al 50mm2</v>
      </c>
      <c r="C51" s="1434" t="str">
        <f>'NT-VT'!D54</f>
        <v>cái</v>
      </c>
      <c r="D51" s="1435">
        <f>'NT-VT'!E54</f>
        <v>3</v>
      </c>
      <c r="E51" s="1432" t="str">
        <f>'NT-VT'!F55</f>
        <v>nt</v>
      </c>
      <c r="F51" s="1432" t="str">
        <f>'NT-VT'!G55</f>
        <v>nt</v>
      </c>
      <c r="G51" s="869">
        <f t="shared" si="0"/>
        <v>1</v>
      </c>
      <c r="H51" s="883"/>
      <c r="I51" s="859"/>
    </row>
    <row r="52" spans="1:9" ht="35.1" customHeight="1">
      <c r="A52" s="1432">
        <f>SUM($G$3:G52)</f>
        <v>47</v>
      </c>
      <c r="B52" s="1433" t="str">
        <f>'NT-VT'!C55</f>
        <v>Chân sứ đứng D20</v>
      </c>
      <c r="C52" s="1434" t="str">
        <f>'NT-VT'!D55</f>
        <v>cái</v>
      </c>
      <c r="D52" s="1435">
        <f>'NT-VT'!E55</f>
        <v>69</v>
      </c>
      <c r="E52" s="1432" t="str">
        <f>'NT-VT'!F56</f>
        <v>nt</v>
      </c>
      <c r="F52" s="1432" t="str">
        <f>'NT-VT'!G56</f>
        <v>nt</v>
      </c>
      <c r="G52" s="869">
        <f t="shared" si="0"/>
        <v>1</v>
      </c>
      <c r="H52" s="883"/>
      <c r="I52" s="859"/>
    </row>
    <row r="53" spans="1:9" ht="35.1" customHeight="1">
      <c r="A53" s="1432">
        <f>SUM($G$3:G53)</f>
        <v>48</v>
      </c>
      <c r="B53" s="1433" t="str">
        <f>'NT-VT'!C56</f>
        <v>Cọc tiếp đất Þ 16- 2,4m + kẹp cọc mạ đồng</v>
      </c>
      <c r="C53" s="1434" t="str">
        <f>'NT-VT'!D56</f>
        <v>bộ</v>
      </c>
      <c r="D53" s="1435">
        <f>'NT-VT'!E56</f>
        <v>14</v>
      </c>
      <c r="E53" s="1432" t="str">
        <f>'NT-VT'!F57</f>
        <v>nt</v>
      </c>
      <c r="F53" s="1432" t="str">
        <f>'NT-VT'!G57</f>
        <v>nt</v>
      </c>
      <c r="G53" s="869">
        <f t="shared" si="0"/>
        <v>1</v>
      </c>
      <c r="H53" s="883"/>
      <c r="I53" s="859"/>
    </row>
    <row r="54" spans="1:9" ht="35.1" customHeight="1">
      <c r="A54" s="1432">
        <f>SUM($G$3:G54)</f>
        <v>49</v>
      </c>
      <c r="B54" s="1433" t="str">
        <f>'NT-VT'!C57</f>
        <v>Co 135 độ PVC 114</v>
      </c>
      <c r="C54" s="1434" t="str">
        <f>'NT-VT'!D57</f>
        <v>cái</v>
      </c>
      <c r="D54" s="1435">
        <f>'NT-VT'!E57</f>
        <v>2</v>
      </c>
      <c r="E54" s="1432" t="str">
        <f>'NT-VT'!F58</f>
        <v>nt</v>
      </c>
      <c r="F54" s="1432" t="str">
        <f>'NT-VT'!G58</f>
        <v>nt</v>
      </c>
      <c r="G54" s="869">
        <f t="shared" si="0"/>
        <v>1</v>
      </c>
      <c r="H54" s="883"/>
      <c r="I54" s="859"/>
    </row>
    <row r="55" spans="1:9" ht="35.1" customHeight="1">
      <c r="A55" s="1432">
        <f>SUM($G$3:G55)</f>
        <v>50</v>
      </c>
      <c r="B55" s="1433" t="str">
        <f>'NT-VT'!C58</f>
        <v>Co  90 độ PVC 114</v>
      </c>
      <c r="C55" s="1434" t="str">
        <f>'NT-VT'!D58</f>
        <v>cái</v>
      </c>
      <c r="D55" s="1435">
        <f>'NT-VT'!E58</f>
        <v>2</v>
      </c>
      <c r="E55" s="1432" t="str">
        <f>'NT-VT'!F59</f>
        <v>nt</v>
      </c>
      <c r="F55" s="1432" t="str">
        <f>'NT-VT'!G59</f>
        <v>nt</v>
      </c>
      <c r="G55" s="869">
        <f t="shared" si="0"/>
        <v>1</v>
      </c>
      <c r="H55" s="883"/>
      <c r="I55" s="859"/>
    </row>
    <row r="56" spans="1:9" ht="35.1" customHeight="1">
      <c r="A56" s="1432">
        <f>SUM($G$3:G56)</f>
        <v>51</v>
      </c>
      <c r="B56" s="1433" t="str">
        <f>'NT-VT'!C59</f>
        <v>Đinh các loại</v>
      </c>
      <c r="C56" s="1434" t="str">
        <f>'NT-VT'!D59</f>
        <v>kg</v>
      </c>
      <c r="D56" s="1435">
        <f>'NT-VT'!E59</f>
        <v>3.75</v>
      </c>
      <c r="E56" s="1432" t="str">
        <f>'NT-VT'!F60</f>
        <v>nt</v>
      </c>
      <c r="F56" s="1432" t="str">
        <f>'NT-VT'!G60</f>
        <v>nt</v>
      </c>
      <c r="G56" s="869">
        <f t="shared" si="0"/>
        <v>1</v>
      </c>
      <c r="H56" s="883"/>
      <c r="I56" s="859"/>
    </row>
    <row r="57" spans="1:9" ht="35.1" customHeight="1">
      <c r="A57" s="1432">
        <f>SUM($G$3:G57)</f>
        <v>52</v>
      </c>
      <c r="B57" s="1433" t="str">
        <f>'NT-VT'!C60</f>
        <v>Giáp níu dừng dây bọc ACX50</v>
      </c>
      <c r="C57" s="1434" t="str">
        <f>'NT-VT'!D60</f>
        <v>cái</v>
      </c>
      <c r="D57" s="1435">
        <f>'NT-VT'!E60</f>
        <v>24</v>
      </c>
      <c r="E57" s="1432" t="str">
        <f>'NT-VT'!F61</f>
        <v>nt</v>
      </c>
      <c r="F57" s="1432" t="str">
        <f>'NT-VT'!G61</f>
        <v>nt</v>
      </c>
      <c r="G57" s="869">
        <f t="shared" si="0"/>
        <v>1</v>
      </c>
      <c r="H57" s="883"/>
      <c r="I57" s="859"/>
    </row>
    <row r="58" spans="1:9" ht="35.1" customHeight="1">
      <c r="A58" s="1432">
        <f>SUM($G$3:G58)</f>
        <v>53</v>
      </c>
      <c r="B58" s="1433" t="str">
        <f>'NT-VT'!C61</f>
        <v>Giá chùm treo máy biến áp 3x50</v>
      </c>
      <c r="C58" s="1434" t="str">
        <f>'NT-VT'!D61</f>
        <v>cái</v>
      </c>
      <c r="D58" s="1435">
        <f>'NT-VT'!E61</f>
        <v>1</v>
      </c>
      <c r="E58" s="1432" t="str">
        <f>'NT-VT'!F62</f>
        <v>nt</v>
      </c>
      <c r="F58" s="1432" t="str">
        <f>'NT-VT'!G62</f>
        <v>nt</v>
      </c>
      <c r="G58" s="869">
        <f t="shared" si="0"/>
        <v>1</v>
      </c>
      <c r="H58" s="883"/>
      <c r="I58" s="859"/>
    </row>
    <row r="59" spans="1:9" ht="35.1" customHeight="1">
      <c r="A59" s="1432">
        <f>SUM($G$3:G59)</f>
        <v>54</v>
      </c>
      <c r="B59" s="1433" t="str">
        <f>'NT-VT'!C62</f>
        <v>Kẹp cáp 3 boulon</v>
      </c>
      <c r="C59" s="1434" t="str">
        <f>'NT-VT'!D62</f>
        <v>cái</v>
      </c>
      <c r="D59" s="1435">
        <f>'NT-VT'!E62</f>
        <v>8</v>
      </c>
      <c r="E59" s="1432" t="str">
        <f>'NT-VT'!F63</f>
        <v>nt</v>
      </c>
      <c r="F59" s="1432" t="str">
        <f>'NT-VT'!G63</f>
        <v>nt</v>
      </c>
      <c r="G59" s="869">
        <f t="shared" si="0"/>
        <v>1</v>
      </c>
      <c r="H59" s="883"/>
      <c r="I59" s="859"/>
    </row>
    <row r="60" spans="1:9" ht="35.1" customHeight="1">
      <c r="A60" s="1432">
        <f>SUM($G$3:G60)</f>
        <v>55</v>
      </c>
      <c r="B60" s="1433" t="str">
        <f>'NT-VT'!C63</f>
        <v>Kẹp ép WR cỡ dây 150mm2</v>
      </c>
      <c r="C60" s="1434" t="str">
        <f>'NT-VT'!D63</f>
        <v>cái</v>
      </c>
      <c r="D60" s="1435">
        <f>'NT-VT'!E63</f>
        <v>6</v>
      </c>
      <c r="E60" s="1432" t="str">
        <f>'NT-VT'!F64</f>
        <v>nt</v>
      </c>
      <c r="F60" s="1432" t="str">
        <f>'NT-VT'!G64</f>
        <v>nt</v>
      </c>
      <c r="G60" s="869">
        <f t="shared" si="0"/>
        <v>1</v>
      </c>
      <c r="H60" s="883"/>
      <c r="I60" s="859"/>
    </row>
    <row r="61" spans="1:9" ht="35.1" customHeight="1">
      <c r="A61" s="1432">
        <f>SUM($G$3:G61)</f>
        <v>56</v>
      </c>
      <c r="B61" s="1433" t="str">
        <f>'NT-VT'!C64</f>
        <v>Kẹp ép cỡ dây 25mm2</v>
      </c>
      <c r="C61" s="1434" t="str">
        <f>'NT-VT'!D64</f>
        <v>cái</v>
      </c>
      <c r="D61" s="1435">
        <f>'NT-VT'!E64</f>
        <v>2</v>
      </c>
      <c r="E61" s="1432" t="str">
        <f>'NT-VT'!F65</f>
        <v>nt</v>
      </c>
      <c r="F61" s="1432" t="str">
        <f>'NT-VT'!G65</f>
        <v>nt</v>
      </c>
      <c r="G61" s="869">
        <f t="shared" si="0"/>
        <v>1</v>
      </c>
      <c r="H61" s="883"/>
      <c r="I61" s="859"/>
    </row>
    <row r="62" spans="1:9" ht="35.1" customHeight="1">
      <c r="A62" s="1432">
        <f>SUM($G$3:G62)</f>
        <v>57</v>
      </c>
      <c r="B62" s="1433" t="str">
        <f>'NT-VT'!C65</f>
        <v>Kẹp ép WR cỡ dây 50mm2</v>
      </c>
      <c r="C62" s="1434" t="str">
        <f>'NT-VT'!D65</f>
        <v>cái</v>
      </c>
      <c r="D62" s="1435">
        <f>'NT-VT'!E65</f>
        <v>28</v>
      </c>
      <c r="E62" s="1432" t="str">
        <f>'NT-VT'!F66</f>
        <v>nt</v>
      </c>
      <c r="F62" s="1432" t="str">
        <f>'NT-VT'!G66</f>
        <v>nt</v>
      </c>
      <c r="G62" s="869">
        <f t="shared" si="0"/>
        <v>1</v>
      </c>
      <c r="H62" s="883"/>
      <c r="I62" s="859"/>
    </row>
    <row r="63" spans="1:9" ht="35.1" customHeight="1">
      <c r="A63" s="1432">
        <f>SUM($G$3:G63)</f>
        <v>58</v>
      </c>
      <c r="B63" s="1433" t="str">
        <f>'NT-VT'!C66</f>
        <v>Keo silicon bít miệng ống</v>
      </c>
      <c r="C63" s="1434" t="str">
        <f>'NT-VT'!D66</f>
        <v>ống</v>
      </c>
      <c r="D63" s="1435">
        <f>'NT-VT'!E66</f>
        <v>5</v>
      </c>
      <c r="E63" s="1432" t="str">
        <f>'NT-VT'!F67</f>
        <v>nt</v>
      </c>
      <c r="F63" s="1432" t="str">
        <f>'NT-VT'!G67</f>
        <v>nt</v>
      </c>
      <c r="G63" s="869">
        <f t="shared" si="0"/>
        <v>1</v>
      </c>
      <c r="H63" s="883"/>
      <c r="I63" s="859"/>
    </row>
    <row r="64" spans="1:9" ht="35.1" customHeight="1">
      <c r="A64" s="1432">
        <f>SUM($G$3:G64)</f>
        <v>59</v>
      </c>
      <c r="B64" s="1433" t="str">
        <f>'NT-VT'!C67</f>
        <v>Keo dán ống PVC (100gr)</v>
      </c>
      <c r="C64" s="1434" t="str">
        <f>'NT-VT'!D67</f>
        <v>tuýp</v>
      </c>
      <c r="D64" s="1435">
        <f>'NT-VT'!E67</f>
        <v>1</v>
      </c>
      <c r="E64" s="1432" t="str">
        <f>'NT-VT'!F68</f>
        <v>nt</v>
      </c>
      <c r="F64" s="1432" t="str">
        <f>'NT-VT'!G68</f>
        <v>nt</v>
      </c>
      <c r="G64" s="869">
        <f t="shared" si="0"/>
        <v>1</v>
      </c>
      <c r="H64" s="883"/>
      <c r="I64" s="859"/>
    </row>
    <row r="65" spans="1:9" ht="35.1" customHeight="1">
      <c r="A65" s="1432">
        <f>SUM($G$3:G65)</f>
        <v>60</v>
      </c>
      <c r="B65" s="1433" t="str">
        <f>'NT-VT'!C68</f>
        <v>Kẹp hotline 2/0</v>
      </c>
      <c r="C65" s="1434" t="str">
        <f>'NT-VT'!D68</f>
        <v>cái</v>
      </c>
      <c r="D65" s="1435">
        <f>'NT-VT'!E68</f>
        <v>9</v>
      </c>
      <c r="E65" s="1432" t="e">
        <f>'NT-VT'!#REF!</f>
        <v>#REF!</v>
      </c>
      <c r="F65" s="1432" t="e">
        <f>'NT-VT'!#REF!</f>
        <v>#REF!</v>
      </c>
      <c r="G65" s="869">
        <f t="shared" si="0"/>
        <v>1</v>
      </c>
      <c r="H65" s="883"/>
      <c r="I65" s="859"/>
    </row>
    <row r="66" spans="1:9" ht="35.1" customHeight="1">
      <c r="A66" s="1432" t="e">
        <f>SUM($G$3:G66)</f>
        <v>#REF!</v>
      </c>
      <c r="B66" s="1433" t="e">
        <f>'NT-VT'!#REF!</f>
        <v>#REF!</v>
      </c>
      <c r="C66" s="1434" t="e">
        <f>'NT-VT'!#REF!</f>
        <v>#REF!</v>
      </c>
      <c r="D66" s="1435" t="e">
        <f>'NT-VT'!#REF!</f>
        <v>#REF!</v>
      </c>
      <c r="E66" s="1432" t="str">
        <f>'NT-VT'!F69</f>
        <v>nt</v>
      </c>
      <c r="F66" s="1432" t="str">
        <f>'NT-VT'!G69</f>
        <v>nt</v>
      </c>
      <c r="G66" s="869" t="e">
        <f t="shared" si="0"/>
        <v>#REF!</v>
      </c>
      <c r="H66" s="883"/>
      <c r="I66" s="859"/>
    </row>
    <row r="67" spans="1:9" ht="35.1" customHeight="1">
      <c r="A67" s="1432" t="e">
        <f>SUM($G$3:G67)</f>
        <v>#REF!</v>
      </c>
      <c r="B67" s="1433" t="str">
        <f>'NT-VT'!C69</f>
        <v>Khóa néo dây cỡ dây 50</v>
      </c>
      <c r="C67" s="1434" t="str">
        <f>'NT-VT'!D69</f>
        <v>cái</v>
      </c>
      <c r="D67" s="1435">
        <f>'NT-VT'!E69</f>
        <v>8</v>
      </c>
      <c r="E67" s="1432" t="str">
        <f>'NT-VT'!F70</f>
        <v>nt</v>
      </c>
      <c r="F67" s="1432" t="str">
        <f>'NT-VT'!G70</f>
        <v>nt</v>
      </c>
      <c r="G67" s="869">
        <f t="shared" si="0"/>
        <v>1</v>
      </c>
      <c r="H67" s="883"/>
      <c r="I67" s="859"/>
    </row>
    <row r="68" spans="1:9" ht="35.1" customHeight="1">
      <c r="A68" s="1432" t="e">
        <f>SUM($G$3:G68)</f>
        <v>#REF!</v>
      </c>
      <c r="B68" s="1433" t="str">
        <f>'NT-VT'!C70</f>
        <v>Kẹp quai 2/0</v>
      </c>
      <c r="C68" s="1434" t="str">
        <f>'NT-VT'!D70</f>
        <v>cái</v>
      </c>
      <c r="D68" s="1435">
        <f>'NT-VT'!E70</f>
        <v>3</v>
      </c>
      <c r="E68" s="1432" t="str">
        <f>'NT-VT'!F71</f>
        <v>nt</v>
      </c>
      <c r="F68" s="1432" t="str">
        <f>'NT-VT'!G71</f>
        <v>nt</v>
      </c>
      <c r="G68" s="869">
        <f t="shared" ref="G68:G93" si="1">IF(D68&gt;0,1,0)</f>
        <v>1</v>
      </c>
      <c r="H68" s="883"/>
      <c r="I68" s="859"/>
    </row>
    <row r="69" spans="1:9" ht="35.1" customHeight="1">
      <c r="A69" s="1432" t="e">
        <f>SUM($G$3:G69)</f>
        <v>#REF!</v>
      </c>
      <c r="B69" s="1433" t="str">
        <f>'NT-VT'!C71</f>
        <v>Kẹp quai 2/0 + chụp cách điện</v>
      </c>
      <c r="C69" s="1434" t="str">
        <f>'NT-VT'!D71</f>
        <v>bộ</v>
      </c>
      <c r="D69" s="1435">
        <f>'NT-VT'!E71</f>
        <v>6</v>
      </c>
      <c r="E69" s="1432" t="str">
        <f>'NT-VT'!F72</f>
        <v>nt</v>
      </c>
      <c r="F69" s="1432" t="str">
        <f>'NT-VT'!G72</f>
        <v>nt</v>
      </c>
      <c r="G69" s="869">
        <f t="shared" si="1"/>
        <v>1</v>
      </c>
      <c r="H69" s="883"/>
      <c r="I69" s="859"/>
    </row>
    <row r="70" spans="1:9" ht="35.1" customHeight="1">
      <c r="A70" s="1432" t="e">
        <f>SUM($G$3:G70)</f>
        <v>#REF!</v>
      </c>
      <c r="B70" s="1433" t="str">
        <f>'NT-VT'!C72</f>
        <v>Khâu ven răng ngoài D114</v>
      </c>
      <c r="C70" s="1434" t="str">
        <f>'NT-VT'!D72</f>
        <v>cái</v>
      </c>
      <c r="D70" s="1435">
        <f>'NT-VT'!E72</f>
        <v>1</v>
      </c>
      <c r="E70" s="1432" t="str">
        <f>'NT-VT'!F73</f>
        <v>nt</v>
      </c>
      <c r="F70" s="1432" t="str">
        <f>'NT-VT'!G73</f>
        <v>nt</v>
      </c>
      <c r="G70" s="869">
        <f t="shared" si="1"/>
        <v>1</v>
      </c>
      <c r="H70" s="883"/>
      <c r="I70" s="859"/>
    </row>
    <row r="71" spans="1:9" ht="35.1" customHeight="1">
      <c r="A71" s="1432" t="e">
        <f>SUM($G$3:G71)</f>
        <v>#REF!</v>
      </c>
      <c r="B71" s="1433" t="str">
        <f>'NT-VT'!C73</f>
        <v>Khâu ven răng trong D114</v>
      </c>
      <c r="C71" s="1434" t="str">
        <f>'NT-VT'!D73</f>
        <v>cái</v>
      </c>
      <c r="D71" s="1435">
        <f>'NT-VT'!E73</f>
        <v>1</v>
      </c>
      <c r="E71" s="1432" t="str">
        <f>'NT-VT'!F74</f>
        <v>nt</v>
      </c>
      <c r="F71" s="1432" t="str">
        <f>'NT-VT'!G74</f>
        <v>nt</v>
      </c>
      <c r="G71" s="869">
        <f t="shared" si="1"/>
        <v>1</v>
      </c>
      <c r="H71" s="883"/>
      <c r="I71" s="859"/>
    </row>
    <row r="72" spans="1:9" ht="35.1" customHeight="1">
      <c r="A72" s="1432" t="e">
        <f>SUM($G$3:G72)</f>
        <v>#REF!</v>
      </c>
      <c r="B72" s="1433" t="str">
        <f>'NT-VT'!C74</f>
        <v>Máng che dây chằng dày 1,6mm</v>
      </c>
      <c r="C72" s="1434" t="str">
        <f>'NT-VT'!D74</f>
        <v>cái</v>
      </c>
      <c r="D72" s="1435">
        <f>'NT-VT'!E74</f>
        <v>1</v>
      </c>
      <c r="E72" s="1432" t="str">
        <f>'NT-VT'!F75</f>
        <v>nt</v>
      </c>
      <c r="F72" s="1432" t="str">
        <f>'NT-VT'!G75</f>
        <v>nt</v>
      </c>
      <c r="G72" s="869">
        <f t="shared" si="1"/>
        <v>1</v>
      </c>
      <c r="H72" s="883"/>
      <c r="I72" s="859"/>
    </row>
    <row r="73" spans="1:9" ht="35.1" hidden="1" customHeight="1">
      <c r="A73" s="1432" t="e">
        <f>SUM($G$3:G73)</f>
        <v>#REF!</v>
      </c>
      <c r="B73" s="1433" t="str">
        <f>'NT-VT'!C75</f>
        <v xml:space="preserve">Móc treo chữ U </v>
      </c>
      <c r="C73" s="1434" t="str">
        <f>'NT-VT'!D75</f>
        <v>cái</v>
      </c>
      <c r="D73" s="1435">
        <f>'NT-VT'!E75</f>
        <v>48</v>
      </c>
      <c r="E73" s="1432" t="str">
        <f>'NT-VT'!F76</f>
        <v>nt</v>
      </c>
      <c r="F73" s="1432" t="str">
        <f>'NT-VT'!G76</f>
        <v>nt</v>
      </c>
      <c r="G73" s="869">
        <f t="shared" si="1"/>
        <v>1</v>
      </c>
      <c r="H73" s="883"/>
      <c r="I73" s="859"/>
    </row>
    <row r="74" spans="1:9" ht="35.1" hidden="1" customHeight="1">
      <c r="A74" s="1432" t="e">
        <f>SUM($G$3:G74)</f>
        <v>#REF!</v>
      </c>
      <c r="B74" s="1433" t="str">
        <f>'NT-VT'!C76</f>
        <v>Neo xòe 8 hướng (dày 3,2mm)</v>
      </c>
      <c r="C74" s="1434" t="str">
        <f>'NT-VT'!D76</f>
        <v>cái</v>
      </c>
      <c r="D74" s="1435">
        <f>'NT-VT'!E76</f>
        <v>1</v>
      </c>
      <c r="E74" s="1432" t="str">
        <f>'NT-VT'!F77</f>
        <v>nt</v>
      </c>
      <c r="F74" s="1432" t="str">
        <f>'NT-VT'!G77</f>
        <v>nt</v>
      </c>
      <c r="G74" s="869">
        <f t="shared" si="1"/>
        <v>1</v>
      </c>
      <c r="H74" s="883"/>
      <c r="I74" s="859"/>
    </row>
    <row r="75" spans="1:9" ht="35.1" hidden="1" customHeight="1">
      <c r="A75" s="1432" t="e">
        <f>SUM($G$3:G75)</f>
        <v>#REF!</v>
      </c>
      <c r="B75" s="1433" t="str">
        <f>'NT-VT'!C77</f>
        <v>Ốc siết cáp cỡ 25mm2</v>
      </c>
      <c r="C75" s="1434" t="str">
        <f>'NT-VT'!D77</f>
        <v>cái</v>
      </c>
      <c r="D75" s="1435">
        <f>'NT-VT'!E77</f>
        <v>14</v>
      </c>
      <c r="E75" s="1432" t="str">
        <f>'NT-VT'!F78</f>
        <v>nt</v>
      </c>
      <c r="F75" s="1432" t="str">
        <f>'NT-VT'!G78</f>
        <v>nt</v>
      </c>
      <c r="G75" s="869">
        <f t="shared" si="1"/>
        <v>1</v>
      </c>
      <c r="H75" s="883"/>
      <c r="I75" s="859"/>
    </row>
    <row r="76" spans="1:9" ht="35.1" hidden="1" customHeight="1">
      <c r="A76" s="1432" t="e">
        <f>SUM($G$3:G76)</f>
        <v>#REF!</v>
      </c>
      <c r="B76" s="1433" t="str">
        <f>'NT-VT'!C78</f>
        <v xml:space="preserve">Ống PVC D114x4,9mm </v>
      </c>
      <c r="C76" s="1434" t="str">
        <f>'NT-VT'!D78</f>
        <v>m</v>
      </c>
      <c r="D76" s="1435">
        <f>'NT-VT'!E78</f>
        <v>11</v>
      </c>
      <c r="E76" s="1432" t="str">
        <f>'NT-VT'!F79</f>
        <v>nt</v>
      </c>
      <c r="F76" s="1432" t="str">
        <f>'NT-VT'!G79</f>
        <v>nt</v>
      </c>
      <c r="G76" s="869">
        <f t="shared" si="1"/>
        <v>1</v>
      </c>
      <c r="H76" s="883"/>
      <c r="I76" s="859"/>
    </row>
    <row r="77" spans="1:9" ht="35.1" hidden="1" customHeight="1">
      <c r="A77" s="1432" t="e">
        <f>SUM($G$3:G77)</f>
        <v>#REF!</v>
      </c>
      <c r="B77" s="1433" t="str">
        <f>'NT-VT'!C79</f>
        <v>Uclevis + sứ ống chỉ</v>
      </c>
      <c r="C77" s="1434" t="str">
        <f>'NT-VT'!D79</f>
        <v>bộ</v>
      </c>
      <c r="D77" s="1435">
        <f>'NT-VT'!E79</f>
        <v>17</v>
      </c>
      <c r="E77" s="1432" t="str">
        <f>'NT-VT'!F80</f>
        <v>nt</v>
      </c>
      <c r="F77" s="1432" t="str">
        <f>'NT-VT'!G80</f>
        <v>nt</v>
      </c>
      <c r="G77" s="869">
        <f t="shared" si="1"/>
        <v>1</v>
      </c>
      <c r="H77" s="883"/>
      <c r="I77" s="859"/>
    </row>
    <row r="78" spans="1:9" ht="35.1" hidden="1" customHeight="1">
      <c r="A78" s="1432" t="e">
        <f>SUM($G$3:G78)</f>
        <v>#REF!</v>
      </c>
      <c r="B78" s="1433" t="str">
        <f>'NT-VT'!C80</f>
        <v>Sắt góc L50 x50 x5 x1190</v>
      </c>
      <c r="C78" s="1434" t="str">
        <f>'NT-VT'!D80</f>
        <v>cái</v>
      </c>
      <c r="D78" s="1435">
        <f>'NT-VT'!E80</f>
        <v>17</v>
      </c>
      <c r="E78" s="1432" t="str">
        <f>'NT-VT'!F81</f>
        <v>nt</v>
      </c>
      <c r="F78" s="1432" t="str">
        <f>'NT-VT'!G81</f>
        <v>nt</v>
      </c>
      <c r="G78" s="869">
        <f t="shared" si="1"/>
        <v>1</v>
      </c>
      <c r="H78" s="883"/>
      <c r="I78" s="859"/>
    </row>
    <row r="79" spans="1:9" ht="35.1" hidden="1" customHeight="1">
      <c r="A79" s="1432" t="e">
        <f>SUM($G$3:G79)</f>
        <v>#REF!</v>
      </c>
      <c r="B79" s="1433" t="str">
        <f>'NT-VT'!C81</f>
        <v>Sắt góc L50 x50 x5 - 810</v>
      </c>
      <c r="C79" s="1434" t="str">
        <f>'NT-VT'!D81</f>
        <v>cái</v>
      </c>
      <c r="D79" s="1435">
        <f>'NT-VT'!E81</f>
        <v>28</v>
      </c>
      <c r="E79" s="1432" t="str">
        <f>'NT-VT'!F82</f>
        <v>nt</v>
      </c>
      <c r="F79" s="1432" t="str">
        <f>'NT-VT'!G82</f>
        <v>nt</v>
      </c>
      <c r="G79" s="869">
        <f t="shared" si="1"/>
        <v>1</v>
      </c>
      <c r="H79" s="883"/>
      <c r="I79" s="859"/>
    </row>
    <row r="80" spans="1:9" ht="35.1" hidden="1" customHeight="1">
      <c r="A80" s="1432" t="e">
        <f>SUM($G$3:G80)</f>
        <v>#REF!</v>
      </c>
      <c r="B80" s="1433" t="str">
        <f>'NT-VT'!C82</f>
        <v>Sắt góc L75 x75 x8-2100</v>
      </c>
      <c r="C80" s="1434" t="str">
        <f>'NT-VT'!D82</f>
        <v>cái</v>
      </c>
      <c r="D80" s="1435">
        <f>'NT-VT'!E82</f>
        <v>17</v>
      </c>
      <c r="E80" s="1432" t="str">
        <f>'NT-VT'!F83</f>
        <v>nt</v>
      </c>
      <c r="F80" s="1432" t="str">
        <f>'NT-VT'!G83</f>
        <v>nt</v>
      </c>
      <c r="G80" s="869">
        <f t="shared" si="1"/>
        <v>1</v>
      </c>
      <c r="H80" s="883"/>
      <c r="I80" s="859"/>
    </row>
    <row r="81" spans="1:9" ht="35.1" hidden="1" customHeight="1">
      <c r="A81" s="1432" t="e">
        <f>SUM($G$3:G81)</f>
        <v>#REF!</v>
      </c>
      <c r="B81" s="1433" t="str">
        <f>'NT-VT'!C83</f>
        <v>Sắt góc L75 x75 x8 x2200</v>
      </c>
      <c r="C81" s="1434" t="str">
        <f>'NT-VT'!D83</f>
        <v>cái</v>
      </c>
      <c r="D81" s="1435">
        <f>'NT-VT'!E83</f>
        <v>14</v>
      </c>
      <c r="E81" s="1432" t="str">
        <f>'NT-VT'!F84</f>
        <v>nt</v>
      </c>
      <c r="F81" s="1432" t="str">
        <f>'NT-VT'!G84</f>
        <v>nt</v>
      </c>
      <c r="G81" s="869">
        <f t="shared" si="1"/>
        <v>1</v>
      </c>
      <c r="H81" s="883"/>
      <c r="I81" s="859"/>
    </row>
    <row r="82" spans="1:9" ht="35.1" hidden="1" customHeight="1">
      <c r="A82" s="1432" t="e">
        <f>SUM($G$3:G82)</f>
        <v>#REF!</v>
      </c>
      <c r="B82" s="1433" t="str">
        <f>'NT-VT'!C84</f>
        <v>Sứ chằng</v>
      </c>
      <c r="C82" s="1434" t="str">
        <f>'NT-VT'!D84</f>
        <v>cái</v>
      </c>
      <c r="D82" s="1435">
        <f>'NT-VT'!E84</f>
        <v>1</v>
      </c>
      <c r="E82" s="1432" t="str">
        <f>'NT-VT'!F85</f>
        <v>nt</v>
      </c>
      <c r="F82" s="1432" t="str">
        <f>'NT-VT'!G85</f>
        <v>nt</v>
      </c>
      <c r="G82" s="869">
        <f t="shared" si="1"/>
        <v>1</v>
      </c>
      <c r="H82" s="883"/>
      <c r="I82" s="859"/>
    </row>
    <row r="83" spans="1:9" ht="35.1" hidden="1" customHeight="1">
      <c r="A83" s="1432" t="e">
        <f>SUM($G$3:G83)</f>
        <v>#REF!</v>
      </c>
      <c r="B83" s="1433" t="str">
        <f>'NT-VT'!C85</f>
        <v>Dây buộc cổ sứ từ tính dây 50</v>
      </c>
      <c r="C83" s="1434" t="str">
        <f>'NT-VT'!D85</f>
        <v>cái</v>
      </c>
      <c r="D83" s="1435">
        <f>'NT-VT'!E85</f>
        <v>6</v>
      </c>
      <c r="E83" s="1432" t="str">
        <f>'NT-VT'!F86</f>
        <v>nt</v>
      </c>
      <c r="F83" s="1432" t="str">
        <f>'NT-VT'!G86</f>
        <v>nt</v>
      </c>
      <c r="G83" s="869">
        <f t="shared" si="1"/>
        <v>1</v>
      </c>
      <c r="H83" s="883"/>
      <c r="I83" s="859"/>
    </row>
    <row r="84" spans="1:9" ht="35.1" hidden="1" customHeight="1">
      <c r="A84" s="1432" t="e">
        <f>SUM($G$3:G84)</f>
        <v>#REF!</v>
      </c>
      <c r="B84" s="1433" t="str">
        <f>'NT-VT'!C86</f>
        <v>Ty neo Ø22x2400</v>
      </c>
      <c r="C84" s="1434" t="str">
        <f>'NT-VT'!D86</f>
        <v>cái</v>
      </c>
      <c r="D84" s="1435">
        <f>'NT-VT'!E86</f>
        <v>1</v>
      </c>
      <c r="E84" s="1432" t="str">
        <f>'NT-VT'!F87</f>
        <v>nt</v>
      </c>
      <c r="F84" s="1432" t="str">
        <f>'NT-VT'!G87</f>
        <v>nt</v>
      </c>
      <c r="G84" s="869">
        <f t="shared" si="1"/>
        <v>1</v>
      </c>
      <c r="H84" s="883"/>
      <c r="I84" s="859"/>
    </row>
    <row r="85" spans="1:9" ht="35.1" hidden="1" customHeight="1">
      <c r="A85" s="1432" t="e">
        <f>SUM($G$3:G85)</f>
        <v>#REF!</v>
      </c>
      <c r="B85" s="1433" t="str">
        <f>'NT-VT'!C87</f>
        <v>Dây buộc đầu sứ TTF cỡ dây 50mm2</v>
      </c>
      <c r="C85" s="1434" t="str">
        <f>'NT-VT'!D87</f>
        <v>cái</v>
      </c>
      <c r="D85" s="1435">
        <f>'NT-VT'!E87</f>
        <v>63</v>
      </c>
      <c r="E85" s="1432" t="str">
        <f>'NT-VT'!F88</f>
        <v>nt</v>
      </c>
      <c r="F85" s="1432" t="str">
        <f>'NT-VT'!G88</f>
        <v>nt</v>
      </c>
      <c r="G85" s="869">
        <f t="shared" si="1"/>
        <v>1</v>
      </c>
      <c r="H85" s="883"/>
      <c r="I85" s="859"/>
    </row>
    <row r="86" spans="1:9" ht="35.1" hidden="1" customHeight="1">
      <c r="A86" s="1432" t="e">
        <f>SUM($G$3:G86)</f>
        <v>#REF!</v>
      </c>
      <c r="B86" s="1433" t="str">
        <f>'NT-VT'!C88</f>
        <v>Vỏ tủ + khóa tủ</v>
      </c>
      <c r="C86" s="1434" t="str">
        <f>'NT-VT'!D88</f>
        <v>cái</v>
      </c>
      <c r="D86" s="1435">
        <f>'NT-VT'!E88</f>
        <v>1</v>
      </c>
      <c r="E86" s="1432" t="str">
        <f>'NT-VT'!F89</f>
        <v>nt</v>
      </c>
      <c r="F86" s="1432" t="str">
        <f>'NT-VT'!G89</f>
        <v>nt</v>
      </c>
      <c r="G86" s="869">
        <f t="shared" si="1"/>
        <v>1</v>
      </c>
      <c r="H86" s="883"/>
      <c r="I86" s="859"/>
    </row>
    <row r="87" spans="1:9" ht="35.1" hidden="1" customHeight="1">
      <c r="A87" s="1432" t="e">
        <f>SUM($G$3:G87)</f>
        <v>#REF!</v>
      </c>
      <c r="B87" s="1433" t="str">
        <f>'NT-VT'!C89</f>
        <v>Yếm cáp dày 2mm</v>
      </c>
      <c r="C87" s="1434" t="str">
        <f>'NT-VT'!D89</f>
        <v>cái</v>
      </c>
      <c r="D87" s="1435">
        <f>'NT-VT'!E89</f>
        <v>2</v>
      </c>
      <c r="E87" s="1432" t="str">
        <f>'NT-VT'!F90</f>
        <v>nt</v>
      </c>
      <c r="F87" s="1432" t="str">
        <f>'NT-VT'!G90</f>
        <v>nt</v>
      </c>
      <c r="G87" s="869">
        <f t="shared" si="1"/>
        <v>1</v>
      </c>
      <c r="H87" s="883"/>
      <c r="I87" s="859"/>
    </row>
    <row r="88" spans="1:9" ht="35.1" hidden="1" customHeight="1">
      <c r="A88" s="1432" t="e">
        <f>SUM($G$3:G88)</f>
        <v>#REF!</v>
      </c>
      <c r="B88" s="1433" t="str">
        <f>'NT-VT'!C90</f>
        <v>Gỗ chống</v>
      </c>
      <c r="C88" s="1434" t="str">
        <f>'NT-VT'!D90</f>
        <v>m3</v>
      </c>
      <c r="D88" s="1435">
        <f>'NT-VT'!E90</f>
        <v>8.4000000000000012E-3</v>
      </c>
      <c r="E88" s="1432" t="str">
        <f>'NT-VT'!F91</f>
        <v>nt</v>
      </c>
      <c r="F88" s="1432" t="str">
        <f>'NT-VT'!G91</f>
        <v>nt</v>
      </c>
      <c r="G88" s="869">
        <f t="shared" si="1"/>
        <v>1</v>
      </c>
      <c r="H88" s="883"/>
      <c r="I88" s="859"/>
    </row>
    <row r="89" spans="1:9" ht="35.1" hidden="1" customHeight="1">
      <c r="A89" s="1432" t="e">
        <f>SUM($G$3:G89)</f>
        <v>#REF!</v>
      </c>
      <c r="B89" s="1433" t="str">
        <f>'NT-VT'!C91</f>
        <v>Gỗ đà nẹp</v>
      </c>
      <c r="C89" s="1434" t="str">
        <f>'NT-VT'!D91</f>
        <v>m3</v>
      </c>
      <c r="D89" s="1435">
        <f>'NT-VT'!E91</f>
        <v>5.2500000000000005E-2</v>
      </c>
      <c r="E89" s="1432" t="str">
        <f>'NT-VT'!F92</f>
        <v>nt</v>
      </c>
      <c r="F89" s="1432" t="str">
        <f>'NT-VT'!G92</f>
        <v>nt</v>
      </c>
      <c r="G89" s="869">
        <f t="shared" si="1"/>
        <v>1</v>
      </c>
      <c r="H89" s="883"/>
      <c r="I89" s="859"/>
    </row>
    <row r="90" spans="1:9" ht="35.1" hidden="1" customHeight="1">
      <c r="A90" s="1432" t="e">
        <f>SUM($G$3:G90)</f>
        <v>#REF!</v>
      </c>
      <c r="B90" s="1433"/>
      <c r="C90" s="1434" t="str">
        <f>'NT-VT'!D93</f>
        <v>kg</v>
      </c>
      <c r="D90" s="1435">
        <f>'NT-VT'!E93</f>
        <v>1760</v>
      </c>
      <c r="E90" s="1432" t="str">
        <f>'NT-VT'!F93</f>
        <v>Địa phương</v>
      </c>
      <c r="F90" s="1432" t="str">
        <f>'NT-VT'!G93</f>
        <v>Địa phương</v>
      </c>
      <c r="G90" s="869">
        <f t="shared" si="1"/>
        <v>1</v>
      </c>
      <c r="H90" s="883"/>
      <c r="I90" s="859"/>
    </row>
    <row r="91" spans="1:9" ht="35.1" hidden="1" customHeight="1">
      <c r="A91" s="1432" t="e">
        <f>SUM($G$3:G91)</f>
        <v>#REF!</v>
      </c>
      <c r="B91" s="1433"/>
      <c r="C91" s="1434" t="str">
        <f>'NT-VT'!D94</f>
        <v>m3</v>
      </c>
      <c r="D91" s="1435">
        <f>'NT-VT'!E94</f>
        <v>3.5449999999999999</v>
      </c>
      <c r="E91" s="1432" t="str">
        <f>'NT-VT'!F94</f>
        <v>nt</v>
      </c>
      <c r="F91" s="1432" t="str">
        <f>'NT-VT'!G94</f>
        <v>nt</v>
      </c>
      <c r="G91" s="869">
        <f t="shared" si="1"/>
        <v>1</v>
      </c>
      <c r="H91" s="883"/>
      <c r="I91" s="859"/>
    </row>
    <row r="92" spans="1:9" ht="35.1" hidden="1" customHeight="1">
      <c r="A92" s="1432" t="e">
        <f>SUM($G$3:G92)</f>
        <v>#REF!</v>
      </c>
      <c r="B92" s="1433"/>
      <c r="C92" s="1434" t="str">
        <f>'NT-VT'!D95</f>
        <v>m3</v>
      </c>
      <c r="D92" s="1435">
        <f>'NT-VT'!E95</f>
        <v>6.38</v>
      </c>
      <c r="E92" s="1432" t="str">
        <f>'NT-VT'!F95</f>
        <v>nt</v>
      </c>
      <c r="F92" s="1432" t="str">
        <f>'NT-VT'!G95</f>
        <v>nt</v>
      </c>
      <c r="G92" s="869">
        <f t="shared" si="1"/>
        <v>1</v>
      </c>
      <c r="H92" s="883"/>
      <c r="I92" s="859"/>
    </row>
    <row r="93" spans="1:9" ht="35.1" hidden="1" customHeight="1">
      <c r="A93" s="1432" t="e">
        <f>SUM($G$3:G93)</f>
        <v>#REF!</v>
      </c>
      <c r="B93" s="1433"/>
      <c r="C93" s="1434">
        <f>'NT-VT'!D96</f>
        <v>0</v>
      </c>
      <c r="D93" s="1435">
        <f>'NT-VT'!E96</f>
        <v>0</v>
      </c>
      <c r="E93" s="1432" t="str">
        <f>'NT-VT'!F96</f>
        <v/>
      </c>
      <c r="F93" s="1432" t="str">
        <f>'NT-VT'!G96</f>
        <v/>
      </c>
      <c r="G93" s="869">
        <f t="shared" si="1"/>
        <v>0</v>
      </c>
      <c r="H93" s="883"/>
      <c r="I93" s="859"/>
    </row>
    <row r="94" spans="1:9" ht="35.1" customHeight="1">
      <c r="A94" s="1432" t="e">
        <f>SUM($G$3:G94)</f>
        <v>#REF!</v>
      </c>
      <c r="B94" s="1433" t="s">
        <v>4527</v>
      </c>
      <c r="C94" s="1434"/>
      <c r="D94" s="1435"/>
      <c r="E94" s="1432" t="str">
        <f>'NT-VT'!F97</f>
        <v/>
      </c>
      <c r="F94" s="1432" t="str">
        <f>'NT-VT'!G97</f>
        <v/>
      </c>
      <c r="G94" s="869">
        <v>1</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J297"/>
  <sheetViews>
    <sheetView zoomScaleNormal="100" workbookViewId="0">
      <pane xSplit="2" ySplit="8" topLeftCell="C285" activePane="bottomRight" state="frozen"/>
      <selection pane="topRight" activeCell="C1" sqref="C1"/>
      <selection pane="bottomLeft" activeCell="A8" sqref="A8"/>
      <selection pane="bottomRight" activeCell="H292" sqref="H292"/>
    </sheetView>
  </sheetViews>
  <sheetFormatPr defaultColWidth="7.44140625" defaultRowHeight="15.75"/>
  <cols>
    <col min="1" max="1" width="3.6640625" style="2394" customWidth="1"/>
    <col min="2" max="2" width="41.33203125" style="2394" customWidth="1"/>
    <col min="3" max="3" width="7.33203125" style="2445" customWidth="1"/>
    <col min="4" max="4" width="9.88671875" style="2394" customWidth="1"/>
    <col min="5" max="5" width="8.44140625" style="2394" customWidth="1"/>
    <col min="6" max="6" width="7.88671875" style="2394" customWidth="1"/>
    <col min="7" max="7" width="10.77734375" style="2446" customWidth="1"/>
    <col min="8" max="8" width="14.21875" style="2447" customWidth="1"/>
    <col min="9" max="9" width="15.6640625" style="2412" customWidth="1"/>
    <col min="10" max="10" width="7.44140625" style="2412"/>
    <col min="11" max="256" width="7.44140625" style="2394"/>
    <col min="257" max="257" width="3.6640625" style="2394" customWidth="1"/>
    <col min="258" max="258" width="41.33203125" style="2394" customWidth="1"/>
    <col min="259" max="259" width="7.33203125" style="2394" customWidth="1"/>
    <col min="260" max="260" width="9.88671875" style="2394" customWidth="1"/>
    <col min="261" max="261" width="8.44140625" style="2394" customWidth="1"/>
    <col min="262" max="262" width="7.88671875" style="2394" customWidth="1"/>
    <col min="263" max="263" width="10.77734375" style="2394" customWidth="1"/>
    <col min="264" max="264" width="14.21875" style="2394" customWidth="1"/>
    <col min="265" max="265" width="15.6640625" style="2394" customWidth="1"/>
    <col min="266" max="512" width="7.44140625" style="2394"/>
    <col min="513" max="513" width="3.6640625" style="2394" customWidth="1"/>
    <col min="514" max="514" width="41.33203125" style="2394" customWidth="1"/>
    <col min="515" max="515" width="7.33203125" style="2394" customWidth="1"/>
    <col min="516" max="516" width="9.88671875" style="2394" customWidth="1"/>
    <col min="517" max="517" width="8.44140625" style="2394" customWidth="1"/>
    <col min="518" max="518" width="7.88671875" style="2394" customWidth="1"/>
    <col min="519" max="519" width="10.77734375" style="2394" customWidth="1"/>
    <col min="520" max="520" width="14.21875" style="2394" customWidth="1"/>
    <col min="521" max="521" width="15.6640625" style="2394" customWidth="1"/>
    <col min="522" max="768" width="7.44140625" style="2394"/>
    <col min="769" max="769" width="3.6640625" style="2394" customWidth="1"/>
    <col min="770" max="770" width="41.33203125" style="2394" customWidth="1"/>
    <col min="771" max="771" width="7.33203125" style="2394" customWidth="1"/>
    <col min="772" max="772" width="9.88671875" style="2394" customWidth="1"/>
    <col min="773" max="773" width="8.44140625" style="2394" customWidth="1"/>
    <col min="774" max="774" width="7.88671875" style="2394" customWidth="1"/>
    <col min="775" max="775" width="10.77734375" style="2394" customWidth="1"/>
    <col min="776" max="776" width="14.21875" style="2394" customWidth="1"/>
    <col min="777" max="777" width="15.6640625" style="2394" customWidth="1"/>
    <col min="778" max="1024" width="7.44140625" style="2394"/>
    <col min="1025" max="1025" width="3.6640625" style="2394" customWidth="1"/>
    <col min="1026" max="1026" width="41.33203125" style="2394" customWidth="1"/>
    <col min="1027" max="1027" width="7.33203125" style="2394" customWidth="1"/>
    <col min="1028" max="1028" width="9.88671875" style="2394" customWidth="1"/>
    <col min="1029" max="1029" width="8.44140625" style="2394" customWidth="1"/>
    <col min="1030" max="1030" width="7.88671875" style="2394" customWidth="1"/>
    <col min="1031" max="1031" width="10.77734375" style="2394" customWidth="1"/>
    <col min="1032" max="1032" width="14.21875" style="2394" customWidth="1"/>
    <col min="1033" max="1033" width="15.6640625" style="2394" customWidth="1"/>
    <col min="1034" max="1280" width="7.44140625" style="2394"/>
    <col min="1281" max="1281" width="3.6640625" style="2394" customWidth="1"/>
    <col min="1282" max="1282" width="41.33203125" style="2394" customWidth="1"/>
    <col min="1283" max="1283" width="7.33203125" style="2394" customWidth="1"/>
    <col min="1284" max="1284" width="9.88671875" style="2394" customWidth="1"/>
    <col min="1285" max="1285" width="8.44140625" style="2394" customWidth="1"/>
    <col min="1286" max="1286" width="7.88671875" style="2394" customWidth="1"/>
    <col min="1287" max="1287" width="10.77734375" style="2394" customWidth="1"/>
    <col min="1288" max="1288" width="14.21875" style="2394" customWidth="1"/>
    <col min="1289" max="1289" width="15.6640625" style="2394" customWidth="1"/>
    <col min="1290" max="1536" width="7.44140625" style="2394"/>
    <col min="1537" max="1537" width="3.6640625" style="2394" customWidth="1"/>
    <col min="1538" max="1538" width="41.33203125" style="2394" customWidth="1"/>
    <col min="1539" max="1539" width="7.33203125" style="2394" customWidth="1"/>
    <col min="1540" max="1540" width="9.88671875" style="2394" customWidth="1"/>
    <col min="1541" max="1541" width="8.44140625" style="2394" customWidth="1"/>
    <col min="1542" max="1542" width="7.88671875" style="2394" customWidth="1"/>
    <col min="1543" max="1543" width="10.77734375" style="2394" customWidth="1"/>
    <col min="1544" max="1544" width="14.21875" style="2394" customWidth="1"/>
    <col min="1545" max="1545" width="15.6640625" style="2394" customWidth="1"/>
    <col min="1546" max="1792" width="7.44140625" style="2394"/>
    <col min="1793" max="1793" width="3.6640625" style="2394" customWidth="1"/>
    <col min="1794" max="1794" width="41.33203125" style="2394" customWidth="1"/>
    <col min="1795" max="1795" width="7.33203125" style="2394" customWidth="1"/>
    <col min="1796" max="1796" width="9.88671875" style="2394" customWidth="1"/>
    <col min="1797" max="1797" width="8.44140625" style="2394" customWidth="1"/>
    <col min="1798" max="1798" width="7.88671875" style="2394" customWidth="1"/>
    <col min="1799" max="1799" width="10.77734375" style="2394" customWidth="1"/>
    <col min="1800" max="1800" width="14.21875" style="2394" customWidth="1"/>
    <col min="1801" max="1801" width="15.6640625" style="2394" customWidth="1"/>
    <col min="1802" max="2048" width="7.44140625" style="2394"/>
    <col min="2049" max="2049" width="3.6640625" style="2394" customWidth="1"/>
    <col min="2050" max="2050" width="41.33203125" style="2394" customWidth="1"/>
    <col min="2051" max="2051" width="7.33203125" style="2394" customWidth="1"/>
    <col min="2052" max="2052" width="9.88671875" style="2394" customWidth="1"/>
    <col min="2053" max="2053" width="8.44140625" style="2394" customWidth="1"/>
    <col min="2054" max="2054" width="7.88671875" style="2394" customWidth="1"/>
    <col min="2055" max="2055" width="10.77734375" style="2394" customWidth="1"/>
    <col min="2056" max="2056" width="14.21875" style="2394" customWidth="1"/>
    <col min="2057" max="2057" width="15.6640625" style="2394" customWidth="1"/>
    <col min="2058" max="2304" width="7.44140625" style="2394"/>
    <col min="2305" max="2305" width="3.6640625" style="2394" customWidth="1"/>
    <col min="2306" max="2306" width="41.33203125" style="2394" customWidth="1"/>
    <col min="2307" max="2307" width="7.33203125" style="2394" customWidth="1"/>
    <col min="2308" max="2308" width="9.88671875" style="2394" customWidth="1"/>
    <col min="2309" max="2309" width="8.44140625" style="2394" customWidth="1"/>
    <col min="2310" max="2310" width="7.88671875" style="2394" customWidth="1"/>
    <col min="2311" max="2311" width="10.77734375" style="2394" customWidth="1"/>
    <col min="2312" max="2312" width="14.21875" style="2394" customWidth="1"/>
    <col min="2313" max="2313" width="15.6640625" style="2394" customWidth="1"/>
    <col min="2314" max="2560" width="7.44140625" style="2394"/>
    <col min="2561" max="2561" width="3.6640625" style="2394" customWidth="1"/>
    <col min="2562" max="2562" width="41.33203125" style="2394" customWidth="1"/>
    <col min="2563" max="2563" width="7.33203125" style="2394" customWidth="1"/>
    <col min="2564" max="2564" width="9.88671875" style="2394" customWidth="1"/>
    <col min="2565" max="2565" width="8.44140625" style="2394" customWidth="1"/>
    <col min="2566" max="2566" width="7.88671875" style="2394" customWidth="1"/>
    <col min="2567" max="2567" width="10.77734375" style="2394" customWidth="1"/>
    <col min="2568" max="2568" width="14.21875" style="2394" customWidth="1"/>
    <col min="2569" max="2569" width="15.6640625" style="2394" customWidth="1"/>
    <col min="2570" max="2816" width="7.44140625" style="2394"/>
    <col min="2817" max="2817" width="3.6640625" style="2394" customWidth="1"/>
    <col min="2818" max="2818" width="41.33203125" style="2394" customWidth="1"/>
    <col min="2819" max="2819" width="7.33203125" style="2394" customWidth="1"/>
    <col min="2820" max="2820" width="9.88671875" style="2394" customWidth="1"/>
    <col min="2821" max="2821" width="8.44140625" style="2394" customWidth="1"/>
    <col min="2822" max="2822" width="7.88671875" style="2394" customWidth="1"/>
    <col min="2823" max="2823" width="10.77734375" style="2394" customWidth="1"/>
    <col min="2824" max="2824" width="14.21875" style="2394" customWidth="1"/>
    <col min="2825" max="2825" width="15.6640625" style="2394" customWidth="1"/>
    <col min="2826" max="3072" width="7.44140625" style="2394"/>
    <col min="3073" max="3073" width="3.6640625" style="2394" customWidth="1"/>
    <col min="3074" max="3074" width="41.33203125" style="2394" customWidth="1"/>
    <col min="3075" max="3075" width="7.33203125" style="2394" customWidth="1"/>
    <col min="3076" max="3076" width="9.88671875" style="2394" customWidth="1"/>
    <col min="3077" max="3077" width="8.44140625" style="2394" customWidth="1"/>
    <col min="3078" max="3078" width="7.88671875" style="2394" customWidth="1"/>
    <col min="3079" max="3079" width="10.77734375" style="2394" customWidth="1"/>
    <col min="3080" max="3080" width="14.21875" style="2394" customWidth="1"/>
    <col min="3081" max="3081" width="15.6640625" style="2394" customWidth="1"/>
    <col min="3082" max="3328" width="7.44140625" style="2394"/>
    <col min="3329" max="3329" width="3.6640625" style="2394" customWidth="1"/>
    <col min="3330" max="3330" width="41.33203125" style="2394" customWidth="1"/>
    <col min="3331" max="3331" width="7.33203125" style="2394" customWidth="1"/>
    <col min="3332" max="3332" width="9.88671875" style="2394" customWidth="1"/>
    <col min="3333" max="3333" width="8.44140625" style="2394" customWidth="1"/>
    <col min="3334" max="3334" width="7.88671875" style="2394" customWidth="1"/>
    <col min="3335" max="3335" width="10.77734375" style="2394" customWidth="1"/>
    <col min="3336" max="3336" width="14.21875" style="2394" customWidth="1"/>
    <col min="3337" max="3337" width="15.6640625" style="2394" customWidth="1"/>
    <col min="3338" max="3584" width="7.44140625" style="2394"/>
    <col min="3585" max="3585" width="3.6640625" style="2394" customWidth="1"/>
    <col min="3586" max="3586" width="41.33203125" style="2394" customWidth="1"/>
    <col min="3587" max="3587" width="7.33203125" style="2394" customWidth="1"/>
    <col min="3588" max="3588" width="9.88671875" style="2394" customWidth="1"/>
    <col min="3589" max="3589" width="8.44140625" style="2394" customWidth="1"/>
    <col min="3590" max="3590" width="7.88671875" style="2394" customWidth="1"/>
    <col min="3591" max="3591" width="10.77734375" style="2394" customWidth="1"/>
    <col min="3592" max="3592" width="14.21875" style="2394" customWidth="1"/>
    <col min="3593" max="3593" width="15.6640625" style="2394" customWidth="1"/>
    <col min="3594" max="3840" width="7.44140625" style="2394"/>
    <col min="3841" max="3841" width="3.6640625" style="2394" customWidth="1"/>
    <col min="3842" max="3842" width="41.33203125" style="2394" customWidth="1"/>
    <col min="3843" max="3843" width="7.33203125" style="2394" customWidth="1"/>
    <col min="3844" max="3844" width="9.88671875" style="2394" customWidth="1"/>
    <col min="3845" max="3845" width="8.44140625" style="2394" customWidth="1"/>
    <col min="3846" max="3846" width="7.88671875" style="2394" customWidth="1"/>
    <col min="3847" max="3847" width="10.77734375" style="2394" customWidth="1"/>
    <col min="3848" max="3848" width="14.21875" style="2394" customWidth="1"/>
    <col min="3849" max="3849" width="15.6640625" style="2394" customWidth="1"/>
    <col min="3850" max="4096" width="7.44140625" style="2394"/>
    <col min="4097" max="4097" width="3.6640625" style="2394" customWidth="1"/>
    <col min="4098" max="4098" width="41.33203125" style="2394" customWidth="1"/>
    <col min="4099" max="4099" width="7.33203125" style="2394" customWidth="1"/>
    <col min="4100" max="4100" width="9.88671875" style="2394" customWidth="1"/>
    <col min="4101" max="4101" width="8.44140625" style="2394" customWidth="1"/>
    <col min="4102" max="4102" width="7.88671875" style="2394" customWidth="1"/>
    <col min="4103" max="4103" width="10.77734375" style="2394" customWidth="1"/>
    <col min="4104" max="4104" width="14.21875" style="2394" customWidth="1"/>
    <col min="4105" max="4105" width="15.6640625" style="2394" customWidth="1"/>
    <col min="4106" max="4352" width="7.44140625" style="2394"/>
    <col min="4353" max="4353" width="3.6640625" style="2394" customWidth="1"/>
    <col min="4354" max="4354" width="41.33203125" style="2394" customWidth="1"/>
    <col min="4355" max="4355" width="7.33203125" style="2394" customWidth="1"/>
    <col min="4356" max="4356" width="9.88671875" style="2394" customWidth="1"/>
    <col min="4357" max="4357" width="8.44140625" style="2394" customWidth="1"/>
    <col min="4358" max="4358" width="7.88671875" style="2394" customWidth="1"/>
    <col min="4359" max="4359" width="10.77734375" style="2394" customWidth="1"/>
    <col min="4360" max="4360" width="14.21875" style="2394" customWidth="1"/>
    <col min="4361" max="4361" width="15.6640625" style="2394" customWidth="1"/>
    <col min="4362" max="4608" width="7.44140625" style="2394"/>
    <col min="4609" max="4609" width="3.6640625" style="2394" customWidth="1"/>
    <col min="4610" max="4610" width="41.33203125" style="2394" customWidth="1"/>
    <col min="4611" max="4611" width="7.33203125" style="2394" customWidth="1"/>
    <col min="4612" max="4612" width="9.88671875" style="2394" customWidth="1"/>
    <col min="4613" max="4613" width="8.44140625" style="2394" customWidth="1"/>
    <col min="4614" max="4614" width="7.88671875" style="2394" customWidth="1"/>
    <col min="4615" max="4615" width="10.77734375" style="2394" customWidth="1"/>
    <col min="4616" max="4616" width="14.21875" style="2394" customWidth="1"/>
    <col min="4617" max="4617" width="15.6640625" style="2394" customWidth="1"/>
    <col min="4618" max="4864" width="7.44140625" style="2394"/>
    <col min="4865" max="4865" width="3.6640625" style="2394" customWidth="1"/>
    <col min="4866" max="4866" width="41.33203125" style="2394" customWidth="1"/>
    <col min="4867" max="4867" width="7.33203125" style="2394" customWidth="1"/>
    <col min="4868" max="4868" width="9.88671875" style="2394" customWidth="1"/>
    <col min="4869" max="4869" width="8.44140625" style="2394" customWidth="1"/>
    <col min="4870" max="4870" width="7.88671875" style="2394" customWidth="1"/>
    <col min="4871" max="4871" width="10.77734375" style="2394" customWidth="1"/>
    <col min="4872" max="4872" width="14.21875" style="2394" customWidth="1"/>
    <col min="4873" max="4873" width="15.6640625" style="2394" customWidth="1"/>
    <col min="4874" max="5120" width="7.44140625" style="2394"/>
    <col min="5121" max="5121" width="3.6640625" style="2394" customWidth="1"/>
    <col min="5122" max="5122" width="41.33203125" style="2394" customWidth="1"/>
    <col min="5123" max="5123" width="7.33203125" style="2394" customWidth="1"/>
    <col min="5124" max="5124" width="9.88671875" style="2394" customWidth="1"/>
    <col min="5125" max="5125" width="8.44140625" style="2394" customWidth="1"/>
    <col min="5126" max="5126" width="7.88671875" style="2394" customWidth="1"/>
    <col min="5127" max="5127" width="10.77734375" style="2394" customWidth="1"/>
    <col min="5128" max="5128" width="14.21875" style="2394" customWidth="1"/>
    <col min="5129" max="5129" width="15.6640625" style="2394" customWidth="1"/>
    <col min="5130" max="5376" width="7.44140625" style="2394"/>
    <col min="5377" max="5377" width="3.6640625" style="2394" customWidth="1"/>
    <col min="5378" max="5378" width="41.33203125" style="2394" customWidth="1"/>
    <col min="5379" max="5379" width="7.33203125" style="2394" customWidth="1"/>
    <col min="5380" max="5380" width="9.88671875" style="2394" customWidth="1"/>
    <col min="5381" max="5381" width="8.44140625" style="2394" customWidth="1"/>
    <col min="5382" max="5382" width="7.88671875" style="2394" customWidth="1"/>
    <col min="5383" max="5383" width="10.77734375" style="2394" customWidth="1"/>
    <col min="5384" max="5384" width="14.21875" style="2394" customWidth="1"/>
    <col min="5385" max="5385" width="15.6640625" style="2394" customWidth="1"/>
    <col min="5386" max="5632" width="7.44140625" style="2394"/>
    <col min="5633" max="5633" width="3.6640625" style="2394" customWidth="1"/>
    <col min="5634" max="5634" width="41.33203125" style="2394" customWidth="1"/>
    <col min="5635" max="5635" width="7.33203125" style="2394" customWidth="1"/>
    <col min="5636" max="5636" width="9.88671875" style="2394" customWidth="1"/>
    <col min="5637" max="5637" width="8.44140625" style="2394" customWidth="1"/>
    <col min="5638" max="5638" width="7.88671875" style="2394" customWidth="1"/>
    <col min="5639" max="5639" width="10.77734375" style="2394" customWidth="1"/>
    <col min="5640" max="5640" width="14.21875" style="2394" customWidth="1"/>
    <col min="5641" max="5641" width="15.6640625" style="2394" customWidth="1"/>
    <col min="5642" max="5888" width="7.44140625" style="2394"/>
    <col min="5889" max="5889" width="3.6640625" style="2394" customWidth="1"/>
    <col min="5890" max="5890" width="41.33203125" style="2394" customWidth="1"/>
    <col min="5891" max="5891" width="7.33203125" style="2394" customWidth="1"/>
    <col min="5892" max="5892" width="9.88671875" style="2394" customWidth="1"/>
    <col min="5893" max="5893" width="8.44140625" style="2394" customWidth="1"/>
    <col min="5894" max="5894" width="7.88671875" style="2394" customWidth="1"/>
    <col min="5895" max="5895" width="10.77734375" style="2394" customWidth="1"/>
    <col min="5896" max="5896" width="14.21875" style="2394" customWidth="1"/>
    <col min="5897" max="5897" width="15.6640625" style="2394" customWidth="1"/>
    <col min="5898" max="6144" width="7.44140625" style="2394"/>
    <col min="6145" max="6145" width="3.6640625" style="2394" customWidth="1"/>
    <col min="6146" max="6146" width="41.33203125" style="2394" customWidth="1"/>
    <col min="6147" max="6147" width="7.33203125" style="2394" customWidth="1"/>
    <col min="6148" max="6148" width="9.88671875" style="2394" customWidth="1"/>
    <col min="6149" max="6149" width="8.44140625" style="2394" customWidth="1"/>
    <col min="6150" max="6150" width="7.88671875" style="2394" customWidth="1"/>
    <col min="6151" max="6151" width="10.77734375" style="2394" customWidth="1"/>
    <col min="6152" max="6152" width="14.21875" style="2394" customWidth="1"/>
    <col min="6153" max="6153" width="15.6640625" style="2394" customWidth="1"/>
    <col min="6154" max="6400" width="7.44140625" style="2394"/>
    <col min="6401" max="6401" width="3.6640625" style="2394" customWidth="1"/>
    <col min="6402" max="6402" width="41.33203125" style="2394" customWidth="1"/>
    <col min="6403" max="6403" width="7.33203125" style="2394" customWidth="1"/>
    <col min="6404" max="6404" width="9.88671875" style="2394" customWidth="1"/>
    <col min="6405" max="6405" width="8.44140625" style="2394" customWidth="1"/>
    <col min="6406" max="6406" width="7.88671875" style="2394" customWidth="1"/>
    <col min="6407" max="6407" width="10.77734375" style="2394" customWidth="1"/>
    <col min="6408" max="6408" width="14.21875" style="2394" customWidth="1"/>
    <col min="6409" max="6409" width="15.6640625" style="2394" customWidth="1"/>
    <col min="6410" max="6656" width="7.44140625" style="2394"/>
    <col min="6657" max="6657" width="3.6640625" style="2394" customWidth="1"/>
    <col min="6658" max="6658" width="41.33203125" style="2394" customWidth="1"/>
    <col min="6659" max="6659" width="7.33203125" style="2394" customWidth="1"/>
    <col min="6660" max="6660" width="9.88671875" style="2394" customWidth="1"/>
    <col min="6661" max="6661" width="8.44140625" style="2394" customWidth="1"/>
    <col min="6662" max="6662" width="7.88671875" style="2394" customWidth="1"/>
    <col min="6663" max="6663" width="10.77734375" style="2394" customWidth="1"/>
    <col min="6664" max="6664" width="14.21875" style="2394" customWidth="1"/>
    <col min="6665" max="6665" width="15.6640625" style="2394" customWidth="1"/>
    <col min="6666" max="6912" width="7.44140625" style="2394"/>
    <col min="6913" max="6913" width="3.6640625" style="2394" customWidth="1"/>
    <col min="6914" max="6914" width="41.33203125" style="2394" customWidth="1"/>
    <col min="6915" max="6915" width="7.33203125" style="2394" customWidth="1"/>
    <col min="6916" max="6916" width="9.88671875" style="2394" customWidth="1"/>
    <col min="6917" max="6917" width="8.44140625" style="2394" customWidth="1"/>
    <col min="6918" max="6918" width="7.88671875" style="2394" customWidth="1"/>
    <col min="6919" max="6919" width="10.77734375" style="2394" customWidth="1"/>
    <col min="6920" max="6920" width="14.21875" style="2394" customWidth="1"/>
    <col min="6921" max="6921" width="15.6640625" style="2394" customWidth="1"/>
    <col min="6922" max="7168" width="7.44140625" style="2394"/>
    <col min="7169" max="7169" width="3.6640625" style="2394" customWidth="1"/>
    <col min="7170" max="7170" width="41.33203125" style="2394" customWidth="1"/>
    <col min="7171" max="7171" width="7.33203125" style="2394" customWidth="1"/>
    <col min="7172" max="7172" width="9.88671875" style="2394" customWidth="1"/>
    <col min="7173" max="7173" width="8.44140625" style="2394" customWidth="1"/>
    <col min="7174" max="7174" width="7.88671875" style="2394" customWidth="1"/>
    <col min="7175" max="7175" width="10.77734375" style="2394" customWidth="1"/>
    <col min="7176" max="7176" width="14.21875" style="2394" customWidth="1"/>
    <col min="7177" max="7177" width="15.6640625" style="2394" customWidth="1"/>
    <col min="7178" max="7424" width="7.44140625" style="2394"/>
    <col min="7425" max="7425" width="3.6640625" style="2394" customWidth="1"/>
    <col min="7426" max="7426" width="41.33203125" style="2394" customWidth="1"/>
    <col min="7427" max="7427" width="7.33203125" style="2394" customWidth="1"/>
    <col min="7428" max="7428" width="9.88671875" style="2394" customWidth="1"/>
    <col min="7429" max="7429" width="8.44140625" style="2394" customWidth="1"/>
    <col min="7430" max="7430" width="7.88671875" style="2394" customWidth="1"/>
    <col min="7431" max="7431" width="10.77734375" style="2394" customWidth="1"/>
    <col min="7432" max="7432" width="14.21875" style="2394" customWidth="1"/>
    <col min="7433" max="7433" width="15.6640625" style="2394" customWidth="1"/>
    <col min="7434" max="7680" width="7.44140625" style="2394"/>
    <col min="7681" max="7681" width="3.6640625" style="2394" customWidth="1"/>
    <col min="7682" max="7682" width="41.33203125" style="2394" customWidth="1"/>
    <col min="7683" max="7683" width="7.33203125" style="2394" customWidth="1"/>
    <col min="7684" max="7684" width="9.88671875" style="2394" customWidth="1"/>
    <col min="7685" max="7685" width="8.44140625" style="2394" customWidth="1"/>
    <col min="7686" max="7686" width="7.88671875" style="2394" customWidth="1"/>
    <col min="7687" max="7687" width="10.77734375" style="2394" customWidth="1"/>
    <col min="7688" max="7688" width="14.21875" style="2394" customWidth="1"/>
    <col min="7689" max="7689" width="15.6640625" style="2394" customWidth="1"/>
    <col min="7690" max="7936" width="7.44140625" style="2394"/>
    <col min="7937" max="7937" width="3.6640625" style="2394" customWidth="1"/>
    <col min="7938" max="7938" width="41.33203125" style="2394" customWidth="1"/>
    <col min="7939" max="7939" width="7.33203125" style="2394" customWidth="1"/>
    <col min="7940" max="7940" width="9.88671875" style="2394" customWidth="1"/>
    <col min="7941" max="7941" width="8.44140625" style="2394" customWidth="1"/>
    <col min="7942" max="7942" width="7.88671875" style="2394" customWidth="1"/>
    <col min="7943" max="7943" width="10.77734375" style="2394" customWidth="1"/>
    <col min="7944" max="7944" width="14.21875" style="2394" customWidth="1"/>
    <col min="7945" max="7945" width="15.6640625" style="2394" customWidth="1"/>
    <col min="7946" max="8192" width="7.44140625" style="2394"/>
    <col min="8193" max="8193" width="3.6640625" style="2394" customWidth="1"/>
    <col min="8194" max="8194" width="41.33203125" style="2394" customWidth="1"/>
    <col min="8195" max="8195" width="7.33203125" style="2394" customWidth="1"/>
    <col min="8196" max="8196" width="9.88671875" style="2394" customWidth="1"/>
    <col min="8197" max="8197" width="8.44140625" style="2394" customWidth="1"/>
    <col min="8198" max="8198" width="7.88671875" style="2394" customWidth="1"/>
    <col min="8199" max="8199" width="10.77734375" style="2394" customWidth="1"/>
    <col min="8200" max="8200" width="14.21875" style="2394" customWidth="1"/>
    <col min="8201" max="8201" width="15.6640625" style="2394" customWidth="1"/>
    <col min="8202" max="8448" width="7.44140625" style="2394"/>
    <col min="8449" max="8449" width="3.6640625" style="2394" customWidth="1"/>
    <col min="8450" max="8450" width="41.33203125" style="2394" customWidth="1"/>
    <col min="8451" max="8451" width="7.33203125" style="2394" customWidth="1"/>
    <col min="8452" max="8452" width="9.88671875" style="2394" customWidth="1"/>
    <col min="8453" max="8453" width="8.44140625" style="2394" customWidth="1"/>
    <col min="8454" max="8454" width="7.88671875" style="2394" customWidth="1"/>
    <col min="8455" max="8455" width="10.77734375" style="2394" customWidth="1"/>
    <col min="8456" max="8456" width="14.21875" style="2394" customWidth="1"/>
    <col min="8457" max="8457" width="15.6640625" style="2394" customWidth="1"/>
    <col min="8458" max="8704" width="7.44140625" style="2394"/>
    <col min="8705" max="8705" width="3.6640625" style="2394" customWidth="1"/>
    <col min="8706" max="8706" width="41.33203125" style="2394" customWidth="1"/>
    <col min="8707" max="8707" width="7.33203125" style="2394" customWidth="1"/>
    <col min="8708" max="8708" width="9.88671875" style="2394" customWidth="1"/>
    <col min="8709" max="8709" width="8.44140625" style="2394" customWidth="1"/>
    <col min="8710" max="8710" width="7.88671875" style="2394" customWidth="1"/>
    <col min="8711" max="8711" width="10.77734375" style="2394" customWidth="1"/>
    <col min="8712" max="8712" width="14.21875" style="2394" customWidth="1"/>
    <col min="8713" max="8713" width="15.6640625" style="2394" customWidth="1"/>
    <col min="8714" max="8960" width="7.44140625" style="2394"/>
    <col min="8961" max="8961" width="3.6640625" style="2394" customWidth="1"/>
    <col min="8962" max="8962" width="41.33203125" style="2394" customWidth="1"/>
    <col min="8963" max="8963" width="7.33203125" style="2394" customWidth="1"/>
    <col min="8964" max="8964" width="9.88671875" style="2394" customWidth="1"/>
    <col min="8965" max="8965" width="8.44140625" style="2394" customWidth="1"/>
    <col min="8966" max="8966" width="7.88671875" style="2394" customWidth="1"/>
    <col min="8967" max="8967" width="10.77734375" style="2394" customWidth="1"/>
    <col min="8968" max="8968" width="14.21875" style="2394" customWidth="1"/>
    <col min="8969" max="8969" width="15.6640625" style="2394" customWidth="1"/>
    <col min="8970" max="9216" width="7.44140625" style="2394"/>
    <col min="9217" max="9217" width="3.6640625" style="2394" customWidth="1"/>
    <col min="9218" max="9218" width="41.33203125" style="2394" customWidth="1"/>
    <col min="9219" max="9219" width="7.33203125" style="2394" customWidth="1"/>
    <col min="9220" max="9220" width="9.88671875" style="2394" customWidth="1"/>
    <col min="9221" max="9221" width="8.44140625" style="2394" customWidth="1"/>
    <col min="9222" max="9222" width="7.88671875" style="2394" customWidth="1"/>
    <col min="9223" max="9223" width="10.77734375" style="2394" customWidth="1"/>
    <col min="9224" max="9224" width="14.21875" style="2394" customWidth="1"/>
    <col min="9225" max="9225" width="15.6640625" style="2394" customWidth="1"/>
    <col min="9226" max="9472" width="7.44140625" style="2394"/>
    <col min="9473" max="9473" width="3.6640625" style="2394" customWidth="1"/>
    <col min="9474" max="9474" width="41.33203125" style="2394" customWidth="1"/>
    <col min="9475" max="9475" width="7.33203125" style="2394" customWidth="1"/>
    <col min="9476" max="9476" width="9.88671875" style="2394" customWidth="1"/>
    <col min="9477" max="9477" width="8.44140625" style="2394" customWidth="1"/>
    <col min="9478" max="9478" width="7.88671875" style="2394" customWidth="1"/>
    <col min="9479" max="9479" width="10.77734375" style="2394" customWidth="1"/>
    <col min="9480" max="9480" width="14.21875" style="2394" customWidth="1"/>
    <col min="9481" max="9481" width="15.6640625" style="2394" customWidth="1"/>
    <col min="9482" max="9728" width="7.44140625" style="2394"/>
    <col min="9729" max="9729" width="3.6640625" style="2394" customWidth="1"/>
    <col min="9730" max="9730" width="41.33203125" style="2394" customWidth="1"/>
    <col min="9731" max="9731" width="7.33203125" style="2394" customWidth="1"/>
    <col min="9732" max="9732" width="9.88671875" style="2394" customWidth="1"/>
    <col min="9733" max="9733" width="8.44140625" style="2394" customWidth="1"/>
    <col min="9734" max="9734" width="7.88671875" style="2394" customWidth="1"/>
    <col min="9735" max="9735" width="10.77734375" style="2394" customWidth="1"/>
    <col min="9736" max="9736" width="14.21875" style="2394" customWidth="1"/>
    <col min="9737" max="9737" width="15.6640625" style="2394" customWidth="1"/>
    <col min="9738" max="9984" width="7.44140625" style="2394"/>
    <col min="9985" max="9985" width="3.6640625" style="2394" customWidth="1"/>
    <col min="9986" max="9986" width="41.33203125" style="2394" customWidth="1"/>
    <col min="9987" max="9987" width="7.33203125" style="2394" customWidth="1"/>
    <col min="9988" max="9988" width="9.88671875" style="2394" customWidth="1"/>
    <col min="9989" max="9989" width="8.44140625" style="2394" customWidth="1"/>
    <col min="9990" max="9990" width="7.88671875" style="2394" customWidth="1"/>
    <col min="9991" max="9991" width="10.77734375" style="2394" customWidth="1"/>
    <col min="9992" max="9992" width="14.21875" style="2394" customWidth="1"/>
    <col min="9993" max="9993" width="15.6640625" style="2394" customWidth="1"/>
    <col min="9994" max="10240" width="7.44140625" style="2394"/>
    <col min="10241" max="10241" width="3.6640625" style="2394" customWidth="1"/>
    <col min="10242" max="10242" width="41.33203125" style="2394" customWidth="1"/>
    <col min="10243" max="10243" width="7.33203125" style="2394" customWidth="1"/>
    <col min="10244" max="10244" width="9.88671875" style="2394" customWidth="1"/>
    <col min="10245" max="10245" width="8.44140625" style="2394" customWidth="1"/>
    <col min="10246" max="10246" width="7.88671875" style="2394" customWidth="1"/>
    <col min="10247" max="10247" width="10.77734375" style="2394" customWidth="1"/>
    <col min="10248" max="10248" width="14.21875" style="2394" customWidth="1"/>
    <col min="10249" max="10249" width="15.6640625" style="2394" customWidth="1"/>
    <col min="10250" max="10496" width="7.44140625" style="2394"/>
    <col min="10497" max="10497" width="3.6640625" style="2394" customWidth="1"/>
    <col min="10498" max="10498" width="41.33203125" style="2394" customWidth="1"/>
    <col min="10499" max="10499" width="7.33203125" style="2394" customWidth="1"/>
    <col min="10500" max="10500" width="9.88671875" style="2394" customWidth="1"/>
    <col min="10501" max="10501" width="8.44140625" style="2394" customWidth="1"/>
    <col min="10502" max="10502" width="7.88671875" style="2394" customWidth="1"/>
    <col min="10503" max="10503" width="10.77734375" style="2394" customWidth="1"/>
    <col min="10504" max="10504" width="14.21875" style="2394" customWidth="1"/>
    <col min="10505" max="10505" width="15.6640625" style="2394" customWidth="1"/>
    <col min="10506" max="10752" width="7.44140625" style="2394"/>
    <col min="10753" max="10753" width="3.6640625" style="2394" customWidth="1"/>
    <col min="10754" max="10754" width="41.33203125" style="2394" customWidth="1"/>
    <col min="10755" max="10755" width="7.33203125" style="2394" customWidth="1"/>
    <col min="10756" max="10756" width="9.88671875" style="2394" customWidth="1"/>
    <col min="10757" max="10757" width="8.44140625" style="2394" customWidth="1"/>
    <col min="10758" max="10758" width="7.88671875" style="2394" customWidth="1"/>
    <col min="10759" max="10759" width="10.77734375" style="2394" customWidth="1"/>
    <col min="10760" max="10760" width="14.21875" style="2394" customWidth="1"/>
    <col min="10761" max="10761" width="15.6640625" style="2394" customWidth="1"/>
    <col min="10762" max="11008" width="7.44140625" style="2394"/>
    <col min="11009" max="11009" width="3.6640625" style="2394" customWidth="1"/>
    <col min="11010" max="11010" width="41.33203125" style="2394" customWidth="1"/>
    <col min="11011" max="11011" width="7.33203125" style="2394" customWidth="1"/>
    <col min="11012" max="11012" width="9.88671875" style="2394" customWidth="1"/>
    <col min="11013" max="11013" width="8.44140625" style="2394" customWidth="1"/>
    <col min="11014" max="11014" width="7.88671875" style="2394" customWidth="1"/>
    <col min="11015" max="11015" width="10.77734375" style="2394" customWidth="1"/>
    <col min="11016" max="11016" width="14.21875" style="2394" customWidth="1"/>
    <col min="11017" max="11017" width="15.6640625" style="2394" customWidth="1"/>
    <col min="11018" max="11264" width="7.44140625" style="2394"/>
    <col min="11265" max="11265" width="3.6640625" style="2394" customWidth="1"/>
    <col min="11266" max="11266" width="41.33203125" style="2394" customWidth="1"/>
    <col min="11267" max="11267" width="7.33203125" style="2394" customWidth="1"/>
    <col min="11268" max="11268" width="9.88671875" style="2394" customWidth="1"/>
    <col min="11269" max="11269" width="8.44140625" style="2394" customWidth="1"/>
    <col min="11270" max="11270" width="7.88671875" style="2394" customWidth="1"/>
    <col min="11271" max="11271" width="10.77734375" style="2394" customWidth="1"/>
    <col min="11272" max="11272" width="14.21875" style="2394" customWidth="1"/>
    <col min="11273" max="11273" width="15.6640625" style="2394" customWidth="1"/>
    <col min="11274" max="11520" width="7.44140625" style="2394"/>
    <col min="11521" max="11521" width="3.6640625" style="2394" customWidth="1"/>
    <col min="11522" max="11522" width="41.33203125" style="2394" customWidth="1"/>
    <col min="11523" max="11523" width="7.33203125" style="2394" customWidth="1"/>
    <col min="11524" max="11524" width="9.88671875" style="2394" customWidth="1"/>
    <col min="11525" max="11525" width="8.44140625" style="2394" customWidth="1"/>
    <col min="11526" max="11526" width="7.88671875" style="2394" customWidth="1"/>
    <col min="11527" max="11527" width="10.77734375" style="2394" customWidth="1"/>
    <col min="11528" max="11528" width="14.21875" style="2394" customWidth="1"/>
    <col min="11529" max="11529" width="15.6640625" style="2394" customWidth="1"/>
    <col min="11530" max="11776" width="7.44140625" style="2394"/>
    <col min="11777" max="11777" width="3.6640625" style="2394" customWidth="1"/>
    <col min="11778" max="11778" width="41.33203125" style="2394" customWidth="1"/>
    <col min="11779" max="11779" width="7.33203125" style="2394" customWidth="1"/>
    <col min="11780" max="11780" width="9.88671875" style="2394" customWidth="1"/>
    <col min="11781" max="11781" width="8.44140625" style="2394" customWidth="1"/>
    <col min="11782" max="11782" width="7.88671875" style="2394" customWidth="1"/>
    <col min="11783" max="11783" width="10.77734375" style="2394" customWidth="1"/>
    <col min="11784" max="11784" width="14.21875" style="2394" customWidth="1"/>
    <col min="11785" max="11785" width="15.6640625" style="2394" customWidth="1"/>
    <col min="11786" max="12032" width="7.44140625" style="2394"/>
    <col min="12033" max="12033" width="3.6640625" style="2394" customWidth="1"/>
    <col min="12034" max="12034" width="41.33203125" style="2394" customWidth="1"/>
    <col min="12035" max="12035" width="7.33203125" style="2394" customWidth="1"/>
    <col min="12036" max="12036" width="9.88671875" style="2394" customWidth="1"/>
    <col min="12037" max="12037" width="8.44140625" style="2394" customWidth="1"/>
    <col min="12038" max="12038" width="7.88671875" style="2394" customWidth="1"/>
    <col min="12039" max="12039" width="10.77734375" style="2394" customWidth="1"/>
    <col min="12040" max="12040" width="14.21875" style="2394" customWidth="1"/>
    <col min="12041" max="12041" width="15.6640625" style="2394" customWidth="1"/>
    <col min="12042" max="12288" width="7.44140625" style="2394"/>
    <col min="12289" max="12289" width="3.6640625" style="2394" customWidth="1"/>
    <col min="12290" max="12290" width="41.33203125" style="2394" customWidth="1"/>
    <col min="12291" max="12291" width="7.33203125" style="2394" customWidth="1"/>
    <col min="12292" max="12292" width="9.88671875" style="2394" customWidth="1"/>
    <col min="12293" max="12293" width="8.44140625" style="2394" customWidth="1"/>
    <col min="12294" max="12294" width="7.88671875" style="2394" customWidth="1"/>
    <col min="12295" max="12295" width="10.77734375" style="2394" customWidth="1"/>
    <col min="12296" max="12296" width="14.21875" style="2394" customWidth="1"/>
    <col min="12297" max="12297" width="15.6640625" style="2394" customWidth="1"/>
    <col min="12298" max="12544" width="7.44140625" style="2394"/>
    <col min="12545" max="12545" width="3.6640625" style="2394" customWidth="1"/>
    <col min="12546" max="12546" width="41.33203125" style="2394" customWidth="1"/>
    <col min="12547" max="12547" width="7.33203125" style="2394" customWidth="1"/>
    <col min="12548" max="12548" width="9.88671875" style="2394" customWidth="1"/>
    <col min="12549" max="12549" width="8.44140625" style="2394" customWidth="1"/>
    <col min="12550" max="12550" width="7.88671875" style="2394" customWidth="1"/>
    <col min="12551" max="12551" width="10.77734375" style="2394" customWidth="1"/>
    <col min="12552" max="12552" width="14.21875" style="2394" customWidth="1"/>
    <col min="12553" max="12553" width="15.6640625" style="2394" customWidth="1"/>
    <col min="12554" max="12800" width="7.44140625" style="2394"/>
    <col min="12801" max="12801" width="3.6640625" style="2394" customWidth="1"/>
    <col min="12802" max="12802" width="41.33203125" style="2394" customWidth="1"/>
    <col min="12803" max="12803" width="7.33203125" style="2394" customWidth="1"/>
    <col min="12804" max="12804" width="9.88671875" style="2394" customWidth="1"/>
    <col min="12805" max="12805" width="8.44140625" style="2394" customWidth="1"/>
    <col min="12806" max="12806" width="7.88671875" style="2394" customWidth="1"/>
    <col min="12807" max="12807" width="10.77734375" style="2394" customWidth="1"/>
    <col min="12808" max="12808" width="14.21875" style="2394" customWidth="1"/>
    <col min="12809" max="12809" width="15.6640625" style="2394" customWidth="1"/>
    <col min="12810" max="13056" width="7.44140625" style="2394"/>
    <col min="13057" max="13057" width="3.6640625" style="2394" customWidth="1"/>
    <col min="13058" max="13058" width="41.33203125" style="2394" customWidth="1"/>
    <col min="13059" max="13059" width="7.33203125" style="2394" customWidth="1"/>
    <col min="13060" max="13060" width="9.88671875" style="2394" customWidth="1"/>
    <col min="13061" max="13061" width="8.44140625" style="2394" customWidth="1"/>
    <col min="13062" max="13062" width="7.88671875" style="2394" customWidth="1"/>
    <col min="13063" max="13063" width="10.77734375" style="2394" customWidth="1"/>
    <col min="13064" max="13064" width="14.21875" style="2394" customWidth="1"/>
    <col min="13065" max="13065" width="15.6640625" style="2394" customWidth="1"/>
    <col min="13066" max="13312" width="7.44140625" style="2394"/>
    <col min="13313" max="13313" width="3.6640625" style="2394" customWidth="1"/>
    <col min="13314" max="13314" width="41.33203125" style="2394" customWidth="1"/>
    <col min="13315" max="13315" width="7.33203125" style="2394" customWidth="1"/>
    <col min="13316" max="13316" width="9.88671875" style="2394" customWidth="1"/>
    <col min="13317" max="13317" width="8.44140625" style="2394" customWidth="1"/>
    <col min="13318" max="13318" width="7.88671875" style="2394" customWidth="1"/>
    <col min="13319" max="13319" width="10.77734375" style="2394" customWidth="1"/>
    <col min="13320" max="13320" width="14.21875" style="2394" customWidth="1"/>
    <col min="13321" max="13321" width="15.6640625" style="2394" customWidth="1"/>
    <col min="13322" max="13568" width="7.44140625" style="2394"/>
    <col min="13569" max="13569" width="3.6640625" style="2394" customWidth="1"/>
    <col min="13570" max="13570" width="41.33203125" style="2394" customWidth="1"/>
    <col min="13571" max="13571" width="7.33203125" style="2394" customWidth="1"/>
    <col min="13572" max="13572" width="9.88671875" style="2394" customWidth="1"/>
    <col min="13573" max="13573" width="8.44140625" style="2394" customWidth="1"/>
    <col min="13574" max="13574" width="7.88671875" style="2394" customWidth="1"/>
    <col min="13575" max="13575" width="10.77734375" style="2394" customWidth="1"/>
    <col min="13576" max="13576" width="14.21875" style="2394" customWidth="1"/>
    <col min="13577" max="13577" width="15.6640625" style="2394" customWidth="1"/>
    <col min="13578" max="13824" width="7.44140625" style="2394"/>
    <col min="13825" max="13825" width="3.6640625" style="2394" customWidth="1"/>
    <col min="13826" max="13826" width="41.33203125" style="2394" customWidth="1"/>
    <col min="13827" max="13827" width="7.33203125" style="2394" customWidth="1"/>
    <col min="13828" max="13828" width="9.88671875" style="2394" customWidth="1"/>
    <col min="13829" max="13829" width="8.44140625" style="2394" customWidth="1"/>
    <col min="13830" max="13830" width="7.88671875" style="2394" customWidth="1"/>
    <col min="13831" max="13831" width="10.77734375" style="2394" customWidth="1"/>
    <col min="13832" max="13832" width="14.21875" style="2394" customWidth="1"/>
    <col min="13833" max="13833" width="15.6640625" style="2394" customWidth="1"/>
    <col min="13834" max="14080" width="7.44140625" style="2394"/>
    <col min="14081" max="14081" width="3.6640625" style="2394" customWidth="1"/>
    <col min="14082" max="14082" width="41.33203125" style="2394" customWidth="1"/>
    <col min="14083" max="14083" width="7.33203125" style="2394" customWidth="1"/>
    <col min="14084" max="14084" width="9.88671875" style="2394" customWidth="1"/>
    <col min="14085" max="14085" width="8.44140625" style="2394" customWidth="1"/>
    <col min="14086" max="14086" width="7.88671875" style="2394" customWidth="1"/>
    <col min="14087" max="14087" width="10.77734375" style="2394" customWidth="1"/>
    <col min="14088" max="14088" width="14.21875" style="2394" customWidth="1"/>
    <col min="14089" max="14089" width="15.6640625" style="2394" customWidth="1"/>
    <col min="14090" max="14336" width="7.44140625" style="2394"/>
    <col min="14337" max="14337" width="3.6640625" style="2394" customWidth="1"/>
    <col min="14338" max="14338" width="41.33203125" style="2394" customWidth="1"/>
    <col min="14339" max="14339" width="7.33203125" style="2394" customWidth="1"/>
    <col min="14340" max="14340" width="9.88671875" style="2394" customWidth="1"/>
    <col min="14341" max="14341" width="8.44140625" style="2394" customWidth="1"/>
    <col min="14342" max="14342" width="7.88671875" style="2394" customWidth="1"/>
    <col min="14343" max="14343" width="10.77734375" style="2394" customWidth="1"/>
    <col min="14344" max="14344" width="14.21875" style="2394" customWidth="1"/>
    <col min="14345" max="14345" width="15.6640625" style="2394" customWidth="1"/>
    <col min="14346" max="14592" width="7.44140625" style="2394"/>
    <col min="14593" max="14593" width="3.6640625" style="2394" customWidth="1"/>
    <col min="14594" max="14594" width="41.33203125" style="2394" customWidth="1"/>
    <col min="14595" max="14595" width="7.33203125" style="2394" customWidth="1"/>
    <col min="14596" max="14596" width="9.88671875" style="2394" customWidth="1"/>
    <col min="14597" max="14597" width="8.44140625" style="2394" customWidth="1"/>
    <col min="14598" max="14598" width="7.88671875" style="2394" customWidth="1"/>
    <col min="14599" max="14599" width="10.77734375" style="2394" customWidth="1"/>
    <col min="14600" max="14600" width="14.21875" style="2394" customWidth="1"/>
    <col min="14601" max="14601" width="15.6640625" style="2394" customWidth="1"/>
    <col min="14602" max="14848" width="7.44140625" style="2394"/>
    <col min="14849" max="14849" width="3.6640625" style="2394" customWidth="1"/>
    <col min="14850" max="14850" width="41.33203125" style="2394" customWidth="1"/>
    <col min="14851" max="14851" width="7.33203125" style="2394" customWidth="1"/>
    <col min="14852" max="14852" width="9.88671875" style="2394" customWidth="1"/>
    <col min="14853" max="14853" width="8.44140625" style="2394" customWidth="1"/>
    <col min="14854" max="14854" width="7.88671875" style="2394" customWidth="1"/>
    <col min="14855" max="14855" width="10.77734375" style="2394" customWidth="1"/>
    <col min="14856" max="14856" width="14.21875" style="2394" customWidth="1"/>
    <col min="14857" max="14857" width="15.6640625" style="2394" customWidth="1"/>
    <col min="14858" max="15104" width="7.44140625" style="2394"/>
    <col min="15105" max="15105" width="3.6640625" style="2394" customWidth="1"/>
    <col min="15106" max="15106" width="41.33203125" style="2394" customWidth="1"/>
    <col min="15107" max="15107" width="7.33203125" style="2394" customWidth="1"/>
    <col min="15108" max="15108" width="9.88671875" style="2394" customWidth="1"/>
    <col min="15109" max="15109" width="8.44140625" style="2394" customWidth="1"/>
    <col min="15110" max="15110" width="7.88671875" style="2394" customWidth="1"/>
    <col min="15111" max="15111" width="10.77734375" style="2394" customWidth="1"/>
    <col min="15112" max="15112" width="14.21875" style="2394" customWidth="1"/>
    <col min="15113" max="15113" width="15.6640625" style="2394" customWidth="1"/>
    <col min="15114" max="15360" width="7.44140625" style="2394"/>
    <col min="15361" max="15361" width="3.6640625" style="2394" customWidth="1"/>
    <col min="15362" max="15362" width="41.33203125" style="2394" customWidth="1"/>
    <col min="15363" max="15363" width="7.33203125" style="2394" customWidth="1"/>
    <col min="15364" max="15364" width="9.88671875" style="2394" customWidth="1"/>
    <col min="15365" max="15365" width="8.44140625" style="2394" customWidth="1"/>
    <col min="15366" max="15366" width="7.88671875" style="2394" customWidth="1"/>
    <col min="15367" max="15367" width="10.77734375" style="2394" customWidth="1"/>
    <col min="15368" max="15368" width="14.21875" style="2394" customWidth="1"/>
    <col min="15369" max="15369" width="15.6640625" style="2394" customWidth="1"/>
    <col min="15370" max="15616" width="7.44140625" style="2394"/>
    <col min="15617" max="15617" width="3.6640625" style="2394" customWidth="1"/>
    <col min="15618" max="15618" width="41.33203125" style="2394" customWidth="1"/>
    <col min="15619" max="15619" width="7.33203125" style="2394" customWidth="1"/>
    <col min="15620" max="15620" width="9.88671875" style="2394" customWidth="1"/>
    <col min="15621" max="15621" width="8.44140625" style="2394" customWidth="1"/>
    <col min="15622" max="15622" width="7.88671875" style="2394" customWidth="1"/>
    <col min="15623" max="15623" width="10.77734375" style="2394" customWidth="1"/>
    <col min="15624" max="15624" width="14.21875" style="2394" customWidth="1"/>
    <col min="15625" max="15625" width="15.6640625" style="2394" customWidth="1"/>
    <col min="15626" max="15872" width="7.44140625" style="2394"/>
    <col min="15873" max="15873" width="3.6640625" style="2394" customWidth="1"/>
    <col min="15874" max="15874" width="41.33203125" style="2394" customWidth="1"/>
    <col min="15875" max="15875" width="7.33203125" style="2394" customWidth="1"/>
    <col min="15876" max="15876" width="9.88671875" style="2394" customWidth="1"/>
    <col min="15877" max="15877" width="8.44140625" style="2394" customWidth="1"/>
    <col min="15878" max="15878" width="7.88671875" style="2394" customWidth="1"/>
    <col min="15879" max="15879" width="10.77734375" style="2394" customWidth="1"/>
    <col min="15880" max="15880" width="14.21875" style="2394" customWidth="1"/>
    <col min="15881" max="15881" width="15.6640625" style="2394" customWidth="1"/>
    <col min="15882" max="16128" width="7.44140625" style="2394"/>
    <col min="16129" max="16129" width="3.6640625" style="2394" customWidth="1"/>
    <col min="16130" max="16130" width="41.33203125" style="2394" customWidth="1"/>
    <col min="16131" max="16131" width="7.33203125" style="2394" customWidth="1"/>
    <col min="16132" max="16132" width="9.88671875" style="2394" customWidth="1"/>
    <col min="16133" max="16133" width="8.44140625" style="2394" customWidth="1"/>
    <col min="16134" max="16134" width="7.88671875" style="2394" customWidth="1"/>
    <col min="16135" max="16135" width="10.77734375" style="2394" customWidth="1"/>
    <col min="16136" max="16136" width="14.21875" style="2394" customWidth="1"/>
    <col min="16137" max="16137" width="15.6640625" style="2394" customWidth="1"/>
    <col min="16138" max="16384" width="7.44140625" style="2394"/>
  </cols>
  <sheetData>
    <row r="1" spans="1:10" ht="27" customHeight="1">
      <c r="A1" s="2725" t="s">
        <v>5122</v>
      </c>
      <c r="B1" s="2725"/>
      <c r="C1" s="2725"/>
      <c r="D1" s="2725"/>
      <c r="E1" s="2725"/>
      <c r="F1" s="2725"/>
      <c r="G1" s="2725"/>
      <c r="H1" s="2725"/>
    </row>
    <row r="2" spans="1:10" ht="15" customHeight="1">
      <c r="A2" s="2725" t="s">
        <v>5123</v>
      </c>
      <c r="B2" s="2725"/>
      <c r="C2" s="2725"/>
      <c r="D2" s="2725"/>
      <c r="E2" s="2725"/>
      <c r="F2" s="2725"/>
      <c r="G2" s="2725"/>
      <c r="H2" s="2725"/>
    </row>
    <row r="3" spans="1:10">
      <c r="A3" s="2725" t="s">
        <v>4908</v>
      </c>
      <c r="B3" s="2725"/>
      <c r="C3" s="2725"/>
      <c r="D3" s="2725"/>
      <c r="E3" s="2725"/>
      <c r="F3" s="2725"/>
      <c r="G3" s="2725"/>
      <c r="H3" s="2725"/>
    </row>
    <row r="4" spans="1:10">
      <c r="A4" s="2725" t="s">
        <v>4909</v>
      </c>
      <c r="B4" s="2725"/>
      <c r="C4" s="2725"/>
      <c r="D4" s="2725"/>
      <c r="E4" s="2725"/>
      <c r="F4" s="2725"/>
      <c r="G4" s="2725"/>
      <c r="H4" s="2725"/>
    </row>
    <row r="5" spans="1:10">
      <c r="A5" s="2725" t="s">
        <v>5124</v>
      </c>
      <c r="B5" s="2725"/>
      <c r="C5" s="2725"/>
      <c r="D5" s="2725"/>
      <c r="E5" s="2725"/>
      <c r="F5" s="2725"/>
      <c r="G5" s="2725"/>
      <c r="H5" s="2725"/>
    </row>
    <row r="6" spans="1:10" ht="3" customHeight="1">
      <c r="A6" s="2413"/>
      <c r="B6" s="2413"/>
      <c r="C6" s="2413"/>
      <c r="D6" s="2413"/>
      <c r="E6" s="2413"/>
      <c r="F6" s="2413"/>
      <c r="G6" s="2414"/>
      <c r="H6" s="2415"/>
    </row>
    <row r="7" spans="1:10" s="2417" customFormat="1" ht="34.5" customHeight="1">
      <c r="A7" s="2761" t="s">
        <v>1714</v>
      </c>
      <c r="B7" s="2761" t="s">
        <v>5125</v>
      </c>
      <c r="C7" s="2753" t="s">
        <v>5126</v>
      </c>
      <c r="D7" s="2753" t="s">
        <v>5127</v>
      </c>
      <c r="E7" s="2753" t="s">
        <v>5128</v>
      </c>
      <c r="F7" s="2753" t="s">
        <v>5129</v>
      </c>
      <c r="G7" s="2753" t="s">
        <v>5130</v>
      </c>
      <c r="H7" s="2753" t="s">
        <v>5131</v>
      </c>
      <c r="I7" s="2755" t="s">
        <v>4199</v>
      </c>
      <c r="J7" s="2416"/>
    </row>
    <row r="8" spans="1:10" s="2417" customFormat="1" ht="33" customHeight="1">
      <c r="A8" s="2762"/>
      <c r="B8" s="2762"/>
      <c r="C8" s="2754"/>
      <c r="D8" s="2754"/>
      <c r="E8" s="2754"/>
      <c r="F8" s="2754"/>
      <c r="G8" s="2754"/>
      <c r="H8" s="2754"/>
      <c r="I8" s="2756"/>
      <c r="J8" s="2416"/>
    </row>
    <row r="9" spans="1:10" s="2325" customFormat="1" ht="20.25" customHeight="1">
      <c r="A9" s="2329" t="s">
        <v>501</v>
      </c>
      <c r="B9" s="2330" t="s">
        <v>4919</v>
      </c>
      <c r="C9" s="2329"/>
      <c r="D9" s="2418"/>
      <c r="E9" s="2418"/>
      <c r="F9" s="2418"/>
      <c r="G9" s="2367"/>
      <c r="H9" s="2367"/>
      <c r="I9" s="2419"/>
      <c r="J9" s="2420"/>
    </row>
    <row r="10" spans="1:10" s="2424" customFormat="1" ht="30">
      <c r="A10" s="2334"/>
      <c r="B10" s="2335" t="s">
        <v>4920</v>
      </c>
      <c r="C10" s="2336" t="s">
        <v>4921</v>
      </c>
      <c r="D10" s="2336">
        <v>1</v>
      </c>
      <c r="E10" s="2336"/>
      <c r="F10" s="2336">
        <f>D10+E10</f>
        <v>1</v>
      </c>
      <c r="G10" s="2421">
        <v>10444500</v>
      </c>
      <c r="H10" s="2421">
        <f>ROUND((F10*G10),0)</f>
        <v>10444500</v>
      </c>
      <c r="I10" s="2422"/>
      <c r="J10" s="2423"/>
    </row>
    <row r="11" spans="1:10" s="2427" customFormat="1" ht="23.25" customHeight="1">
      <c r="A11" s="2329" t="s">
        <v>941</v>
      </c>
      <c r="B11" s="2341" t="s">
        <v>4922</v>
      </c>
      <c r="C11" s="2330"/>
      <c r="D11" s="2329"/>
      <c r="E11" s="2329"/>
      <c r="F11" s="2329"/>
      <c r="G11" s="2421"/>
      <c r="H11" s="2421"/>
      <c r="I11" s="2425"/>
      <c r="J11" s="2426"/>
    </row>
    <row r="12" spans="1:10" s="2427" customFormat="1">
      <c r="A12" s="2329"/>
      <c r="B12" s="2341" t="s">
        <v>2296</v>
      </c>
      <c r="C12" s="2329"/>
      <c r="D12" s="2349"/>
      <c r="E12" s="2349"/>
      <c r="F12" s="2349"/>
      <c r="G12" s="2421"/>
      <c r="H12" s="2421"/>
      <c r="I12" s="2425"/>
      <c r="J12" s="2426"/>
    </row>
    <row r="13" spans="1:10" s="2427" customFormat="1">
      <c r="A13" s="2329">
        <v>1</v>
      </c>
      <c r="B13" s="2341" t="s">
        <v>2342</v>
      </c>
      <c r="C13" s="2329" t="s">
        <v>2336</v>
      </c>
      <c r="D13" s="2349">
        <v>9</v>
      </c>
      <c r="E13" s="2349"/>
      <c r="F13" s="2349"/>
      <c r="G13" s="2421"/>
      <c r="H13" s="2421"/>
      <c r="I13" s="2425"/>
      <c r="J13" s="2426"/>
    </row>
    <row r="14" spans="1:10" s="2427" customFormat="1">
      <c r="A14" s="2329"/>
      <c r="B14" s="2348" t="s">
        <v>4923</v>
      </c>
      <c r="C14" s="2349" t="s">
        <v>858</v>
      </c>
      <c r="D14" s="2349">
        <v>0.23</v>
      </c>
      <c r="E14" s="2349"/>
      <c r="F14" s="2349">
        <f>D14+E14</f>
        <v>0.23</v>
      </c>
      <c r="G14" s="2421">
        <v>1209039</v>
      </c>
      <c r="H14" s="2421">
        <f>ROUND((G14*F14),0)</f>
        <v>278079</v>
      </c>
      <c r="I14" s="2428"/>
      <c r="J14" s="2426"/>
    </row>
    <row r="15" spans="1:10" s="2427" customFormat="1">
      <c r="A15" s="2329"/>
      <c r="B15" s="2348" t="s">
        <v>4924</v>
      </c>
      <c r="C15" s="2349" t="s">
        <v>858</v>
      </c>
      <c r="D15" s="2349">
        <v>0.24</v>
      </c>
      <c r="E15" s="2349"/>
      <c r="F15" s="2349">
        <f>D15+E15</f>
        <v>0.24</v>
      </c>
      <c r="G15" s="2421">
        <v>289343</v>
      </c>
      <c r="H15" s="2421">
        <f>ROUND((G15*F15),0)</f>
        <v>69442</v>
      </c>
      <c r="I15" s="2428"/>
      <c r="J15" s="2426"/>
    </row>
    <row r="16" spans="1:10" s="2427" customFormat="1">
      <c r="A16" s="2329">
        <v>2</v>
      </c>
      <c r="B16" s="2341" t="s">
        <v>4925</v>
      </c>
      <c r="C16" s="2329" t="s">
        <v>2336</v>
      </c>
      <c r="D16" s="2329">
        <v>2</v>
      </c>
      <c r="E16" s="2329"/>
      <c r="F16" s="2349">
        <f t="shared" ref="F16:F79" si="0">D16+E16</f>
        <v>2</v>
      </c>
      <c r="G16" s="2421"/>
      <c r="H16" s="2421">
        <f t="shared" ref="H16:H79" si="1">ROUND((G16*F16),0)</f>
        <v>0</v>
      </c>
      <c r="I16" s="2425"/>
      <c r="J16" s="2426"/>
    </row>
    <row r="17" spans="1:10" s="2427" customFormat="1">
      <c r="A17" s="2329"/>
      <c r="B17" s="2348" t="s">
        <v>4926</v>
      </c>
      <c r="C17" s="2349" t="s">
        <v>2256</v>
      </c>
      <c r="D17" s="2349">
        <v>162</v>
      </c>
      <c r="E17" s="2349"/>
      <c r="F17" s="2349">
        <f t="shared" si="0"/>
        <v>162</v>
      </c>
      <c r="G17" s="2421">
        <v>1997</v>
      </c>
      <c r="H17" s="2421">
        <f t="shared" si="1"/>
        <v>323514</v>
      </c>
      <c r="I17" s="2425"/>
      <c r="J17" s="2426"/>
    </row>
    <row r="18" spans="1:10" s="2427" customFormat="1">
      <c r="A18" s="2329"/>
      <c r="B18" s="2348" t="s">
        <v>3025</v>
      </c>
      <c r="C18" s="2349" t="s">
        <v>858</v>
      </c>
      <c r="D18" s="2349">
        <v>0.26</v>
      </c>
      <c r="E18" s="2349"/>
      <c r="F18" s="2349">
        <f t="shared" si="0"/>
        <v>0.26</v>
      </c>
      <c r="G18" s="2421">
        <v>594176</v>
      </c>
      <c r="H18" s="2421">
        <f t="shared" si="1"/>
        <v>154486</v>
      </c>
      <c r="I18" s="2425"/>
      <c r="J18" s="2426"/>
    </row>
    <row r="19" spans="1:10" s="2427" customFormat="1">
      <c r="A19" s="2329"/>
      <c r="B19" s="2348" t="s">
        <v>3021</v>
      </c>
      <c r="C19" s="2349" t="s">
        <v>858</v>
      </c>
      <c r="D19" s="2349">
        <v>0.48299999999999998</v>
      </c>
      <c r="E19" s="2349"/>
      <c r="F19" s="2349">
        <f t="shared" si="0"/>
        <v>0.48299999999999998</v>
      </c>
      <c r="G19" s="2421">
        <v>388768</v>
      </c>
      <c r="H19" s="2421">
        <f t="shared" si="1"/>
        <v>187775</v>
      </c>
      <c r="I19" s="2425"/>
      <c r="J19" s="2426"/>
    </row>
    <row r="20" spans="1:10" s="2427" customFormat="1">
      <c r="A20" s="2329"/>
      <c r="B20" s="2348" t="s">
        <v>4923</v>
      </c>
      <c r="C20" s="2349" t="s">
        <v>858</v>
      </c>
      <c r="D20" s="2349">
        <v>0.69</v>
      </c>
      <c r="E20" s="2349"/>
      <c r="F20" s="2349">
        <f t="shared" si="0"/>
        <v>0.69</v>
      </c>
      <c r="G20" s="2421">
        <v>1209039</v>
      </c>
      <c r="H20" s="2421">
        <f t="shared" si="1"/>
        <v>834237</v>
      </c>
      <c r="I20" s="2425"/>
      <c r="J20" s="2426"/>
    </row>
    <row r="21" spans="1:10" s="2427" customFormat="1">
      <c r="A21" s="2329"/>
      <c r="B21" s="2348" t="s">
        <v>3219</v>
      </c>
      <c r="C21" s="2349" t="s">
        <v>858</v>
      </c>
      <c r="D21" s="2349">
        <v>0.55000000000000004</v>
      </c>
      <c r="E21" s="2349"/>
      <c r="F21" s="2349">
        <f t="shared" si="0"/>
        <v>0.55000000000000004</v>
      </c>
      <c r="G21" s="2421">
        <v>1017865</v>
      </c>
      <c r="H21" s="2421">
        <f t="shared" si="1"/>
        <v>559826</v>
      </c>
      <c r="I21" s="2425"/>
      <c r="J21" s="2426"/>
    </row>
    <row r="22" spans="1:10" s="2427" customFormat="1">
      <c r="A22" s="2329">
        <v>3</v>
      </c>
      <c r="B22" s="2341" t="s">
        <v>2360</v>
      </c>
      <c r="C22" s="2329" t="s">
        <v>2336</v>
      </c>
      <c r="D22" s="2329">
        <v>24</v>
      </c>
      <c r="E22" s="2329"/>
      <c r="F22" s="2349">
        <f t="shared" si="0"/>
        <v>24</v>
      </c>
      <c r="G22" s="2421"/>
      <c r="H22" s="2421"/>
      <c r="I22" s="2425"/>
      <c r="J22" s="2426"/>
    </row>
    <row r="23" spans="1:10" s="2427" customFormat="1">
      <c r="A23" s="2329"/>
      <c r="B23" s="2348" t="s">
        <v>4923</v>
      </c>
      <c r="C23" s="2349" t="s">
        <v>858</v>
      </c>
      <c r="D23" s="2349">
        <v>8</v>
      </c>
      <c r="E23" s="2349"/>
      <c r="F23" s="2349">
        <f t="shared" si="0"/>
        <v>8</v>
      </c>
      <c r="G23" s="2421">
        <v>1209039</v>
      </c>
      <c r="H23" s="2421">
        <f t="shared" si="1"/>
        <v>9672312</v>
      </c>
      <c r="I23" s="2425"/>
      <c r="J23" s="2426"/>
    </row>
    <row r="24" spans="1:10" s="2427" customFormat="1">
      <c r="A24" s="2329"/>
      <c r="B24" s="2348" t="s">
        <v>4924</v>
      </c>
      <c r="C24" s="2349" t="s">
        <v>858</v>
      </c>
      <c r="D24" s="2349">
        <v>0.18</v>
      </c>
      <c r="E24" s="2349"/>
      <c r="F24" s="2349">
        <f t="shared" si="0"/>
        <v>0.18</v>
      </c>
      <c r="G24" s="2421">
        <v>289343</v>
      </c>
      <c r="H24" s="2421">
        <f t="shared" si="1"/>
        <v>52082</v>
      </c>
      <c r="I24" s="2425"/>
      <c r="J24" s="2426"/>
    </row>
    <row r="25" spans="1:10" s="2427" customFormat="1">
      <c r="A25" s="2329">
        <v>4</v>
      </c>
      <c r="B25" s="2341" t="s">
        <v>2372</v>
      </c>
      <c r="C25" s="2329" t="s">
        <v>2336</v>
      </c>
      <c r="D25" s="2329">
        <v>1</v>
      </c>
      <c r="E25" s="2329"/>
      <c r="F25" s="2349">
        <f t="shared" si="0"/>
        <v>1</v>
      </c>
      <c r="G25" s="2421"/>
      <c r="H25" s="2421"/>
      <c r="I25" s="2425"/>
      <c r="J25" s="2426"/>
    </row>
    <row r="26" spans="1:10" s="2427" customFormat="1">
      <c r="A26" s="2329"/>
      <c r="B26" s="2348" t="s">
        <v>4926</v>
      </c>
      <c r="C26" s="2349" t="s">
        <v>2256</v>
      </c>
      <c r="D26" s="2349">
        <v>180</v>
      </c>
      <c r="E26" s="2349"/>
      <c r="F26" s="2349">
        <f t="shared" si="0"/>
        <v>180</v>
      </c>
      <c r="G26" s="2421">
        <v>1997</v>
      </c>
      <c r="H26" s="2421">
        <f t="shared" si="1"/>
        <v>359460</v>
      </c>
      <c r="I26" s="2425"/>
      <c r="J26" s="2426"/>
    </row>
    <row r="27" spans="1:10" s="2427" customFormat="1">
      <c r="A27" s="2329"/>
      <c r="B27" s="2348" t="s">
        <v>3025</v>
      </c>
      <c r="C27" s="2349" t="s">
        <v>858</v>
      </c>
      <c r="D27" s="2349">
        <v>0.33</v>
      </c>
      <c r="E27" s="2349"/>
      <c r="F27" s="2349">
        <f t="shared" si="0"/>
        <v>0.33</v>
      </c>
      <c r="G27" s="2421">
        <v>594176</v>
      </c>
      <c r="H27" s="2421">
        <f t="shared" si="1"/>
        <v>196078</v>
      </c>
      <c r="I27" s="2425"/>
      <c r="J27" s="2426"/>
    </row>
    <row r="28" spans="1:10" s="2427" customFormat="1">
      <c r="A28" s="2329"/>
      <c r="B28" s="2348" t="s">
        <v>3021</v>
      </c>
      <c r="C28" s="2349" t="s">
        <v>858</v>
      </c>
      <c r="D28" s="2349">
        <v>0.52</v>
      </c>
      <c r="E28" s="2349"/>
      <c r="F28" s="2349">
        <f t="shared" si="0"/>
        <v>0.52</v>
      </c>
      <c r="G28" s="2421">
        <v>388768</v>
      </c>
      <c r="H28" s="2421">
        <f t="shared" si="1"/>
        <v>202159</v>
      </c>
      <c r="I28" s="2425"/>
      <c r="J28" s="2426"/>
    </row>
    <row r="29" spans="1:10" s="2427" customFormat="1">
      <c r="A29" s="2329"/>
      <c r="B29" s="2348" t="s">
        <v>4923</v>
      </c>
      <c r="C29" s="2349" t="s">
        <v>858</v>
      </c>
      <c r="D29" s="2349">
        <v>0.99</v>
      </c>
      <c r="E29" s="2349"/>
      <c r="F29" s="2349">
        <f t="shared" si="0"/>
        <v>0.99</v>
      </c>
      <c r="G29" s="2421">
        <v>1209039</v>
      </c>
      <c r="H29" s="2421">
        <f t="shared" si="1"/>
        <v>1196949</v>
      </c>
      <c r="I29" s="2425"/>
      <c r="J29" s="2426"/>
    </row>
    <row r="30" spans="1:10" s="2427" customFormat="1">
      <c r="A30" s="2329"/>
      <c r="B30" s="2348" t="s">
        <v>4927</v>
      </c>
      <c r="C30" s="2349" t="s">
        <v>858</v>
      </c>
      <c r="D30" s="2349">
        <v>0.82</v>
      </c>
      <c r="E30" s="2349"/>
      <c r="F30" s="2349">
        <f t="shared" si="0"/>
        <v>0.82</v>
      </c>
      <c r="G30" s="2421">
        <v>1017865</v>
      </c>
      <c r="H30" s="2421">
        <f t="shared" si="1"/>
        <v>834649</v>
      </c>
      <c r="I30" s="2425"/>
      <c r="J30" s="2426"/>
    </row>
    <row r="31" spans="1:10" s="2427" customFormat="1">
      <c r="A31" s="2329">
        <v>5</v>
      </c>
      <c r="B31" s="2341" t="s">
        <v>2373</v>
      </c>
      <c r="C31" s="2329" t="s">
        <v>2336</v>
      </c>
      <c r="D31" s="2329">
        <v>7</v>
      </c>
      <c r="E31" s="2329"/>
      <c r="F31" s="2349">
        <f t="shared" si="0"/>
        <v>7</v>
      </c>
      <c r="G31" s="2421"/>
      <c r="H31" s="2421">
        <f t="shared" si="1"/>
        <v>0</v>
      </c>
      <c r="I31" s="2425"/>
      <c r="J31" s="2426"/>
    </row>
    <row r="32" spans="1:10" s="2427" customFormat="1">
      <c r="A32" s="2329"/>
      <c r="B32" s="2348" t="s">
        <v>4926</v>
      </c>
      <c r="C32" s="2349" t="s">
        <v>2256</v>
      </c>
      <c r="D32" s="2429">
        <v>1701</v>
      </c>
      <c r="E32" s="2429"/>
      <c r="F32" s="2349">
        <f t="shared" si="0"/>
        <v>1701</v>
      </c>
      <c r="G32" s="2421">
        <v>1997</v>
      </c>
      <c r="H32" s="2421">
        <f t="shared" si="1"/>
        <v>3396897</v>
      </c>
      <c r="I32" s="2425"/>
      <c r="J32" s="2426"/>
    </row>
    <row r="33" spans="1:10" s="2427" customFormat="1">
      <c r="A33" s="2329"/>
      <c r="B33" s="2348" t="s">
        <v>3025</v>
      </c>
      <c r="C33" s="2349" t="s">
        <v>858</v>
      </c>
      <c r="D33" s="2349">
        <v>2.9750000000000001</v>
      </c>
      <c r="E33" s="2349"/>
      <c r="F33" s="2349">
        <f t="shared" si="0"/>
        <v>2.9750000000000001</v>
      </c>
      <c r="G33" s="2421">
        <v>594176</v>
      </c>
      <c r="H33" s="2421">
        <f t="shared" si="1"/>
        <v>1767674</v>
      </c>
      <c r="I33" s="2425"/>
      <c r="J33" s="2426"/>
    </row>
    <row r="34" spans="1:10" s="2427" customFormat="1">
      <c r="A34" s="2329"/>
      <c r="B34" s="2348" t="s">
        <v>3021</v>
      </c>
      <c r="C34" s="2349" t="s">
        <v>858</v>
      </c>
      <c r="D34" s="2349">
        <v>5.39</v>
      </c>
      <c r="E34" s="2349"/>
      <c r="F34" s="2349">
        <f t="shared" si="0"/>
        <v>5.39</v>
      </c>
      <c r="G34" s="2421">
        <v>388768</v>
      </c>
      <c r="H34" s="2421">
        <f t="shared" si="1"/>
        <v>2095460</v>
      </c>
      <c r="I34" s="2425"/>
      <c r="J34" s="2426"/>
    </row>
    <row r="35" spans="1:10" s="2427" customFormat="1">
      <c r="A35" s="2355"/>
      <c r="B35" s="2356" t="s">
        <v>4923</v>
      </c>
      <c r="C35" s="2357" t="s">
        <v>858</v>
      </c>
      <c r="D35" s="2357">
        <v>1.93</v>
      </c>
      <c r="E35" s="2357">
        <v>9.65</v>
      </c>
      <c r="F35" s="2357">
        <f t="shared" si="0"/>
        <v>11.58</v>
      </c>
      <c r="G35" s="2430">
        <v>1209039</v>
      </c>
      <c r="H35" s="2430">
        <f t="shared" si="1"/>
        <v>14000672</v>
      </c>
      <c r="I35" s="2757" t="s">
        <v>5132</v>
      </c>
      <c r="J35" s="2426"/>
    </row>
    <row r="36" spans="1:10" s="2427" customFormat="1" ht="24" customHeight="1">
      <c r="A36" s="2355"/>
      <c r="B36" s="2356" t="s">
        <v>4927</v>
      </c>
      <c r="C36" s="2357" t="s">
        <v>858</v>
      </c>
      <c r="D36" s="2357">
        <v>0.84399999999999997</v>
      </c>
      <c r="E36" s="2357">
        <v>5.96</v>
      </c>
      <c r="F36" s="2357">
        <f>D36+E36</f>
        <v>6.8040000000000003</v>
      </c>
      <c r="G36" s="2430">
        <v>1017865</v>
      </c>
      <c r="H36" s="2430">
        <f t="shared" si="1"/>
        <v>6925553</v>
      </c>
      <c r="I36" s="2758"/>
      <c r="J36" s="2426"/>
    </row>
    <row r="37" spans="1:10" s="2427" customFormat="1">
      <c r="A37" s="2329">
        <v>6</v>
      </c>
      <c r="B37" s="2341" t="s">
        <v>4928</v>
      </c>
      <c r="C37" s="2329" t="s">
        <v>2394</v>
      </c>
      <c r="D37" s="2329">
        <v>1</v>
      </c>
      <c r="E37" s="2329"/>
      <c r="F37" s="2349">
        <f t="shared" si="0"/>
        <v>1</v>
      </c>
      <c r="G37" s="2421"/>
      <c r="H37" s="2421"/>
      <c r="I37" s="2425"/>
      <c r="J37" s="2426"/>
    </row>
    <row r="38" spans="1:10" s="2427" customFormat="1">
      <c r="A38" s="2329"/>
      <c r="B38" s="2348" t="s">
        <v>4929</v>
      </c>
      <c r="C38" s="2349" t="s">
        <v>2256</v>
      </c>
      <c r="D38" s="2349">
        <v>2.2400000000000002</v>
      </c>
      <c r="E38" s="2349"/>
      <c r="F38" s="2349">
        <f t="shared" si="0"/>
        <v>2.2400000000000002</v>
      </c>
      <c r="G38" s="2421">
        <v>296508</v>
      </c>
      <c r="H38" s="2421">
        <f t="shared" si="1"/>
        <v>664178</v>
      </c>
      <c r="I38" s="2425"/>
      <c r="J38" s="2426"/>
    </row>
    <row r="39" spans="1:10" s="2427" customFormat="1">
      <c r="A39" s="2329"/>
      <c r="B39" s="2348" t="s">
        <v>4930</v>
      </c>
      <c r="C39" s="2349" t="s">
        <v>2448</v>
      </c>
      <c r="D39" s="2349">
        <v>1</v>
      </c>
      <c r="E39" s="2349"/>
      <c r="F39" s="2349">
        <f t="shared" si="0"/>
        <v>1</v>
      </c>
      <c r="G39" s="2421">
        <v>179878</v>
      </c>
      <c r="H39" s="2421">
        <f t="shared" si="1"/>
        <v>179878</v>
      </c>
      <c r="I39" s="2425"/>
      <c r="J39" s="2426"/>
    </row>
    <row r="40" spans="1:10" s="2427" customFormat="1">
      <c r="A40" s="2329"/>
      <c r="B40" s="2348" t="s">
        <v>2899</v>
      </c>
      <c r="C40" s="2349" t="s">
        <v>2566</v>
      </c>
      <c r="D40" s="2349">
        <v>2</v>
      </c>
      <c r="E40" s="2349"/>
      <c r="F40" s="2349">
        <f t="shared" si="0"/>
        <v>2</v>
      </c>
      <c r="G40" s="2421">
        <v>5338</v>
      </c>
      <c r="H40" s="2421">
        <f t="shared" si="1"/>
        <v>10676</v>
      </c>
      <c r="I40" s="2425"/>
      <c r="J40" s="2426"/>
    </row>
    <row r="41" spans="1:10" s="2427" customFormat="1">
      <c r="A41" s="2329"/>
      <c r="B41" s="2348" t="s">
        <v>3172</v>
      </c>
      <c r="C41" s="2349" t="s">
        <v>2256</v>
      </c>
      <c r="D41" s="2349">
        <v>2.2400000000000002</v>
      </c>
      <c r="E41" s="2349"/>
      <c r="F41" s="2349">
        <f t="shared" si="0"/>
        <v>2.2400000000000002</v>
      </c>
      <c r="G41" s="2421">
        <v>6338</v>
      </c>
      <c r="H41" s="2421">
        <f t="shared" si="1"/>
        <v>14197</v>
      </c>
      <c r="I41" s="2425"/>
      <c r="J41" s="2426"/>
    </row>
    <row r="42" spans="1:10" s="2427" customFormat="1">
      <c r="A42" s="2329"/>
      <c r="B42" s="2348" t="s">
        <v>4931</v>
      </c>
      <c r="C42" s="2349" t="s">
        <v>2286</v>
      </c>
      <c r="D42" s="2349">
        <v>1</v>
      </c>
      <c r="E42" s="2349"/>
      <c r="F42" s="2349">
        <f t="shared" si="0"/>
        <v>1</v>
      </c>
      <c r="G42" s="2421">
        <v>222118</v>
      </c>
      <c r="H42" s="2421">
        <f t="shared" si="1"/>
        <v>222118</v>
      </c>
      <c r="I42" s="2425"/>
      <c r="J42" s="2426"/>
    </row>
    <row r="43" spans="1:10" s="2427" customFormat="1">
      <c r="A43" s="2329">
        <v>7</v>
      </c>
      <c r="B43" s="2341" t="s">
        <v>2400</v>
      </c>
      <c r="C43" s="2329" t="s">
        <v>2394</v>
      </c>
      <c r="D43" s="2329">
        <v>11</v>
      </c>
      <c r="E43" s="2329"/>
      <c r="F43" s="2349">
        <f t="shared" si="0"/>
        <v>11</v>
      </c>
      <c r="G43" s="2421"/>
      <c r="H43" s="2421">
        <f t="shared" si="1"/>
        <v>0</v>
      </c>
      <c r="I43" s="2425"/>
      <c r="J43" s="2426"/>
    </row>
    <row r="44" spans="1:10" s="2427" customFormat="1">
      <c r="A44" s="2329"/>
      <c r="B44" s="2348" t="s">
        <v>4929</v>
      </c>
      <c r="C44" s="2349" t="s">
        <v>2256</v>
      </c>
      <c r="D44" s="2349">
        <v>24.64</v>
      </c>
      <c r="E44" s="2349"/>
      <c r="F44" s="2349">
        <f t="shared" si="0"/>
        <v>24.64</v>
      </c>
      <c r="G44" s="2421">
        <v>296508</v>
      </c>
      <c r="H44" s="2421">
        <f t="shared" si="1"/>
        <v>7305957</v>
      </c>
      <c r="I44" s="2425"/>
      <c r="J44" s="2426"/>
    </row>
    <row r="45" spans="1:10" s="2427" customFormat="1">
      <c r="A45" s="2329"/>
      <c r="B45" s="2348" t="s">
        <v>4930</v>
      </c>
      <c r="C45" s="2349" t="s">
        <v>2448</v>
      </c>
      <c r="D45" s="2349">
        <v>11</v>
      </c>
      <c r="E45" s="2349"/>
      <c r="F45" s="2349">
        <f t="shared" si="0"/>
        <v>11</v>
      </c>
      <c r="G45" s="2421">
        <v>179878</v>
      </c>
      <c r="H45" s="2421">
        <f t="shared" si="1"/>
        <v>1978658</v>
      </c>
      <c r="I45" s="2425"/>
      <c r="J45" s="2426"/>
    </row>
    <row r="46" spans="1:10" s="2427" customFormat="1">
      <c r="A46" s="2329"/>
      <c r="B46" s="2348" t="s">
        <v>2892</v>
      </c>
      <c r="C46" s="2349" t="s">
        <v>2566</v>
      </c>
      <c r="D46" s="2349">
        <v>22</v>
      </c>
      <c r="E46" s="2349"/>
      <c r="F46" s="2349">
        <f t="shared" si="0"/>
        <v>22</v>
      </c>
      <c r="G46" s="2421">
        <v>9865</v>
      </c>
      <c r="H46" s="2421">
        <f t="shared" si="1"/>
        <v>217030</v>
      </c>
      <c r="I46" s="2425"/>
      <c r="J46" s="2426"/>
    </row>
    <row r="47" spans="1:10" s="2427" customFormat="1">
      <c r="A47" s="2329"/>
      <c r="B47" s="2348" t="s">
        <v>3172</v>
      </c>
      <c r="C47" s="2349" t="s">
        <v>2256</v>
      </c>
      <c r="D47" s="2349">
        <v>2.2400000000000002</v>
      </c>
      <c r="E47" s="2349"/>
      <c r="F47" s="2349">
        <f t="shared" si="0"/>
        <v>2.2400000000000002</v>
      </c>
      <c r="G47" s="2421">
        <v>6338</v>
      </c>
      <c r="H47" s="2421">
        <f t="shared" si="1"/>
        <v>14197</v>
      </c>
      <c r="I47" s="2425"/>
      <c r="J47" s="2426"/>
    </row>
    <row r="48" spans="1:10" s="2427" customFormat="1">
      <c r="A48" s="2329"/>
      <c r="B48" s="2348" t="s">
        <v>4931</v>
      </c>
      <c r="C48" s="2349" t="s">
        <v>2286</v>
      </c>
      <c r="D48" s="2349">
        <v>1</v>
      </c>
      <c r="E48" s="2349"/>
      <c r="F48" s="2349">
        <f t="shared" si="0"/>
        <v>1</v>
      </c>
      <c r="G48" s="2421">
        <v>222118</v>
      </c>
      <c r="H48" s="2421">
        <f t="shared" si="1"/>
        <v>222118</v>
      </c>
      <c r="I48" s="2425"/>
      <c r="J48" s="2426"/>
    </row>
    <row r="49" spans="1:10" s="2427" customFormat="1">
      <c r="A49" s="2329">
        <v>8</v>
      </c>
      <c r="B49" s="2341" t="s">
        <v>4932</v>
      </c>
      <c r="C49" s="2349" t="s">
        <v>2394</v>
      </c>
      <c r="D49" s="2360"/>
      <c r="E49" s="2360"/>
      <c r="F49" s="2349">
        <f t="shared" si="0"/>
        <v>0</v>
      </c>
      <c r="G49" s="2421"/>
      <c r="H49" s="2421">
        <f t="shared" si="1"/>
        <v>0</v>
      </c>
      <c r="I49" s="2425"/>
      <c r="J49" s="2426"/>
    </row>
    <row r="50" spans="1:10" s="2427" customFormat="1">
      <c r="A50" s="2329"/>
      <c r="B50" s="2348" t="s">
        <v>3089</v>
      </c>
      <c r="C50" s="2349" t="s">
        <v>858</v>
      </c>
      <c r="D50" s="2349">
        <v>0.33</v>
      </c>
      <c r="E50" s="2349"/>
      <c r="F50" s="2349">
        <f t="shared" si="0"/>
        <v>0.33</v>
      </c>
      <c r="G50" s="2421">
        <v>697523</v>
      </c>
      <c r="H50" s="2421">
        <f t="shared" si="1"/>
        <v>230183</v>
      </c>
      <c r="I50" s="2425"/>
      <c r="J50" s="2426"/>
    </row>
    <row r="51" spans="1:10" s="2427" customFormat="1">
      <c r="A51" s="2329"/>
      <c r="B51" s="2348" t="s">
        <v>4933</v>
      </c>
      <c r="C51" s="2349" t="s">
        <v>858</v>
      </c>
      <c r="D51" s="2349">
        <v>0.3</v>
      </c>
      <c r="E51" s="2349"/>
      <c r="F51" s="2349">
        <f t="shared" si="0"/>
        <v>0.3</v>
      </c>
      <c r="G51" s="2421">
        <v>310010</v>
      </c>
      <c r="H51" s="2421">
        <f t="shared" si="1"/>
        <v>93003</v>
      </c>
      <c r="I51" s="2425"/>
      <c r="J51" s="2426"/>
    </row>
    <row r="52" spans="1:10" s="2427" customFormat="1">
      <c r="A52" s="2329" t="s">
        <v>1620</v>
      </c>
      <c r="B52" s="2341" t="s">
        <v>4934</v>
      </c>
      <c r="C52" s="2349"/>
      <c r="D52" s="2360"/>
      <c r="E52" s="2360"/>
      <c r="F52" s="2349"/>
      <c r="G52" s="2421"/>
      <c r="H52" s="2421"/>
      <c r="I52" s="2425"/>
      <c r="J52" s="2426"/>
    </row>
    <row r="53" spans="1:10" s="2427" customFormat="1">
      <c r="A53" s="2329">
        <v>9</v>
      </c>
      <c r="B53" s="2341" t="s">
        <v>4935</v>
      </c>
      <c r="C53" s="2329" t="s">
        <v>2285</v>
      </c>
      <c r="D53" s="2349">
        <v>13</v>
      </c>
      <c r="E53" s="2349"/>
      <c r="F53" s="2349">
        <f t="shared" si="0"/>
        <v>13</v>
      </c>
      <c r="G53" s="2421"/>
      <c r="H53" s="2421"/>
      <c r="I53" s="2425"/>
      <c r="J53" s="2426"/>
    </row>
    <row r="54" spans="1:10" s="2427" customFormat="1">
      <c r="A54" s="2329"/>
      <c r="B54" s="2348" t="s">
        <v>3007</v>
      </c>
      <c r="C54" s="2349" t="s">
        <v>2842</v>
      </c>
      <c r="D54" s="2349">
        <v>13</v>
      </c>
      <c r="E54" s="2349"/>
      <c r="F54" s="2349">
        <f t="shared" si="0"/>
        <v>13</v>
      </c>
      <c r="G54" s="2421">
        <v>3075325</v>
      </c>
      <c r="H54" s="2421">
        <f t="shared" si="1"/>
        <v>39979225</v>
      </c>
      <c r="I54" s="2425"/>
      <c r="J54" s="2426"/>
    </row>
    <row r="55" spans="1:10" s="2427" customFormat="1">
      <c r="A55" s="2329"/>
      <c r="B55" s="2348" t="s">
        <v>2841</v>
      </c>
      <c r="C55" s="2349" t="s">
        <v>2842</v>
      </c>
      <c r="D55" s="2349">
        <v>13</v>
      </c>
      <c r="E55" s="2349"/>
      <c r="F55" s="2349">
        <f t="shared" si="0"/>
        <v>13</v>
      </c>
      <c r="G55" s="2421">
        <v>20193</v>
      </c>
      <c r="H55" s="2421">
        <f t="shared" si="1"/>
        <v>262509</v>
      </c>
      <c r="I55" s="2425"/>
      <c r="J55" s="2426"/>
    </row>
    <row r="56" spans="1:10" s="2427" customFormat="1">
      <c r="A56" s="2329"/>
      <c r="B56" s="2358" t="s">
        <v>3182</v>
      </c>
      <c r="C56" s="2359" t="s">
        <v>2842</v>
      </c>
      <c r="D56" s="2359">
        <v>13</v>
      </c>
      <c r="E56" s="2359"/>
      <c r="F56" s="2349">
        <f t="shared" si="0"/>
        <v>13</v>
      </c>
      <c r="G56" s="2431">
        <v>0</v>
      </c>
      <c r="H56" s="2421">
        <f t="shared" si="1"/>
        <v>0</v>
      </c>
      <c r="I56" s="2425"/>
      <c r="J56" s="2426"/>
    </row>
    <row r="57" spans="1:10" s="2427" customFormat="1">
      <c r="A57" s="2329">
        <v>10</v>
      </c>
      <c r="B57" s="2341" t="s">
        <v>4936</v>
      </c>
      <c r="C57" s="2329" t="s">
        <v>2285</v>
      </c>
      <c r="D57" s="2349">
        <v>29</v>
      </c>
      <c r="E57" s="2349">
        <v>-6</v>
      </c>
      <c r="F57" s="2349">
        <f t="shared" si="0"/>
        <v>23</v>
      </c>
      <c r="G57" s="2421"/>
      <c r="H57" s="2421"/>
      <c r="I57" s="2425"/>
      <c r="J57" s="2426"/>
    </row>
    <row r="58" spans="1:10" s="2427" customFormat="1">
      <c r="A58" s="2329"/>
      <c r="B58" s="2356" t="s">
        <v>4687</v>
      </c>
      <c r="C58" s="2357" t="s">
        <v>2842</v>
      </c>
      <c r="D58" s="2357">
        <v>29</v>
      </c>
      <c r="E58" s="2357">
        <v>-6</v>
      </c>
      <c r="F58" s="2357">
        <f t="shared" si="0"/>
        <v>23</v>
      </c>
      <c r="G58" s="2430">
        <v>6863197</v>
      </c>
      <c r="H58" s="2430">
        <f t="shared" si="1"/>
        <v>157853531</v>
      </c>
      <c r="I58" s="2759" t="s">
        <v>5133</v>
      </c>
      <c r="J58" s="2426"/>
    </row>
    <row r="59" spans="1:10" s="2427" customFormat="1">
      <c r="A59" s="2329"/>
      <c r="B59" s="2356" t="s">
        <v>2841</v>
      </c>
      <c r="C59" s="2357" t="s">
        <v>2842</v>
      </c>
      <c r="D59" s="2357">
        <v>29</v>
      </c>
      <c r="E59" s="2357">
        <v>-6</v>
      </c>
      <c r="F59" s="2357">
        <f t="shared" si="0"/>
        <v>23</v>
      </c>
      <c r="G59" s="2430">
        <v>20193</v>
      </c>
      <c r="H59" s="2430">
        <f t="shared" si="1"/>
        <v>464439</v>
      </c>
      <c r="I59" s="2760"/>
      <c r="J59" s="2426"/>
    </row>
    <row r="60" spans="1:10" s="2427" customFormat="1" ht="40.5" customHeight="1">
      <c r="A60" s="2329"/>
      <c r="B60" s="2356" t="s">
        <v>3185</v>
      </c>
      <c r="C60" s="2357" t="s">
        <v>2842</v>
      </c>
      <c r="D60" s="2357">
        <v>1</v>
      </c>
      <c r="E60" s="2357">
        <v>22</v>
      </c>
      <c r="F60" s="2357">
        <f t="shared" si="0"/>
        <v>23</v>
      </c>
      <c r="G60" s="2430">
        <v>1730343</v>
      </c>
      <c r="H60" s="2430">
        <f t="shared" si="1"/>
        <v>39797889</v>
      </c>
      <c r="I60" s="2432" t="s">
        <v>5132</v>
      </c>
      <c r="J60" s="2426"/>
    </row>
    <row r="61" spans="1:10" s="2427" customFormat="1">
      <c r="A61" s="2329" t="s">
        <v>1914</v>
      </c>
      <c r="B61" s="2341" t="s">
        <v>4937</v>
      </c>
      <c r="C61" s="2349"/>
      <c r="D61" s="2360"/>
      <c r="E61" s="2360"/>
      <c r="F61" s="2349"/>
      <c r="G61" s="2421"/>
      <c r="H61" s="2421"/>
      <c r="I61" s="2425"/>
      <c r="J61" s="2426"/>
    </row>
    <row r="62" spans="1:10" s="2427" customFormat="1" ht="28.5">
      <c r="A62" s="2329">
        <v>11</v>
      </c>
      <c r="B62" s="2341" t="s">
        <v>4356</v>
      </c>
      <c r="C62" s="2360"/>
      <c r="D62" s="2329"/>
      <c r="E62" s="2329"/>
      <c r="F62" s="2349"/>
      <c r="G62" s="2421"/>
      <c r="H62" s="2421"/>
      <c r="I62" s="2425"/>
      <c r="J62" s="2426"/>
    </row>
    <row r="63" spans="1:10" s="2427" customFormat="1">
      <c r="A63" s="2329"/>
      <c r="B63" s="2348" t="s">
        <v>4938</v>
      </c>
      <c r="C63" s="2349" t="s">
        <v>2566</v>
      </c>
      <c r="D63" s="2349">
        <v>2</v>
      </c>
      <c r="E63" s="2349"/>
      <c r="F63" s="2349">
        <f t="shared" si="0"/>
        <v>2</v>
      </c>
      <c r="G63" s="2421">
        <v>684695</v>
      </c>
      <c r="H63" s="2421">
        <f t="shared" si="1"/>
        <v>1369390</v>
      </c>
      <c r="I63" s="2425"/>
      <c r="J63" s="2426"/>
    </row>
    <row r="64" spans="1:10" s="2427" customFormat="1">
      <c r="A64" s="2329"/>
      <c r="B64" s="2348" t="s">
        <v>4939</v>
      </c>
      <c r="C64" s="2349" t="s">
        <v>2566</v>
      </c>
      <c r="D64" s="2349">
        <v>4</v>
      </c>
      <c r="E64" s="2349"/>
      <c r="F64" s="2349">
        <f t="shared" si="0"/>
        <v>4</v>
      </c>
      <c r="G64" s="2421">
        <v>103285</v>
      </c>
      <c r="H64" s="2421">
        <f t="shared" si="1"/>
        <v>413140</v>
      </c>
      <c r="I64" s="2425"/>
      <c r="J64" s="2426"/>
    </row>
    <row r="65" spans="1:10" s="2427" customFormat="1">
      <c r="A65" s="2329"/>
      <c r="B65" s="2348" t="s">
        <v>2660</v>
      </c>
      <c r="C65" s="2349" t="s">
        <v>2448</v>
      </c>
      <c r="D65" s="2349">
        <v>2</v>
      </c>
      <c r="E65" s="2349"/>
      <c r="F65" s="2349">
        <f t="shared" si="0"/>
        <v>2</v>
      </c>
      <c r="G65" s="2421">
        <v>33655</v>
      </c>
      <c r="H65" s="2421">
        <f t="shared" si="1"/>
        <v>67310</v>
      </c>
      <c r="I65" s="2425"/>
      <c r="J65" s="2426"/>
    </row>
    <row r="66" spans="1:10" s="2427" customFormat="1">
      <c r="A66" s="2329"/>
      <c r="B66" s="2348" t="s">
        <v>2671</v>
      </c>
      <c r="C66" s="2349" t="s">
        <v>2448</v>
      </c>
      <c r="D66" s="2349">
        <v>4</v>
      </c>
      <c r="E66" s="2349"/>
      <c r="F66" s="2349">
        <f t="shared" si="0"/>
        <v>4</v>
      </c>
      <c r="G66" s="2421">
        <v>31798</v>
      </c>
      <c r="H66" s="2421">
        <f t="shared" si="1"/>
        <v>127192</v>
      </c>
      <c r="I66" s="2425"/>
      <c r="J66" s="2426"/>
    </row>
    <row r="67" spans="1:10" s="2427" customFormat="1">
      <c r="A67" s="2329"/>
      <c r="B67" s="2348" t="s">
        <v>2648</v>
      </c>
      <c r="C67" s="2349" t="s">
        <v>2448</v>
      </c>
      <c r="D67" s="2349">
        <v>4</v>
      </c>
      <c r="E67" s="2349"/>
      <c r="F67" s="2349">
        <f t="shared" si="0"/>
        <v>4</v>
      </c>
      <c r="G67" s="2421">
        <v>12882</v>
      </c>
      <c r="H67" s="2421">
        <f t="shared" si="1"/>
        <v>51528</v>
      </c>
      <c r="I67" s="2425"/>
      <c r="J67" s="2426"/>
    </row>
    <row r="68" spans="1:10" s="2427" customFormat="1">
      <c r="A68" s="2361"/>
      <c r="B68" s="2348" t="s">
        <v>4940</v>
      </c>
      <c r="C68" s="2349" t="s">
        <v>2448</v>
      </c>
      <c r="D68" s="2349">
        <v>1</v>
      </c>
      <c r="E68" s="2349"/>
      <c r="F68" s="2349">
        <f t="shared" si="0"/>
        <v>1</v>
      </c>
      <c r="G68" s="2421">
        <v>1542080</v>
      </c>
      <c r="H68" s="2421">
        <f t="shared" si="1"/>
        <v>1542080</v>
      </c>
      <c r="I68" s="2425"/>
      <c r="J68" s="2426"/>
    </row>
    <row r="69" spans="1:10" s="2427" customFormat="1" ht="28.5">
      <c r="A69" s="2329">
        <v>12</v>
      </c>
      <c r="B69" s="2341" t="s">
        <v>4941</v>
      </c>
      <c r="C69" s="2329" t="s">
        <v>2394</v>
      </c>
      <c r="D69" s="2329">
        <v>1</v>
      </c>
      <c r="E69" s="2329"/>
      <c r="F69" s="2349">
        <f t="shared" si="0"/>
        <v>1</v>
      </c>
      <c r="G69" s="2421"/>
      <c r="H69" s="2421"/>
      <c r="I69" s="2425"/>
      <c r="J69" s="2426"/>
    </row>
    <row r="70" spans="1:10" s="2427" customFormat="1">
      <c r="A70" s="2329"/>
      <c r="B70" s="2348" t="s">
        <v>4938</v>
      </c>
      <c r="C70" s="2349" t="s">
        <v>2566</v>
      </c>
      <c r="D70" s="2349">
        <v>2</v>
      </c>
      <c r="E70" s="2349"/>
      <c r="F70" s="2349">
        <f t="shared" si="0"/>
        <v>2</v>
      </c>
      <c r="G70" s="2421">
        <v>684695</v>
      </c>
      <c r="H70" s="2421">
        <f t="shared" si="1"/>
        <v>1369390</v>
      </c>
      <c r="I70" s="2425"/>
      <c r="J70" s="2426"/>
    </row>
    <row r="71" spans="1:10" s="2427" customFormat="1">
      <c r="A71" s="2329"/>
      <c r="B71" s="2348" t="s">
        <v>4939</v>
      </c>
      <c r="C71" s="2349" t="s">
        <v>2566</v>
      </c>
      <c r="D71" s="2349">
        <v>4</v>
      </c>
      <c r="E71" s="2349"/>
      <c r="F71" s="2349">
        <f t="shared" si="0"/>
        <v>4</v>
      </c>
      <c r="G71" s="2421">
        <v>103285</v>
      </c>
      <c r="H71" s="2421">
        <f t="shared" si="1"/>
        <v>413140</v>
      </c>
      <c r="I71" s="2425"/>
      <c r="J71" s="2426"/>
    </row>
    <row r="72" spans="1:10" s="2427" customFormat="1">
      <c r="A72" s="2329"/>
      <c r="B72" s="2348" t="s">
        <v>2665</v>
      </c>
      <c r="C72" s="2349" t="s">
        <v>2448</v>
      </c>
      <c r="D72" s="2349">
        <v>2</v>
      </c>
      <c r="E72" s="2349"/>
      <c r="F72" s="2349">
        <f t="shared" si="0"/>
        <v>2</v>
      </c>
      <c r="G72" s="2421">
        <v>38877</v>
      </c>
      <c r="H72" s="2421">
        <f t="shared" si="1"/>
        <v>77754</v>
      </c>
      <c r="I72" s="2425"/>
      <c r="J72" s="2426"/>
    </row>
    <row r="73" spans="1:10" s="2427" customFormat="1">
      <c r="A73" s="2329"/>
      <c r="B73" s="2348" t="s">
        <v>2675</v>
      </c>
      <c r="C73" s="2349" t="s">
        <v>2448</v>
      </c>
      <c r="D73" s="2349">
        <v>4</v>
      </c>
      <c r="E73" s="2349"/>
      <c r="F73" s="2349">
        <f t="shared" si="0"/>
        <v>4</v>
      </c>
      <c r="G73" s="2421">
        <v>55704</v>
      </c>
      <c r="H73" s="2421">
        <f t="shared" si="1"/>
        <v>222816</v>
      </c>
      <c r="I73" s="2425"/>
      <c r="J73" s="2426"/>
    </row>
    <row r="74" spans="1:10" s="2427" customFormat="1">
      <c r="A74" s="2329"/>
      <c r="B74" s="2348" t="s">
        <v>2648</v>
      </c>
      <c r="C74" s="2349" t="s">
        <v>2448</v>
      </c>
      <c r="D74" s="2349">
        <v>4</v>
      </c>
      <c r="E74" s="2349"/>
      <c r="F74" s="2349">
        <f t="shared" si="0"/>
        <v>4</v>
      </c>
      <c r="G74" s="2421">
        <v>12882</v>
      </c>
      <c r="H74" s="2421">
        <f t="shared" si="1"/>
        <v>51528</v>
      </c>
      <c r="I74" s="2425"/>
      <c r="J74" s="2426"/>
    </row>
    <row r="75" spans="1:10" s="2427" customFormat="1">
      <c r="A75" s="2361"/>
      <c r="B75" s="2348" t="s">
        <v>4940</v>
      </c>
      <c r="C75" s="2349" t="s">
        <v>2448</v>
      </c>
      <c r="D75" s="2349">
        <v>1</v>
      </c>
      <c r="E75" s="2349"/>
      <c r="F75" s="2349">
        <f t="shared" si="0"/>
        <v>1</v>
      </c>
      <c r="G75" s="2421">
        <v>1542080</v>
      </c>
      <c r="H75" s="2421">
        <f t="shared" si="1"/>
        <v>1542080</v>
      </c>
      <c r="I75" s="2425"/>
      <c r="J75" s="2426"/>
    </row>
    <row r="76" spans="1:10" s="2427" customFormat="1">
      <c r="A76" s="2329">
        <v>13</v>
      </c>
      <c r="B76" s="2341" t="s">
        <v>2439</v>
      </c>
      <c r="C76" s="2329" t="s">
        <v>2394</v>
      </c>
      <c r="D76" s="2349">
        <v>28</v>
      </c>
      <c r="E76" s="2349"/>
      <c r="F76" s="2349">
        <f t="shared" si="0"/>
        <v>28</v>
      </c>
      <c r="G76" s="2421"/>
      <c r="H76" s="2421"/>
      <c r="I76" s="2425"/>
      <c r="J76" s="2426"/>
    </row>
    <row r="77" spans="1:10" s="2427" customFormat="1">
      <c r="A77" s="2329"/>
      <c r="B77" s="2348" t="s">
        <v>4942</v>
      </c>
      <c r="C77" s="2349" t="s">
        <v>2566</v>
      </c>
      <c r="D77" s="2349">
        <v>28</v>
      </c>
      <c r="E77" s="2349"/>
      <c r="F77" s="2349">
        <f t="shared" si="0"/>
        <v>28</v>
      </c>
      <c r="G77" s="2421">
        <v>628991</v>
      </c>
      <c r="H77" s="2421">
        <f t="shared" si="1"/>
        <v>17611748</v>
      </c>
      <c r="I77" s="2425"/>
      <c r="J77" s="2426"/>
    </row>
    <row r="78" spans="1:10" s="2427" customFormat="1">
      <c r="A78" s="2329"/>
      <c r="B78" s="2348" t="s">
        <v>4943</v>
      </c>
      <c r="C78" s="2349" t="s">
        <v>2566</v>
      </c>
      <c r="D78" s="2349">
        <v>28</v>
      </c>
      <c r="E78" s="2349"/>
      <c r="F78" s="2349">
        <f t="shared" si="0"/>
        <v>28</v>
      </c>
      <c r="G78" s="2421">
        <v>265755</v>
      </c>
      <c r="H78" s="2421">
        <f t="shared" si="1"/>
        <v>7441140</v>
      </c>
      <c r="I78" s="2425"/>
      <c r="J78" s="2426"/>
    </row>
    <row r="79" spans="1:10" s="2427" customFormat="1">
      <c r="A79" s="2355"/>
      <c r="B79" s="2358" t="s">
        <v>4944</v>
      </c>
      <c r="C79" s="2359" t="s">
        <v>2256</v>
      </c>
      <c r="D79" s="2359">
        <v>1</v>
      </c>
      <c r="E79" s="2359"/>
      <c r="F79" s="2349">
        <f t="shared" si="0"/>
        <v>1</v>
      </c>
      <c r="G79" s="2431">
        <v>35685</v>
      </c>
      <c r="H79" s="2421">
        <f t="shared" si="1"/>
        <v>35685</v>
      </c>
      <c r="I79" s="2425"/>
      <c r="J79" s="2426"/>
    </row>
    <row r="80" spans="1:10" s="2427" customFormat="1">
      <c r="A80" s="2329"/>
      <c r="B80" s="2348" t="s">
        <v>2660</v>
      </c>
      <c r="C80" s="2349" t="s">
        <v>2448</v>
      </c>
      <c r="D80" s="2349">
        <v>56</v>
      </c>
      <c r="E80" s="2349"/>
      <c r="F80" s="2349">
        <f t="shared" ref="F80:F143" si="2">D80+E80</f>
        <v>56</v>
      </c>
      <c r="G80" s="2421">
        <v>33655</v>
      </c>
      <c r="H80" s="2421">
        <f t="shared" ref="H80:H143" si="3">ROUND((G80*F80),0)</f>
        <v>1884680</v>
      </c>
      <c r="I80" s="2425"/>
      <c r="J80" s="2426"/>
    </row>
    <row r="81" spans="1:10" s="2427" customFormat="1">
      <c r="A81" s="2329"/>
      <c r="B81" s="2348" t="s">
        <v>2648</v>
      </c>
      <c r="C81" s="2349" t="s">
        <v>2448</v>
      </c>
      <c r="D81" s="2349">
        <v>28</v>
      </c>
      <c r="E81" s="2349"/>
      <c r="F81" s="2349">
        <f t="shared" si="2"/>
        <v>28</v>
      </c>
      <c r="G81" s="2421">
        <v>12882</v>
      </c>
      <c r="H81" s="2421">
        <f t="shared" si="3"/>
        <v>360696</v>
      </c>
      <c r="I81" s="2425"/>
      <c r="J81" s="2426"/>
    </row>
    <row r="82" spans="1:10" s="2427" customFormat="1">
      <c r="A82" s="2361"/>
      <c r="B82" s="2348" t="s">
        <v>4945</v>
      </c>
      <c r="C82" s="2349" t="s">
        <v>2448</v>
      </c>
      <c r="D82" s="2349">
        <v>1</v>
      </c>
      <c r="E82" s="2349"/>
      <c r="F82" s="2349">
        <f t="shared" si="2"/>
        <v>1</v>
      </c>
      <c r="G82" s="2421">
        <v>858327</v>
      </c>
      <c r="H82" s="2421">
        <f t="shared" si="3"/>
        <v>858327</v>
      </c>
      <c r="I82" s="2425"/>
      <c r="J82" s="2426"/>
    </row>
    <row r="83" spans="1:10" s="2427" customFormat="1">
      <c r="A83" s="2329">
        <v>14</v>
      </c>
      <c r="B83" s="2341" t="s">
        <v>2440</v>
      </c>
      <c r="C83" s="2329" t="s">
        <v>2394</v>
      </c>
      <c r="D83" s="2329">
        <v>1</v>
      </c>
      <c r="E83" s="2329"/>
      <c r="F83" s="2349">
        <f t="shared" si="2"/>
        <v>1</v>
      </c>
      <c r="G83" s="2421"/>
      <c r="H83" s="2421"/>
      <c r="I83" s="2425"/>
      <c r="J83" s="2426"/>
    </row>
    <row r="84" spans="1:10" s="2427" customFormat="1">
      <c r="A84" s="2329"/>
      <c r="B84" s="2348" t="s">
        <v>4942</v>
      </c>
      <c r="C84" s="2349" t="s">
        <v>2566</v>
      </c>
      <c r="D84" s="2349">
        <v>2</v>
      </c>
      <c r="E84" s="2349"/>
      <c r="F84" s="2349">
        <f t="shared" si="2"/>
        <v>2</v>
      </c>
      <c r="G84" s="2421">
        <v>628991</v>
      </c>
      <c r="H84" s="2421">
        <f t="shared" si="3"/>
        <v>1257982</v>
      </c>
      <c r="I84" s="2425"/>
      <c r="J84" s="2426"/>
    </row>
    <row r="85" spans="1:10" s="2427" customFormat="1">
      <c r="A85" s="2329"/>
      <c r="B85" s="2348" t="s">
        <v>4943</v>
      </c>
      <c r="C85" s="2349" t="s">
        <v>2566</v>
      </c>
      <c r="D85" s="2349">
        <v>2</v>
      </c>
      <c r="E85" s="2349"/>
      <c r="F85" s="2349">
        <f t="shared" si="2"/>
        <v>2</v>
      </c>
      <c r="G85" s="2421">
        <v>265755</v>
      </c>
      <c r="H85" s="2421">
        <f t="shared" si="3"/>
        <v>531510</v>
      </c>
      <c r="I85" s="2425"/>
      <c r="J85" s="2426"/>
    </row>
    <row r="86" spans="1:10" s="2427" customFormat="1">
      <c r="A86" s="2329"/>
      <c r="B86" s="2348" t="s">
        <v>2671</v>
      </c>
      <c r="C86" s="2349" t="s">
        <v>2448</v>
      </c>
      <c r="D86" s="2349">
        <v>3</v>
      </c>
      <c r="E86" s="2349"/>
      <c r="F86" s="2349">
        <f t="shared" si="2"/>
        <v>3</v>
      </c>
      <c r="G86" s="2421">
        <v>31798</v>
      </c>
      <c r="H86" s="2421">
        <f t="shared" si="3"/>
        <v>95394</v>
      </c>
      <c r="I86" s="2425"/>
      <c r="J86" s="2426"/>
    </row>
    <row r="87" spans="1:10" s="2427" customFormat="1">
      <c r="A87" s="2329"/>
      <c r="B87" s="2348" t="s">
        <v>2660</v>
      </c>
      <c r="C87" s="2349" t="s">
        <v>2448</v>
      </c>
      <c r="D87" s="2349">
        <v>2</v>
      </c>
      <c r="E87" s="2349"/>
      <c r="F87" s="2349">
        <f t="shared" si="2"/>
        <v>2</v>
      </c>
      <c r="G87" s="2421">
        <v>33655</v>
      </c>
      <c r="H87" s="2421">
        <f t="shared" si="3"/>
        <v>67310</v>
      </c>
      <c r="I87" s="2425"/>
      <c r="J87" s="2426"/>
    </row>
    <row r="88" spans="1:10" s="2427" customFormat="1">
      <c r="A88" s="2329"/>
      <c r="B88" s="2348" t="s">
        <v>2648</v>
      </c>
      <c r="C88" s="2349" t="s">
        <v>2448</v>
      </c>
      <c r="D88" s="2349">
        <v>2</v>
      </c>
      <c r="E88" s="2349"/>
      <c r="F88" s="2349">
        <f t="shared" si="2"/>
        <v>2</v>
      </c>
      <c r="G88" s="2421">
        <v>12882</v>
      </c>
      <c r="H88" s="2421">
        <f t="shared" si="3"/>
        <v>25764</v>
      </c>
      <c r="I88" s="2425"/>
      <c r="J88" s="2426"/>
    </row>
    <row r="89" spans="1:10" s="2427" customFormat="1">
      <c r="A89" s="2361"/>
      <c r="B89" s="2348" t="s">
        <v>4946</v>
      </c>
      <c r="C89" s="2349" t="s">
        <v>2448</v>
      </c>
      <c r="D89" s="2349">
        <v>1</v>
      </c>
      <c r="E89" s="2349"/>
      <c r="F89" s="2349">
        <f t="shared" si="2"/>
        <v>1</v>
      </c>
      <c r="G89" s="2421">
        <v>1161268</v>
      </c>
      <c r="H89" s="2421">
        <f t="shared" si="3"/>
        <v>1161268</v>
      </c>
      <c r="I89" s="2425"/>
      <c r="J89" s="2426"/>
    </row>
    <row r="90" spans="1:10" s="2427" customFormat="1">
      <c r="A90" s="2329">
        <v>15</v>
      </c>
      <c r="B90" s="2341" t="s">
        <v>4947</v>
      </c>
      <c r="C90" s="2329" t="s">
        <v>2394</v>
      </c>
      <c r="D90" s="2349">
        <v>1</v>
      </c>
      <c r="E90" s="2349"/>
      <c r="F90" s="2349">
        <f t="shared" si="2"/>
        <v>1</v>
      </c>
      <c r="G90" s="2421">
        <v>0</v>
      </c>
      <c r="H90" s="2421">
        <f t="shared" si="3"/>
        <v>0</v>
      </c>
      <c r="I90" s="2425"/>
      <c r="J90" s="2426"/>
    </row>
    <row r="91" spans="1:10" s="2427" customFormat="1">
      <c r="A91" s="2329"/>
      <c r="B91" s="2348" t="s">
        <v>4948</v>
      </c>
      <c r="C91" s="2349" t="s">
        <v>2601</v>
      </c>
      <c r="D91" s="2349">
        <v>1</v>
      </c>
      <c r="E91" s="2349"/>
      <c r="F91" s="2349">
        <f t="shared" si="2"/>
        <v>1</v>
      </c>
      <c r="G91" s="2421">
        <v>371360</v>
      </c>
      <c r="H91" s="2421">
        <f t="shared" si="3"/>
        <v>371360</v>
      </c>
      <c r="I91" s="2425"/>
      <c r="J91" s="2426"/>
    </row>
    <row r="92" spans="1:10" s="2427" customFormat="1">
      <c r="A92" s="2329"/>
      <c r="B92" s="2348" t="s">
        <v>4949</v>
      </c>
      <c r="C92" s="2349" t="s">
        <v>2601</v>
      </c>
      <c r="D92" s="2349">
        <v>1</v>
      </c>
      <c r="E92" s="2349"/>
      <c r="F92" s="2349">
        <f t="shared" si="2"/>
        <v>1</v>
      </c>
      <c r="G92" s="2421">
        <v>116050</v>
      </c>
      <c r="H92" s="2421">
        <f t="shared" si="3"/>
        <v>116050</v>
      </c>
      <c r="I92" s="2425"/>
      <c r="J92" s="2426"/>
    </row>
    <row r="93" spans="1:10" s="2427" customFormat="1">
      <c r="A93" s="2329"/>
      <c r="B93" s="2348" t="s">
        <v>2663</v>
      </c>
      <c r="C93" s="2349" t="s">
        <v>2448</v>
      </c>
      <c r="D93" s="2349">
        <v>2</v>
      </c>
      <c r="E93" s="2349"/>
      <c r="F93" s="2349">
        <f t="shared" si="2"/>
        <v>2</v>
      </c>
      <c r="G93" s="2421">
        <v>35976</v>
      </c>
      <c r="H93" s="2421">
        <f t="shared" si="3"/>
        <v>71952</v>
      </c>
      <c r="I93" s="2425"/>
      <c r="J93" s="2426"/>
    </row>
    <row r="94" spans="1:10" s="2427" customFormat="1">
      <c r="A94" s="2329"/>
      <c r="B94" s="2348" t="s">
        <v>2651</v>
      </c>
      <c r="C94" s="2349" t="s">
        <v>2448</v>
      </c>
      <c r="D94" s="2349">
        <v>1</v>
      </c>
      <c r="E94" s="2349"/>
      <c r="F94" s="2349">
        <f t="shared" si="2"/>
        <v>1</v>
      </c>
      <c r="G94" s="2421">
        <v>19032</v>
      </c>
      <c r="H94" s="2421">
        <f t="shared" si="3"/>
        <v>19032</v>
      </c>
      <c r="I94" s="2425"/>
      <c r="J94" s="2426"/>
    </row>
    <row r="95" spans="1:10" s="2427" customFormat="1">
      <c r="A95" s="2329"/>
      <c r="B95" s="2348" t="s">
        <v>4950</v>
      </c>
      <c r="C95" s="2349" t="s">
        <v>2448</v>
      </c>
      <c r="D95" s="2349">
        <v>1</v>
      </c>
      <c r="E95" s="2349"/>
      <c r="F95" s="2349">
        <f t="shared" si="2"/>
        <v>1</v>
      </c>
      <c r="G95" s="2421">
        <v>387461</v>
      </c>
      <c r="H95" s="2421">
        <f t="shared" si="3"/>
        <v>387461</v>
      </c>
      <c r="I95" s="2425"/>
      <c r="J95" s="2426"/>
    </row>
    <row r="96" spans="1:10" s="2427" customFormat="1">
      <c r="A96" s="2329" t="s">
        <v>1903</v>
      </c>
      <c r="B96" s="2341" t="s">
        <v>4951</v>
      </c>
      <c r="C96" s="2349"/>
      <c r="D96" s="2360"/>
      <c r="E96" s="2360"/>
      <c r="F96" s="2349"/>
      <c r="G96" s="2421"/>
      <c r="H96" s="2421"/>
      <c r="I96" s="2425"/>
      <c r="J96" s="2426"/>
    </row>
    <row r="97" spans="1:10" s="2427" customFormat="1">
      <c r="A97" s="2361">
        <v>16</v>
      </c>
      <c r="B97" s="2341" t="s">
        <v>4952</v>
      </c>
      <c r="C97" s="2329" t="s">
        <v>2309</v>
      </c>
      <c r="D97" s="2349">
        <v>1</v>
      </c>
      <c r="E97" s="2349"/>
      <c r="F97" s="2349">
        <f t="shared" si="2"/>
        <v>1</v>
      </c>
      <c r="G97" s="2421"/>
      <c r="H97" s="2421"/>
      <c r="I97" s="2425"/>
      <c r="J97" s="2426"/>
    </row>
    <row r="98" spans="1:10" s="2427" customFormat="1">
      <c r="A98" s="2361"/>
      <c r="B98" s="2348" t="s">
        <v>4953</v>
      </c>
      <c r="C98" s="2349" t="s">
        <v>2541</v>
      </c>
      <c r="D98" s="2429">
        <v>3716</v>
      </c>
      <c r="E98" s="2429"/>
      <c r="F98" s="2349">
        <f t="shared" si="2"/>
        <v>3716</v>
      </c>
      <c r="G98" s="2421">
        <v>70791</v>
      </c>
      <c r="H98" s="2421">
        <f t="shared" si="3"/>
        <v>263059356</v>
      </c>
      <c r="I98" s="2425"/>
      <c r="J98" s="2426"/>
    </row>
    <row r="99" spans="1:10" s="2427" customFormat="1">
      <c r="A99" s="2329"/>
      <c r="B99" s="2348" t="s">
        <v>4954</v>
      </c>
      <c r="C99" s="2349" t="s">
        <v>2541</v>
      </c>
      <c r="D99" s="2349">
        <v>12</v>
      </c>
      <c r="E99" s="2349"/>
      <c r="F99" s="2349">
        <f t="shared" si="2"/>
        <v>12</v>
      </c>
      <c r="G99" s="2421">
        <v>115586</v>
      </c>
      <c r="H99" s="2421">
        <f t="shared" si="3"/>
        <v>1387032</v>
      </c>
      <c r="I99" s="2425"/>
      <c r="J99" s="2426"/>
    </row>
    <row r="100" spans="1:10" s="2427" customFormat="1">
      <c r="A100" s="2329"/>
      <c r="B100" s="2348" t="s">
        <v>3530</v>
      </c>
      <c r="C100" s="2349" t="s">
        <v>2541</v>
      </c>
      <c r="D100" s="2349">
        <v>490</v>
      </c>
      <c r="E100" s="2349"/>
      <c r="F100" s="2349">
        <f t="shared" si="2"/>
        <v>490</v>
      </c>
      <c r="G100" s="2421">
        <v>56632</v>
      </c>
      <c r="H100" s="2421">
        <f t="shared" si="3"/>
        <v>27749680</v>
      </c>
      <c r="I100" s="2425"/>
      <c r="J100" s="2426"/>
    </row>
    <row r="101" spans="1:10" s="2427" customFormat="1">
      <c r="A101" s="2329">
        <v>17</v>
      </c>
      <c r="B101" s="2341" t="s">
        <v>2542</v>
      </c>
      <c r="C101" s="2329" t="s">
        <v>2448</v>
      </c>
      <c r="D101" s="2349">
        <v>27</v>
      </c>
      <c r="E101" s="2349"/>
      <c r="F101" s="2349">
        <f t="shared" si="2"/>
        <v>27</v>
      </c>
      <c r="G101" s="2421"/>
      <c r="H101" s="2421">
        <f t="shared" si="3"/>
        <v>0</v>
      </c>
      <c r="I101" s="2425"/>
      <c r="J101" s="2426"/>
    </row>
    <row r="102" spans="1:10" s="2427" customFormat="1">
      <c r="A102" s="2329"/>
      <c r="B102" s="2348" t="s">
        <v>2951</v>
      </c>
      <c r="C102" s="2349" t="s">
        <v>2448</v>
      </c>
      <c r="D102" s="2349">
        <v>27</v>
      </c>
      <c r="E102" s="2349"/>
      <c r="F102" s="2349">
        <f t="shared" si="2"/>
        <v>27</v>
      </c>
      <c r="G102" s="2421">
        <v>40618</v>
      </c>
      <c r="H102" s="2421">
        <f t="shared" si="3"/>
        <v>1096686</v>
      </c>
      <c r="I102" s="2425"/>
      <c r="J102" s="2426"/>
    </row>
    <row r="103" spans="1:10" s="2427" customFormat="1">
      <c r="A103" s="2329"/>
      <c r="B103" s="2348" t="s">
        <v>2660</v>
      </c>
      <c r="C103" s="2349" t="s">
        <v>2448</v>
      </c>
      <c r="D103" s="2349">
        <v>27</v>
      </c>
      <c r="E103" s="2349"/>
      <c r="F103" s="2349">
        <f t="shared" si="2"/>
        <v>27</v>
      </c>
      <c r="G103" s="2421">
        <v>33655</v>
      </c>
      <c r="H103" s="2421">
        <f t="shared" si="3"/>
        <v>908685</v>
      </c>
      <c r="I103" s="2425"/>
      <c r="J103" s="2426"/>
    </row>
    <row r="104" spans="1:10" s="2427" customFormat="1">
      <c r="A104" s="2329">
        <v>18</v>
      </c>
      <c r="B104" s="2341" t="s">
        <v>2514</v>
      </c>
      <c r="C104" s="2329" t="s">
        <v>2448</v>
      </c>
      <c r="D104" s="2349">
        <v>89</v>
      </c>
      <c r="E104" s="2349"/>
      <c r="F104" s="2349">
        <f t="shared" si="2"/>
        <v>89</v>
      </c>
      <c r="G104" s="2421"/>
      <c r="H104" s="2421">
        <f t="shared" si="3"/>
        <v>0</v>
      </c>
      <c r="I104" s="2425"/>
      <c r="J104" s="2426"/>
    </row>
    <row r="105" spans="1:10" s="2427" customFormat="1">
      <c r="A105" s="2329"/>
      <c r="B105" s="2348" t="s">
        <v>4955</v>
      </c>
      <c r="C105" s="2349" t="s">
        <v>2566</v>
      </c>
      <c r="D105" s="2349">
        <v>89</v>
      </c>
      <c r="E105" s="2349"/>
      <c r="F105" s="2349">
        <f t="shared" si="2"/>
        <v>89</v>
      </c>
      <c r="G105" s="2421">
        <v>255310</v>
      </c>
      <c r="H105" s="2421">
        <f t="shared" si="3"/>
        <v>22722590</v>
      </c>
      <c r="I105" s="2425"/>
      <c r="J105" s="2426"/>
    </row>
    <row r="106" spans="1:10" s="2427" customFormat="1">
      <c r="A106" s="2329"/>
      <c r="B106" s="2348" t="s">
        <v>4956</v>
      </c>
      <c r="C106" s="2349" t="s">
        <v>2566</v>
      </c>
      <c r="D106" s="2349">
        <v>89</v>
      </c>
      <c r="E106" s="2349"/>
      <c r="F106" s="2349">
        <f t="shared" si="2"/>
        <v>89</v>
      </c>
      <c r="G106" s="2421">
        <v>78914</v>
      </c>
      <c r="H106" s="2421">
        <f t="shared" si="3"/>
        <v>7023346</v>
      </c>
      <c r="I106" s="2425"/>
      <c r="J106" s="2426"/>
    </row>
    <row r="107" spans="1:10" s="2427" customFormat="1">
      <c r="A107" s="2329">
        <v>19</v>
      </c>
      <c r="B107" s="2341" t="s">
        <v>2525</v>
      </c>
      <c r="C107" s="2329" t="s">
        <v>2521</v>
      </c>
      <c r="D107" s="2349">
        <v>26</v>
      </c>
      <c r="E107" s="2349"/>
      <c r="F107" s="2349">
        <f t="shared" si="2"/>
        <v>26</v>
      </c>
      <c r="G107" s="2421"/>
      <c r="H107" s="2421"/>
      <c r="I107" s="2425"/>
      <c r="J107" s="2426"/>
    </row>
    <row r="108" spans="1:10" s="2427" customFormat="1">
      <c r="A108" s="2329"/>
      <c r="B108" s="2348" t="s">
        <v>4957</v>
      </c>
      <c r="C108" s="2349" t="s">
        <v>2521</v>
      </c>
      <c r="D108" s="2349">
        <v>26</v>
      </c>
      <c r="E108" s="2349"/>
      <c r="F108" s="2349">
        <f t="shared" si="2"/>
        <v>26</v>
      </c>
      <c r="G108" s="2421">
        <v>290125</v>
      </c>
      <c r="H108" s="2421">
        <f t="shared" si="3"/>
        <v>7543250</v>
      </c>
      <c r="I108" s="2425"/>
      <c r="J108" s="2426"/>
    </row>
    <row r="109" spans="1:10" s="2427" customFormat="1">
      <c r="A109" s="2329"/>
      <c r="B109" s="2348" t="s">
        <v>2932</v>
      </c>
      <c r="C109" s="2349" t="s">
        <v>2566</v>
      </c>
      <c r="D109" s="2349">
        <v>52</v>
      </c>
      <c r="E109" s="2349"/>
      <c r="F109" s="2349">
        <f t="shared" si="2"/>
        <v>52</v>
      </c>
      <c r="G109" s="2421">
        <v>25531</v>
      </c>
      <c r="H109" s="2421">
        <f t="shared" si="3"/>
        <v>1327612</v>
      </c>
      <c r="I109" s="2425"/>
      <c r="J109" s="2426"/>
    </row>
    <row r="110" spans="1:10" s="2427" customFormat="1">
      <c r="A110" s="2329"/>
      <c r="B110" s="2348" t="s">
        <v>4958</v>
      </c>
      <c r="C110" s="2349" t="s">
        <v>2448</v>
      </c>
      <c r="D110" s="2349">
        <v>26</v>
      </c>
      <c r="E110" s="2349"/>
      <c r="F110" s="2349">
        <f t="shared" si="2"/>
        <v>26</v>
      </c>
      <c r="G110" s="2421">
        <v>359755</v>
      </c>
      <c r="H110" s="2421">
        <f t="shared" si="3"/>
        <v>9353630</v>
      </c>
      <c r="I110" s="2425"/>
      <c r="J110" s="2426"/>
    </row>
    <row r="111" spans="1:10" s="2427" customFormat="1">
      <c r="A111" s="2329"/>
      <c r="B111" s="2348" t="s">
        <v>4959</v>
      </c>
      <c r="C111" s="2349" t="s">
        <v>4960</v>
      </c>
      <c r="D111" s="2349">
        <v>90</v>
      </c>
      <c r="E111" s="2349"/>
      <c r="F111" s="2349">
        <f t="shared" si="2"/>
        <v>90</v>
      </c>
      <c r="G111" s="2421">
        <v>261113</v>
      </c>
      <c r="H111" s="2421">
        <f t="shared" si="3"/>
        <v>23500170</v>
      </c>
      <c r="I111" s="2425"/>
      <c r="J111" s="2426"/>
    </row>
    <row r="112" spans="1:10" s="2427" customFormat="1">
      <c r="A112" s="2329"/>
      <c r="B112" s="2348" t="s">
        <v>4961</v>
      </c>
      <c r="C112" s="2349" t="s">
        <v>4960</v>
      </c>
      <c r="D112" s="2349">
        <v>6</v>
      </c>
      <c r="E112" s="2349"/>
      <c r="F112" s="2349">
        <f t="shared" si="2"/>
        <v>6</v>
      </c>
      <c r="G112" s="2421">
        <v>261113</v>
      </c>
      <c r="H112" s="2421">
        <f t="shared" si="3"/>
        <v>1566678</v>
      </c>
      <c r="I112" s="2425"/>
      <c r="J112" s="2426"/>
    </row>
    <row r="113" spans="1:10" s="2427" customFormat="1">
      <c r="A113" s="2329"/>
      <c r="B113" s="2348" t="s">
        <v>2892</v>
      </c>
      <c r="C113" s="2349" t="s">
        <v>2566</v>
      </c>
      <c r="D113" s="2349">
        <v>10</v>
      </c>
      <c r="E113" s="2349"/>
      <c r="F113" s="2349">
        <f t="shared" si="2"/>
        <v>10</v>
      </c>
      <c r="G113" s="2421">
        <v>9865</v>
      </c>
      <c r="H113" s="2421">
        <f t="shared" si="3"/>
        <v>98650</v>
      </c>
      <c r="I113" s="2425"/>
      <c r="J113" s="2426"/>
    </row>
    <row r="114" spans="1:10" s="2427" customFormat="1">
      <c r="A114" s="2329"/>
      <c r="B114" s="2348" t="s">
        <v>4962</v>
      </c>
      <c r="C114" s="2349" t="s">
        <v>2566</v>
      </c>
      <c r="D114" s="2349">
        <v>150</v>
      </c>
      <c r="E114" s="2349"/>
      <c r="F114" s="2349">
        <f t="shared" si="2"/>
        <v>150</v>
      </c>
      <c r="G114" s="2421">
        <v>69630</v>
      </c>
      <c r="H114" s="2421">
        <f t="shared" si="3"/>
        <v>10444500</v>
      </c>
      <c r="I114" s="2425"/>
      <c r="J114" s="2426"/>
    </row>
    <row r="115" spans="1:10" s="2427" customFormat="1">
      <c r="A115" s="2329"/>
      <c r="B115" s="2348" t="s">
        <v>4963</v>
      </c>
      <c r="C115" s="2349" t="s">
        <v>2541</v>
      </c>
      <c r="D115" s="2349">
        <v>3</v>
      </c>
      <c r="E115" s="2349"/>
      <c r="F115" s="2349">
        <f t="shared" si="2"/>
        <v>3</v>
      </c>
      <c r="G115" s="2421">
        <v>168273</v>
      </c>
      <c r="H115" s="2421">
        <f t="shared" si="3"/>
        <v>504819</v>
      </c>
      <c r="I115" s="2425"/>
      <c r="J115" s="2426"/>
    </row>
    <row r="116" spans="1:10" s="2427" customFormat="1">
      <c r="A116" s="2329"/>
      <c r="B116" s="2348" t="s">
        <v>3813</v>
      </c>
      <c r="C116" s="2349" t="s">
        <v>2566</v>
      </c>
      <c r="D116" s="2349">
        <v>10</v>
      </c>
      <c r="E116" s="2349"/>
      <c r="F116" s="2349">
        <f t="shared" si="2"/>
        <v>10</v>
      </c>
      <c r="G116" s="2421">
        <v>52223</v>
      </c>
      <c r="H116" s="2421">
        <f t="shared" si="3"/>
        <v>522230</v>
      </c>
      <c r="I116" s="2425"/>
      <c r="J116" s="2426"/>
    </row>
    <row r="117" spans="1:10" s="2427" customFormat="1">
      <c r="A117" s="2329"/>
      <c r="B117" s="2348" t="s">
        <v>4365</v>
      </c>
      <c r="C117" s="2349" t="s">
        <v>2566</v>
      </c>
      <c r="D117" s="2349">
        <v>10</v>
      </c>
      <c r="E117" s="2349"/>
      <c r="F117" s="2349">
        <f t="shared" si="2"/>
        <v>10</v>
      </c>
      <c r="G117" s="2421">
        <v>75433</v>
      </c>
      <c r="H117" s="2421">
        <f t="shared" si="3"/>
        <v>754330</v>
      </c>
      <c r="I117" s="2425"/>
      <c r="J117" s="2426"/>
    </row>
    <row r="118" spans="1:10" s="2427" customFormat="1">
      <c r="A118" s="2329"/>
      <c r="B118" s="2348" t="s">
        <v>4964</v>
      </c>
      <c r="C118" s="2349" t="s">
        <v>2566</v>
      </c>
      <c r="D118" s="2349">
        <v>13</v>
      </c>
      <c r="E118" s="2349"/>
      <c r="F118" s="2349">
        <f t="shared" si="2"/>
        <v>13</v>
      </c>
      <c r="G118" s="2421">
        <v>141581</v>
      </c>
      <c r="H118" s="2421">
        <f t="shared" si="3"/>
        <v>1840553</v>
      </c>
      <c r="I118" s="2425"/>
      <c r="J118" s="2426"/>
    </row>
    <row r="119" spans="1:10" s="2427" customFormat="1">
      <c r="A119" s="2329"/>
      <c r="B119" s="2348" t="s">
        <v>2901</v>
      </c>
      <c r="C119" s="2349" t="s">
        <v>2566</v>
      </c>
      <c r="D119" s="2349">
        <v>3</v>
      </c>
      <c r="E119" s="2349"/>
      <c r="F119" s="2349">
        <f t="shared" si="2"/>
        <v>3</v>
      </c>
      <c r="G119" s="2421">
        <v>73112</v>
      </c>
      <c r="H119" s="2421">
        <f t="shared" si="3"/>
        <v>219336</v>
      </c>
      <c r="I119" s="2425"/>
      <c r="J119" s="2426"/>
    </row>
    <row r="120" spans="1:10" s="2427" customFormat="1">
      <c r="A120" s="2329"/>
      <c r="B120" s="2348" t="s">
        <v>2902</v>
      </c>
      <c r="C120" s="2349" t="s">
        <v>2566</v>
      </c>
      <c r="D120" s="2349">
        <v>3</v>
      </c>
      <c r="E120" s="2349"/>
      <c r="F120" s="2349">
        <f t="shared" si="2"/>
        <v>3</v>
      </c>
      <c r="G120" s="2421">
        <v>109668</v>
      </c>
      <c r="H120" s="2421">
        <f t="shared" si="3"/>
        <v>329004</v>
      </c>
      <c r="I120" s="2425"/>
      <c r="J120" s="2426"/>
    </row>
    <row r="121" spans="1:10" s="2427" customFormat="1">
      <c r="A121" s="2329"/>
      <c r="B121" s="2348" t="s">
        <v>2943</v>
      </c>
      <c r="C121" s="2349" t="s">
        <v>2566</v>
      </c>
      <c r="D121" s="2349">
        <v>1</v>
      </c>
      <c r="E121" s="2349"/>
      <c r="F121" s="2349">
        <f t="shared" si="2"/>
        <v>1</v>
      </c>
      <c r="G121" s="2421">
        <v>34815</v>
      </c>
      <c r="H121" s="2421">
        <f t="shared" si="3"/>
        <v>34815</v>
      </c>
      <c r="I121" s="2425"/>
      <c r="J121" s="2426"/>
    </row>
    <row r="122" spans="1:10" s="2427" customFormat="1">
      <c r="A122" s="2329"/>
      <c r="B122" s="2348" t="s">
        <v>2945</v>
      </c>
      <c r="C122" s="2362" t="s">
        <v>2566</v>
      </c>
      <c r="D122" s="2349">
        <v>12</v>
      </c>
      <c r="E122" s="2349"/>
      <c r="F122" s="2349">
        <f t="shared" si="2"/>
        <v>12</v>
      </c>
      <c r="G122" s="2421">
        <v>45260</v>
      </c>
      <c r="H122" s="2421">
        <f t="shared" si="3"/>
        <v>543120</v>
      </c>
      <c r="I122" s="2425"/>
      <c r="J122" s="2426"/>
    </row>
    <row r="123" spans="1:10" s="2427" customFormat="1" ht="30">
      <c r="A123" s="2329"/>
      <c r="B123" s="2348" t="s">
        <v>4965</v>
      </c>
      <c r="C123" s="2349" t="s">
        <v>2448</v>
      </c>
      <c r="D123" s="2349">
        <v>6</v>
      </c>
      <c r="E123" s="2349"/>
      <c r="F123" s="2349">
        <f t="shared" si="2"/>
        <v>6</v>
      </c>
      <c r="G123" s="2421">
        <v>46420</v>
      </c>
      <c r="H123" s="2421">
        <f t="shared" si="3"/>
        <v>278520</v>
      </c>
      <c r="I123" s="2425"/>
      <c r="J123" s="2426"/>
    </row>
    <row r="124" spans="1:10" s="2427" customFormat="1" ht="30">
      <c r="A124" s="2329"/>
      <c r="B124" s="2348" t="s">
        <v>4966</v>
      </c>
      <c r="C124" s="2349" t="s">
        <v>2448</v>
      </c>
      <c r="D124" s="2349">
        <v>6</v>
      </c>
      <c r="E124" s="2349"/>
      <c r="F124" s="2349">
        <f t="shared" si="2"/>
        <v>6</v>
      </c>
      <c r="G124" s="2421">
        <v>55704</v>
      </c>
      <c r="H124" s="2421">
        <f t="shared" si="3"/>
        <v>334224</v>
      </c>
      <c r="I124" s="2425"/>
      <c r="J124" s="2426"/>
    </row>
    <row r="125" spans="1:10" s="2427" customFormat="1" ht="30">
      <c r="A125" s="2329"/>
      <c r="B125" s="2348" t="s">
        <v>4967</v>
      </c>
      <c r="C125" s="2349" t="s">
        <v>2448</v>
      </c>
      <c r="D125" s="2349">
        <v>6</v>
      </c>
      <c r="E125" s="2349"/>
      <c r="F125" s="2349">
        <f t="shared" si="2"/>
        <v>6</v>
      </c>
      <c r="G125" s="2421">
        <v>73112</v>
      </c>
      <c r="H125" s="2421">
        <f t="shared" si="3"/>
        <v>438672</v>
      </c>
      <c r="I125" s="2425"/>
      <c r="J125" s="2426"/>
    </row>
    <row r="126" spans="1:10" s="2427" customFormat="1">
      <c r="A126" s="2329"/>
      <c r="B126" s="2348" t="s">
        <v>4968</v>
      </c>
      <c r="C126" s="2349" t="s">
        <v>2566</v>
      </c>
      <c r="D126" s="2349">
        <v>14</v>
      </c>
      <c r="E126" s="2349"/>
      <c r="F126" s="2349">
        <f t="shared" si="2"/>
        <v>14</v>
      </c>
      <c r="G126" s="2421">
        <v>150865</v>
      </c>
      <c r="H126" s="2421">
        <f t="shared" si="3"/>
        <v>2112110</v>
      </c>
      <c r="I126" s="2425"/>
      <c r="J126" s="2426"/>
    </row>
    <row r="127" spans="1:10" s="2427" customFormat="1" ht="30">
      <c r="A127" s="2329"/>
      <c r="B127" s="2348" t="s">
        <v>4969</v>
      </c>
      <c r="C127" s="2349" t="s">
        <v>2044</v>
      </c>
      <c r="D127" s="2349">
        <v>3.6440000000000001</v>
      </c>
      <c r="E127" s="2349"/>
      <c r="F127" s="2349">
        <f t="shared" si="2"/>
        <v>3.6440000000000001</v>
      </c>
      <c r="G127" s="2421">
        <v>6783663</v>
      </c>
      <c r="H127" s="2421">
        <f t="shared" si="3"/>
        <v>24719668</v>
      </c>
      <c r="I127" s="2425"/>
      <c r="J127" s="2426"/>
    </row>
    <row r="128" spans="1:10" s="2427" customFormat="1">
      <c r="A128" s="2329"/>
      <c r="B128" s="2348" t="s">
        <v>3292</v>
      </c>
      <c r="C128" s="2349" t="s">
        <v>2448</v>
      </c>
      <c r="D128" s="2349">
        <v>89</v>
      </c>
      <c r="E128" s="2349"/>
      <c r="F128" s="2349">
        <f t="shared" si="2"/>
        <v>89</v>
      </c>
      <c r="G128" s="2421">
        <v>143261</v>
      </c>
      <c r="H128" s="2421">
        <f t="shared" si="3"/>
        <v>12750229</v>
      </c>
      <c r="I128" s="2425"/>
      <c r="J128" s="2426"/>
    </row>
    <row r="129" spans="1:10" s="2427" customFormat="1">
      <c r="A129" s="2329"/>
      <c r="B129" s="2348" t="s">
        <v>3297</v>
      </c>
      <c r="C129" s="2349" t="s">
        <v>2521</v>
      </c>
      <c r="D129" s="2349">
        <v>26</v>
      </c>
      <c r="E129" s="2349"/>
      <c r="F129" s="2349">
        <f t="shared" si="2"/>
        <v>26</v>
      </c>
      <c r="G129" s="2421">
        <v>146494</v>
      </c>
      <c r="H129" s="2421">
        <f t="shared" si="3"/>
        <v>3808844</v>
      </c>
      <c r="I129" s="2425"/>
      <c r="J129" s="2426"/>
    </row>
    <row r="130" spans="1:10" s="2427" customFormat="1">
      <c r="A130" s="2329"/>
      <c r="B130" s="2348" t="s">
        <v>3299</v>
      </c>
      <c r="C130" s="2349" t="s">
        <v>2448</v>
      </c>
      <c r="D130" s="2349">
        <v>27</v>
      </c>
      <c r="E130" s="2349"/>
      <c r="F130" s="2349">
        <f t="shared" si="2"/>
        <v>27</v>
      </c>
      <c r="G130" s="2421">
        <v>38035</v>
      </c>
      <c r="H130" s="2421">
        <f t="shared" si="3"/>
        <v>1026945</v>
      </c>
      <c r="I130" s="2425"/>
      <c r="J130" s="2426"/>
    </row>
    <row r="131" spans="1:10" s="2427" customFormat="1" ht="24" customHeight="1">
      <c r="A131" s="2329">
        <v>20</v>
      </c>
      <c r="B131" s="2341" t="s">
        <v>4970</v>
      </c>
      <c r="C131" s="2349"/>
      <c r="D131" s="2349"/>
      <c r="E131" s="2349"/>
      <c r="F131" s="2349">
        <f t="shared" si="2"/>
        <v>0</v>
      </c>
      <c r="G131" s="2421">
        <v>0</v>
      </c>
      <c r="H131" s="2421">
        <f t="shared" si="3"/>
        <v>0</v>
      </c>
      <c r="I131" s="2425"/>
      <c r="J131" s="2426"/>
    </row>
    <row r="132" spans="1:10" s="2427" customFormat="1">
      <c r="A132" s="2329"/>
      <c r="B132" s="2348" t="s">
        <v>4515</v>
      </c>
      <c r="C132" s="2349" t="s">
        <v>2541</v>
      </c>
      <c r="D132" s="2349">
        <v>449</v>
      </c>
      <c r="E132" s="2349"/>
      <c r="F132" s="2349">
        <f t="shared" si="2"/>
        <v>449</v>
      </c>
      <c r="G132" s="2421">
        <v>129164</v>
      </c>
      <c r="H132" s="2421">
        <f t="shared" si="3"/>
        <v>57994636</v>
      </c>
      <c r="I132" s="2425"/>
      <c r="J132" s="2426"/>
    </row>
    <row r="133" spans="1:10" s="2427" customFormat="1">
      <c r="A133" s="2329"/>
      <c r="B133" s="2348" t="s">
        <v>4971</v>
      </c>
      <c r="C133" s="2349" t="s">
        <v>2541</v>
      </c>
      <c r="D133" s="2349">
        <v>61</v>
      </c>
      <c r="E133" s="2349"/>
      <c r="F133" s="2349">
        <f t="shared" si="2"/>
        <v>61</v>
      </c>
      <c r="G133" s="2421">
        <v>826972</v>
      </c>
      <c r="H133" s="2421">
        <f t="shared" si="3"/>
        <v>50445292</v>
      </c>
      <c r="I133" s="2425"/>
      <c r="J133" s="2426"/>
    </row>
    <row r="134" spans="1:10" s="2427" customFormat="1">
      <c r="A134" s="2329"/>
      <c r="B134" s="2348" t="s">
        <v>2656</v>
      </c>
      <c r="C134" s="2349" t="s">
        <v>2448</v>
      </c>
      <c r="D134" s="2349">
        <v>11</v>
      </c>
      <c r="E134" s="2349"/>
      <c r="F134" s="2349">
        <f t="shared" si="2"/>
        <v>11</v>
      </c>
      <c r="G134" s="2421">
        <v>31334</v>
      </c>
      <c r="H134" s="2421">
        <f t="shared" si="3"/>
        <v>344674</v>
      </c>
      <c r="I134" s="2425"/>
      <c r="J134" s="2426"/>
    </row>
    <row r="135" spans="1:10" s="2427" customFormat="1" ht="24" customHeight="1">
      <c r="A135" s="2329"/>
      <c r="B135" s="2348" t="s">
        <v>2697</v>
      </c>
      <c r="C135" s="2349" t="s">
        <v>2448</v>
      </c>
      <c r="D135" s="2349">
        <v>11</v>
      </c>
      <c r="E135" s="2349"/>
      <c r="F135" s="2349">
        <f t="shared" si="2"/>
        <v>11</v>
      </c>
      <c r="G135" s="2421">
        <v>39457</v>
      </c>
      <c r="H135" s="2421">
        <f t="shared" si="3"/>
        <v>434027</v>
      </c>
      <c r="I135" s="2425"/>
      <c r="J135" s="2426"/>
    </row>
    <row r="136" spans="1:10" s="2427" customFormat="1">
      <c r="A136" s="2329"/>
      <c r="B136" s="2348" t="s">
        <v>4962</v>
      </c>
      <c r="C136" s="2349" t="s">
        <v>2566</v>
      </c>
      <c r="D136" s="2349">
        <v>55</v>
      </c>
      <c r="E136" s="2349"/>
      <c r="F136" s="2349">
        <f t="shared" si="2"/>
        <v>55</v>
      </c>
      <c r="G136" s="2421">
        <v>69630</v>
      </c>
      <c r="H136" s="2421">
        <f t="shared" si="3"/>
        <v>3829650</v>
      </c>
      <c r="I136" s="2425"/>
      <c r="J136" s="2426"/>
    </row>
    <row r="137" spans="1:10" s="2427" customFormat="1">
      <c r="A137" s="2329"/>
      <c r="B137" s="2348" t="s">
        <v>4972</v>
      </c>
      <c r="C137" s="2349" t="s">
        <v>2566</v>
      </c>
      <c r="D137" s="2349">
        <v>11</v>
      </c>
      <c r="E137" s="2349"/>
      <c r="F137" s="2349">
        <f t="shared" si="2"/>
        <v>11</v>
      </c>
      <c r="G137" s="2421">
        <v>429385</v>
      </c>
      <c r="H137" s="2421">
        <f t="shared" si="3"/>
        <v>4723235</v>
      </c>
      <c r="I137" s="2425"/>
      <c r="J137" s="2426"/>
    </row>
    <row r="138" spans="1:10" s="2427" customFormat="1">
      <c r="A138" s="2329"/>
      <c r="B138" s="2348" t="s">
        <v>2801</v>
      </c>
      <c r="C138" s="2349" t="s">
        <v>2541</v>
      </c>
      <c r="D138" s="2349">
        <v>44</v>
      </c>
      <c r="E138" s="2349"/>
      <c r="F138" s="2349">
        <f t="shared" si="2"/>
        <v>44</v>
      </c>
      <c r="G138" s="2421">
        <v>56632</v>
      </c>
      <c r="H138" s="2421">
        <f t="shared" si="3"/>
        <v>2491808</v>
      </c>
      <c r="I138" s="2425"/>
      <c r="J138" s="2426"/>
    </row>
    <row r="139" spans="1:10" s="2427" customFormat="1">
      <c r="A139" s="2329"/>
      <c r="B139" s="2348" t="s">
        <v>4973</v>
      </c>
      <c r="C139" s="2349" t="s">
        <v>2566</v>
      </c>
      <c r="D139" s="2349">
        <v>9</v>
      </c>
      <c r="E139" s="2349"/>
      <c r="F139" s="2349">
        <f t="shared" si="2"/>
        <v>9</v>
      </c>
      <c r="G139" s="2421">
        <v>25531</v>
      </c>
      <c r="H139" s="2421">
        <f t="shared" si="3"/>
        <v>229779</v>
      </c>
      <c r="I139" s="2425"/>
      <c r="J139" s="2426"/>
    </row>
    <row r="140" spans="1:10" s="2427" customFormat="1">
      <c r="A140" s="2329"/>
      <c r="B140" s="2348" t="s">
        <v>4808</v>
      </c>
      <c r="C140" s="2349" t="s">
        <v>2566</v>
      </c>
      <c r="D140" s="2349">
        <v>2</v>
      </c>
      <c r="E140" s="2349"/>
      <c r="F140" s="2349">
        <f t="shared" si="2"/>
        <v>2</v>
      </c>
      <c r="G140" s="2421">
        <v>63828</v>
      </c>
      <c r="H140" s="2421">
        <f t="shared" si="3"/>
        <v>127656</v>
      </c>
      <c r="I140" s="2425"/>
      <c r="J140" s="2426"/>
    </row>
    <row r="141" spans="1:10" s="2427" customFormat="1">
      <c r="A141" s="2329"/>
      <c r="B141" s="2348" t="s">
        <v>2887</v>
      </c>
      <c r="C141" s="2349" t="s">
        <v>2566</v>
      </c>
      <c r="D141" s="2349">
        <v>8</v>
      </c>
      <c r="E141" s="2349"/>
      <c r="F141" s="2349">
        <f t="shared" si="2"/>
        <v>8</v>
      </c>
      <c r="G141" s="2421">
        <v>5223</v>
      </c>
      <c r="H141" s="2421">
        <f t="shared" si="3"/>
        <v>41784</v>
      </c>
      <c r="I141" s="2425"/>
      <c r="J141" s="2426"/>
    </row>
    <row r="142" spans="1:10" s="2427" customFormat="1">
      <c r="A142" s="2329"/>
      <c r="B142" s="2348" t="s">
        <v>4974</v>
      </c>
      <c r="C142" s="2349" t="s">
        <v>2448</v>
      </c>
      <c r="D142" s="2349">
        <v>1</v>
      </c>
      <c r="E142" s="2349"/>
      <c r="F142" s="2349">
        <f t="shared" si="2"/>
        <v>1</v>
      </c>
      <c r="G142" s="2421">
        <v>754325</v>
      </c>
      <c r="H142" s="2421">
        <f t="shared" si="3"/>
        <v>754325</v>
      </c>
      <c r="I142" s="2425"/>
      <c r="J142" s="2426"/>
    </row>
    <row r="143" spans="1:10" s="2427" customFormat="1">
      <c r="A143" s="2329">
        <v>21</v>
      </c>
      <c r="B143" s="2363" t="s">
        <v>4975</v>
      </c>
      <c r="C143" s="2334" t="s">
        <v>2448</v>
      </c>
      <c r="D143" s="2349">
        <v>1</v>
      </c>
      <c r="E143" s="2349"/>
      <c r="F143" s="2349">
        <f t="shared" si="2"/>
        <v>1</v>
      </c>
      <c r="G143" s="2421"/>
      <c r="H143" s="2421">
        <f t="shared" si="3"/>
        <v>0</v>
      </c>
      <c r="I143" s="2425"/>
      <c r="J143" s="2426"/>
    </row>
    <row r="144" spans="1:10" s="2427" customFormat="1">
      <c r="A144" s="2329"/>
      <c r="B144" s="2348" t="s">
        <v>4976</v>
      </c>
      <c r="C144" s="2349" t="s">
        <v>2566</v>
      </c>
      <c r="D144" s="2349">
        <v>1</v>
      </c>
      <c r="E144" s="2349"/>
      <c r="F144" s="2349">
        <f t="shared" ref="F144:F207" si="4">D144+E144</f>
        <v>1</v>
      </c>
      <c r="G144" s="2421">
        <v>2460260</v>
      </c>
      <c r="H144" s="2421">
        <f t="shared" ref="H144:H207" si="5">ROUND((G144*F144),0)</f>
        <v>2460260</v>
      </c>
      <c r="I144" s="2425"/>
      <c r="J144" s="2426"/>
    </row>
    <row r="145" spans="1:10" s="2427" customFormat="1">
      <c r="A145" s="2329"/>
      <c r="B145" s="2348" t="s">
        <v>3483</v>
      </c>
      <c r="C145" s="2349" t="s">
        <v>2566</v>
      </c>
      <c r="D145" s="2349">
        <v>6</v>
      </c>
      <c r="E145" s="2349"/>
      <c r="F145" s="2349">
        <f t="shared" si="4"/>
        <v>6</v>
      </c>
      <c r="G145" s="2421">
        <v>40618</v>
      </c>
      <c r="H145" s="2421">
        <f t="shared" si="5"/>
        <v>243708</v>
      </c>
      <c r="I145" s="2425"/>
      <c r="J145" s="2426"/>
    </row>
    <row r="146" spans="1:10" s="2427" customFormat="1">
      <c r="A146" s="2329"/>
      <c r="B146" s="2348" t="s">
        <v>3516</v>
      </c>
      <c r="C146" s="2349" t="s">
        <v>2566</v>
      </c>
      <c r="D146" s="2349">
        <v>6</v>
      </c>
      <c r="E146" s="2349"/>
      <c r="F146" s="2349">
        <f t="shared" si="4"/>
        <v>6</v>
      </c>
      <c r="G146" s="2421">
        <v>3134</v>
      </c>
      <c r="H146" s="2421">
        <f t="shared" si="5"/>
        <v>18804</v>
      </c>
      <c r="I146" s="2425"/>
      <c r="J146" s="2426"/>
    </row>
    <row r="147" spans="1:10" s="2427" customFormat="1">
      <c r="A147" s="2329"/>
      <c r="B147" s="2348" t="s">
        <v>3237</v>
      </c>
      <c r="C147" s="2349" t="s">
        <v>2044</v>
      </c>
      <c r="D147" s="2349">
        <v>0.06</v>
      </c>
      <c r="E147" s="2349"/>
      <c r="F147" s="2349">
        <f t="shared" si="4"/>
        <v>0.06</v>
      </c>
      <c r="G147" s="2421">
        <v>0</v>
      </c>
      <c r="H147" s="2421">
        <f t="shared" si="5"/>
        <v>0</v>
      </c>
      <c r="I147" s="2425"/>
      <c r="J147" s="2426"/>
    </row>
    <row r="148" spans="1:10" s="2427" customFormat="1">
      <c r="A148" s="2329"/>
      <c r="B148" s="2348" t="s">
        <v>4977</v>
      </c>
      <c r="C148" s="2349" t="s">
        <v>2044</v>
      </c>
      <c r="D148" s="2349">
        <v>0.44</v>
      </c>
      <c r="E148" s="2349"/>
      <c r="F148" s="2349">
        <f t="shared" si="4"/>
        <v>0.44</v>
      </c>
      <c r="G148" s="2421">
        <v>26708384</v>
      </c>
      <c r="H148" s="2421">
        <f t="shared" si="5"/>
        <v>11751689</v>
      </c>
      <c r="I148" s="2425"/>
      <c r="J148" s="2426"/>
    </row>
    <row r="149" spans="1:10" s="2427" customFormat="1">
      <c r="A149" s="2329">
        <v>22</v>
      </c>
      <c r="B149" s="2341" t="s">
        <v>2580</v>
      </c>
      <c r="C149" s="2329"/>
      <c r="D149" s="2360"/>
      <c r="E149" s="2360"/>
      <c r="F149" s="2349"/>
      <c r="G149" s="2421"/>
      <c r="H149" s="2421"/>
      <c r="I149" s="2425"/>
      <c r="J149" s="2426"/>
    </row>
    <row r="150" spans="1:10" s="2427" customFormat="1">
      <c r="A150" s="2329"/>
      <c r="B150" s="2348" t="s">
        <v>95</v>
      </c>
      <c r="C150" s="2349" t="s">
        <v>2566</v>
      </c>
      <c r="D150" s="2349">
        <v>1</v>
      </c>
      <c r="E150" s="2349"/>
      <c r="F150" s="2349">
        <f t="shared" si="4"/>
        <v>1</v>
      </c>
      <c r="G150" s="2421">
        <v>2186583</v>
      </c>
      <c r="H150" s="2421">
        <f t="shared" si="5"/>
        <v>2186583</v>
      </c>
      <c r="I150" s="2425"/>
      <c r="J150" s="2426"/>
    </row>
    <row r="151" spans="1:10" s="2427" customFormat="1">
      <c r="A151" s="2329"/>
      <c r="B151" s="2348" t="s">
        <v>3445</v>
      </c>
      <c r="C151" s="2349" t="s">
        <v>2611</v>
      </c>
      <c r="D151" s="2349">
        <v>1</v>
      </c>
      <c r="E151" s="2349"/>
      <c r="F151" s="2349">
        <f t="shared" si="4"/>
        <v>1</v>
      </c>
      <c r="G151" s="2421">
        <v>49902</v>
      </c>
      <c r="H151" s="2421">
        <f t="shared" si="5"/>
        <v>49902</v>
      </c>
      <c r="I151" s="2425"/>
      <c r="J151" s="2426"/>
    </row>
    <row r="152" spans="1:10" s="2427" customFormat="1">
      <c r="A152" s="2367">
        <v>23</v>
      </c>
      <c r="B152" s="2341" t="s">
        <v>4978</v>
      </c>
      <c r="C152" s="2368"/>
      <c r="D152" s="2368"/>
      <c r="E152" s="2368"/>
      <c r="F152" s="2349"/>
      <c r="G152" s="2421"/>
      <c r="H152" s="2421"/>
      <c r="I152" s="2425"/>
      <c r="J152" s="2426"/>
    </row>
    <row r="153" spans="1:10" s="2427" customFormat="1">
      <c r="A153" s="2367"/>
      <c r="B153" s="2348" t="s">
        <v>4979</v>
      </c>
      <c r="C153" s="2368" t="s">
        <v>2394</v>
      </c>
      <c r="D153" s="2368">
        <v>8</v>
      </c>
      <c r="E153" s="2368"/>
      <c r="F153" s="2349">
        <f t="shared" si="4"/>
        <v>8</v>
      </c>
      <c r="G153" s="2421">
        <v>1549864</v>
      </c>
      <c r="H153" s="2421">
        <f t="shared" si="5"/>
        <v>12398912</v>
      </c>
      <c r="I153" s="2425"/>
      <c r="J153" s="2426"/>
    </row>
    <row r="154" spans="1:10" s="2427" customFormat="1">
      <c r="A154" s="2367"/>
      <c r="B154" s="2348" t="s">
        <v>4980</v>
      </c>
      <c r="C154" s="2368" t="s">
        <v>3321</v>
      </c>
      <c r="D154" s="2368">
        <v>2</v>
      </c>
      <c r="E154" s="2368"/>
      <c r="F154" s="2349">
        <f t="shared" si="4"/>
        <v>2</v>
      </c>
      <c r="G154" s="2421">
        <v>2112433</v>
      </c>
      <c r="H154" s="2421">
        <f t="shared" si="5"/>
        <v>4224866</v>
      </c>
      <c r="I154" s="2425"/>
      <c r="J154" s="2426"/>
    </row>
    <row r="155" spans="1:10" s="2427" customFormat="1">
      <c r="A155" s="2367"/>
      <c r="B155" s="2348" t="s">
        <v>4135</v>
      </c>
      <c r="C155" s="2368" t="s">
        <v>2566</v>
      </c>
      <c r="D155" s="2368">
        <v>8</v>
      </c>
      <c r="E155" s="2368"/>
      <c r="F155" s="2349">
        <f t="shared" si="4"/>
        <v>8</v>
      </c>
      <c r="G155" s="2421">
        <v>443315</v>
      </c>
      <c r="H155" s="2421">
        <f t="shared" si="5"/>
        <v>3546520</v>
      </c>
      <c r="I155" s="2425"/>
      <c r="J155" s="2426"/>
    </row>
    <row r="156" spans="1:10" s="2427" customFormat="1">
      <c r="A156" s="2367"/>
      <c r="B156" s="2348" t="s">
        <v>4981</v>
      </c>
      <c r="C156" s="2368" t="s">
        <v>2566</v>
      </c>
      <c r="D156" s="2368">
        <v>8</v>
      </c>
      <c r="E156" s="2368"/>
      <c r="F156" s="2349">
        <f t="shared" si="4"/>
        <v>8</v>
      </c>
      <c r="G156" s="2421">
        <v>166244</v>
      </c>
      <c r="H156" s="2421">
        <f t="shared" si="5"/>
        <v>1329952</v>
      </c>
      <c r="I156" s="2425"/>
      <c r="J156" s="2426"/>
    </row>
    <row r="157" spans="1:10" s="2427" customFormat="1">
      <c r="A157" s="2367"/>
      <c r="B157" s="2348" t="s">
        <v>4982</v>
      </c>
      <c r="C157" s="2368" t="s">
        <v>3321</v>
      </c>
      <c r="D157" s="2368">
        <v>2</v>
      </c>
      <c r="E157" s="2368"/>
      <c r="F157" s="2349">
        <f t="shared" si="4"/>
        <v>2</v>
      </c>
      <c r="G157" s="2421">
        <v>2868737</v>
      </c>
      <c r="H157" s="2421">
        <f t="shared" si="5"/>
        <v>5737474</v>
      </c>
      <c r="I157" s="2425"/>
      <c r="J157" s="2426"/>
    </row>
    <row r="158" spans="1:10" s="2427" customFormat="1">
      <c r="A158" s="2367"/>
      <c r="B158" s="2348" t="s">
        <v>5005</v>
      </c>
      <c r="C158" s="2368" t="s">
        <v>3321</v>
      </c>
      <c r="D158" s="2368">
        <v>1</v>
      </c>
      <c r="E158" s="2368"/>
      <c r="F158" s="2349">
        <f t="shared" si="4"/>
        <v>1</v>
      </c>
      <c r="G158" s="2421">
        <v>3049058</v>
      </c>
      <c r="H158" s="2421">
        <f t="shared" si="5"/>
        <v>3049058</v>
      </c>
      <c r="I158" s="2425"/>
      <c r="J158" s="2426"/>
    </row>
    <row r="159" spans="1:10" s="2427" customFormat="1">
      <c r="A159" s="2367"/>
      <c r="B159" s="2348" t="s">
        <v>4984</v>
      </c>
      <c r="C159" s="2368" t="s">
        <v>2566</v>
      </c>
      <c r="D159" s="2368">
        <v>8</v>
      </c>
      <c r="E159" s="2368"/>
      <c r="F159" s="2349">
        <f t="shared" si="4"/>
        <v>8</v>
      </c>
      <c r="G159" s="2421">
        <v>547304</v>
      </c>
      <c r="H159" s="2421">
        <f t="shared" si="5"/>
        <v>4378432</v>
      </c>
      <c r="I159" s="2425"/>
      <c r="J159" s="2426"/>
    </row>
    <row r="160" spans="1:10" s="2427" customFormat="1">
      <c r="A160" s="2367"/>
      <c r="B160" s="2348" t="s">
        <v>3311</v>
      </c>
      <c r="C160" s="2368" t="s">
        <v>2566</v>
      </c>
      <c r="D160" s="2368">
        <v>8</v>
      </c>
      <c r="E160" s="2368"/>
      <c r="F160" s="2349">
        <f t="shared" si="4"/>
        <v>8</v>
      </c>
      <c r="G160" s="2421">
        <v>205239</v>
      </c>
      <c r="H160" s="2421">
        <f t="shared" si="5"/>
        <v>1641912</v>
      </c>
      <c r="I160" s="2425"/>
      <c r="J160" s="2426"/>
    </row>
    <row r="161" spans="1:10" s="2427" customFormat="1">
      <c r="A161" s="2367"/>
      <c r="B161" s="2348" t="s">
        <v>4985</v>
      </c>
      <c r="C161" s="2368" t="s">
        <v>2394</v>
      </c>
      <c r="D161" s="2368">
        <v>3</v>
      </c>
      <c r="E161" s="2368"/>
      <c r="F161" s="2349">
        <f t="shared" si="4"/>
        <v>3</v>
      </c>
      <c r="G161" s="2421">
        <v>2421662</v>
      </c>
      <c r="H161" s="2421">
        <f t="shared" si="5"/>
        <v>7264986</v>
      </c>
      <c r="I161" s="2425"/>
      <c r="J161" s="2426"/>
    </row>
    <row r="162" spans="1:10" s="2427" customFormat="1">
      <c r="A162" s="2367"/>
      <c r="B162" s="2348" t="s">
        <v>4135</v>
      </c>
      <c r="C162" s="2368" t="s">
        <v>2566</v>
      </c>
      <c r="D162" s="2368">
        <v>4</v>
      </c>
      <c r="E162" s="2368"/>
      <c r="F162" s="2349">
        <f t="shared" si="4"/>
        <v>4</v>
      </c>
      <c r="G162" s="2421">
        <v>443315</v>
      </c>
      <c r="H162" s="2421">
        <f t="shared" si="5"/>
        <v>1773260</v>
      </c>
      <c r="I162" s="2425"/>
      <c r="J162" s="2426"/>
    </row>
    <row r="163" spans="1:10" s="2427" customFormat="1">
      <c r="A163" s="2367"/>
      <c r="B163" s="2348" t="s">
        <v>4986</v>
      </c>
      <c r="C163" s="2368" t="s">
        <v>4987</v>
      </c>
      <c r="D163" s="2368">
        <v>18</v>
      </c>
      <c r="E163" s="2368"/>
      <c r="F163" s="2349">
        <f t="shared" si="4"/>
        <v>18</v>
      </c>
      <c r="G163" s="2421">
        <v>30808</v>
      </c>
      <c r="H163" s="2421">
        <f t="shared" si="5"/>
        <v>554544</v>
      </c>
      <c r="I163" s="2425"/>
      <c r="J163" s="2426"/>
    </row>
    <row r="164" spans="1:10" s="2427" customFormat="1">
      <c r="A164" s="2367"/>
      <c r="B164" s="2348" t="s">
        <v>4988</v>
      </c>
      <c r="C164" s="2368" t="s">
        <v>4987</v>
      </c>
      <c r="D164" s="2368">
        <v>18</v>
      </c>
      <c r="E164" s="2368"/>
      <c r="F164" s="2349">
        <f t="shared" si="4"/>
        <v>18</v>
      </c>
      <c r="G164" s="2421">
        <v>116042</v>
      </c>
      <c r="H164" s="2421">
        <f t="shared" si="5"/>
        <v>2088756</v>
      </c>
      <c r="I164" s="2425"/>
      <c r="J164" s="2426"/>
    </row>
    <row r="165" spans="1:10" s="2427" customFormat="1">
      <c r="A165" s="2367"/>
      <c r="B165" s="2348" t="s">
        <v>4989</v>
      </c>
      <c r="C165" s="2368" t="s">
        <v>2394</v>
      </c>
      <c r="D165" s="2368">
        <v>9</v>
      </c>
      <c r="E165" s="2368"/>
      <c r="F165" s="2349">
        <f t="shared" si="4"/>
        <v>9</v>
      </c>
      <c r="G165" s="2421">
        <v>124067</v>
      </c>
      <c r="H165" s="2421">
        <f t="shared" si="5"/>
        <v>1116603</v>
      </c>
      <c r="I165" s="2425"/>
      <c r="J165" s="2426"/>
    </row>
    <row r="166" spans="1:10" s="2427" customFormat="1">
      <c r="A166" s="2367"/>
      <c r="B166" s="2348" t="s">
        <v>4990</v>
      </c>
      <c r="C166" s="2368" t="s">
        <v>2044</v>
      </c>
      <c r="D166" s="2368">
        <v>4.7699999999999996</v>
      </c>
      <c r="E166" s="2368"/>
      <c r="F166" s="2349">
        <f t="shared" si="4"/>
        <v>4.7699999999999996</v>
      </c>
      <c r="G166" s="2421">
        <v>5269013</v>
      </c>
      <c r="H166" s="2421">
        <f t="shared" si="5"/>
        <v>25133192</v>
      </c>
      <c r="I166" s="2425"/>
      <c r="J166" s="2426"/>
    </row>
    <row r="167" spans="1:10" s="2427" customFormat="1">
      <c r="A167" s="2367"/>
      <c r="B167" s="2348" t="s">
        <v>4991</v>
      </c>
      <c r="C167" s="2368" t="s">
        <v>2394</v>
      </c>
      <c r="D167" s="2368">
        <v>1</v>
      </c>
      <c r="E167" s="2368"/>
      <c r="F167" s="2349">
        <f t="shared" si="4"/>
        <v>1</v>
      </c>
      <c r="G167" s="2421">
        <v>449534</v>
      </c>
      <c r="H167" s="2421">
        <f t="shared" si="5"/>
        <v>449534</v>
      </c>
      <c r="I167" s="2425"/>
      <c r="J167" s="2426"/>
    </row>
    <row r="168" spans="1:10" s="2427" customFormat="1">
      <c r="A168" s="2367"/>
      <c r="B168" s="2348" t="s">
        <v>4992</v>
      </c>
      <c r="C168" s="2368" t="s">
        <v>2842</v>
      </c>
      <c r="D168" s="2368">
        <v>19</v>
      </c>
      <c r="E168" s="2368"/>
      <c r="F168" s="2349">
        <f t="shared" si="4"/>
        <v>19</v>
      </c>
      <c r="G168" s="2421">
        <v>1088528</v>
      </c>
      <c r="H168" s="2421">
        <f t="shared" si="5"/>
        <v>20682032</v>
      </c>
      <c r="I168" s="2425"/>
      <c r="J168" s="2426"/>
    </row>
    <row r="169" spans="1:10" s="2427" customFormat="1">
      <c r="A169" s="2367"/>
      <c r="B169" s="2348" t="s">
        <v>4993</v>
      </c>
      <c r="C169" s="2368" t="s">
        <v>2842</v>
      </c>
      <c r="D169" s="2368">
        <v>15</v>
      </c>
      <c r="E169" s="2368"/>
      <c r="F169" s="2349">
        <f t="shared" si="4"/>
        <v>15</v>
      </c>
      <c r="G169" s="2421">
        <v>949894</v>
      </c>
      <c r="H169" s="2421">
        <f t="shared" si="5"/>
        <v>14248410</v>
      </c>
      <c r="I169" s="2425"/>
      <c r="J169" s="2426"/>
    </row>
    <row r="170" spans="1:10" s="2427" customFormat="1">
      <c r="A170" s="2367"/>
      <c r="B170" s="2348" t="s">
        <v>4984</v>
      </c>
      <c r="C170" s="2368" t="s">
        <v>2566</v>
      </c>
      <c r="D170" s="2368">
        <v>4</v>
      </c>
      <c r="E170" s="2368"/>
      <c r="F170" s="2349">
        <f t="shared" si="4"/>
        <v>4</v>
      </c>
      <c r="G170" s="2421">
        <v>547304</v>
      </c>
      <c r="H170" s="2421">
        <f t="shared" si="5"/>
        <v>2189216</v>
      </c>
      <c r="I170" s="2425"/>
      <c r="J170" s="2426"/>
    </row>
    <row r="171" spans="1:10" s="2427" customFormat="1">
      <c r="A171" s="2367"/>
      <c r="B171" s="2348" t="s">
        <v>4994</v>
      </c>
      <c r="C171" s="2368" t="s">
        <v>2044</v>
      </c>
      <c r="D171" s="2368">
        <v>1.2</v>
      </c>
      <c r="E171" s="2368"/>
      <c r="F171" s="2349">
        <f t="shared" si="4"/>
        <v>1.2</v>
      </c>
      <c r="G171" s="2421">
        <v>4000632</v>
      </c>
      <c r="H171" s="2421">
        <f t="shared" si="5"/>
        <v>4800758</v>
      </c>
      <c r="I171" s="2425"/>
      <c r="J171" s="2426"/>
    </row>
    <row r="172" spans="1:10" s="2427" customFormat="1">
      <c r="A172" s="2367"/>
      <c r="B172" s="2348" t="s">
        <v>4995</v>
      </c>
      <c r="C172" s="2368" t="s">
        <v>2044</v>
      </c>
      <c r="D172" s="2368">
        <v>1.1930000000000001</v>
      </c>
      <c r="E172" s="2368"/>
      <c r="F172" s="2349">
        <f t="shared" si="4"/>
        <v>1.1930000000000001</v>
      </c>
      <c r="G172" s="2421">
        <v>4553468</v>
      </c>
      <c r="H172" s="2421">
        <f t="shared" si="5"/>
        <v>5432287</v>
      </c>
      <c r="I172" s="2425"/>
      <c r="J172" s="2426"/>
    </row>
    <row r="173" spans="1:10" s="2427" customFormat="1">
      <c r="A173" s="2367"/>
      <c r="B173" s="2348" t="s">
        <v>4996</v>
      </c>
      <c r="C173" s="2368" t="s">
        <v>2842</v>
      </c>
      <c r="D173" s="2368">
        <v>5</v>
      </c>
      <c r="E173" s="2368"/>
      <c r="F173" s="2349">
        <f t="shared" si="4"/>
        <v>5</v>
      </c>
      <c r="G173" s="2421">
        <v>1450353</v>
      </c>
      <c r="H173" s="2421">
        <f t="shared" si="5"/>
        <v>7251765</v>
      </c>
      <c r="I173" s="2425"/>
      <c r="J173" s="2426"/>
    </row>
    <row r="174" spans="1:10" s="2427" customFormat="1">
      <c r="A174" s="2367">
        <v>24</v>
      </c>
      <c r="B174" s="2375" t="s">
        <v>4997</v>
      </c>
      <c r="C174" s="2368"/>
      <c r="D174" s="2368"/>
      <c r="E174" s="2368"/>
      <c r="F174" s="2349">
        <f t="shared" si="4"/>
        <v>0</v>
      </c>
      <c r="G174" s="2421"/>
      <c r="H174" s="2421">
        <f t="shared" si="5"/>
        <v>0</v>
      </c>
      <c r="I174" s="2425"/>
      <c r="J174" s="2426"/>
    </row>
    <row r="175" spans="1:10" s="2427" customFormat="1">
      <c r="A175" s="2367"/>
      <c r="B175" s="2376" t="s">
        <v>2397</v>
      </c>
      <c r="C175" s="2368" t="s">
        <v>2394</v>
      </c>
      <c r="D175" s="2368">
        <v>4</v>
      </c>
      <c r="E175" s="2368"/>
      <c r="F175" s="2349">
        <f t="shared" si="4"/>
        <v>4</v>
      </c>
      <c r="G175" s="2421">
        <v>1091048</v>
      </c>
      <c r="H175" s="2421">
        <f t="shared" si="5"/>
        <v>4364192</v>
      </c>
      <c r="I175" s="2425"/>
      <c r="J175" s="2426"/>
    </row>
    <row r="176" spans="1:10" s="2427" customFormat="1">
      <c r="A176" s="2367" t="s">
        <v>1906</v>
      </c>
      <c r="B176" s="2341" t="s">
        <v>4998</v>
      </c>
      <c r="C176" s="2368"/>
      <c r="D176" s="2368"/>
      <c r="E176" s="2368"/>
      <c r="F176" s="2349"/>
      <c r="G176" s="2421"/>
      <c r="H176" s="2421"/>
      <c r="I176" s="2425"/>
      <c r="J176" s="2426"/>
    </row>
    <row r="177" spans="1:10" s="2427" customFormat="1">
      <c r="A177" s="2367">
        <v>25</v>
      </c>
      <c r="B177" s="2375" t="s">
        <v>4999</v>
      </c>
      <c r="C177" s="2368"/>
      <c r="D177" s="2368"/>
      <c r="E177" s="2368"/>
      <c r="F177" s="2349"/>
      <c r="G177" s="2421"/>
      <c r="H177" s="2421"/>
      <c r="I177" s="2425"/>
      <c r="J177" s="2426"/>
    </row>
    <row r="178" spans="1:10" s="2427" customFormat="1" ht="30">
      <c r="A178" s="2367"/>
      <c r="B178" s="2376" t="s">
        <v>5000</v>
      </c>
      <c r="C178" s="2368" t="s">
        <v>5001</v>
      </c>
      <c r="D178" s="2368">
        <v>1</v>
      </c>
      <c r="E178" s="2368"/>
      <c r="F178" s="2349">
        <f t="shared" si="4"/>
        <v>1</v>
      </c>
      <c r="G178" s="2421">
        <v>108058797</v>
      </c>
      <c r="H178" s="2421">
        <f t="shared" si="5"/>
        <v>108058797</v>
      </c>
      <c r="I178" s="2425"/>
      <c r="J178" s="2426"/>
    </row>
    <row r="179" spans="1:10" s="2427" customFormat="1">
      <c r="A179" s="2367"/>
      <c r="B179" s="2376" t="s">
        <v>5002</v>
      </c>
      <c r="C179" s="2368" t="s">
        <v>2566</v>
      </c>
      <c r="D179" s="2368">
        <v>1</v>
      </c>
      <c r="E179" s="2368"/>
      <c r="F179" s="2349">
        <f t="shared" si="4"/>
        <v>1</v>
      </c>
      <c r="G179" s="2421">
        <v>20318034</v>
      </c>
      <c r="H179" s="2421">
        <f t="shared" si="5"/>
        <v>20318034</v>
      </c>
      <c r="I179" s="2425"/>
      <c r="J179" s="2426"/>
    </row>
    <row r="180" spans="1:10" s="2427" customFormat="1">
      <c r="A180" s="2367"/>
      <c r="B180" s="2376" t="s">
        <v>5003</v>
      </c>
      <c r="C180" s="2368" t="s">
        <v>5001</v>
      </c>
      <c r="D180" s="2368">
        <v>1</v>
      </c>
      <c r="E180" s="2368"/>
      <c r="F180" s="2349">
        <f t="shared" si="4"/>
        <v>1</v>
      </c>
      <c r="G180" s="2421">
        <v>3013270</v>
      </c>
      <c r="H180" s="2421">
        <f t="shared" si="5"/>
        <v>3013270</v>
      </c>
      <c r="I180" s="2425"/>
      <c r="J180" s="2426"/>
    </row>
    <row r="181" spans="1:10" s="2427" customFormat="1">
      <c r="A181" s="2367"/>
      <c r="B181" s="2376" t="s">
        <v>5004</v>
      </c>
      <c r="C181" s="2368" t="s">
        <v>2394</v>
      </c>
      <c r="D181" s="2368">
        <v>1</v>
      </c>
      <c r="E181" s="2368"/>
      <c r="F181" s="2349">
        <f t="shared" si="4"/>
        <v>1</v>
      </c>
      <c r="G181" s="2421">
        <v>1702454</v>
      </c>
      <c r="H181" s="2421">
        <f t="shared" si="5"/>
        <v>1702454</v>
      </c>
      <c r="I181" s="2425"/>
      <c r="J181" s="2426"/>
    </row>
    <row r="182" spans="1:10" s="2427" customFormat="1">
      <c r="A182" s="2367"/>
      <c r="B182" s="2376" t="s">
        <v>5005</v>
      </c>
      <c r="C182" s="2368" t="s">
        <v>2394</v>
      </c>
      <c r="D182" s="2368">
        <v>1</v>
      </c>
      <c r="E182" s="2368"/>
      <c r="F182" s="2349">
        <f t="shared" si="4"/>
        <v>1</v>
      </c>
      <c r="G182" s="2421">
        <v>1790529</v>
      </c>
      <c r="H182" s="2421">
        <f t="shared" si="5"/>
        <v>1790529</v>
      </c>
      <c r="I182" s="2425"/>
      <c r="J182" s="2426"/>
    </row>
    <row r="183" spans="1:10" s="2427" customFormat="1">
      <c r="A183" s="2367"/>
      <c r="B183" s="2376" t="s">
        <v>5006</v>
      </c>
      <c r="C183" s="2368" t="s">
        <v>3466</v>
      </c>
      <c r="D183" s="2368">
        <v>1</v>
      </c>
      <c r="E183" s="2368"/>
      <c r="F183" s="2349">
        <f t="shared" si="4"/>
        <v>1</v>
      </c>
      <c r="G183" s="2421">
        <v>1283513</v>
      </c>
      <c r="H183" s="2421">
        <f t="shared" si="5"/>
        <v>1283513</v>
      </c>
      <c r="I183" s="2425"/>
      <c r="J183" s="2426"/>
    </row>
    <row r="184" spans="1:10" s="2427" customFormat="1">
      <c r="A184" s="2367"/>
      <c r="B184" s="2376" t="s">
        <v>5007</v>
      </c>
      <c r="C184" s="2368" t="s">
        <v>3466</v>
      </c>
      <c r="D184" s="2368">
        <v>1</v>
      </c>
      <c r="E184" s="2368"/>
      <c r="F184" s="2349">
        <f t="shared" si="4"/>
        <v>1</v>
      </c>
      <c r="G184" s="2421">
        <v>1865136</v>
      </c>
      <c r="H184" s="2421">
        <f t="shared" si="5"/>
        <v>1865136</v>
      </c>
      <c r="I184" s="2425"/>
      <c r="J184" s="2426"/>
    </row>
    <row r="185" spans="1:10" s="2427" customFormat="1">
      <c r="A185" s="2367"/>
      <c r="B185" s="2376" t="s">
        <v>5008</v>
      </c>
      <c r="C185" s="2368" t="s">
        <v>3466</v>
      </c>
      <c r="D185" s="2368">
        <v>1</v>
      </c>
      <c r="E185" s="2368"/>
      <c r="F185" s="2349">
        <f t="shared" si="4"/>
        <v>1</v>
      </c>
      <c r="G185" s="2421">
        <v>1592206</v>
      </c>
      <c r="H185" s="2421">
        <f t="shared" si="5"/>
        <v>1592206</v>
      </c>
      <c r="I185" s="2425"/>
      <c r="J185" s="2426"/>
    </row>
    <row r="186" spans="1:10" s="2427" customFormat="1">
      <c r="A186" s="2367"/>
      <c r="B186" s="2376" t="s">
        <v>5009</v>
      </c>
      <c r="C186" s="2368" t="s">
        <v>3466</v>
      </c>
      <c r="D186" s="2368">
        <v>1</v>
      </c>
      <c r="E186" s="2368"/>
      <c r="F186" s="2349">
        <f t="shared" si="4"/>
        <v>1</v>
      </c>
      <c r="G186" s="2421">
        <v>1865136</v>
      </c>
      <c r="H186" s="2421">
        <f t="shared" si="5"/>
        <v>1865136</v>
      </c>
      <c r="I186" s="2425"/>
      <c r="J186" s="2426"/>
    </row>
    <row r="187" spans="1:10" s="2427" customFormat="1">
      <c r="A187" s="2367"/>
      <c r="B187" s="2376" t="s">
        <v>5010</v>
      </c>
      <c r="C187" s="2368" t="s">
        <v>3466</v>
      </c>
      <c r="D187" s="2368">
        <v>2</v>
      </c>
      <c r="E187" s="2368"/>
      <c r="F187" s="2349">
        <f t="shared" si="4"/>
        <v>2</v>
      </c>
      <c r="G187" s="2421"/>
      <c r="H187" s="2421"/>
      <c r="I187" s="2425"/>
      <c r="J187" s="2426"/>
    </row>
    <row r="188" spans="1:10" s="2427" customFormat="1">
      <c r="A188" s="2367"/>
      <c r="B188" s="2376" t="s">
        <v>5011</v>
      </c>
      <c r="C188" s="2368" t="s">
        <v>3466</v>
      </c>
      <c r="D188" s="2368">
        <v>2</v>
      </c>
      <c r="E188" s="2368"/>
      <c r="F188" s="2349">
        <f t="shared" si="4"/>
        <v>2</v>
      </c>
      <c r="G188" s="2421">
        <v>671449</v>
      </c>
      <c r="H188" s="2421">
        <f t="shared" si="5"/>
        <v>1342898</v>
      </c>
      <c r="I188" s="2425"/>
      <c r="J188" s="2426"/>
    </row>
    <row r="189" spans="1:10" s="2427" customFormat="1">
      <c r="A189" s="2367">
        <v>26</v>
      </c>
      <c r="B189" s="2375" t="s">
        <v>5012</v>
      </c>
      <c r="C189" s="2367" t="s">
        <v>2394</v>
      </c>
      <c r="D189" s="2367">
        <v>1</v>
      </c>
      <c r="E189" s="2367"/>
      <c r="F189" s="2349">
        <f t="shared" si="4"/>
        <v>1</v>
      </c>
      <c r="G189" s="2421"/>
      <c r="H189" s="2421"/>
      <c r="I189" s="2425"/>
      <c r="J189" s="2426"/>
    </row>
    <row r="190" spans="1:10" s="2427" customFormat="1">
      <c r="A190" s="2367"/>
      <c r="B190" s="2376" t="s">
        <v>5013</v>
      </c>
      <c r="C190" s="2368" t="s">
        <v>3466</v>
      </c>
      <c r="D190" s="2368">
        <v>1</v>
      </c>
      <c r="E190" s="2368"/>
      <c r="F190" s="2349">
        <f t="shared" si="4"/>
        <v>1</v>
      </c>
      <c r="G190" s="2421">
        <v>1079265</v>
      </c>
      <c r="H190" s="2421">
        <f t="shared" si="5"/>
        <v>1079265</v>
      </c>
      <c r="I190" s="2425"/>
      <c r="J190" s="2426"/>
    </row>
    <row r="191" spans="1:10" s="2427" customFormat="1">
      <c r="A191" s="2367"/>
      <c r="B191" s="2376" t="s">
        <v>5014</v>
      </c>
      <c r="C191" s="2368" t="s">
        <v>2448</v>
      </c>
      <c r="D191" s="2368">
        <v>2</v>
      </c>
      <c r="E191" s="2368"/>
      <c r="F191" s="2349">
        <f t="shared" si="4"/>
        <v>2</v>
      </c>
      <c r="G191" s="2421">
        <v>184520</v>
      </c>
      <c r="H191" s="2421">
        <f t="shared" si="5"/>
        <v>369040</v>
      </c>
      <c r="I191" s="2425"/>
      <c r="J191" s="2426"/>
    </row>
    <row r="192" spans="1:10" s="2427" customFormat="1">
      <c r="A192" s="2367"/>
      <c r="B192" s="2376" t="s">
        <v>5015</v>
      </c>
      <c r="C192" s="2368" t="s">
        <v>2448</v>
      </c>
      <c r="D192" s="2368">
        <v>2</v>
      </c>
      <c r="E192" s="2368"/>
      <c r="F192" s="2349">
        <f t="shared" si="4"/>
        <v>2</v>
      </c>
      <c r="G192" s="2421">
        <v>27040</v>
      </c>
      <c r="H192" s="2421">
        <f t="shared" si="5"/>
        <v>54080</v>
      </c>
      <c r="I192" s="2425"/>
      <c r="J192" s="2426"/>
    </row>
    <row r="193" spans="1:10" s="2427" customFormat="1">
      <c r="A193" s="2367"/>
      <c r="B193" s="2376" t="s">
        <v>5016</v>
      </c>
      <c r="C193" s="2368" t="s">
        <v>2448</v>
      </c>
      <c r="D193" s="2368">
        <v>2</v>
      </c>
      <c r="E193" s="2368"/>
      <c r="F193" s="2349">
        <f t="shared" si="4"/>
        <v>2</v>
      </c>
      <c r="G193" s="2421">
        <v>30290</v>
      </c>
      <c r="H193" s="2421">
        <f t="shared" si="5"/>
        <v>60580</v>
      </c>
      <c r="I193" s="2425"/>
      <c r="J193" s="2426"/>
    </row>
    <row r="194" spans="1:10" s="2427" customFormat="1">
      <c r="A194" s="2367">
        <v>27</v>
      </c>
      <c r="B194" s="2375" t="s">
        <v>5017</v>
      </c>
      <c r="C194" s="2367" t="s">
        <v>2394</v>
      </c>
      <c r="D194" s="2367">
        <v>1</v>
      </c>
      <c r="E194" s="2367"/>
      <c r="F194" s="2349">
        <f t="shared" si="4"/>
        <v>1</v>
      </c>
      <c r="G194" s="2421"/>
      <c r="H194" s="2421"/>
      <c r="I194" s="2425"/>
      <c r="J194" s="2426"/>
    </row>
    <row r="195" spans="1:10" s="2427" customFormat="1" ht="30">
      <c r="A195" s="2367"/>
      <c r="B195" s="2376" t="s">
        <v>5018</v>
      </c>
      <c r="C195" s="2368" t="s">
        <v>1633</v>
      </c>
      <c r="D195" s="2368">
        <v>20.6</v>
      </c>
      <c r="E195" s="2368"/>
      <c r="F195" s="2349">
        <f t="shared" si="4"/>
        <v>20.6</v>
      </c>
      <c r="G195" s="2421">
        <v>296508</v>
      </c>
      <c r="H195" s="2421">
        <f t="shared" si="5"/>
        <v>6108065</v>
      </c>
      <c r="I195" s="2425"/>
      <c r="J195" s="2426"/>
    </row>
    <row r="196" spans="1:10" s="2427" customFormat="1">
      <c r="A196" s="2367"/>
      <c r="B196" s="2376" t="s">
        <v>5019</v>
      </c>
      <c r="C196" s="2368" t="s">
        <v>2448</v>
      </c>
      <c r="D196" s="2368">
        <v>20</v>
      </c>
      <c r="E196" s="2368"/>
      <c r="F196" s="2349">
        <f t="shared" si="4"/>
        <v>20</v>
      </c>
      <c r="G196" s="2421">
        <v>179878</v>
      </c>
      <c r="H196" s="2421">
        <f t="shared" si="5"/>
        <v>3597560</v>
      </c>
      <c r="I196" s="2425"/>
      <c r="J196" s="2426"/>
    </row>
    <row r="197" spans="1:10" s="2427" customFormat="1">
      <c r="A197" s="2367"/>
      <c r="B197" s="2376" t="s">
        <v>5020</v>
      </c>
      <c r="C197" s="2368" t="s">
        <v>2448</v>
      </c>
      <c r="D197" s="2368">
        <v>2</v>
      </c>
      <c r="E197" s="2368"/>
      <c r="F197" s="2349">
        <f t="shared" si="4"/>
        <v>2</v>
      </c>
      <c r="G197" s="2421">
        <v>11605</v>
      </c>
      <c r="H197" s="2421">
        <f t="shared" si="5"/>
        <v>23210</v>
      </c>
      <c r="I197" s="2425"/>
      <c r="J197" s="2426"/>
    </row>
    <row r="198" spans="1:10" s="2427" customFormat="1" ht="30">
      <c r="A198" s="2367"/>
      <c r="B198" s="2376" t="s">
        <v>5021</v>
      </c>
      <c r="C198" s="2368" t="s">
        <v>2448</v>
      </c>
      <c r="D198" s="2368">
        <v>3</v>
      </c>
      <c r="E198" s="2368"/>
      <c r="F198" s="2349">
        <f t="shared" si="4"/>
        <v>3</v>
      </c>
      <c r="G198" s="2421">
        <v>5570</v>
      </c>
      <c r="H198" s="2421">
        <f t="shared" si="5"/>
        <v>16710</v>
      </c>
      <c r="I198" s="2425"/>
      <c r="J198" s="2426"/>
    </row>
    <row r="199" spans="1:10" s="2427" customFormat="1">
      <c r="A199" s="2367"/>
      <c r="B199" s="2376" t="s">
        <v>5022</v>
      </c>
      <c r="C199" s="2368" t="s">
        <v>1829</v>
      </c>
      <c r="D199" s="2368">
        <v>4</v>
      </c>
      <c r="E199" s="2368"/>
      <c r="F199" s="2349">
        <f t="shared" si="4"/>
        <v>4</v>
      </c>
      <c r="G199" s="2421">
        <v>45113</v>
      </c>
      <c r="H199" s="2421">
        <f t="shared" si="5"/>
        <v>180452</v>
      </c>
      <c r="I199" s="2425"/>
      <c r="J199" s="2426"/>
    </row>
    <row r="200" spans="1:10" s="2427" customFormat="1">
      <c r="A200" s="2367"/>
      <c r="B200" s="2376" t="s">
        <v>5023</v>
      </c>
      <c r="C200" s="2368" t="s">
        <v>3466</v>
      </c>
      <c r="D200" s="2368">
        <v>10</v>
      </c>
      <c r="E200" s="2368"/>
      <c r="F200" s="2349">
        <f t="shared" si="4"/>
        <v>10</v>
      </c>
      <c r="G200" s="2421">
        <v>45260</v>
      </c>
      <c r="H200" s="2421">
        <f t="shared" si="5"/>
        <v>452600</v>
      </c>
      <c r="I200" s="2425"/>
      <c r="J200" s="2426"/>
    </row>
    <row r="201" spans="1:10" s="2427" customFormat="1">
      <c r="A201" s="2367"/>
      <c r="B201" s="2376" t="s">
        <v>5024</v>
      </c>
      <c r="C201" s="2368" t="s">
        <v>5025</v>
      </c>
      <c r="D201" s="2368">
        <v>0.20599999999999999</v>
      </c>
      <c r="E201" s="2368"/>
      <c r="F201" s="2349">
        <f t="shared" si="4"/>
        <v>0.20599999999999999</v>
      </c>
      <c r="G201" s="2421">
        <v>457401</v>
      </c>
      <c r="H201" s="2421">
        <f t="shared" si="5"/>
        <v>94225</v>
      </c>
      <c r="I201" s="2425"/>
      <c r="J201" s="2426"/>
    </row>
    <row r="202" spans="1:10" s="2427" customFormat="1">
      <c r="A202" s="2367"/>
      <c r="B202" s="2376" t="s">
        <v>5026</v>
      </c>
      <c r="C202" s="2368" t="s">
        <v>5027</v>
      </c>
      <c r="D202" s="2368">
        <v>2</v>
      </c>
      <c r="E202" s="2368"/>
      <c r="F202" s="2349">
        <f t="shared" si="4"/>
        <v>2</v>
      </c>
      <c r="G202" s="2421">
        <v>3027775</v>
      </c>
      <c r="H202" s="2421">
        <f t="shared" si="5"/>
        <v>6055550</v>
      </c>
      <c r="I202" s="2425"/>
      <c r="J202" s="2426"/>
    </row>
    <row r="203" spans="1:10" s="2427" customFormat="1">
      <c r="A203" s="2367"/>
      <c r="B203" s="2376" t="s">
        <v>5028</v>
      </c>
      <c r="C203" s="2368" t="s">
        <v>3466</v>
      </c>
      <c r="D203" s="2368">
        <v>4</v>
      </c>
      <c r="E203" s="2368"/>
      <c r="F203" s="2349">
        <f t="shared" si="4"/>
        <v>4</v>
      </c>
      <c r="G203" s="2421">
        <v>164602</v>
      </c>
      <c r="H203" s="2421">
        <f t="shared" si="5"/>
        <v>658408</v>
      </c>
      <c r="I203" s="2425"/>
      <c r="J203" s="2426"/>
    </row>
    <row r="204" spans="1:10" s="2427" customFormat="1">
      <c r="A204" s="2367"/>
      <c r="B204" s="2376" t="s">
        <v>5029</v>
      </c>
      <c r="C204" s="2368" t="s">
        <v>5030</v>
      </c>
      <c r="D204" s="2368">
        <v>0.03</v>
      </c>
      <c r="E204" s="2368"/>
      <c r="F204" s="2349">
        <f t="shared" si="4"/>
        <v>0.03</v>
      </c>
      <c r="G204" s="2421">
        <v>7258367</v>
      </c>
      <c r="H204" s="2421">
        <f t="shared" si="5"/>
        <v>217751</v>
      </c>
      <c r="I204" s="2425"/>
      <c r="J204" s="2426"/>
    </row>
    <row r="205" spans="1:10" s="2427" customFormat="1">
      <c r="A205" s="2367"/>
      <c r="B205" s="2376" t="s">
        <v>5031</v>
      </c>
      <c r="C205" s="2368" t="s">
        <v>2448</v>
      </c>
      <c r="D205" s="2368">
        <v>4</v>
      </c>
      <c r="E205" s="2368"/>
      <c r="F205" s="2349">
        <f t="shared" si="4"/>
        <v>4</v>
      </c>
      <c r="G205" s="2421">
        <v>261119</v>
      </c>
      <c r="H205" s="2421">
        <f t="shared" si="5"/>
        <v>1044476</v>
      </c>
      <c r="I205" s="2425"/>
      <c r="J205" s="2426"/>
    </row>
    <row r="206" spans="1:10" s="2427" customFormat="1">
      <c r="A206" s="2367"/>
      <c r="B206" s="2376" t="s">
        <v>5032</v>
      </c>
      <c r="C206" s="2368" t="s">
        <v>5033</v>
      </c>
      <c r="D206" s="2368">
        <v>0.25</v>
      </c>
      <c r="E206" s="2368"/>
      <c r="F206" s="2349">
        <f t="shared" si="4"/>
        <v>0.25</v>
      </c>
      <c r="G206" s="2421">
        <v>1510059</v>
      </c>
      <c r="H206" s="2421">
        <f t="shared" si="5"/>
        <v>377515</v>
      </c>
      <c r="I206" s="2425"/>
      <c r="J206" s="2426"/>
    </row>
    <row r="207" spans="1:10" s="2427" customFormat="1">
      <c r="A207" s="2367"/>
      <c r="B207" s="2376" t="s">
        <v>5034</v>
      </c>
      <c r="C207" s="2368" t="s">
        <v>5033</v>
      </c>
      <c r="D207" s="2368">
        <v>0.25</v>
      </c>
      <c r="E207" s="2368"/>
      <c r="F207" s="2349">
        <f t="shared" si="4"/>
        <v>0.25</v>
      </c>
      <c r="G207" s="2421">
        <v>388785</v>
      </c>
      <c r="H207" s="2421">
        <f t="shared" si="5"/>
        <v>97196</v>
      </c>
      <c r="I207" s="2425"/>
      <c r="J207" s="2426"/>
    </row>
    <row r="208" spans="1:10" s="2427" customFormat="1">
      <c r="A208" s="2367">
        <v>28</v>
      </c>
      <c r="B208" s="2375" t="s">
        <v>5035</v>
      </c>
      <c r="C208" s="2367" t="s">
        <v>3391</v>
      </c>
      <c r="D208" s="2367">
        <v>1</v>
      </c>
      <c r="E208" s="2367"/>
      <c r="F208" s="2349">
        <f t="shared" ref="F208:F271" si="6">D208+E208</f>
        <v>1</v>
      </c>
      <c r="G208" s="2421"/>
      <c r="H208" s="2421"/>
      <c r="I208" s="2425"/>
      <c r="J208" s="2426"/>
    </row>
    <row r="209" spans="1:10" s="2427" customFormat="1">
      <c r="A209" s="2367"/>
      <c r="B209" s="2376" t="s">
        <v>5036</v>
      </c>
      <c r="C209" s="2368" t="s">
        <v>3391</v>
      </c>
      <c r="D209" s="2368">
        <v>1</v>
      </c>
      <c r="E209" s="2368"/>
      <c r="F209" s="2349">
        <f t="shared" si="6"/>
        <v>1</v>
      </c>
      <c r="G209" s="2421">
        <v>4932125</v>
      </c>
      <c r="H209" s="2421">
        <f t="shared" ref="H209:H272" si="7">ROUND((G209*F209),0)</f>
        <v>4932125</v>
      </c>
      <c r="I209" s="2425"/>
      <c r="J209" s="2426"/>
    </row>
    <row r="210" spans="1:10" s="2427" customFormat="1">
      <c r="A210" s="2367"/>
      <c r="B210" s="2376" t="s">
        <v>5037</v>
      </c>
      <c r="C210" s="2368" t="s">
        <v>3466</v>
      </c>
      <c r="D210" s="2368">
        <v>1</v>
      </c>
      <c r="E210" s="2368"/>
      <c r="F210" s="2349">
        <f t="shared" si="6"/>
        <v>1</v>
      </c>
      <c r="G210" s="2421">
        <v>1765353</v>
      </c>
      <c r="H210" s="2421">
        <f t="shared" si="7"/>
        <v>1765353</v>
      </c>
      <c r="I210" s="2425"/>
      <c r="J210" s="2426"/>
    </row>
    <row r="211" spans="1:10" s="2427" customFormat="1">
      <c r="A211" s="2367"/>
      <c r="B211" s="2376" t="s">
        <v>5038</v>
      </c>
      <c r="C211" s="2368" t="s">
        <v>3391</v>
      </c>
      <c r="D211" s="2368">
        <v>1</v>
      </c>
      <c r="E211" s="2368"/>
      <c r="F211" s="2349">
        <f t="shared" si="6"/>
        <v>1</v>
      </c>
      <c r="G211" s="2421">
        <v>2110489</v>
      </c>
      <c r="H211" s="2421">
        <f t="shared" si="7"/>
        <v>2110489</v>
      </c>
      <c r="I211" s="2425"/>
      <c r="J211" s="2426"/>
    </row>
    <row r="212" spans="1:10" s="2427" customFormat="1" ht="30">
      <c r="A212" s="2367"/>
      <c r="B212" s="2348" t="s">
        <v>5039</v>
      </c>
      <c r="C212" s="2368" t="s">
        <v>2448</v>
      </c>
      <c r="D212" s="2368">
        <v>2</v>
      </c>
      <c r="E212" s="2368"/>
      <c r="F212" s="2349">
        <f t="shared" si="6"/>
        <v>2</v>
      </c>
      <c r="G212" s="2421">
        <v>460725</v>
      </c>
      <c r="H212" s="2421">
        <f t="shared" si="7"/>
        <v>921450</v>
      </c>
      <c r="I212" s="2425"/>
      <c r="J212" s="2426"/>
    </row>
    <row r="213" spans="1:10" s="2427" customFormat="1">
      <c r="A213" s="2367">
        <v>29</v>
      </c>
      <c r="B213" s="2375" t="s">
        <v>5040</v>
      </c>
      <c r="C213" s="2368"/>
      <c r="D213" s="2368"/>
      <c r="E213" s="2368"/>
      <c r="F213" s="2349">
        <f t="shared" si="6"/>
        <v>0</v>
      </c>
      <c r="G213" s="2421"/>
      <c r="H213" s="2421"/>
      <c r="I213" s="2425"/>
      <c r="J213" s="2426"/>
    </row>
    <row r="214" spans="1:10" s="2427" customFormat="1">
      <c r="A214" s="2367"/>
      <c r="B214" s="2376" t="s">
        <v>5041</v>
      </c>
      <c r="C214" s="2368" t="s">
        <v>2566</v>
      </c>
      <c r="D214" s="2368">
        <v>1</v>
      </c>
      <c r="E214" s="2368"/>
      <c r="F214" s="2349">
        <f t="shared" si="6"/>
        <v>1</v>
      </c>
      <c r="G214" s="2421">
        <v>128583</v>
      </c>
      <c r="H214" s="2421">
        <f t="shared" si="7"/>
        <v>128583</v>
      </c>
      <c r="I214" s="2425"/>
      <c r="J214" s="2426"/>
    </row>
    <row r="215" spans="1:10" s="2427" customFormat="1">
      <c r="A215" s="2367"/>
      <c r="B215" s="2376" t="s">
        <v>5042</v>
      </c>
      <c r="C215" s="2368" t="s">
        <v>2566</v>
      </c>
      <c r="D215" s="2368">
        <v>1</v>
      </c>
      <c r="E215" s="2368"/>
      <c r="F215" s="2349">
        <f t="shared" si="6"/>
        <v>1</v>
      </c>
      <c r="G215" s="2421">
        <v>124638</v>
      </c>
      <c r="H215" s="2421">
        <f t="shared" si="7"/>
        <v>124638</v>
      </c>
      <c r="I215" s="2425"/>
      <c r="J215" s="2426"/>
    </row>
    <row r="216" spans="1:10" s="2427" customFormat="1">
      <c r="A216" s="2367"/>
      <c r="B216" s="2376" t="s">
        <v>5043</v>
      </c>
      <c r="C216" s="2368" t="s">
        <v>5044</v>
      </c>
      <c r="D216" s="2368">
        <v>1</v>
      </c>
      <c r="E216" s="2368"/>
      <c r="F216" s="2349">
        <f t="shared" si="6"/>
        <v>1</v>
      </c>
      <c r="G216" s="2421">
        <v>89359</v>
      </c>
      <c r="H216" s="2421">
        <f t="shared" si="7"/>
        <v>89359</v>
      </c>
      <c r="I216" s="2425"/>
      <c r="J216" s="2426"/>
    </row>
    <row r="217" spans="1:10" s="2427" customFormat="1">
      <c r="A217" s="2367"/>
      <c r="B217" s="2376" t="s">
        <v>5045</v>
      </c>
      <c r="C217" s="2368" t="s">
        <v>5044</v>
      </c>
      <c r="D217" s="2368">
        <v>1</v>
      </c>
      <c r="E217" s="2368"/>
      <c r="F217" s="2349">
        <f t="shared" si="6"/>
        <v>1</v>
      </c>
      <c r="G217" s="2421">
        <v>65801</v>
      </c>
      <c r="H217" s="2421">
        <f t="shared" si="7"/>
        <v>65801</v>
      </c>
      <c r="I217" s="2425"/>
      <c r="J217" s="2426"/>
    </row>
    <row r="218" spans="1:10" s="2427" customFormat="1">
      <c r="A218" s="2367">
        <v>30</v>
      </c>
      <c r="B218" s="2375" t="s">
        <v>5046</v>
      </c>
      <c r="C218" s="2367" t="s">
        <v>2394</v>
      </c>
      <c r="D218" s="2367">
        <v>1</v>
      </c>
      <c r="E218" s="2367"/>
      <c r="F218" s="2349">
        <f t="shared" si="6"/>
        <v>1</v>
      </c>
      <c r="G218" s="2421"/>
      <c r="H218" s="2421"/>
      <c r="I218" s="2425"/>
      <c r="J218" s="2426"/>
    </row>
    <row r="219" spans="1:10" s="2427" customFormat="1">
      <c r="A219" s="2367"/>
      <c r="B219" s="2376" t="s">
        <v>5047</v>
      </c>
      <c r="C219" s="2368" t="s">
        <v>1829</v>
      </c>
      <c r="D219" s="2368">
        <v>3</v>
      </c>
      <c r="E219" s="2368"/>
      <c r="F219" s="2349">
        <f t="shared" si="6"/>
        <v>3</v>
      </c>
      <c r="G219" s="2421">
        <v>107927</v>
      </c>
      <c r="H219" s="2421">
        <f t="shared" si="7"/>
        <v>323781</v>
      </c>
      <c r="I219" s="2425"/>
      <c r="J219" s="2426"/>
    </row>
    <row r="220" spans="1:10" s="2427" customFormat="1">
      <c r="A220" s="2367"/>
      <c r="B220" s="2376" t="s">
        <v>5048</v>
      </c>
      <c r="C220" s="2368" t="s">
        <v>1829</v>
      </c>
      <c r="D220" s="2368">
        <v>3</v>
      </c>
      <c r="E220" s="2368"/>
      <c r="F220" s="2349">
        <f t="shared" si="6"/>
        <v>3</v>
      </c>
      <c r="G220" s="2421">
        <v>910186</v>
      </c>
      <c r="H220" s="2421">
        <f t="shared" si="7"/>
        <v>2730558</v>
      </c>
      <c r="I220" s="2425"/>
      <c r="J220" s="2426"/>
    </row>
    <row r="221" spans="1:10" s="2427" customFormat="1">
      <c r="A221" s="2367"/>
      <c r="B221" s="2376" t="s">
        <v>5049</v>
      </c>
      <c r="C221" s="2368" t="s">
        <v>3466</v>
      </c>
      <c r="D221" s="2368">
        <v>1</v>
      </c>
      <c r="E221" s="2368"/>
      <c r="F221" s="2349">
        <f t="shared" si="6"/>
        <v>1</v>
      </c>
      <c r="G221" s="2421">
        <v>129976</v>
      </c>
      <c r="H221" s="2421">
        <f t="shared" si="7"/>
        <v>129976</v>
      </c>
      <c r="I221" s="2425"/>
      <c r="J221" s="2426"/>
    </row>
    <row r="222" spans="1:10" s="2427" customFormat="1">
      <c r="A222" s="2367"/>
      <c r="B222" s="2376" t="s">
        <v>5050</v>
      </c>
      <c r="C222" s="2368" t="s">
        <v>3466</v>
      </c>
      <c r="D222" s="2368">
        <v>1</v>
      </c>
      <c r="E222" s="2368"/>
      <c r="F222" s="2349">
        <f t="shared" si="6"/>
        <v>1</v>
      </c>
      <c r="G222" s="2421">
        <v>112382</v>
      </c>
      <c r="H222" s="2421">
        <f t="shared" si="7"/>
        <v>112382</v>
      </c>
      <c r="I222" s="2425"/>
      <c r="J222" s="2426"/>
    </row>
    <row r="223" spans="1:10" s="2427" customFormat="1">
      <c r="A223" s="2367">
        <v>33</v>
      </c>
      <c r="B223" s="2375" t="s">
        <v>5051</v>
      </c>
      <c r="C223" s="2367" t="s">
        <v>2394</v>
      </c>
      <c r="D223" s="2367">
        <v>1</v>
      </c>
      <c r="E223" s="2367"/>
      <c r="F223" s="2349">
        <f t="shared" si="6"/>
        <v>1</v>
      </c>
      <c r="G223" s="2421"/>
      <c r="H223" s="2421">
        <f t="shared" si="7"/>
        <v>0</v>
      </c>
      <c r="I223" s="2425"/>
      <c r="J223" s="2426"/>
    </row>
    <row r="224" spans="1:10" s="2427" customFormat="1">
      <c r="A224" s="2367"/>
      <c r="B224" s="2376" t="s">
        <v>5052</v>
      </c>
      <c r="C224" s="2368" t="s">
        <v>1829</v>
      </c>
      <c r="D224" s="2368">
        <v>20</v>
      </c>
      <c r="E224" s="2368"/>
      <c r="F224" s="2349">
        <f t="shared" si="6"/>
        <v>20</v>
      </c>
      <c r="G224" s="2421">
        <v>169433</v>
      </c>
      <c r="H224" s="2421">
        <f t="shared" si="7"/>
        <v>3388660</v>
      </c>
      <c r="I224" s="2425"/>
      <c r="J224" s="2426"/>
    </row>
    <row r="225" spans="1:10" s="2427" customFormat="1">
      <c r="A225" s="2367"/>
      <c r="B225" s="2376" t="s">
        <v>5053</v>
      </c>
      <c r="C225" s="2368" t="s">
        <v>1829</v>
      </c>
      <c r="D225" s="2368">
        <v>10</v>
      </c>
      <c r="E225" s="2368"/>
      <c r="F225" s="2349">
        <f t="shared" si="6"/>
        <v>10</v>
      </c>
      <c r="G225" s="2421">
        <v>71951</v>
      </c>
      <c r="H225" s="2421">
        <f t="shared" si="7"/>
        <v>719510</v>
      </c>
      <c r="I225" s="2425"/>
      <c r="J225" s="2426"/>
    </row>
    <row r="226" spans="1:10" s="2427" customFormat="1">
      <c r="A226" s="2367"/>
      <c r="B226" s="2376" t="s">
        <v>5054</v>
      </c>
      <c r="C226" s="2368" t="s">
        <v>1829</v>
      </c>
      <c r="D226" s="2368">
        <v>30</v>
      </c>
      <c r="E226" s="2368"/>
      <c r="F226" s="2349">
        <f t="shared" si="6"/>
        <v>30</v>
      </c>
      <c r="G226" s="2421">
        <v>22382</v>
      </c>
      <c r="H226" s="2421">
        <f t="shared" si="7"/>
        <v>671460</v>
      </c>
      <c r="I226" s="2425"/>
      <c r="J226" s="2426"/>
    </row>
    <row r="227" spans="1:10" s="2427" customFormat="1" ht="18" customHeight="1">
      <c r="A227" s="2367"/>
      <c r="B227" s="2376" t="s">
        <v>5055</v>
      </c>
      <c r="C227" s="2368" t="s">
        <v>1829</v>
      </c>
      <c r="D227" s="2368">
        <v>4</v>
      </c>
      <c r="E227" s="2368"/>
      <c r="F227" s="2349">
        <f t="shared" si="6"/>
        <v>4</v>
      </c>
      <c r="G227" s="2421">
        <v>32146</v>
      </c>
      <c r="H227" s="2421">
        <f t="shared" si="7"/>
        <v>128584</v>
      </c>
      <c r="I227" s="2425"/>
      <c r="J227" s="2426"/>
    </row>
    <row r="228" spans="1:10" s="2427" customFormat="1">
      <c r="A228" s="2367"/>
      <c r="B228" s="2376" t="s">
        <v>5056</v>
      </c>
      <c r="C228" s="2368" t="s">
        <v>3466</v>
      </c>
      <c r="D228" s="2368">
        <v>2</v>
      </c>
      <c r="E228" s="2368"/>
      <c r="F228" s="2349">
        <f t="shared" si="6"/>
        <v>2</v>
      </c>
      <c r="G228" s="2421">
        <v>11605</v>
      </c>
      <c r="H228" s="2421">
        <f t="shared" si="7"/>
        <v>23210</v>
      </c>
      <c r="I228" s="2425"/>
      <c r="J228" s="2426"/>
    </row>
    <row r="229" spans="1:10" s="2427" customFormat="1">
      <c r="A229" s="2367"/>
      <c r="B229" s="2376" t="s">
        <v>5057</v>
      </c>
      <c r="C229" s="2368" t="s">
        <v>3466</v>
      </c>
      <c r="D229" s="2368">
        <v>1</v>
      </c>
      <c r="E229" s="2368"/>
      <c r="F229" s="2349">
        <f t="shared" si="6"/>
        <v>1</v>
      </c>
      <c r="G229" s="2421">
        <v>11605</v>
      </c>
      <c r="H229" s="2421">
        <f t="shared" si="7"/>
        <v>11605</v>
      </c>
      <c r="I229" s="2425"/>
      <c r="J229" s="2426"/>
    </row>
    <row r="230" spans="1:10" s="2427" customFormat="1">
      <c r="A230" s="2367"/>
      <c r="B230" s="2376" t="s">
        <v>5058</v>
      </c>
      <c r="C230" s="2368" t="s">
        <v>1829</v>
      </c>
      <c r="D230" s="2368">
        <v>8</v>
      </c>
      <c r="E230" s="2368"/>
      <c r="F230" s="2349">
        <f t="shared" si="6"/>
        <v>8</v>
      </c>
      <c r="G230" s="2421">
        <v>73344</v>
      </c>
      <c r="H230" s="2421">
        <f t="shared" si="7"/>
        <v>586752</v>
      </c>
      <c r="I230" s="2425"/>
      <c r="J230" s="2426"/>
    </row>
    <row r="231" spans="1:10" s="2427" customFormat="1" ht="30">
      <c r="A231" s="2367"/>
      <c r="B231" s="2376" t="s">
        <v>5059</v>
      </c>
      <c r="C231" s="2368" t="s">
        <v>2448</v>
      </c>
      <c r="D231" s="2368">
        <v>3</v>
      </c>
      <c r="E231" s="2368"/>
      <c r="F231" s="2349">
        <f t="shared" si="6"/>
        <v>3</v>
      </c>
      <c r="G231" s="2421">
        <v>55704</v>
      </c>
      <c r="H231" s="2421">
        <f t="shared" si="7"/>
        <v>167112</v>
      </c>
      <c r="I231" s="2425"/>
      <c r="J231" s="2426"/>
    </row>
    <row r="232" spans="1:10" s="2427" customFormat="1">
      <c r="A232" s="2367"/>
      <c r="B232" s="2376" t="s">
        <v>5060</v>
      </c>
      <c r="C232" s="2368" t="s">
        <v>3466</v>
      </c>
      <c r="D232" s="2368">
        <v>2</v>
      </c>
      <c r="E232" s="2368"/>
      <c r="F232" s="2349">
        <f t="shared" si="6"/>
        <v>2</v>
      </c>
      <c r="G232" s="2421">
        <v>52687</v>
      </c>
      <c r="H232" s="2421">
        <f t="shared" si="7"/>
        <v>105374</v>
      </c>
      <c r="I232" s="2425"/>
      <c r="J232" s="2426"/>
    </row>
    <row r="233" spans="1:10" s="2427" customFormat="1">
      <c r="A233" s="2367"/>
      <c r="B233" s="2376" t="s">
        <v>5061</v>
      </c>
      <c r="C233" s="2368" t="s">
        <v>3466</v>
      </c>
      <c r="D233" s="2368">
        <v>1</v>
      </c>
      <c r="E233" s="2368"/>
      <c r="F233" s="2349">
        <f t="shared" si="6"/>
        <v>1</v>
      </c>
      <c r="G233" s="2421">
        <v>33655</v>
      </c>
      <c r="H233" s="2421">
        <f t="shared" si="7"/>
        <v>33655</v>
      </c>
      <c r="I233" s="2425"/>
      <c r="J233" s="2426"/>
    </row>
    <row r="234" spans="1:10" s="2427" customFormat="1">
      <c r="A234" s="2367"/>
      <c r="B234" s="2376" t="s">
        <v>5062</v>
      </c>
      <c r="C234" s="2368" t="s">
        <v>3589</v>
      </c>
      <c r="D234" s="2368">
        <v>1</v>
      </c>
      <c r="E234" s="2368"/>
      <c r="F234" s="2349">
        <f t="shared" si="6"/>
        <v>1</v>
      </c>
      <c r="G234" s="2421">
        <v>18568</v>
      </c>
      <c r="H234" s="2421">
        <f t="shared" si="7"/>
        <v>18568</v>
      </c>
      <c r="I234" s="2425"/>
      <c r="J234" s="2426"/>
    </row>
    <row r="235" spans="1:10" s="2427" customFormat="1">
      <c r="A235" s="2367"/>
      <c r="B235" s="2376" t="s">
        <v>5063</v>
      </c>
      <c r="C235" s="2368" t="s">
        <v>3589</v>
      </c>
      <c r="D235" s="2368">
        <v>1</v>
      </c>
      <c r="E235" s="2368"/>
      <c r="F235" s="2349">
        <f t="shared" si="6"/>
        <v>1</v>
      </c>
      <c r="G235" s="2421">
        <v>34815</v>
      </c>
      <c r="H235" s="2421">
        <f t="shared" si="7"/>
        <v>34815</v>
      </c>
      <c r="I235" s="2425"/>
      <c r="J235" s="2426"/>
    </row>
    <row r="236" spans="1:10" s="2427" customFormat="1">
      <c r="A236" s="2367"/>
      <c r="B236" s="2376" t="s">
        <v>5064</v>
      </c>
      <c r="C236" s="2368" t="s">
        <v>3466</v>
      </c>
      <c r="D236" s="2368">
        <v>1</v>
      </c>
      <c r="E236" s="2368"/>
      <c r="F236" s="2349">
        <f t="shared" si="6"/>
        <v>1</v>
      </c>
      <c r="G236" s="2421">
        <v>13926</v>
      </c>
      <c r="H236" s="2421">
        <f t="shared" si="7"/>
        <v>13926</v>
      </c>
      <c r="I236" s="2425"/>
      <c r="J236" s="2426"/>
    </row>
    <row r="237" spans="1:10" s="2427" customFormat="1">
      <c r="A237" s="2367"/>
      <c r="B237" s="2376" t="s">
        <v>5065</v>
      </c>
      <c r="C237" s="2368" t="s">
        <v>2448</v>
      </c>
      <c r="D237" s="2368">
        <v>1</v>
      </c>
      <c r="E237" s="2368"/>
      <c r="F237" s="2349">
        <f t="shared" si="6"/>
        <v>1</v>
      </c>
      <c r="G237" s="2421">
        <v>348150</v>
      </c>
      <c r="H237" s="2421">
        <f t="shared" si="7"/>
        <v>348150</v>
      </c>
      <c r="I237" s="2425"/>
      <c r="J237" s="2426"/>
    </row>
    <row r="238" spans="1:10" s="2427" customFormat="1">
      <c r="A238" s="2367"/>
      <c r="B238" s="2376" t="s">
        <v>5066</v>
      </c>
      <c r="C238" s="2368" t="s">
        <v>1829</v>
      </c>
      <c r="D238" s="2368">
        <v>8</v>
      </c>
      <c r="E238" s="2368"/>
      <c r="F238" s="2349">
        <f t="shared" si="6"/>
        <v>8</v>
      </c>
      <c r="G238" s="2421">
        <v>1119082</v>
      </c>
      <c r="H238" s="2421">
        <f t="shared" si="7"/>
        <v>8952656</v>
      </c>
      <c r="I238" s="2425"/>
      <c r="J238" s="2426"/>
    </row>
    <row r="239" spans="1:10" s="2427" customFormat="1">
      <c r="A239" s="2367"/>
      <c r="B239" s="2376" t="s">
        <v>5067</v>
      </c>
      <c r="C239" s="2368" t="s">
        <v>2448</v>
      </c>
      <c r="D239" s="2368">
        <v>2</v>
      </c>
      <c r="E239" s="2368"/>
      <c r="F239" s="2349">
        <f t="shared" si="6"/>
        <v>2</v>
      </c>
      <c r="G239" s="2421">
        <v>261119</v>
      </c>
      <c r="H239" s="2421">
        <f t="shared" si="7"/>
        <v>522238</v>
      </c>
      <c r="I239" s="2425"/>
      <c r="J239" s="2426"/>
    </row>
    <row r="240" spans="1:10" s="2427" customFormat="1">
      <c r="A240" s="2367"/>
      <c r="B240" s="2376" t="s">
        <v>5068</v>
      </c>
      <c r="C240" s="2368" t="s">
        <v>2448</v>
      </c>
      <c r="D240" s="2368">
        <v>1</v>
      </c>
      <c r="E240" s="2368"/>
      <c r="F240" s="2349">
        <f t="shared" si="6"/>
        <v>1</v>
      </c>
      <c r="G240" s="2421">
        <v>149212</v>
      </c>
      <c r="H240" s="2421">
        <f t="shared" si="7"/>
        <v>149212</v>
      </c>
      <c r="I240" s="2425"/>
      <c r="J240" s="2426"/>
    </row>
    <row r="241" spans="1:10" s="2427" customFormat="1">
      <c r="A241" s="2367">
        <v>31</v>
      </c>
      <c r="B241" s="2375" t="s">
        <v>5069</v>
      </c>
      <c r="C241" s="2367" t="s">
        <v>2394</v>
      </c>
      <c r="D241" s="2367">
        <v>1</v>
      </c>
      <c r="E241" s="2367"/>
      <c r="F241" s="2349">
        <f t="shared" si="6"/>
        <v>1</v>
      </c>
      <c r="G241" s="2421"/>
      <c r="H241" s="2421">
        <f t="shared" si="7"/>
        <v>0</v>
      </c>
      <c r="I241" s="2425"/>
      <c r="J241" s="2426"/>
    </row>
    <row r="242" spans="1:10" s="2427" customFormat="1">
      <c r="A242" s="2367"/>
      <c r="B242" s="2376" t="s">
        <v>5070</v>
      </c>
      <c r="C242" s="2368" t="s">
        <v>1829</v>
      </c>
      <c r="D242" s="2368">
        <v>19.38</v>
      </c>
      <c r="E242" s="2368"/>
      <c r="F242" s="2349">
        <f t="shared" si="6"/>
        <v>19.38</v>
      </c>
      <c r="G242" s="2421">
        <v>165952</v>
      </c>
      <c r="H242" s="2421">
        <f t="shared" si="7"/>
        <v>3216150</v>
      </c>
      <c r="I242" s="2425"/>
      <c r="J242" s="2426"/>
    </row>
    <row r="243" spans="1:10" s="2427" customFormat="1">
      <c r="A243" s="2367"/>
      <c r="B243" s="2376" t="s">
        <v>5048</v>
      </c>
      <c r="C243" s="2368" t="s">
        <v>1829</v>
      </c>
      <c r="D243" s="2368">
        <v>19.38</v>
      </c>
      <c r="E243" s="2368"/>
      <c r="F243" s="2349">
        <f t="shared" si="6"/>
        <v>19.38</v>
      </c>
      <c r="G243" s="2421">
        <v>910186</v>
      </c>
      <c r="H243" s="2421">
        <f t="shared" si="7"/>
        <v>17639405</v>
      </c>
      <c r="I243" s="2425"/>
      <c r="J243" s="2426"/>
    </row>
    <row r="244" spans="1:10" s="2427" customFormat="1">
      <c r="A244" s="2367"/>
      <c r="B244" s="2376" t="s">
        <v>5071</v>
      </c>
      <c r="C244" s="2368" t="s">
        <v>1829</v>
      </c>
      <c r="D244" s="2368">
        <v>31.62</v>
      </c>
      <c r="E244" s="2368"/>
      <c r="F244" s="2349">
        <f t="shared" si="6"/>
        <v>31.62</v>
      </c>
      <c r="G244" s="2421">
        <v>183359</v>
      </c>
      <c r="H244" s="2421">
        <f t="shared" si="7"/>
        <v>5797812</v>
      </c>
      <c r="I244" s="2425"/>
      <c r="J244" s="2426"/>
    </row>
    <row r="245" spans="1:10" s="2427" customFormat="1">
      <c r="A245" s="2367"/>
      <c r="B245" s="2376" t="s">
        <v>5072</v>
      </c>
      <c r="C245" s="2368" t="s">
        <v>2044</v>
      </c>
      <c r="D245" s="2368">
        <v>3.1620000000000002E-2</v>
      </c>
      <c r="E245" s="2368"/>
      <c r="F245" s="2349">
        <f t="shared" si="6"/>
        <v>3.1620000000000002E-2</v>
      </c>
      <c r="G245" s="2421">
        <v>7434678</v>
      </c>
      <c r="H245" s="2421">
        <f t="shared" si="7"/>
        <v>235085</v>
      </c>
      <c r="I245" s="2425"/>
      <c r="J245" s="2426"/>
    </row>
    <row r="246" spans="1:10" s="2427" customFormat="1">
      <c r="A246" s="2367"/>
      <c r="B246" s="2376" t="s">
        <v>5050</v>
      </c>
      <c r="C246" s="2368" t="s">
        <v>3466</v>
      </c>
      <c r="D246" s="2368">
        <v>4</v>
      </c>
      <c r="E246" s="2368"/>
      <c r="F246" s="2349">
        <f t="shared" si="6"/>
        <v>4</v>
      </c>
      <c r="G246" s="2421">
        <v>345799</v>
      </c>
      <c r="H246" s="2421">
        <f t="shared" si="7"/>
        <v>1383196</v>
      </c>
      <c r="I246" s="2425"/>
      <c r="J246" s="2426"/>
    </row>
    <row r="247" spans="1:10" s="2427" customFormat="1">
      <c r="A247" s="2367"/>
      <c r="B247" s="2376" t="s">
        <v>5073</v>
      </c>
      <c r="C247" s="2368" t="s">
        <v>2521</v>
      </c>
      <c r="D247" s="2368">
        <v>4</v>
      </c>
      <c r="E247" s="2368"/>
      <c r="F247" s="2349">
        <f t="shared" si="6"/>
        <v>4</v>
      </c>
      <c r="G247" s="2421">
        <v>904397</v>
      </c>
      <c r="H247" s="2421">
        <f t="shared" si="7"/>
        <v>3617588</v>
      </c>
      <c r="I247" s="2425"/>
      <c r="J247" s="2426"/>
    </row>
    <row r="248" spans="1:10" s="2427" customFormat="1">
      <c r="A248" s="2367"/>
      <c r="B248" s="2376" t="s">
        <v>5074</v>
      </c>
      <c r="C248" s="2368" t="s">
        <v>2566</v>
      </c>
      <c r="D248" s="2368">
        <v>4</v>
      </c>
      <c r="E248" s="2368"/>
      <c r="F248" s="2349">
        <f t="shared" si="6"/>
        <v>4</v>
      </c>
      <c r="G248" s="2421">
        <v>139260</v>
      </c>
      <c r="H248" s="2421">
        <f t="shared" si="7"/>
        <v>557040</v>
      </c>
      <c r="I248" s="2425"/>
      <c r="J248" s="2426"/>
    </row>
    <row r="249" spans="1:10" s="2427" customFormat="1">
      <c r="A249" s="2367"/>
      <c r="B249" s="2376" t="s">
        <v>2932</v>
      </c>
      <c r="C249" s="2368" t="s">
        <v>2566</v>
      </c>
      <c r="D249" s="2368">
        <v>4</v>
      </c>
      <c r="E249" s="2368"/>
      <c r="F249" s="2349">
        <f t="shared" si="6"/>
        <v>4</v>
      </c>
      <c r="G249" s="2421">
        <v>22282</v>
      </c>
      <c r="H249" s="2421">
        <f t="shared" si="7"/>
        <v>89128</v>
      </c>
      <c r="I249" s="2425"/>
      <c r="J249" s="2426"/>
    </row>
    <row r="250" spans="1:10" s="2427" customFormat="1">
      <c r="A250" s="2367"/>
      <c r="B250" s="2376" t="s">
        <v>5075</v>
      </c>
      <c r="C250" s="2368" t="s">
        <v>2566</v>
      </c>
      <c r="D250" s="2368">
        <v>4</v>
      </c>
      <c r="E250" s="2368"/>
      <c r="F250" s="2349">
        <f t="shared" si="6"/>
        <v>4</v>
      </c>
      <c r="G250" s="2421">
        <v>139260</v>
      </c>
      <c r="H250" s="2421">
        <f t="shared" si="7"/>
        <v>557040</v>
      </c>
      <c r="I250" s="2425"/>
      <c r="J250" s="2426"/>
    </row>
    <row r="251" spans="1:10" s="2427" customFormat="1">
      <c r="A251" s="2367"/>
      <c r="B251" s="2376" t="s">
        <v>5076</v>
      </c>
      <c r="C251" s="2368" t="s">
        <v>2566</v>
      </c>
      <c r="D251" s="2368">
        <v>4</v>
      </c>
      <c r="E251" s="2368"/>
      <c r="F251" s="2349">
        <f t="shared" si="6"/>
        <v>4</v>
      </c>
      <c r="G251" s="2421">
        <v>139260</v>
      </c>
      <c r="H251" s="2421">
        <f t="shared" si="7"/>
        <v>557040</v>
      </c>
      <c r="I251" s="2425"/>
      <c r="J251" s="2426"/>
    </row>
    <row r="252" spans="1:10" s="2427" customFormat="1">
      <c r="A252" s="2367"/>
      <c r="B252" s="2376" t="s">
        <v>2892</v>
      </c>
      <c r="C252" s="2368" t="s">
        <v>2566</v>
      </c>
      <c r="D252" s="2368">
        <v>6</v>
      </c>
      <c r="E252" s="2368"/>
      <c r="F252" s="2349">
        <f t="shared" si="6"/>
        <v>6</v>
      </c>
      <c r="G252" s="2421">
        <v>6963</v>
      </c>
      <c r="H252" s="2421">
        <f t="shared" si="7"/>
        <v>41778</v>
      </c>
      <c r="I252" s="2425"/>
      <c r="J252" s="2426"/>
    </row>
    <row r="253" spans="1:10" s="2427" customFormat="1">
      <c r="A253" s="2367"/>
      <c r="B253" s="2376" t="s">
        <v>3813</v>
      </c>
      <c r="C253" s="2368" t="s">
        <v>2566</v>
      </c>
      <c r="D253" s="2368">
        <v>1</v>
      </c>
      <c r="E253" s="2368"/>
      <c r="F253" s="2349">
        <f t="shared" si="6"/>
        <v>1</v>
      </c>
      <c r="G253" s="2421">
        <v>84717</v>
      </c>
      <c r="H253" s="2421">
        <f t="shared" si="7"/>
        <v>84717</v>
      </c>
      <c r="I253" s="2425"/>
      <c r="J253" s="2426"/>
    </row>
    <row r="254" spans="1:10" s="2427" customFormat="1">
      <c r="A254" s="2367"/>
      <c r="B254" s="2376" t="s">
        <v>1739</v>
      </c>
      <c r="C254" s="2368" t="s">
        <v>2566</v>
      </c>
      <c r="D254" s="2368">
        <v>1</v>
      </c>
      <c r="E254" s="2368"/>
      <c r="F254" s="2349">
        <f t="shared" si="6"/>
        <v>1</v>
      </c>
      <c r="G254" s="2421">
        <v>129976</v>
      </c>
      <c r="H254" s="2421">
        <f t="shared" si="7"/>
        <v>129976</v>
      </c>
      <c r="I254" s="2425"/>
      <c r="J254" s="2426"/>
    </row>
    <row r="255" spans="1:10" s="2427" customFormat="1">
      <c r="A255" s="2367"/>
      <c r="B255" s="2376" t="s">
        <v>5077</v>
      </c>
      <c r="C255" s="2368" t="s">
        <v>2566</v>
      </c>
      <c r="D255" s="2368">
        <v>2</v>
      </c>
      <c r="E255" s="2368"/>
      <c r="F255" s="2349">
        <f t="shared" si="6"/>
        <v>2</v>
      </c>
      <c r="G255" s="2421">
        <v>32494</v>
      </c>
      <c r="H255" s="2421">
        <f t="shared" si="7"/>
        <v>64988</v>
      </c>
      <c r="I255" s="2425"/>
      <c r="J255" s="2426"/>
    </row>
    <row r="256" spans="1:10" s="2427" customFormat="1">
      <c r="A256" s="2367"/>
      <c r="B256" s="2376" t="s">
        <v>5078</v>
      </c>
      <c r="C256" s="2368" t="s">
        <v>2566</v>
      </c>
      <c r="D256" s="2368">
        <v>2</v>
      </c>
      <c r="E256" s="2368"/>
      <c r="F256" s="2349">
        <f t="shared" si="6"/>
        <v>2</v>
      </c>
      <c r="G256" s="2421">
        <v>32494</v>
      </c>
      <c r="H256" s="2421">
        <f t="shared" si="7"/>
        <v>64988</v>
      </c>
      <c r="I256" s="2425"/>
      <c r="J256" s="2426"/>
    </row>
    <row r="257" spans="1:10" s="2427" customFormat="1">
      <c r="A257" s="2367">
        <v>32</v>
      </c>
      <c r="B257" s="2375" t="s">
        <v>5079</v>
      </c>
      <c r="C257" s="2367" t="s">
        <v>2448</v>
      </c>
      <c r="D257" s="2367">
        <v>2</v>
      </c>
      <c r="E257" s="2367"/>
      <c r="F257" s="2349">
        <f t="shared" si="6"/>
        <v>2</v>
      </c>
      <c r="G257" s="2421"/>
      <c r="H257" s="2421"/>
      <c r="I257" s="2425"/>
      <c r="J257" s="2426"/>
    </row>
    <row r="258" spans="1:10" s="2427" customFormat="1">
      <c r="A258" s="2367"/>
      <c r="B258" s="2376" t="s">
        <v>5080</v>
      </c>
      <c r="C258" s="2368" t="s">
        <v>2256</v>
      </c>
      <c r="D258" s="2368">
        <v>9.48</v>
      </c>
      <c r="E258" s="2368"/>
      <c r="F258" s="2349">
        <f t="shared" si="6"/>
        <v>9.48</v>
      </c>
      <c r="G258" s="2421">
        <v>43287</v>
      </c>
      <c r="H258" s="2421">
        <f t="shared" si="7"/>
        <v>410361</v>
      </c>
      <c r="I258" s="2425"/>
      <c r="J258" s="2426"/>
    </row>
    <row r="259" spans="1:10" s="2427" customFormat="1">
      <c r="A259" s="2367"/>
      <c r="B259" s="2376" t="s">
        <v>2959</v>
      </c>
      <c r="C259" s="2368" t="s">
        <v>2566</v>
      </c>
      <c r="D259" s="2368">
        <v>2</v>
      </c>
      <c r="E259" s="2368"/>
      <c r="F259" s="2349">
        <f t="shared" si="6"/>
        <v>2</v>
      </c>
      <c r="G259" s="2421">
        <v>49902</v>
      </c>
      <c r="H259" s="2421">
        <f t="shared" si="7"/>
        <v>99804</v>
      </c>
      <c r="I259" s="2425"/>
      <c r="J259" s="2426"/>
    </row>
    <row r="260" spans="1:10" s="2427" customFormat="1">
      <c r="A260" s="2367"/>
      <c r="B260" s="2376" t="s">
        <v>5081</v>
      </c>
      <c r="C260" s="2368" t="s">
        <v>2566</v>
      </c>
      <c r="D260" s="2368">
        <v>16</v>
      </c>
      <c r="E260" s="2368"/>
      <c r="F260" s="2349">
        <f t="shared" si="6"/>
        <v>16</v>
      </c>
      <c r="G260" s="2421">
        <v>35628</v>
      </c>
      <c r="H260" s="2421">
        <f t="shared" si="7"/>
        <v>570048</v>
      </c>
      <c r="I260" s="2425"/>
      <c r="J260" s="2426"/>
    </row>
    <row r="261" spans="1:10" s="2427" customFormat="1">
      <c r="A261" s="2367"/>
      <c r="B261" s="2376" t="s">
        <v>5082</v>
      </c>
      <c r="C261" s="2368" t="s">
        <v>2566</v>
      </c>
      <c r="D261" s="2368">
        <v>2</v>
      </c>
      <c r="E261" s="2368"/>
      <c r="F261" s="2349">
        <f t="shared" si="6"/>
        <v>2</v>
      </c>
      <c r="G261" s="2421">
        <v>32494</v>
      </c>
      <c r="H261" s="2421">
        <f t="shared" si="7"/>
        <v>64988</v>
      </c>
      <c r="I261" s="2425"/>
      <c r="J261" s="2426"/>
    </row>
    <row r="262" spans="1:10" s="2427" customFormat="1">
      <c r="A262" s="2367"/>
      <c r="B262" s="2376" t="s">
        <v>5083</v>
      </c>
      <c r="C262" s="2368" t="s">
        <v>2566</v>
      </c>
      <c r="D262" s="2368">
        <v>4</v>
      </c>
      <c r="E262" s="2368"/>
      <c r="F262" s="2349">
        <f t="shared" si="6"/>
        <v>4</v>
      </c>
      <c r="G262" s="2421">
        <v>6963</v>
      </c>
      <c r="H262" s="2421">
        <f t="shared" si="7"/>
        <v>27852</v>
      </c>
      <c r="I262" s="2425"/>
      <c r="J262" s="2426"/>
    </row>
    <row r="263" spans="1:10" s="2427" customFormat="1">
      <c r="A263" s="2367"/>
      <c r="B263" s="2376" t="s">
        <v>5084</v>
      </c>
      <c r="C263" s="2368" t="s">
        <v>2566</v>
      </c>
      <c r="D263" s="2368">
        <v>2</v>
      </c>
      <c r="E263" s="2368"/>
      <c r="F263" s="2349">
        <f t="shared" si="6"/>
        <v>2</v>
      </c>
      <c r="G263" s="2421">
        <v>113729</v>
      </c>
      <c r="H263" s="2421">
        <f t="shared" si="7"/>
        <v>227458</v>
      </c>
      <c r="I263" s="2425"/>
      <c r="J263" s="2426"/>
    </row>
    <row r="264" spans="1:10" s="2427" customFormat="1">
      <c r="A264" s="2367"/>
      <c r="B264" s="2376" t="s">
        <v>5085</v>
      </c>
      <c r="C264" s="2368" t="s">
        <v>2566</v>
      </c>
      <c r="D264" s="2368">
        <v>2</v>
      </c>
      <c r="E264" s="2368"/>
      <c r="F264" s="2349">
        <f t="shared" si="6"/>
        <v>2</v>
      </c>
      <c r="G264" s="2421">
        <v>235582</v>
      </c>
      <c r="H264" s="2421">
        <f t="shared" si="7"/>
        <v>471164</v>
      </c>
      <c r="I264" s="2425"/>
      <c r="J264" s="2426"/>
    </row>
    <row r="265" spans="1:10" s="2427" customFormat="1">
      <c r="A265" s="2367"/>
      <c r="B265" s="2376" t="s">
        <v>5086</v>
      </c>
      <c r="C265" s="2368" t="s">
        <v>2566</v>
      </c>
      <c r="D265" s="2368">
        <v>2</v>
      </c>
      <c r="E265" s="2368"/>
      <c r="F265" s="2349">
        <f t="shared" si="6"/>
        <v>2</v>
      </c>
      <c r="G265" s="2421">
        <v>100964</v>
      </c>
      <c r="H265" s="2421">
        <f t="shared" si="7"/>
        <v>201928</v>
      </c>
      <c r="I265" s="2425"/>
      <c r="J265" s="2426"/>
    </row>
    <row r="266" spans="1:10" s="2427" customFormat="1">
      <c r="A266" s="2367">
        <v>33</v>
      </c>
      <c r="B266" s="2375" t="s">
        <v>5087</v>
      </c>
      <c r="C266" s="2368"/>
      <c r="D266" s="2368"/>
      <c r="E266" s="2368"/>
      <c r="F266" s="2349">
        <f t="shared" si="6"/>
        <v>0</v>
      </c>
      <c r="G266" s="2421"/>
      <c r="H266" s="2421">
        <f t="shared" si="7"/>
        <v>0</v>
      </c>
      <c r="I266" s="2425"/>
      <c r="J266" s="2426"/>
    </row>
    <row r="267" spans="1:10" s="2427" customFormat="1">
      <c r="A267" s="2367"/>
      <c r="B267" s="2376" t="s">
        <v>5088</v>
      </c>
      <c r="C267" s="2368" t="s">
        <v>3466</v>
      </c>
      <c r="D267" s="2368">
        <v>1</v>
      </c>
      <c r="E267" s="2368"/>
      <c r="F267" s="2349">
        <f t="shared" si="6"/>
        <v>1</v>
      </c>
      <c r="G267" s="2421">
        <v>4413827</v>
      </c>
      <c r="H267" s="2421">
        <f t="shared" si="7"/>
        <v>4413827</v>
      </c>
      <c r="I267" s="2425"/>
      <c r="J267" s="2426"/>
    </row>
    <row r="268" spans="1:10" s="2427" customFormat="1">
      <c r="A268" s="2367"/>
      <c r="B268" s="2376" t="s">
        <v>5089</v>
      </c>
      <c r="C268" s="2368" t="s">
        <v>3466</v>
      </c>
      <c r="D268" s="2368">
        <v>1</v>
      </c>
      <c r="E268" s="2368"/>
      <c r="F268" s="2349">
        <f t="shared" si="6"/>
        <v>1</v>
      </c>
      <c r="G268" s="2421">
        <v>3623036</v>
      </c>
      <c r="H268" s="2421">
        <f t="shared" si="7"/>
        <v>3623036</v>
      </c>
      <c r="I268" s="2425"/>
      <c r="J268" s="2426"/>
    </row>
    <row r="269" spans="1:10" s="2427" customFormat="1">
      <c r="A269" s="2367"/>
      <c r="B269" s="2376" t="s">
        <v>5006</v>
      </c>
      <c r="C269" s="2368" t="s">
        <v>3466</v>
      </c>
      <c r="D269" s="2368">
        <v>1</v>
      </c>
      <c r="E269" s="2368"/>
      <c r="F269" s="2349">
        <f t="shared" si="6"/>
        <v>1</v>
      </c>
      <c r="G269" s="2421">
        <v>408520</v>
      </c>
      <c r="H269" s="2421">
        <f t="shared" si="7"/>
        <v>408520</v>
      </c>
      <c r="I269" s="2425"/>
      <c r="J269" s="2426"/>
    </row>
    <row r="270" spans="1:10" s="2427" customFormat="1">
      <c r="A270" s="2367"/>
      <c r="B270" s="2376" t="s">
        <v>5090</v>
      </c>
      <c r="C270" s="2368" t="s">
        <v>5091</v>
      </c>
      <c r="D270" s="2368">
        <v>5</v>
      </c>
      <c r="E270" s="2368"/>
      <c r="F270" s="2349">
        <f t="shared" si="6"/>
        <v>5</v>
      </c>
      <c r="G270" s="2421">
        <v>1078898</v>
      </c>
      <c r="H270" s="2421">
        <f t="shared" si="7"/>
        <v>5394490</v>
      </c>
      <c r="I270" s="2425"/>
      <c r="J270" s="2426"/>
    </row>
    <row r="271" spans="1:10" s="2427" customFormat="1">
      <c r="A271" s="2367"/>
      <c r="B271" s="2376" t="s">
        <v>5092</v>
      </c>
      <c r="C271" s="2368" t="s">
        <v>5091</v>
      </c>
      <c r="D271" s="2368">
        <v>5</v>
      </c>
      <c r="E271" s="2368"/>
      <c r="F271" s="2349">
        <f t="shared" si="6"/>
        <v>5</v>
      </c>
      <c r="G271" s="2421">
        <v>94848</v>
      </c>
      <c r="H271" s="2421">
        <f t="shared" si="7"/>
        <v>474240</v>
      </c>
      <c r="I271" s="2425"/>
      <c r="J271" s="2426"/>
    </row>
    <row r="272" spans="1:10" s="2427" customFormat="1">
      <c r="A272" s="2367"/>
      <c r="B272" s="2376" t="s">
        <v>5093</v>
      </c>
      <c r="C272" s="2368" t="s">
        <v>3466</v>
      </c>
      <c r="D272" s="2368">
        <v>1</v>
      </c>
      <c r="E272" s="2368"/>
      <c r="F272" s="2349">
        <f t="shared" ref="F272:F283" si="8">D272+E272</f>
        <v>1</v>
      </c>
      <c r="G272" s="2421">
        <v>119071</v>
      </c>
      <c r="H272" s="2421">
        <f t="shared" si="7"/>
        <v>119071</v>
      </c>
      <c r="I272" s="2425"/>
      <c r="J272" s="2426"/>
    </row>
    <row r="273" spans="1:10" s="2427" customFormat="1" ht="27" customHeight="1">
      <c r="A273" s="2367"/>
      <c r="B273" s="2376" t="s">
        <v>5094</v>
      </c>
      <c r="C273" s="2368" t="s">
        <v>5095</v>
      </c>
      <c r="D273" s="2368">
        <v>1</v>
      </c>
      <c r="E273" s="2368"/>
      <c r="F273" s="2349">
        <f t="shared" si="8"/>
        <v>1</v>
      </c>
      <c r="G273" s="2421">
        <v>3618423</v>
      </c>
      <c r="H273" s="2421">
        <f t="shared" ref="H273:H283" si="9">ROUND((G273*F273),0)</f>
        <v>3618423</v>
      </c>
      <c r="I273" s="2425"/>
      <c r="J273" s="2426"/>
    </row>
    <row r="274" spans="1:10" s="2427" customFormat="1">
      <c r="A274" s="2367"/>
      <c r="B274" s="2376" t="s">
        <v>4957</v>
      </c>
      <c r="C274" s="2368" t="s">
        <v>2521</v>
      </c>
      <c r="D274" s="2368">
        <v>4</v>
      </c>
      <c r="E274" s="2368"/>
      <c r="F274" s="2349">
        <f t="shared" si="8"/>
        <v>4</v>
      </c>
      <c r="G274" s="2421">
        <v>19800</v>
      </c>
      <c r="H274" s="2421">
        <f t="shared" si="9"/>
        <v>79200</v>
      </c>
      <c r="I274" s="2425"/>
      <c r="J274" s="2426"/>
    </row>
    <row r="275" spans="1:10" s="2427" customFormat="1">
      <c r="A275" s="2367" t="s">
        <v>1669</v>
      </c>
      <c r="B275" s="2375" t="s">
        <v>5096</v>
      </c>
      <c r="C275" s="2368"/>
      <c r="D275" s="2368"/>
      <c r="E275" s="2368"/>
      <c r="F275" s="2349"/>
      <c r="G275" s="2421"/>
      <c r="H275" s="2421"/>
      <c r="I275" s="2425"/>
      <c r="J275" s="2426"/>
    </row>
    <row r="276" spans="1:10" s="2427" customFormat="1" ht="28.5">
      <c r="A276" s="2367">
        <v>1</v>
      </c>
      <c r="B276" s="2375" t="s">
        <v>4970</v>
      </c>
      <c r="C276" s="2368"/>
      <c r="D276" s="2368"/>
      <c r="E276" s="2368"/>
      <c r="F276" s="2349"/>
      <c r="G276" s="2421"/>
      <c r="H276" s="2433">
        <f>SUM(H277:H283)</f>
        <v>7761972</v>
      </c>
      <c r="I276" s="2425"/>
      <c r="J276" s="2426"/>
    </row>
    <row r="277" spans="1:10" s="2427" customFormat="1">
      <c r="A277" s="2367"/>
      <c r="B277" s="2384" t="s">
        <v>5097</v>
      </c>
      <c r="C277" s="2385" t="s">
        <v>2044</v>
      </c>
      <c r="D277" s="2385">
        <v>0</v>
      </c>
      <c r="E277" s="2385">
        <v>6.0999999999999999E-2</v>
      </c>
      <c r="F277" s="2357">
        <f t="shared" si="8"/>
        <v>6.0999999999999999E-2</v>
      </c>
      <c r="G277" s="2430">
        <v>35259993</v>
      </c>
      <c r="H277" s="2430">
        <f t="shared" si="9"/>
        <v>2150860</v>
      </c>
      <c r="I277" s="2425"/>
      <c r="J277" s="2426"/>
    </row>
    <row r="278" spans="1:10" s="2427" customFormat="1">
      <c r="A278" s="2367"/>
      <c r="B278" s="2384" t="s">
        <v>5098</v>
      </c>
      <c r="C278" s="2385" t="s">
        <v>2541</v>
      </c>
      <c r="D278" s="2385">
        <v>0</v>
      </c>
      <c r="E278" s="2385">
        <v>31</v>
      </c>
      <c r="F278" s="2357">
        <f t="shared" si="8"/>
        <v>31</v>
      </c>
      <c r="G278" s="2430">
        <f>73590*1.15</f>
        <v>84628.5</v>
      </c>
      <c r="H278" s="2430">
        <f t="shared" si="9"/>
        <v>2623484</v>
      </c>
      <c r="I278" s="2425"/>
      <c r="J278" s="2426"/>
    </row>
    <row r="279" spans="1:10" s="2427" customFormat="1">
      <c r="A279" s="2367"/>
      <c r="B279" s="2384" t="s">
        <v>5099</v>
      </c>
      <c r="C279" s="2385" t="s">
        <v>2541</v>
      </c>
      <c r="D279" s="2385">
        <v>0</v>
      </c>
      <c r="E279" s="2385">
        <v>31</v>
      </c>
      <c r="F279" s="2357">
        <f t="shared" si="8"/>
        <v>31</v>
      </c>
      <c r="G279" s="2430">
        <v>27800</v>
      </c>
      <c r="H279" s="2430">
        <f t="shared" si="9"/>
        <v>861800</v>
      </c>
      <c r="I279" s="2425"/>
      <c r="J279" s="2426"/>
    </row>
    <row r="280" spans="1:10" s="2427" customFormat="1">
      <c r="A280" s="2367"/>
      <c r="B280" s="2384" t="s">
        <v>5100</v>
      </c>
      <c r="C280" s="2385" t="s">
        <v>2541</v>
      </c>
      <c r="D280" s="2385">
        <v>0</v>
      </c>
      <c r="E280" s="2385">
        <v>20</v>
      </c>
      <c r="F280" s="2357">
        <f t="shared" si="8"/>
        <v>20</v>
      </c>
      <c r="G280" s="2430">
        <f>47850*1.15</f>
        <v>55027.499999999993</v>
      </c>
      <c r="H280" s="2430">
        <f t="shared" si="9"/>
        <v>1100550</v>
      </c>
      <c r="I280" s="2425"/>
      <c r="J280" s="2426"/>
    </row>
    <row r="281" spans="1:10" s="2427" customFormat="1">
      <c r="A281" s="2367"/>
      <c r="B281" s="2384" t="s">
        <v>5101</v>
      </c>
      <c r="C281" s="2385" t="s">
        <v>2541</v>
      </c>
      <c r="D281" s="2385">
        <v>0</v>
      </c>
      <c r="E281" s="2385">
        <v>20</v>
      </c>
      <c r="F281" s="2357">
        <f t="shared" si="8"/>
        <v>20</v>
      </c>
      <c r="G281" s="2430">
        <v>19750</v>
      </c>
      <c r="H281" s="2430">
        <f t="shared" si="9"/>
        <v>395000</v>
      </c>
      <c r="I281" s="2425"/>
      <c r="J281" s="2426"/>
    </row>
    <row r="282" spans="1:10" s="2427" customFormat="1">
      <c r="A282" s="2367"/>
      <c r="B282" s="2384" t="s">
        <v>5102</v>
      </c>
      <c r="C282" s="2385" t="s">
        <v>2448</v>
      </c>
      <c r="D282" s="2385">
        <v>0</v>
      </c>
      <c r="E282" s="2385">
        <v>4</v>
      </c>
      <c r="F282" s="2357">
        <f t="shared" si="8"/>
        <v>4</v>
      </c>
      <c r="G282" s="2430">
        <v>85038</v>
      </c>
      <c r="H282" s="2430">
        <f t="shared" si="9"/>
        <v>340152</v>
      </c>
      <c r="I282" s="2425"/>
      <c r="J282" s="2426"/>
    </row>
    <row r="283" spans="1:10" s="2427" customFormat="1">
      <c r="A283" s="2367"/>
      <c r="B283" s="2384" t="s">
        <v>5103</v>
      </c>
      <c r="C283" s="2385" t="s">
        <v>2448</v>
      </c>
      <c r="D283" s="2385">
        <v>0</v>
      </c>
      <c r="E283" s="2385">
        <v>2</v>
      </c>
      <c r="F283" s="2357">
        <f t="shared" si="8"/>
        <v>2</v>
      </c>
      <c r="G283" s="2430">
        <v>145063</v>
      </c>
      <c r="H283" s="2430">
        <f t="shared" si="9"/>
        <v>290126</v>
      </c>
      <c r="I283" s="2425"/>
      <c r="J283" s="2426"/>
    </row>
    <row r="284" spans="1:10" s="2427" customFormat="1">
      <c r="A284" s="2367"/>
      <c r="B284" s="2434" t="s">
        <v>5134</v>
      </c>
      <c r="C284" s="2385"/>
      <c r="D284" s="2385"/>
      <c r="E284" s="2385"/>
      <c r="F284" s="2357"/>
      <c r="G284" s="2430"/>
      <c r="H284" s="2430">
        <f>SUM(H10:H274)+H276</f>
        <v>1297021005</v>
      </c>
      <c r="I284" s="2425"/>
      <c r="J284" s="2426"/>
    </row>
    <row r="285" spans="1:10" s="2427" customFormat="1" ht="21.75" customHeight="1">
      <c r="A285" s="2435"/>
      <c r="B285" s="2367" t="s">
        <v>5135</v>
      </c>
      <c r="C285" s="2368"/>
      <c r="D285" s="2368"/>
      <c r="E285" s="2368"/>
      <c r="F285" s="2349"/>
      <c r="G285" s="2436"/>
      <c r="H285" s="2437">
        <f>ROUND(H284,-3)</f>
        <v>1297021000</v>
      </c>
      <c r="I285" s="2425"/>
      <c r="J285" s="2426"/>
    </row>
    <row r="286" spans="1:10" s="2427" customFormat="1" ht="23.25" customHeight="1">
      <c r="A286" s="2749" t="s">
        <v>5136</v>
      </c>
      <c r="B286" s="2750"/>
      <c r="C286" s="2750"/>
      <c r="D286" s="2750"/>
      <c r="E286" s="2750"/>
      <c r="F286" s="2750"/>
      <c r="G286" s="2750"/>
      <c r="H286" s="2750"/>
      <c r="I286" s="2751"/>
      <c r="J286" s="2426"/>
    </row>
    <row r="287" spans="1:10">
      <c r="B287" s="2393" t="s">
        <v>5137</v>
      </c>
      <c r="C287" s="2752" t="s">
        <v>5138</v>
      </c>
      <c r="D287" s="2752"/>
      <c r="E287" s="2752"/>
      <c r="F287" s="2752"/>
      <c r="G287" s="2752"/>
      <c r="H287" s="2752"/>
    </row>
    <row r="288" spans="1:10">
      <c r="B288" s="2393" t="s">
        <v>5139</v>
      </c>
      <c r="C288" s="2752" t="s">
        <v>5140</v>
      </c>
      <c r="D288" s="2752"/>
      <c r="E288" s="2752"/>
      <c r="F288" s="2752"/>
      <c r="G288" s="2752"/>
      <c r="H288" s="2752"/>
    </row>
    <row r="289" spans="2:9">
      <c r="B289" s="2393"/>
      <c r="C289" s="2438"/>
      <c r="D289" s="2439"/>
      <c r="E289" s="2439"/>
      <c r="F289" s="2439"/>
      <c r="G289" s="2440"/>
      <c r="H289" s="2441"/>
    </row>
    <row r="290" spans="2:9">
      <c r="B290" s="2393"/>
      <c r="C290" s="2438"/>
      <c r="D290" s="2439"/>
      <c r="E290" s="2439"/>
      <c r="F290" s="2439"/>
      <c r="G290" s="2440"/>
      <c r="H290" s="2441"/>
    </row>
    <row r="291" spans="2:9">
      <c r="B291" s="2442"/>
      <c r="C291" s="2438"/>
      <c r="D291" s="2439"/>
      <c r="E291" s="2439"/>
      <c r="F291" s="2439"/>
      <c r="G291" s="2440"/>
      <c r="H291" s="2441"/>
    </row>
    <row r="292" spans="2:9" ht="27" customHeight="1">
      <c r="B292" s="2393"/>
      <c r="C292" s="2438"/>
      <c r="D292" s="2439"/>
      <c r="E292" s="2439"/>
      <c r="F292" s="2439"/>
      <c r="G292" s="2440"/>
      <c r="H292" s="2441"/>
    </row>
    <row r="293" spans="2:9">
      <c r="B293" s="2393"/>
      <c r="C293" s="2438"/>
      <c r="D293" s="2439"/>
      <c r="E293" s="2439"/>
      <c r="F293" s="2439"/>
      <c r="G293" s="2440"/>
      <c r="H293" s="2441"/>
      <c r="I293" s="2443"/>
    </row>
    <row r="294" spans="2:9">
      <c r="B294" s="2393" t="s">
        <v>5141</v>
      </c>
      <c r="C294" s="2752" t="s">
        <v>5142</v>
      </c>
      <c r="D294" s="2752"/>
      <c r="E294" s="2752"/>
      <c r="F294" s="2752"/>
      <c r="G294" s="2752"/>
      <c r="H294" s="2752"/>
    </row>
    <row r="297" spans="2:9">
      <c r="B297" s="2444"/>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2020-05-28T16:29:47Z</dcterms:modified>
</cp:coreProperties>
</file>